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4.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5.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drawings/drawing6.xml" ContentType="application/vnd.openxmlformats-officedocument.drawing+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drawings/drawing7.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drawings/drawing8.xml" ContentType="application/vnd.openxmlformats-officedocument.drawing+xml"/>
  <Override PartName="/xl/comments5.xml" ContentType="application/vnd.openxmlformats-officedocument.spreadsheetml.comments+xml"/>
  <Override PartName="/xl/charts/chart68.xml" ContentType="application/vnd.openxmlformats-officedocument.drawingml.chart+xml"/>
  <Override PartName="/xl/drawings/drawing9.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drawings/drawing10.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24226"/>
  <mc:AlternateContent xmlns:mc="http://schemas.openxmlformats.org/markup-compatibility/2006">
    <mc:Choice Requires="x15">
      <x15ac:absPath xmlns:x15ac="http://schemas.microsoft.com/office/spreadsheetml/2010/11/ac" url="C:\Users\luiz.castilho\Downloads\"/>
    </mc:Choice>
  </mc:AlternateContent>
  <xr:revisionPtr revIDLastSave="0" documentId="13_ncr:1_{EC3D2392-4F5C-4524-A42C-F14A730B7B0C}" xr6:coauthVersionLast="47" xr6:coauthVersionMax="47" xr10:uidLastSave="{00000000-0000-0000-0000-000000000000}"/>
  <bookViews>
    <workbookView xWindow="-120" yWindow="-120" windowWidth="20730" windowHeight="11160" tabRatio="411" firstSheet="1" activeTab="6" xr2:uid="{00000000-000D-0000-FFFF-FFFF00000000}"/>
  </bookViews>
  <sheets>
    <sheet name="Estoque Tanques" sheetId="4" r:id="rId1"/>
    <sheet name="2022" sheetId="11" r:id="rId2"/>
    <sheet name="2021" sheetId="13" r:id="rId3"/>
    <sheet name="2020" sheetId="8" r:id="rId4"/>
    <sheet name="2019" sheetId="5" r:id="rId5"/>
    <sheet name="2018" sheetId="1" r:id="rId6"/>
    <sheet name="Fechamento 2022" sheetId="12" r:id="rId7"/>
    <sheet name="Fechamento 2019" sheetId="7" r:id="rId8"/>
    <sheet name="Fechamento 2018" sheetId="3" r:id="rId9"/>
    <sheet name="Fechamento 2017" sheetId="14" r:id="rId10"/>
    <sheet name="Fechamento 2016" sheetId="15" r:id="rId11"/>
    <sheet name="Fechamento 2014 e 2015" sheetId="16" r:id="rId12"/>
    <sheet name="Graf 2020" sheetId="9" r:id="rId13"/>
    <sheet name="Graf 2019" sheetId="6" r:id="rId14"/>
  </sheets>
  <externalReferences>
    <externalReference r:id="rId15"/>
    <externalReference r:id="rId16"/>
    <externalReference r:id="rId17"/>
    <externalReference r:id="rId18"/>
  </externalReferences>
  <definedNames>
    <definedName name="_xlnm.Print_Area" localSheetId="1">'2022'!$A$1:$FN$240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9" i="16" l="1"/>
  <c r="J59" i="16"/>
  <c r="H59" i="16"/>
  <c r="F59" i="16"/>
  <c r="L52" i="16"/>
  <c r="J52" i="16"/>
  <c r="H52" i="16"/>
  <c r="F52" i="16"/>
  <c r="L33" i="16"/>
  <c r="J33" i="16"/>
  <c r="H33" i="16"/>
  <c r="F33" i="16"/>
  <c r="L25" i="16"/>
  <c r="H25" i="16"/>
  <c r="F25" i="16"/>
  <c r="L20" i="16"/>
  <c r="Q9" i="16" s="1"/>
  <c r="J20" i="16"/>
  <c r="H20" i="16"/>
  <c r="F20" i="16"/>
  <c r="L12" i="16"/>
  <c r="J12" i="16"/>
  <c r="H12" i="16"/>
  <c r="F12" i="16"/>
  <c r="E62" i="16" s="1"/>
  <c r="O9" i="16"/>
  <c r="O7" i="16"/>
  <c r="G62" i="16" l="1"/>
  <c r="O6" i="16"/>
  <c r="O8" i="16" s="1"/>
  <c r="P6" i="16"/>
  <c r="P8" i="16" s="1"/>
  <c r="P7" i="16"/>
  <c r="G64" i="16"/>
  <c r="G63" i="16"/>
  <c r="E64" i="16"/>
  <c r="E63" i="16"/>
  <c r="P9" i="16"/>
  <c r="Q6" i="16"/>
  <c r="Q8" i="16" s="1"/>
  <c r="Q7" i="16"/>
  <c r="I65" i="15" l="1"/>
  <c r="H65" i="15"/>
  <c r="I60" i="15"/>
  <c r="H60" i="15"/>
  <c r="I59" i="15"/>
  <c r="H59" i="15"/>
  <c r="I51" i="15"/>
  <c r="H51" i="15"/>
  <c r="I46" i="15"/>
  <c r="H46" i="15"/>
  <c r="F40" i="15"/>
  <c r="J44" i="15" s="1"/>
  <c r="F39" i="15"/>
  <c r="J43" i="15" s="1"/>
  <c r="N37" i="15"/>
  <c r="L37" i="15"/>
  <c r="M37" i="15" s="1"/>
  <c r="J37" i="15"/>
  <c r="F37" i="15"/>
  <c r="G37" i="15" s="1"/>
  <c r="E37" i="15"/>
  <c r="N36" i="15"/>
  <c r="L36" i="15"/>
  <c r="M36" i="15" s="1"/>
  <c r="J36" i="15"/>
  <c r="E36" i="15"/>
  <c r="G36" i="15" s="1"/>
  <c r="M35" i="15"/>
  <c r="O35" i="15" s="1"/>
  <c r="J35" i="15"/>
  <c r="F35" i="15"/>
  <c r="E35" i="15"/>
  <c r="N34" i="15"/>
  <c r="M34" i="15"/>
  <c r="O34" i="15" s="1"/>
  <c r="L34" i="15"/>
  <c r="J34" i="15"/>
  <c r="F34" i="15"/>
  <c r="E34" i="15"/>
  <c r="N33" i="15"/>
  <c r="L33" i="15"/>
  <c r="M33" i="15" s="1"/>
  <c r="J33" i="15"/>
  <c r="F33" i="15"/>
  <c r="E33" i="15"/>
  <c r="N31" i="15"/>
  <c r="M31" i="15"/>
  <c r="J31" i="15"/>
  <c r="F31" i="15"/>
  <c r="G31" i="15" s="1"/>
  <c r="E31" i="15"/>
  <c r="N30" i="15"/>
  <c r="L30" i="15"/>
  <c r="M30" i="15" s="1"/>
  <c r="J30" i="15"/>
  <c r="F30" i="15"/>
  <c r="G30" i="15" s="1"/>
  <c r="E30" i="15"/>
  <c r="N28" i="15"/>
  <c r="O28" i="15" s="1"/>
  <c r="M28" i="15"/>
  <c r="J28" i="15"/>
  <c r="F28" i="15"/>
  <c r="E28" i="15"/>
  <c r="P28" i="15" s="1"/>
  <c r="N27" i="15"/>
  <c r="L27" i="15"/>
  <c r="M27" i="15" s="1"/>
  <c r="O27" i="15" s="1"/>
  <c r="J27" i="15"/>
  <c r="G27" i="15"/>
  <c r="F27" i="15"/>
  <c r="E27" i="15"/>
  <c r="N26" i="15"/>
  <c r="M26" i="15"/>
  <c r="J26" i="15"/>
  <c r="G26" i="15"/>
  <c r="F26" i="15"/>
  <c r="E26" i="15"/>
  <c r="N25" i="15"/>
  <c r="M25" i="15"/>
  <c r="O25" i="15" s="1"/>
  <c r="J25" i="15"/>
  <c r="F25" i="15"/>
  <c r="E25" i="15"/>
  <c r="P25" i="15" s="1"/>
  <c r="N23" i="15"/>
  <c r="M23" i="15"/>
  <c r="J23" i="15"/>
  <c r="E23" i="15"/>
  <c r="P22" i="15"/>
  <c r="R22" i="15" s="1"/>
  <c r="M22" i="15"/>
  <c r="O22" i="15" s="1"/>
  <c r="J22" i="15"/>
  <c r="F22" i="15"/>
  <c r="E22" i="15"/>
  <c r="N21" i="15"/>
  <c r="M21" i="15"/>
  <c r="P21" i="15" s="1"/>
  <c r="J21" i="15"/>
  <c r="G21" i="15"/>
  <c r="E21" i="15"/>
  <c r="M20" i="15"/>
  <c r="O20" i="15" s="1"/>
  <c r="J20" i="15"/>
  <c r="E20" i="15"/>
  <c r="N19" i="15"/>
  <c r="M19" i="15"/>
  <c r="J19" i="15"/>
  <c r="F19" i="15"/>
  <c r="G19" i="15" s="1"/>
  <c r="E19" i="15"/>
  <c r="M18" i="15"/>
  <c r="O18" i="15" s="1"/>
  <c r="J18" i="15"/>
  <c r="G18" i="15"/>
  <c r="F18" i="15"/>
  <c r="E18" i="15"/>
  <c r="N17" i="15"/>
  <c r="M17" i="15"/>
  <c r="J17" i="15"/>
  <c r="F17" i="15"/>
  <c r="E17" i="15"/>
  <c r="P17" i="15" s="1"/>
  <c r="O16" i="15"/>
  <c r="M16" i="15"/>
  <c r="J16" i="15"/>
  <c r="F16" i="15"/>
  <c r="E16" i="15"/>
  <c r="P16" i="15" s="1"/>
  <c r="N15" i="15"/>
  <c r="O15" i="15" s="1"/>
  <c r="M15" i="15"/>
  <c r="J15" i="15"/>
  <c r="E15" i="15"/>
  <c r="G15" i="15" s="1"/>
  <c r="N14" i="15"/>
  <c r="L14" i="15"/>
  <c r="M14" i="15" s="1"/>
  <c r="J14" i="15"/>
  <c r="E14" i="15"/>
  <c r="M13" i="15"/>
  <c r="O13" i="15" s="1"/>
  <c r="J13" i="15"/>
  <c r="F13" i="15"/>
  <c r="G13" i="15" s="1"/>
  <c r="E13" i="15"/>
  <c r="N12" i="15"/>
  <c r="O12" i="15" s="1"/>
  <c r="M12" i="15"/>
  <c r="J12" i="15"/>
  <c r="F12" i="15"/>
  <c r="G12" i="15" s="1"/>
  <c r="E12" i="15"/>
  <c r="N11" i="15"/>
  <c r="O11" i="15" s="1"/>
  <c r="M11" i="15"/>
  <c r="J11" i="15"/>
  <c r="E11" i="15"/>
  <c r="P11" i="15" s="1"/>
  <c r="N10" i="15"/>
  <c r="O10" i="15" s="1"/>
  <c r="M10" i="15"/>
  <c r="J10" i="15"/>
  <c r="E10" i="15"/>
  <c r="G10" i="15" s="1"/>
  <c r="N9" i="15"/>
  <c r="L9" i="15"/>
  <c r="M9" i="15" s="1"/>
  <c r="O9" i="15" s="1"/>
  <c r="J9" i="15"/>
  <c r="F9" i="15"/>
  <c r="E9" i="15"/>
  <c r="P9" i="15" s="1"/>
  <c r="N8" i="15"/>
  <c r="O8" i="15" s="1"/>
  <c r="M8" i="15"/>
  <c r="J8" i="15"/>
  <c r="E8" i="15"/>
  <c r="N7" i="15"/>
  <c r="L7" i="15"/>
  <c r="M7" i="15" s="1"/>
  <c r="J7" i="15"/>
  <c r="E7" i="15"/>
  <c r="G7" i="15" s="1"/>
  <c r="N6" i="15"/>
  <c r="L6" i="15"/>
  <c r="M6" i="15" s="1"/>
  <c r="J6" i="15"/>
  <c r="F6" i="15"/>
  <c r="E6" i="15"/>
  <c r="N5" i="15"/>
  <c r="L5" i="15"/>
  <c r="M5" i="15" s="1"/>
  <c r="J5" i="15"/>
  <c r="F5" i="15"/>
  <c r="G5" i="15" s="1"/>
  <c r="E5" i="15"/>
  <c r="O6" i="15" l="1"/>
  <c r="P34" i="15"/>
  <c r="Q34" i="15" s="1"/>
  <c r="J64" i="15" s="1"/>
  <c r="P6" i="15"/>
  <c r="P14" i="15"/>
  <c r="Q14" i="15" s="1"/>
  <c r="S12" i="15"/>
  <c r="G17" i="15"/>
  <c r="G6" i="15"/>
  <c r="P8" i="15"/>
  <c r="G16" i="15"/>
  <c r="S16" i="15" s="1"/>
  <c r="O17" i="15"/>
  <c r="P23" i="15"/>
  <c r="R23" i="15" s="1"/>
  <c r="G28" i="15"/>
  <c r="P5" i="15"/>
  <c r="Q5" i="15" s="1"/>
  <c r="G8" i="15"/>
  <c r="S8" i="15" s="1"/>
  <c r="P13" i="15"/>
  <c r="O14" i="15"/>
  <c r="P18" i="15"/>
  <c r="G23" i="15"/>
  <c r="S23" i="15" s="1"/>
  <c r="V23" i="15" s="1"/>
  <c r="O30" i="15"/>
  <c r="S30" i="15" s="1"/>
  <c r="O37" i="15"/>
  <c r="S37" i="15" s="1"/>
  <c r="U37" i="15" s="1"/>
  <c r="O26" i="15"/>
  <c r="P33" i="15"/>
  <c r="Q33" i="15" s="1"/>
  <c r="J62" i="15" s="1"/>
  <c r="G34" i="15"/>
  <c r="S34" i="15" s="1"/>
  <c r="S10" i="15"/>
  <c r="S13" i="15"/>
  <c r="S15" i="15"/>
  <c r="O19" i="15"/>
  <c r="S19" i="15" s="1"/>
  <c r="G33" i="15"/>
  <c r="S26" i="15"/>
  <c r="O5" i="15"/>
  <c r="S5" i="15" s="1"/>
  <c r="G9" i="15"/>
  <c r="S9" i="15" s="1"/>
  <c r="U9" i="15" s="1"/>
  <c r="P12" i="15"/>
  <c r="P20" i="15"/>
  <c r="Q20" i="15" s="1"/>
  <c r="P26" i="15"/>
  <c r="R26" i="15" s="1"/>
  <c r="G22" i="15"/>
  <c r="O23" i="15"/>
  <c r="P30" i="15"/>
  <c r="R30" i="15" s="1"/>
  <c r="P35" i="15"/>
  <c r="Q35" i="15" s="1"/>
  <c r="P37" i="15"/>
  <c r="Q37" i="15" s="1"/>
  <c r="P19" i="15"/>
  <c r="P31" i="15"/>
  <c r="Q31" i="15" s="1"/>
  <c r="O33" i="15"/>
  <c r="S33" i="15" s="1"/>
  <c r="R6" i="15"/>
  <c r="Q6" i="15"/>
  <c r="Q11" i="15"/>
  <c r="R11" i="15"/>
  <c r="R16" i="15"/>
  <c r="Q16" i="15"/>
  <c r="R8" i="15"/>
  <c r="Q8" i="15"/>
  <c r="V16" i="15"/>
  <c r="U16" i="15"/>
  <c r="Q23" i="15"/>
  <c r="S28" i="15"/>
  <c r="V8" i="15"/>
  <c r="U8" i="15"/>
  <c r="R13" i="15"/>
  <c r="Q13" i="15"/>
  <c r="R18" i="15"/>
  <c r="Q18" i="15"/>
  <c r="R21" i="15"/>
  <c r="Q21" i="15"/>
  <c r="P27" i="15"/>
  <c r="R28" i="15"/>
  <c r="Q28" i="15"/>
  <c r="V10" i="15"/>
  <c r="U10" i="15"/>
  <c r="V13" i="15"/>
  <c r="U13" i="15"/>
  <c r="V15" i="15"/>
  <c r="U15" i="15"/>
  <c r="R12" i="15"/>
  <c r="J56" i="15" s="1"/>
  <c r="Q12" i="15"/>
  <c r="S18" i="15"/>
  <c r="Q26" i="15"/>
  <c r="S27" i="15"/>
  <c r="V12" i="15"/>
  <c r="U12" i="15"/>
  <c r="Q17" i="15"/>
  <c r="R17" i="15"/>
  <c r="S22" i="15"/>
  <c r="Q30" i="15"/>
  <c r="J61" i="15" s="1"/>
  <c r="O36" i="15"/>
  <c r="S36" i="15" s="1"/>
  <c r="R9" i="15"/>
  <c r="Q9" i="15"/>
  <c r="Q25" i="15"/>
  <c r="R25" i="15"/>
  <c r="V26" i="15"/>
  <c r="U26" i="15"/>
  <c r="O7" i="15"/>
  <c r="P7" i="15"/>
  <c r="V9" i="15"/>
  <c r="R19" i="15"/>
  <c r="Q19" i="15"/>
  <c r="R31" i="15"/>
  <c r="P10" i="15"/>
  <c r="G11" i="15"/>
  <c r="S11" i="15" s="1"/>
  <c r="G14" i="15"/>
  <c r="Q22" i="15"/>
  <c r="G20" i="15"/>
  <c r="S20" i="15" s="1"/>
  <c r="O21" i="15"/>
  <c r="S21" i="15" s="1"/>
  <c r="G25" i="15"/>
  <c r="S25" i="15" s="1"/>
  <c r="O31" i="15"/>
  <c r="S31" i="15" s="1"/>
  <c r="G35" i="15"/>
  <c r="S35" i="15" s="1"/>
  <c r="P36" i="15"/>
  <c r="Q36" i="15" s="1"/>
  <c r="P15" i="15"/>
  <c r="R14" i="15" l="1"/>
  <c r="R5" i="15"/>
  <c r="J52" i="15" s="1"/>
  <c r="S6" i="15"/>
  <c r="V6" i="15" s="1"/>
  <c r="J55" i="15"/>
  <c r="S14" i="15"/>
  <c r="U30" i="15"/>
  <c r="U32" i="15" s="1"/>
  <c r="V30" i="15"/>
  <c r="V32" i="15" s="1"/>
  <c r="V19" i="15"/>
  <c r="U19" i="15"/>
  <c r="R20" i="15"/>
  <c r="U23" i="15"/>
  <c r="O39" i="15"/>
  <c r="S7" i="15"/>
  <c r="V7" i="15" s="1"/>
  <c r="S17" i="15"/>
  <c r="J63" i="15"/>
  <c r="J65" i="15" s="1"/>
  <c r="U31" i="15"/>
  <c r="V31" i="15"/>
  <c r="S32" i="15"/>
  <c r="U21" i="15"/>
  <c r="V21" i="15"/>
  <c r="U36" i="15"/>
  <c r="V20" i="15"/>
  <c r="U20" i="15"/>
  <c r="R7" i="15"/>
  <c r="Q7" i="15"/>
  <c r="P39" i="15"/>
  <c r="J54" i="15"/>
  <c r="U5" i="15"/>
  <c r="S39" i="15"/>
  <c r="T28" i="15" s="1"/>
  <c r="V5" i="15"/>
  <c r="R15" i="15"/>
  <c r="Q15" i="15"/>
  <c r="V14" i="15"/>
  <c r="U14" i="15"/>
  <c r="V18" i="15"/>
  <c r="U18" i="15"/>
  <c r="V11" i="15"/>
  <c r="J58" i="15" s="1"/>
  <c r="U11" i="15"/>
  <c r="R27" i="15"/>
  <c r="Q27" i="15"/>
  <c r="U34" i="15"/>
  <c r="U35" i="15"/>
  <c r="R10" i="15"/>
  <c r="Q10" i="15"/>
  <c r="U28" i="15"/>
  <c r="V28" i="15"/>
  <c r="U6" i="15"/>
  <c r="V27" i="15"/>
  <c r="U27" i="15"/>
  <c r="S38" i="15"/>
  <c r="U33" i="15"/>
  <c r="V25" i="15"/>
  <c r="U25" i="15"/>
  <c r="S29" i="15"/>
  <c r="V22" i="15"/>
  <c r="U22" i="15"/>
  <c r="J53" i="15"/>
  <c r="U29" i="15" l="1"/>
  <c r="J57" i="15"/>
  <c r="J59" i="15" s="1"/>
  <c r="T6" i="15"/>
  <c r="T35" i="15"/>
  <c r="T33" i="15"/>
  <c r="T11" i="15"/>
  <c r="T34" i="15"/>
  <c r="T22" i="15"/>
  <c r="V17" i="15"/>
  <c r="V24" i="15" s="1"/>
  <c r="U17" i="15"/>
  <c r="T18" i="15"/>
  <c r="U7" i="15"/>
  <c r="U24" i="15" s="1"/>
  <c r="T14" i="15"/>
  <c r="S24" i="15"/>
  <c r="T31" i="15"/>
  <c r="T5" i="15"/>
  <c r="T36" i="15"/>
  <c r="J47" i="15"/>
  <c r="J45" i="15"/>
  <c r="J46" i="15" s="1"/>
  <c r="T8" i="15"/>
  <c r="T17" i="15"/>
  <c r="T37" i="15"/>
  <c r="T23" i="15"/>
  <c r="T10" i="15"/>
  <c r="T30" i="15"/>
  <c r="T12" i="15"/>
  <c r="T13" i="15"/>
  <c r="T16" i="15"/>
  <c r="T26" i="15"/>
  <c r="T19" i="15"/>
  <c r="T15" i="15"/>
  <c r="T9" i="15"/>
  <c r="T25" i="15"/>
  <c r="T27" i="15"/>
  <c r="T7" i="15"/>
  <c r="T20" i="15"/>
  <c r="T21" i="15"/>
  <c r="J60" i="15"/>
  <c r="V29" i="15"/>
  <c r="J48" i="15" s="1"/>
  <c r="J49" i="15"/>
  <c r="U38" i="15"/>
  <c r="V39" i="15" l="1"/>
  <c r="T38" i="15"/>
  <c r="J50" i="15"/>
  <c r="T24" i="15"/>
  <c r="T29" i="15"/>
  <c r="T32" i="15"/>
  <c r="U39" i="15"/>
  <c r="T39" i="15"/>
  <c r="J51" i="15"/>
  <c r="G318" i="14" l="1"/>
  <c r="G319" i="14" s="1"/>
  <c r="G320" i="14" s="1"/>
  <c r="G321" i="14" s="1"/>
  <c r="G322" i="14" s="1"/>
  <c r="G323" i="14" s="1"/>
  <c r="G324" i="14" s="1"/>
  <c r="G325" i="14" s="1"/>
  <c r="G326" i="14" s="1"/>
  <c r="G327" i="14" s="1"/>
  <c r="G328" i="14" s="1"/>
  <c r="G329" i="14" s="1"/>
  <c r="G330" i="14" s="1"/>
  <c r="G331" i="14" s="1"/>
  <c r="G332" i="14" s="1"/>
  <c r="G333" i="14" s="1"/>
  <c r="G301" i="14"/>
  <c r="G302" i="14" s="1"/>
  <c r="G303" i="14" s="1"/>
  <c r="G304" i="14" s="1"/>
  <c r="G305" i="14" s="1"/>
  <c r="G306" i="14" s="1"/>
  <c r="G307" i="14" s="1"/>
  <c r="G308" i="14" s="1"/>
  <c r="G309" i="14" s="1"/>
  <c r="G310" i="14" s="1"/>
  <c r="G311" i="14" s="1"/>
  <c r="G312" i="14" s="1"/>
  <c r="G313" i="14" s="1"/>
  <c r="G314" i="14" s="1"/>
  <c r="G315" i="14" s="1"/>
  <c r="G316" i="14" s="1"/>
  <c r="G284" i="14"/>
  <c r="G285" i="14" s="1"/>
  <c r="G286" i="14" s="1"/>
  <c r="G287" i="14" s="1"/>
  <c r="G288" i="14" s="1"/>
  <c r="G289" i="14" s="1"/>
  <c r="G290" i="14" s="1"/>
  <c r="G291" i="14" s="1"/>
  <c r="G292" i="14" s="1"/>
  <c r="G293" i="14" s="1"/>
  <c r="G294" i="14" s="1"/>
  <c r="G295" i="14" s="1"/>
  <c r="G296" i="14" s="1"/>
  <c r="G297" i="14" s="1"/>
  <c r="G298" i="14" s="1"/>
  <c r="G299" i="14" s="1"/>
  <c r="G267" i="14"/>
  <c r="G268" i="14" s="1"/>
  <c r="G269" i="14" s="1"/>
  <c r="G270" i="14" s="1"/>
  <c r="G271" i="14" s="1"/>
  <c r="G272" i="14" s="1"/>
  <c r="G273" i="14" s="1"/>
  <c r="G274" i="14" s="1"/>
  <c r="G275" i="14" s="1"/>
  <c r="G276" i="14" s="1"/>
  <c r="G277" i="14" s="1"/>
  <c r="G278" i="14" s="1"/>
  <c r="G279" i="14" s="1"/>
  <c r="G280" i="14" s="1"/>
  <c r="G281" i="14" s="1"/>
  <c r="G282" i="14" s="1"/>
  <c r="G250" i="14"/>
  <c r="G251" i="14" s="1"/>
  <c r="G252" i="14" s="1"/>
  <c r="G253" i="14" s="1"/>
  <c r="G254" i="14" s="1"/>
  <c r="G255" i="14" s="1"/>
  <c r="G256" i="14" s="1"/>
  <c r="G257" i="14" s="1"/>
  <c r="G258" i="14" s="1"/>
  <c r="G259" i="14" s="1"/>
  <c r="G260" i="14" s="1"/>
  <c r="G261" i="14" s="1"/>
  <c r="G262" i="14" s="1"/>
  <c r="G263" i="14" s="1"/>
  <c r="G264" i="14" s="1"/>
  <c r="G265" i="14" s="1"/>
  <c r="G233" i="14"/>
  <c r="G234" i="14" s="1"/>
  <c r="G235" i="14" s="1"/>
  <c r="G236" i="14" s="1"/>
  <c r="G237" i="14" s="1"/>
  <c r="G238" i="14" s="1"/>
  <c r="G239" i="14" s="1"/>
  <c r="G240" i="14" s="1"/>
  <c r="G241" i="14" s="1"/>
  <c r="G242" i="14" s="1"/>
  <c r="G243" i="14" s="1"/>
  <c r="G244" i="14" s="1"/>
  <c r="G245" i="14" s="1"/>
  <c r="G246" i="14" s="1"/>
  <c r="G247" i="14" s="1"/>
  <c r="G248" i="14" s="1"/>
  <c r="G216" i="14"/>
  <c r="G217" i="14" s="1"/>
  <c r="G218" i="14" s="1"/>
  <c r="G219" i="14" s="1"/>
  <c r="G220" i="14" s="1"/>
  <c r="G221" i="14" s="1"/>
  <c r="G222" i="14" s="1"/>
  <c r="G223" i="14" s="1"/>
  <c r="G224" i="14" s="1"/>
  <c r="G225" i="14" s="1"/>
  <c r="G226" i="14" s="1"/>
  <c r="G227" i="14" s="1"/>
  <c r="G228" i="14" s="1"/>
  <c r="G229" i="14" s="1"/>
  <c r="G230" i="14" s="1"/>
  <c r="G231" i="14" s="1"/>
  <c r="G199" i="14"/>
  <c r="G200" i="14" s="1"/>
  <c r="G201" i="14" s="1"/>
  <c r="G202" i="14" s="1"/>
  <c r="G203" i="14" s="1"/>
  <c r="G204" i="14" s="1"/>
  <c r="G205" i="14" s="1"/>
  <c r="G206" i="14" s="1"/>
  <c r="G207" i="14" s="1"/>
  <c r="G208" i="14" s="1"/>
  <c r="G209" i="14" s="1"/>
  <c r="G210" i="14" s="1"/>
  <c r="G211" i="14" s="1"/>
  <c r="G212" i="14" s="1"/>
  <c r="G213" i="14" s="1"/>
  <c r="G214" i="14" s="1"/>
  <c r="G182" i="14"/>
  <c r="G183" i="14" s="1"/>
  <c r="G184" i="14" s="1"/>
  <c r="G185" i="14" s="1"/>
  <c r="G186" i="14" s="1"/>
  <c r="G187" i="14" s="1"/>
  <c r="G188" i="14" s="1"/>
  <c r="G189" i="14" s="1"/>
  <c r="G190" i="14" s="1"/>
  <c r="G191" i="14" s="1"/>
  <c r="G192" i="14" s="1"/>
  <c r="G193" i="14" s="1"/>
  <c r="G194" i="14" s="1"/>
  <c r="G195" i="14" s="1"/>
  <c r="G196" i="14" s="1"/>
  <c r="G197" i="14" s="1"/>
  <c r="G165" i="14"/>
  <c r="G166" i="14" s="1"/>
  <c r="G167" i="14" s="1"/>
  <c r="G168" i="14" s="1"/>
  <c r="G169" i="14" s="1"/>
  <c r="G170" i="14" s="1"/>
  <c r="G171" i="14" s="1"/>
  <c r="G172" i="14" s="1"/>
  <c r="G173" i="14" s="1"/>
  <c r="G174" i="14" s="1"/>
  <c r="G175" i="14" s="1"/>
  <c r="G176" i="14" s="1"/>
  <c r="G177" i="14" s="1"/>
  <c r="G178" i="14" s="1"/>
  <c r="G179" i="14" s="1"/>
  <c r="G180" i="14" s="1"/>
  <c r="G148" i="14"/>
  <c r="G149" i="14" s="1"/>
  <c r="G150" i="14" s="1"/>
  <c r="G151" i="14" s="1"/>
  <c r="G152" i="14" s="1"/>
  <c r="G153" i="14" s="1"/>
  <c r="G154" i="14" s="1"/>
  <c r="G155" i="14" s="1"/>
  <c r="G156" i="14" s="1"/>
  <c r="G157" i="14" s="1"/>
  <c r="G158" i="14" s="1"/>
  <c r="G159" i="14" s="1"/>
  <c r="G160" i="14" s="1"/>
  <c r="G161" i="14" s="1"/>
  <c r="G162" i="14" s="1"/>
  <c r="G163" i="14" s="1"/>
  <c r="G131" i="14"/>
  <c r="G132" i="14" s="1"/>
  <c r="G133" i="14" s="1"/>
  <c r="G134" i="14" s="1"/>
  <c r="G135" i="14" s="1"/>
  <c r="G136" i="14" s="1"/>
  <c r="G137" i="14" s="1"/>
  <c r="G138" i="14" s="1"/>
  <c r="G139" i="14" s="1"/>
  <c r="G140" i="14" s="1"/>
  <c r="G141" i="14" s="1"/>
  <c r="G142" i="14" s="1"/>
  <c r="G143" i="14" s="1"/>
  <c r="G144" i="14" s="1"/>
  <c r="G145" i="14" s="1"/>
  <c r="G146" i="14" s="1"/>
  <c r="G114" i="14"/>
  <c r="G115" i="14" s="1"/>
  <c r="G116" i="14" s="1"/>
  <c r="G117" i="14" s="1"/>
  <c r="G118" i="14" s="1"/>
  <c r="G119" i="14" s="1"/>
  <c r="G120" i="14" s="1"/>
  <c r="G121" i="14" s="1"/>
  <c r="G122" i="14" s="1"/>
  <c r="G123" i="14" s="1"/>
  <c r="G124" i="14" s="1"/>
  <c r="G125" i="14" s="1"/>
  <c r="G126" i="14" s="1"/>
  <c r="G127" i="14" s="1"/>
  <c r="G128" i="14" s="1"/>
  <c r="G129" i="14" s="1"/>
  <c r="G97" i="14"/>
  <c r="G98" i="14" s="1"/>
  <c r="G99" i="14" s="1"/>
  <c r="G100" i="14" s="1"/>
  <c r="G101" i="14" s="1"/>
  <c r="G102" i="14" s="1"/>
  <c r="G103" i="14" s="1"/>
  <c r="G104" i="14" s="1"/>
  <c r="G105" i="14" s="1"/>
  <c r="G106" i="14" s="1"/>
  <c r="G107" i="14" s="1"/>
  <c r="G108" i="14" s="1"/>
  <c r="G109" i="14" s="1"/>
  <c r="G110" i="14" s="1"/>
  <c r="G111" i="14" s="1"/>
  <c r="G112" i="14" s="1"/>
  <c r="G81" i="14"/>
  <c r="G82" i="14" s="1"/>
  <c r="G83" i="14" s="1"/>
  <c r="G84" i="14" s="1"/>
  <c r="G85" i="14" s="1"/>
  <c r="G86" i="14" s="1"/>
  <c r="G87" i="14" s="1"/>
  <c r="G88" i="14" s="1"/>
  <c r="G89" i="14" s="1"/>
  <c r="G90" i="14" s="1"/>
  <c r="G91" i="14" s="1"/>
  <c r="G92" i="14" s="1"/>
  <c r="G93" i="14" s="1"/>
  <c r="G94" i="14" s="1"/>
  <c r="G95" i="14" s="1"/>
  <c r="G80" i="14"/>
  <c r="E76" i="14"/>
  <c r="D76" i="14"/>
  <c r="C76" i="14"/>
  <c r="E72" i="14"/>
  <c r="D72" i="14"/>
  <c r="C72" i="14"/>
  <c r="E71" i="14"/>
  <c r="E70" i="14"/>
  <c r="D70" i="14"/>
  <c r="D71" i="14" s="1"/>
  <c r="C70" i="14"/>
  <c r="C71" i="14" s="1"/>
  <c r="E69" i="14"/>
  <c r="D69" i="14"/>
  <c r="C69" i="14"/>
  <c r="E68" i="14"/>
  <c r="D68" i="14"/>
  <c r="C68" i="14"/>
  <c r="E67" i="14"/>
  <c r="D67" i="14"/>
  <c r="C67" i="14"/>
  <c r="E66" i="14"/>
  <c r="D66" i="14"/>
  <c r="C66" i="14"/>
  <c r="E65" i="14"/>
  <c r="D65" i="14"/>
  <c r="C65" i="14"/>
  <c r="G64" i="14"/>
  <c r="G65" i="14" s="1"/>
  <c r="G66" i="14" s="1"/>
  <c r="G67" i="14" s="1"/>
  <c r="G68" i="14" s="1"/>
  <c r="G69" i="14" s="1"/>
  <c r="G70" i="14" s="1"/>
  <c r="G71" i="14" s="1"/>
  <c r="G72" i="14" s="1"/>
  <c r="G73" i="14" s="1"/>
  <c r="G74" i="14" s="1"/>
  <c r="G75" i="14" s="1"/>
  <c r="G76" i="14" s="1"/>
  <c r="G77" i="14" s="1"/>
  <c r="G78" i="14" s="1"/>
  <c r="E64" i="14"/>
  <c r="D64" i="14"/>
  <c r="C64" i="14"/>
  <c r="G63" i="14"/>
  <c r="E63" i="14"/>
  <c r="D63" i="14"/>
  <c r="C63" i="14"/>
  <c r="E62" i="14"/>
  <c r="D62" i="14"/>
  <c r="C62" i="14"/>
  <c r="F60" i="14"/>
  <c r="F72" i="14" s="1"/>
  <c r="D49" i="14"/>
  <c r="C49" i="14"/>
  <c r="G46" i="14"/>
  <c r="G47" i="14" s="1"/>
  <c r="G48" i="14" s="1"/>
  <c r="G49" i="14" s="1"/>
  <c r="G50" i="14" s="1"/>
  <c r="G51" i="14" s="1"/>
  <c r="G52" i="14" s="1"/>
  <c r="G53" i="14" s="1"/>
  <c r="G54" i="14" s="1"/>
  <c r="G55" i="14" s="1"/>
  <c r="G56" i="14" s="1"/>
  <c r="G57" i="14" s="1"/>
  <c r="G58" i="14" s="1"/>
  <c r="G59" i="14" s="1"/>
  <c r="G60" i="14" s="1"/>
  <c r="G61" i="14" s="1"/>
  <c r="F42" i="14"/>
  <c r="F41" i="14"/>
  <c r="M39" i="14"/>
  <c r="O39" i="14" s="1"/>
  <c r="J39" i="14"/>
  <c r="E39" i="14"/>
  <c r="M38" i="14"/>
  <c r="O38" i="14" s="1"/>
  <c r="J38" i="14"/>
  <c r="E38" i="14"/>
  <c r="G38" i="14" s="1"/>
  <c r="M37" i="14"/>
  <c r="P37" i="14" s="1"/>
  <c r="Q37" i="14" s="1"/>
  <c r="J37" i="14"/>
  <c r="E37" i="14"/>
  <c r="G37" i="14" s="1"/>
  <c r="P36" i="14"/>
  <c r="O36" i="14"/>
  <c r="S36" i="14" s="1"/>
  <c r="M36" i="14"/>
  <c r="J36" i="14"/>
  <c r="E36" i="14"/>
  <c r="G36" i="14" s="1"/>
  <c r="O35" i="14"/>
  <c r="M35" i="14"/>
  <c r="J35" i="14"/>
  <c r="E35" i="14"/>
  <c r="P35" i="14" s="1"/>
  <c r="M34" i="14"/>
  <c r="O34" i="14" s="1"/>
  <c r="J34" i="14"/>
  <c r="E34" i="14"/>
  <c r="G34" i="14" s="1"/>
  <c r="S34" i="14" s="1"/>
  <c r="O33" i="14"/>
  <c r="M33" i="14"/>
  <c r="J33" i="14"/>
  <c r="E33" i="14"/>
  <c r="G33" i="14" s="1"/>
  <c r="S33" i="14" s="1"/>
  <c r="P31" i="14"/>
  <c r="O31" i="14"/>
  <c r="M31" i="14"/>
  <c r="J31" i="14"/>
  <c r="E31" i="14"/>
  <c r="G31" i="14" s="1"/>
  <c r="M29" i="14"/>
  <c r="O29" i="14" s="1"/>
  <c r="J29" i="14"/>
  <c r="G29" i="14"/>
  <c r="E29" i="14"/>
  <c r="P29" i="14" s="1"/>
  <c r="Q29" i="14" s="1"/>
  <c r="M27" i="14"/>
  <c r="O27" i="14" s="1"/>
  <c r="J27" i="14"/>
  <c r="G27" i="14"/>
  <c r="E27" i="14"/>
  <c r="M26" i="14"/>
  <c r="O26" i="14" s="1"/>
  <c r="J26" i="14"/>
  <c r="E26" i="14"/>
  <c r="P26" i="14" s="1"/>
  <c r="M25" i="14"/>
  <c r="O25" i="14" s="1"/>
  <c r="J25" i="14"/>
  <c r="E25" i="14"/>
  <c r="P25" i="14" s="1"/>
  <c r="P24" i="14"/>
  <c r="M24" i="14"/>
  <c r="O24" i="14" s="1"/>
  <c r="J24" i="14"/>
  <c r="E24" i="14"/>
  <c r="G24" i="14" s="1"/>
  <c r="M22" i="14"/>
  <c r="O22" i="14" s="1"/>
  <c r="J22" i="14"/>
  <c r="G22" i="14"/>
  <c r="E22" i="14"/>
  <c r="P22" i="14" s="1"/>
  <c r="M21" i="14"/>
  <c r="O21" i="14" s="1"/>
  <c r="J21" i="14"/>
  <c r="E21" i="14"/>
  <c r="M20" i="14"/>
  <c r="O20" i="14" s="1"/>
  <c r="J20" i="14"/>
  <c r="E20" i="14"/>
  <c r="P20" i="14" s="1"/>
  <c r="R20" i="14" s="1"/>
  <c r="M19" i="14"/>
  <c r="O19" i="14" s="1"/>
  <c r="J19" i="14"/>
  <c r="E19" i="14"/>
  <c r="P19" i="14" s="1"/>
  <c r="P18" i="14"/>
  <c r="Q18" i="14" s="1"/>
  <c r="M18" i="14"/>
  <c r="O18" i="14" s="1"/>
  <c r="J18" i="14"/>
  <c r="E18" i="14"/>
  <c r="G18" i="14" s="1"/>
  <c r="M17" i="14"/>
  <c r="O17" i="14" s="1"/>
  <c r="J17" i="14"/>
  <c r="E17" i="14"/>
  <c r="P17" i="14" s="1"/>
  <c r="M16" i="14"/>
  <c r="O16" i="14" s="1"/>
  <c r="J16" i="14"/>
  <c r="E16" i="14"/>
  <c r="G16" i="14" s="1"/>
  <c r="M15" i="14"/>
  <c r="O15" i="14" s="1"/>
  <c r="J15" i="14"/>
  <c r="E15" i="14"/>
  <c r="P15" i="14" s="1"/>
  <c r="M14" i="14"/>
  <c r="O14" i="14" s="1"/>
  <c r="J14" i="14"/>
  <c r="E14" i="14"/>
  <c r="G14" i="14" s="1"/>
  <c r="M13" i="14"/>
  <c r="O13" i="14" s="1"/>
  <c r="J13" i="14"/>
  <c r="G13" i="14"/>
  <c r="E13" i="14"/>
  <c r="P13" i="14" s="1"/>
  <c r="Q13" i="14" s="1"/>
  <c r="M12" i="14"/>
  <c r="O12" i="14" s="1"/>
  <c r="J12" i="14"/>
  <c r="G12" i="14"/>
  <c r="E12" i="14"/>
  <c r="M11" i="14"/>
  <c r="O11" i="14" s="1"/>
  <c r="J11" i="14"/>
  <c r="G11" i="14"/>
  <c r="S11" i="14" s="1"/>
  <c r="E11" i="14"/>
  <c r="P11" i="14" s="1"/>
  <c r="Q11" i="14" s="1"/>
  <c r="M10" i="14"/>
  <c r="O10" i="14" s="1"/>
  <c r="J10" i="14"/>
  <c r="G10" i="14"/>
  <c r="E10" i="14"/>
  <c r="M9" i="14"/>
  <c r="O9" i="14" s="1"/>
  <c r="J9" i="14"/>
  <c r="E9" i="14"/>
  <c r="P9" i="14" s="1"/>
  <c r="Q9" i="14" s="1"/>
  <c r="O8" i="14"/>
  <c r="M8" i="14"/>
  <c r="P8" i="14" s="1"/>
  <c r="J8" i="14"/>
  <c r="E8" i="14"/>
  <c r="G8" i="14" s="1"/>
  <c r="S8" i="14" s="1"/>
  <c r="V8" i="14" s="1"/>
  <c r="M7" i="14"/>
  <c r="O7" i="14" s="1"/>
  <c r="J7" i="14"/>
  <c r="E7" i="14"/>
  <c r="P7" i="14" s="1"/>
  <c r="Q7" i="14" s="1"/>
  <c r="M6" i="14"/>
  <c r="J6" i="14"/>
  <c r="E6" i="14"/>
  <c r="G6" i="14" s="1"/>
  <c r="M5" i="14"/>
  <c r="O5" i="14" s="1"/>
  <c r="J5" i="14"/>
  <c r="E5" i="14"/>
  <c r="P5" i="14" s="1"/>
  <c r="R5" i="14" l="1"/>
  <c r="R24" i="14"/>
  <c r="R22" i="14"/>
  <c r="R26" i="14"/>
  <c r="V11" i="14"/>
  <c r="Q36" i="14"/>
  <c r="P14" i="14"/>
  <c r="R14" i="14" s="1"/>
  <c r="G20" i="14"/>
  <c r="S20" i="14" s="1"/>
  <c r="G26" i="14"/>
  <c r="S26" i="14" s="1"/>
  <c r="O37" i="14"/>
  <c r="G15" i="14"/>
  <c r="G19" i="14"/>
  <c r="S19" i="14" s="1"/>
  <c r="G25" i="14"/>
  <c r="S25" i="14" s="1"/>
  <c r="G17" i="14"/>
  <c r="S17" i="14" s="1"/>
  <c r="V17" i="14" s="1"/>
  <c r="R13" i="14"/>
  <c r="P21" i="14"/>
  <c r="P27" i="14"/>
  <c r="Q27" i="14" s="1"/>
  <c r="S31" i="14"/>
  <c r="S32" i="14" s="1"/>
  <c r="P6" i="14"/>
  <c r="S10" i="14"/>
  <c r="U10" i="14" s="1"/>
  <c r="S12" i="14"/>
  <c r="V12" i="14" s="1"/>
  <c r="S14" i="14"/>
  <c r="V14" i="14" s="1"/>
  <c r="G21" i="14"/>
  <c r="S21" i="14" s="1"/>
  <c r="V21" i="14" s="1"/>
  <c r="S27" i="14"/>
  <c r="V27" i="14" s="1"/>
  <c r="S37" i="14"/>
  <c r="P39" i="14"/>
  <c r="Q39" i="14" s="1"/>
  <c r="O6" i="14"/>
  <c r="S6" i="14" s="1"/>
  <c r="S16" i="14"/>
  <c r="U16" i="14" s="1"/>
  <c r="P33" i="14"/>
  <c r="F57" i="14" s="1"/>
  <c r="F68" i="14" s="1"/>
  <c r="R8" i="14"/>
  <c r="Q8" i="14"/>
  <c r="R6" i="14"/>
  <c r="F52" i="14"/>
  <c r="F63" i="14" s="1"/>
  <c r="Q6" i="14"/>
  <c r="R17" i="14"/>
  <c r="Q17" i="14"/>
  <c r="U34" i="14"/>
  <c r="G5" i="14"/>
  <c r="S5" i="14" s="1"/>
  <c r="U8" i="14"/>
  <c r="Q15" i="14"/>
  <c r="R19" i="14"/>
  <c r="Q19" i="14"/>
  <c r="F54" i="14"/>
  <c r="F65" i="14" s="1"/>
  <c r="R25" i="14"/>
  <c r="Q25" i="14"/>
  <c r="V31" i="14"/>
  <c r="V32" i="14" s="1"/>
  <c r="U31" i="14"/>
  <c r="U32" i="14" s="1"/>
  <c r="G35" i="14"/>
  <c r="S35" i="14" s="1"/>
  <c r="R21" i="14"/>
  <c r="Q21" i="14"/>
  <c r="R27" i="14"/>
  <c r="R31" i="14"/>
  <c r="Q31" i="14"/>
  <c r="U36" i="14"/>
  <c r="F55" i="14"/>
  <c r="F66" i="14" s="1"/>
  <c r="R18" i="14"/>
  <c r="G39" i="14"/>
  <c r="S39" i="14" s="1"/>
  <c r="G7" i="14"/>
  <c r="S7" i="14" s="1"/>
  <c r="G9" i="14"/>
  <c r="S9" i="14" s="1"/>
  <c r="P12" i="14"/>
  <c r="P41" i="14" s="1"/>
  <c r="V20" i="14"/>
  <c r="U20" i="14"/>
  <c r="Q22" i="14"/>
  <c r="Q24" i="14"/>
  <c r="V26" i="14"/>
  <c r="U26" i="14"/>
  <c r="U33" i="14"/>
  <c r="Q35" i="14"/>
  <c r="F58" i="14"/>
  <c r="F69" i="14" s="1"/>
  <c r="R11" i="14"/>
  <c r="S15" i="14"/>
  <c r="O41" i="14"/>
  <c r="P10" i="14"/>
  <c r="U14" i="14"/>
  <c r="P16" i="14"/>
  <c r="F53" i="14" s="1"/>
  <c r="F64" i="14" s="1"/>
  <c r="U17" i="14"/>
  <c r="U21" i="14"/>
  <c r="U27" i="14"/>
  <c r="U11" i="14"/>
  <c r="F51" i="14"/>
  <c r="F62" i="14" s="1"/>
  <c r="Q5" i="14"/>
  <c r="R7" i="14"/>
  <c r="R9" i="14"/>
  <c r="S38" i="14"/>
  <c r="V10" i="14"/>
  <c r="S13" i="14"/>
  <c r="R15" i="14"/>
  <c r="S18" i="14"/>
  <c r="Q20" i="14"/>
  <c r="S22" i="14"/>
  <c r="S24" i="14"/>
  <c r="Q26" i="14"/>
  <c r="S29" i="14"/>
  <c r="F56" i="14"/>
  <c r="F67" i="14" s="1"/>
  <c r="Q14" i="14"/>
  <c r="U37" i="14"/>
  <c r="P34" i="14"/>
  <c r="P38" i="14"/>
  <c r="Q38" i="14" s="1"/>
  <c r="V6" i="14" l="1"/>
  <c r="U6" i="14"/>
  <c r="U12" i="14"/>
  <c r="V19" i="14"/>
  <c r="U19" i="14"/>
  <c r="V25" i="14"/>
  <c r="U25" i="14"/>
  <c r="S40" i="14"/>
  <c r="V16" i="14"/>
  <c r="Q33" i="14"/>
  <c r="F59" i="14"/>
  <c r="F70" i="14" s="1"/>
  <c r="F71" i="14" s="1"/>
  <c r="Q34" i="14"/>
  <c r="V24" i="14"/>
  <c r="U24" i="14"/>
  <c r="S28" i="14"/>
  <c r="S23" i="14"/>
  <c r="V5" i="14"/>
  <c r="U5" i="14"/>
  <c r="S41" i="14"/>
  <c r="V7" i="14"/>
  <c r="U7" i="14"/>
  <c r="V18" i="14"/>
  <c r="U18" i="14"/>
  <c r="U39" i="14"/>
  <c r="R16" i="14"/>
  <c r="Q16" i="14"/>
  <c r="R12" i="14"/>
  <c r="Q12" i="14"/>
  <c r="U35" i="14"/>
  <c r="U38" i="14"/>
  <c r="V22" i="14"/>
  <c r="U22" i="14"/>
  <c r="R10" i="14"/>
  <c r="Q10" i="14"/>
  <c r="S30" i="14"/>
  <c r="U29" i="14"/>
  <c r="U30" i="14" s="1"/>
  <c r="V13" i="14"/>
  <c r="U13" i="14"/>
  <c r="V15" i="14"/>
  <c r="F75" i="14" s="1"/>
  <c r="U15" i="14"/>
  <c r="V9" i="14"/>
  <c r="U9" i="14"/>
  <c r="V28" i="14" l="1"/>
  <c r="F77" i="14" s="1"/>
  <c r="F74" i="14"/>
  <c r="U28" i="14"/>
  <c r="U40" i="14"/>
  <c r="U23" i="14"/>
  <c r="F48" i="14"/>
  <c r="F49" i="14" s="1"/>
  <c r="T25" i="14"/>
  <c r="T19" i="14"/>
  <c r="C89" i="14" s="1"/>
  <c r="T34" i="14"/>
  <c r="T31" i="14"/>
  <c r="T32" i="14" s="1"/>
  <c r="T14" i="14"/>
  <c r="T27" i="14"/>
  <c r="T11" i="14"/>
  <c r="T37" i="14"/>
  <c r="T36" i="14"/>
  <c r="C88" i="14" s="1"/>
  <c r="T26" i="14"/>
  <c r="T17" i="14"/>
  <c r="T10" i="14"/>
  <c r="T12" i="14"/>
  <c r="T16" i="14"/>
  <c r="T21" i="14"/>
  <c r="T20" i="14"/>
  <c r="T8" i="14"/>
  <c r="T6" i="14"/>
  <c r="T33" i="14"/>
  <c r="T13" i="14"/>
  <c r="T7" i="14"/>
  <c r="T22" i="14"/>
  <c r="T9" i="14"/>
  <c r="T38" i="14"/>
  <c r="T39" i="14"/>
  <c r="T24" i="14"/>
  <c r="V23" i="14"/>
  <c r="V41" i="14" s="1"/>
  <c r="F76" i="14"/>
  <c r="T15" i="14"/>
  <c r="T18" i="14"/>
  <c r="T29" i="14"/>
  <c r="T35" i="14"/>
  <c r="T5" i="14"/>
  <c r="U41" i="14" l="1"/>
  <c r="C80" i="14"/>
  <c r="T41" i="14"/>
  <c r="T23" i="14"/>
  <c r="C84" i="14"/>
  <c r="C83" i="14"/>
  <c r="T30" i="14"/>
  <c r="C86" i="14"/>
  <c r="T40" i="14"/>
  <c r="C81" i="14"/>
  <c r="C82" i="14"/>
  <c r="T28" i="14"/>
  <c r="C87" i="14" s="1"/>
  <c r="C85" i="14"/>
  <c r="CB225" i="13" l="1"/>
  <c r="BY225" i="13"/>
  <c r="BU225" i="13"/>
  <c r="BR225" i="13"/>
  <c r="BJ225" i="13"/>
  <c r="BM225" i="13" s="1"/>
  <c r="BC225" i="13"/>
  <c r="BF225" i="13" s="1"/>
  <c r="Y225" i="13"/>
  <c r="AB225" i="13" s="1"/>
  <c r="AC225" i="13" s="1"/>
  <c r="Q225" i="13"/>
  <c r="T225" i="13" s="1"/>
  <c r="U225" i="13" s="1"/>
  <c r="BY224" i="13"/>
  <c r="CB224" i="13" s="1"/>
  <c r="BR224" i="13"/>
  <c r="BU224" i="13" s="1"/>
  <c r="BJ224" i="13"/>
  <c r="BM224" i="13" s="1"/>
  <c r="BC224" i="13"/>
  <c r="BF224" i="13" s="1"/>
  <c r="AG224" i="13"/>
  <c r="AJ224" i="13" s="1"/>
  <c r="AB224" i="13"/>
  <c r="AC224" i="13" s="1"/>
  <c r="Y224" i="13"/>
  <c r="Q224" i="13"/>
  <c r="T224" i="13" s="1"/>
  <c r="U224" i="13" s="1"/>
  <c r="BY223" i="13"/>
  <c r="CB223" i="13" s="1"/>
  <c r="BR223" i="13"/>
  <c r="BU223" i="13" s="1"/>
  <c r="BJ223" i="13"/>
  <c r="BM223" i="13" s="1"/>
  <c r="BC223" i="13"/>
  <c r="BF223" i="13" s="1"/>
  <c r="AG223" i="13"/>
  <c r="AJ223" i="13" s="1"/>
  <c r="Y223" i="13"/>
  <c r="AB223" i="13" s="1"/>
  <c r="AC223" i="13" s="1"/>
  <c r="T223" i="13"/>
  <c r="U223" i="13" s="1"/>
  <c r="Q223" i="13"/>
  <c r="BY222" i="13"/>
  <c r="CB222" i="13" s="1"/>
  <c r="BR222" i="13"/>
  <c r="BU222" i="13" s="1"/>
  <c r="BJ222" i="13"/>
  <c r="BM222" i="13" s="1"/>
  <c r="BC222" i="13"/>
  <c r="BF222" i="13" s="1"/>
  <c r="AG222" i="13"/>
  <c r="AJ222" i="13" s="1"/>
  <c r="Y222" i="13"/>
  <c r="AB222" i="13" s="1"/>
  <c r="AC222" i="13" s="1"/>
  <c r="U222" i="13"/>
  <c r="Q222" i="13"/>
  <c r="T222" i="13" s="1"/>
  <c r="BY221" i="13"/>
  <c r="CB221" i="13" s="1"/>
  <c r="BU221" i="13"/>
  <c r="BR221" i="13"/>
  <c r="BM221" i="13"/>
  <c r="BJ221" i="13"/>
  <c r="BF221" i="13"/>
  <c r="BC221" i="13"/>
  <c r="AG221" i="13"/>
  <c r="AJ221" i="13" s="1"/>
  <c r="AC221" i="13"/>
  <c r="Y221" i="13"/>
  <c r="AB221" i="13" s="1"/>
  <c r="Q221" i="13"/>
  <c r="T221" i="13" s="1"/>
  <c r="U221" i="13" s="1"/>
  <c r="BY220" i="13"/>
  <c r="CB220" i="13" s="1"/>
  <c r="BU220" i="13"/>
  <c r="BR220" i="13"/>
  <c r="BJ220" i="13"/>
  <c r="BM220" i="13" s="1"/>
  <c r="BC220" i="13"/>
  <c r="BF220" i="13" s="1"/>
  <c r="AG220" i="13"/>
  <c r="AJ220" i="13" s="1"/>
  <c r="Y220" i="13"/>
  <c r="AB220" i="13" s="1"/>
  <c r="AC220" i="13" s="1"/>
  <c r="Q220" i="13"/>
  <c r="T220" i="13" s="1"/>
  <c r="U220" i="13" s="1"/>
  <c r="BY219" i="13"/>
  <c r="CB219" i="13" s="1"/>
  <c r="BR219" i="13"/>
  <c r="BU219" i="13" s="1"/>
  <c r="BJ219" i="13"/>
  <c r="BM219" i="13" s="1"/>
  <c r="BC219" i="13"/>
  <c r="BF219" i="13" s="1"/>
  <c r="AG219" i="13"/>
  <c r="AJ219" i="13" s="1"/>
  <c r="AC219" i="13"/>
  <c r="Y219" i="13"/>
  <c r="AB219" i="13" s="1"/>
  <c r="Q219" i="13"/>
  <c r="T219" i="13" s="1"/>
  <c r="CB218" i="13"/>
  <c r="BY218" i="13"/>
  <c r="BR218" i="13"/>
  <c r="BU218" i="13" s="1"/>
  <c r="BJ218" i="13"/>
  <c r="BM218" i="13" s="1"/>
  <c r="BF218" i="13"/>
  <c r="BC218" i="13"/>
  <c r="BB218" i="13"/>
  <c r="AU218" i="13"/>
  <c r="AG218" i="13"/>
  <c r="AJ218" i="13" s="1"/>
  <c r="AB218" i="13"/>
  <c r="Y218" i="13"/>
  <c r="T218" i="13"/>
  <c r="U218" i="13" s="1"/>
  <c r="Q218" i="13"/>
  <c r="O218" i="13"/>
  <c r="P218" i="13" s="1"/>
  <c r="BY217" i="13"/>
  <c r="CB217" i="13" s="1"/>
  <c r="BR217" i="13"/>
  <c r="BU217" i="13" s="1"/>
  <c r="BM217" i="13"/>
  <c r="BJ217" i="13"/>
  <c r="BC217" i="13"/>
  <c r="BF217" i="13" s="1"/>
  <c r="AG217" i="13"/>
  <c r="AJ217" i="13" s="1"/>
  <c r="Y217" i="13"/>
  <c r="AB217" i="13" s="1"/>
  <c r="AC217" i="13" s="1"/>
  <c r="Q217" i="13"/>
  <c r="T217" i="13" s="1"/>
  <c r="U217" i="13" s="1"/>
  <c r="K217" i="13"/>
  <c r="J217" i="13"/>
  <c r="F217" i="13"/>
  <c r="BY216" i="13"/>
  <c r="CB216" i="13" s="1"/>
  <c r="BR216" i="13"/>
  <c r="BU216" i="13" s="1"/>
  <c r="BM216" i="13"/>
  <c r="BJ216" i="13"/>
  <c r="BF216" i="13"/>
  <c r="BC216" i="13"/>
  <c r="AG216" i="13"/>
  <c r="AJ216" i="13" s="1"/>
  <c r="AK216" i="13" s="1"/>
  <c r="Y216" i="13"/>
  <c r="AB216" i="13" s="1"/>
  <c r="AC216" i="13" s="1"/>
  <c r="U216" i="13"/>
  <c r="T216" i="13"/>
  <c r="Q216" i="13"/>
  <c r="F216" i="13"/>
  <c r="J216" i="13" s="1"/>
  <c r="K216" i="13" s="1"/>
  <c r="CB215" i="13"/>
  <c r="BY215" i="13"/>
  <c r="BR215" i="13"/>
  <c r="BU215" i="13" s="1"/>
  <c r="BM215" i="13"/>
  <c r="BJ215" i="13"/>
  <c r="BC215" i="13"/>
  <c r="BF215" i="13" s="1"/>
  <c r="AG215" i="13"/>
  <c r="AJ215" i="13" s="1"/>
  <c r="AK215" i="13" s="1"/>
  <c r="Y215" i="13"/>
  <c r="AB215" i="13" s="1"/>
  <c r="AC215" i="13" s="1"/>
  <c r="Q215" i="13"/>
  <c r="T215" i="13" s="1"/>
  <c r="U215" i="13" s="1"/>
  <c r="F215" i="13"/>
  <c r="J215" i="13" s="1"/>
  <c r="K215" i="13" s="1"/>
  <c r="BY214" i="13"/>
  <c r="CB214" i="13" s="1"/>
  <c r="BU214" i="13"/>
  <c r="BR214" i="13"/>
  <c r="BJ214" i="13"/>
  <c r="BM214" i="13" s="1"/>
  <c r="BF214" i="13"/>
  <c r="BC214" i="13"/>
  <c r="AG214" i="13"/>
  <c r="AJ214" i="13" s="1"/>
  <c r="AK214" i="13" s="1"/>
  <c r="Y214" i="13"/>
  <c r="AB214" i="13" s="1"/>
  <c r="AC214" i="13" s="1"/>
  <c r="Q214" i="13"/>
  <c r="T214" i="13" s="1"/>
  <c r="U214" i="13" s="1"/>
  <c r="F214" i="13"/>
  <c r="J214" i="13" s="1"/>
  <c r="K214" i="13" s="1"/>
  <c r="CB213" i="13"/>
  <c r="BY213" i="13"/>
  <c r="BU213" i="13"/>
  <c r="BR213" i="13"/>
  <c r="BJ213" i="13"/>
  <c r="BM213" i="13" s="1"/>
  <c r="BC213" i="13"/>
  <c r="BF213" i="13" s="1"/>
  <c r="AK213" i="13"/>
  <c r="AJ213" i="13"/>
  <c r="AG213" i="13"/>
  <c r="AB213" i="13"/>
  <c r="AC213" i="13" s="1"/>
  <c r="Y213" i="13"/>
  <c r="Q213" i="13"/>
  <c r="T213" i="13" s="1"/>
  <c r="U213" i="13" s="1"/>
  <c r="F213" i="13"/>
  <c r="J213" i="13" s="1"/>
  <c r="K213" i="13" s="1"/>
  <c r="CB212" i="13"/>
  <c r="BY212" i="13"/>
  <c r="BU212" i="13"/>
  <c r="BR212" i="13"/>
  <c r="BM212" i="13"/>
  <c r="BJ212" i="13"/>
  <c r="BC212" i="13"/>
  <c r="BF212" i="13" s="1"/>
  <c r="AG212" i="13"/>
  <c r="AJ212" i="13" s="1"/>
  <c r="AK212" i="13" s="1"/>
  <c r="Y212" i="13"/>
  <c r="AB212" i="13" s="1"/>
  <c r="AC212" i="13" s="1"/>
  <c r="Q212" i="13"/>
  <c r="T212" i="13" s="1"/>
  <c r="U212" i="13" s="1"/>
  <c r="F212" i="13"/>
  <c r="J212" i="13" s="1"/>
  <c r="K212" i="13" s="1"/>
  <c r="BY211" i="13"/>
  <c r="CB211" i="13" s="1"/>
  <c r="BU211" i="13"/>
  <c r="BR211" i="13"/>
  <c r="BJ211" i="13"/>
  <c r="BM211" i="13" s="1"/>
  <c r="BC211" i="13"/>
  <c r="BF211" i="13" s="1"/>
  <c r="AG211" i="13"/>
  <c r="AJ211" i="13" s="1"/>
  <c r="AK211" i="13" s="1"/>
  <c r="Y211" i="13"/>
  <c r="AB211" i="13" s="1"/>
  <c r="AC211" i="13" s="1"/>
  <c r="Q211" i="13"/>
  <c r="T211" i="13" s="1"/>
  <c r="U211" i="13" s="1"/>
  <c r="F211" i="13"/>
  <c r="J211" i="13" s="1"/>
  <c r="K211" i="13" s="1"/>
  <c r="BY210" i="13"/>
  <c r="CB210" i="13" s="1"/>
  <c r="BR210" i="13"/>
  <c r="BU210" i="13" s="1"/>
  <c r="BJ210" i="13"/>
  <c r="BM210" i="13" s="1"/>
  <c r="BC210" i="13"/>
  <c r="BF210" i="13" s="1"/>
  <c r="AJ210" i="13"/>
  <c r="AK210" i="13" s="1"/>
  <c r="AG210" i="13"/>
  <c r="AB210" i="13"/>
  <c r="AC210" i="13" s="1"/>
  <c r="Y210" i="13"/>
  <c r="Q210" i="13"/>
  <c r="T210" i="13" s="1"/>
  <c r="U210" i="13" s="1"/>
  <c r="J210" i="13"/>
  <c r="K210" i="13" s="1"/>
  <c r="F210" i="13"/>
  <c r="BY209" i="13"/>
  <c r="CB209" i="13" s="1"/>
  <c r="BR209" i="13"/>
  <c r="BU209" i="13" s="1"/>
  <c r="BM209" i="13"/>
  <c r="BJ209" i="13"/>
  <c r="BC209" i="13"/>
  <c r="BF209" i="13" s="1"/>
  <c r="AG209" i="13"/>
  <c r="AJ209" i="13" s="1"/>
  <c r="AK209" i="13" s="1"/>
  <c r="AB209" i="13"/>
  <c r="AC209" i="13" s="1"/>
  <c r="Y209" i="13"/>
  <c r="T209" i="13"/>
  <c r="U209" i="13" s="1"/>
  <c r="Q209" i="13"/>
  <c r="K209" i="13"/>
  <c r="J209" i="13"/>
  <c r="F209" i="13"/>
  <c r="BY208" i="13"/>
  <c r="CB208" i="13" s="1"/>
  <c r="BR208" i="13"/>
  <c r="BU208" i="13" s="1"/>
  <c r="BM208" i="13"/>
  <c r="BJ208" i="13"/>
  <c r="BC208" i="13"/>
  <c r="BF208" i="13" s="1"/>
  <c r="AK208" i="13"/>
  <c r="AG208" i="13"/>
  <c r="AJ208" i="13" s="1"/>
  <c r="Y208" i="13"/>
  <c r="AB208" i="13" s="1"/>
  <c r="AC208" i="13" s="1"/>
  <c r="T208" i="13"/>
  <c r="U208" i="13" s="1"/>
  <c r="Q208" i="13"/>
  <c r="F208" i="13"/>
  <c r="J208" i="13" s="1"/>
  <c r="K208" i="13" s="1"/>
  <c r="CB207" i="13"/>
  <c r="BY207" i="13"/>
  <c r="BR207" i="13"/>
  <c r="BU207" i="13" s="1"/>
  <c r="BJ207" i="13"/>
  <c r="BM207" i="13" s="1"/>
  <c r="BC207" i="13"/>
  <c r="BF207" i="13" s="1"/>
  <c r="AK207" i="13"/>
  <c r="AG207" i="13"/>
  <c r="AJ207" i="13" s="1"/>
  <c r="Y207" i="13"/>
  <c r="AB207" i="13" s="1"/>
  <c r="AC207" i="13" s="1"/>
  <c r="U207" i="13"/>
  <c r="Q207" i="13"/>
  <c r="T207" i="13" s="1"/>
  <c r="F207" i="13"/>
  <c r="J207" i="13" s="1"/>
  <c r="K207" i="13" s="1"/>
  <c r="BY206" i="13"/>
  <c r="CB206" i="13" s="1"/>
  <c r="BU206" i="13"/>
  <c r="BR206" i="13"/>
  <c r="BJ206" i="13"/>
  <c r="BM206" i="13" s="1"/>
  <c r="BF206" i="13"/>
  <c r="BC206" i="13"/>
  <c r="AG206" i="13"/>
  <c r="AJ206" i="13" s="1"/>
  <c r="AK206" i="13" s="1"/>
  <c r="AB206" i="13"/>
  <c r="AC206" i="13" s="1"/>
  <c r="Y206" i="13"/>
  <c r="U206" i="13"/>
  <c r="Q206" i="13"/>
  <c r="T206" i="13" s="1"/>
  <c r="F206" i="13"/>
  <c r="J206" i="13" s="1"/>
  <c r="K206" i="13" s="1"/>
  <c r="CB205" i="13"/>
  <c r="BY205" i="13"/>
  <c r="BR205" i="13"/>
  <c r="BU205" i="13" s="1"/>
  <c r="BJ205" i="13"/>
  <c r="BM205" i="13" s="1"/>
  <c r="BC205" i="13"/>
  <c r="BF205" i="13" s="1"/>
  <c r="AJ205" i="13"/>
  <c r="AK205" i="13" s="1"/>
  <c r="AG205" i="13"/>
  <c r="AB205" i="13"/>
  <c r="AC205" i="13" s="1"/>
  <c r="Y205" i="13"/>
  <c r="Q205" i="13"/>
  <c r="T205" i="13" s="1"/>
  <c r="U205" i="13" s="1"/>
  <c r="F205" i="13"/>
  <c r="J205" i="13" s="1"/>
  <c r="K205" i="13" s="1"/>
  <c r="CB204" i="13"/>
  <c r="BY204" i="13"/>
  <c r="BR204" i="13"/>
  <c r="BU204" i="13" s="1"/>
  <c r="BJ204" i="13"/>
  <c r="BM204" i="13" s="1"/>
  <c r="BC204" i="13"/>
  <c r="BF204" i="13" s="1"/>
  <c r="AG204" i="13"/>
  <c r="AJ204" i="13" s="1"/>
  <c r="AK204" i="13" s="1"/>
  <c r="AB204" i="13"/>
  <c r="AC204" i="13" s="1"/>
  <c r="Y204" i="13"/>
  <c r="U204" i="13"/>
  <c r="Q204" i="13"/>
  <c r="T204" i="13" s="1"/>
  <c r="F204" i="13"/>
  <c r="J204" i="13" s="1"/>
  <c r="K204" i="13" s="1"/>
  <c r="BY203" i="13"/>
  <c r="CB203" i="13" s="1"/>
  <c r="BU203" i="13"/>
  <c r="BR203" i="13"/>
  <c r="BJ203" i="13"/>
  <c r="BM203" i="13" s="1"/>
  <c r="BC203" i="13"/>
  <c r="BF203" i="13" s="1"/>
  <c r="AG203" i="13"/>
  <c r="AJ203" i="13" s="1"/>
  <c r="AK203" i="13" s="1"/>
  <c r="Y203" i="13"/>
  <c r="AB203" i="13" s="1"/>
  <c r="AC203" i="13" s="1"/>
  <c r="U203" i="13"/>
  <c r="Q203" i="13"/>
  <c r="T203" i="13" s="1"/>
  <c r="F203" i="13"/>
  <c r="J203" i="13" s="1"/>
  <c r="K203" i="13" s="1"/>
  <c r="BY202" i="13"/>
  <c r="CB202" i="13" s="1"/>
  <c r="BU202" i="13"/>
  <c r="BR202" i="13"/>
  <c r="BJ202" i="13"/>
  <c r="BM202" i="13" s="1"/>
  <c r="BC202" i="13"/>
  <c r="BF202" i="13" s="1"/>
  <c r="AG202" i="13"/>
  <c r="AJ202" i="13" s="1"/>
  <c r="AK202" i="13" s="1"/>
  <c r="AB202" i="13"/>
  <c r="AC202" i="13" s="1"/>
  <c r="Y202" i="13"/>
  <c r="T202" i="13"/>
  <c r="U202" i="13" s="1"/>
  <c r="Q202" i="13"/>
  <c r="F202" i="13"/>
  <c r="J202" i="13" s="1"/>
  <c r="K202" i="13" s="1"/>
  <c r="BY201" i="13"/>
  <c r="CB201" i="13" s="1"/>
  <c r="BR201" i="13"/>
  <c r="BU201" i="13" s="1"/>
  <c r="BJ201" i="13"/>
  <c r="BM201" i="13" s="1"/>
  <c r="BC201" i="13"/>
  <c r="BF201" i="13" s="1"/>
  <c r="AJ201" i="13"/>
  <c r="AK201" i="13" s="1"/>
  <c r="AG201" i="13"/>
  <c r="Y201" i="13"/>
  <c r="AB201" i="13" s="1"/>
  <c r="AC201" i="13" s="1"/>
  <c r="Q201" i="13"/>
  <c r="T201" i="13" s="1"/>
  <c r="U201" i="13" s="1"/>
  <c r="F201" i="13"/>
  <c r="J201" i="13" s="1"/>
  <c r="K201" i="13" s="1"/>
  <c r="BY200" i="13"/>
  <c r="CB200" i="13" s="1"/>
  <c r="BR200" i="13"/>
  <c r="BU200" i="13" s="1"/>
  <c r="BM200" i="13"/>
  <c r="BJ200" i="13"/>
  <c r="BC200" i="13"/>
  <c r="BF200" i="13" s="1"/>
  <c r="AK200" i="13"/>
  <c r="AG200" i="13"/>
  <c r="AJ200" i="13" s="1"/>
  <c r="Y200" i="13"/>
  <c r="AB200" i="13" s="1"/>
  <c r="AC200" i="13" s="1"/>
  <c r="Q200" i="13"/>
  <c r="T200" i="13" s="1"/>
  <c r="U200" i="13" s="1"/>
  <c r="F200" i="13"/>
  <c r="J200" i="13" s="1"/>
  <c r="K200" i="13" s="1"/>
  <c r="BY199" i="13"/>
  <c r="CB199" i="13" s="1"/>
  <c r="BR199" i="13"/>
  <c r="BU199" i="13" s="1"/>
  <c r="BJ199" i="13"/>
  <c r="BM199" i="13" s="1"/>
  <c r="BC199" i="13"/>
  <c r="BF199" i="13" s="1"/>
  <c r="AJ199" i="13"/>
  <c r="AK199" i="13" s="1"/>
  <c r="AG199" i="13"/>
  <c r="Y199" i="13"/>
  <c r="AB199" i="13" s="1"/>
  <c r="AC199" i="13" s="1"/>
  <c r="Q199" i="13"/>
  <c r="T199" i="13" s="1"/>
  <c r="U199" i="13" s="1"/>
  <c r="F199" i="13"/>
  <c r="J199" i="13" s="1"/>
  <c r="K199" i="13" s="1"/>
  <c r="BY198" i="13"/>
  <c r="CB198" i="13" s="1"/>
  <c r="BR198" i="13"/>
  <c r="BU198" i="13" s="1"/>
  <c r="BJ198" i="13"/>
  <c r="BM198" i="13" s="1"/>
  <c r="BC198" i="13"/>
  <c r="BF198" i="13" s="1"/>
  <c r="AG198" i="13"/>
  <c r="AJ198" i="13" s="1"/>
  <c r="AK198" i="13" s="1"/>
  <c r="Y198" i="13"/>
  <c r="AB198" i="13" s="1"/>
  <c r="AC198" i="13" s="1"/>
  <c r="Q198" i="13"/>
  <c r="T198" i="13" s="1"/>
  <c r="U198" i="13" s="1"/>
  <c r="F198" i="13"/>
  <c r="J198" i="13" s="1"/>
  <c r="K198" i="13" s="1"/>
  <c r="BY197" i="13"/>
  <c r="CB197" i="13" s="1"/>
  <c r="BR197" i="13"/>
  <c r="BU197" i="13" s="1"/>
  <c r="BJ197" i="13"/>
  <c r="BM197" i="13" s="1"/>
  <c r="BC197" i="13"/>
  <c r="BF197" i="13" s="1"/>
  <c r="AG197" i="13"/>
  <c r="AJ197" i="13" s="1"/>
  <c r="AK197" i="13" s="1"/>
  <c r="Y197" i="13"/>
  <c r="AB197" i="13" s="1"/>
  <c r="AC197" i="13" s="1"/>
  <c r="Q197" i="13"/>
  <c r="T197" i="13" s="1"/>
  <c r="U197" i="13" s="1"/>
  <c r="J197" i="13"/>
  <c r="K197" i="13" s="1"/>
  <c r="F197" i="13"/>
  <c r="BY196" i="13"/>
  <c r="CB196" i="13" s="1"/>
  <c r="BR196" i="13"/>
  <c r="BU196" i="13" s="1"/>
  <c r="BJ196" i="13"/>
  <c r="BM196" i="13" s="1"/>
  <c r="BC196" i="13"/>
  <c r="BF196" i="13" s="1"/>
  <c r="AJ196" i="13"/>
  <c r="AK196" i="13" s="1"/>
  <c r="AG196" i="13"/>
  <c r="AB196" i="13"/>
  <c r="AC196" i="13" s="1"/>
  <c r="Y196" i="13"/>
  <c r="T196" i="13"/>
  <c r="U196" i="13" s="1"/>
  <c r="Q196" i="13"/>
  <c r="F196" i="13"/>
  <c r="J196" i="13" s="1"/>
  <c r="K196" i="13" s="1"/>
  <c r="BY195" i="13"/>
  <c r="CB195" i="13" s="1"/>
  <c r="BR195" i="13"/>
  <c r="BU195" i="13" s="1"/>
  <c r="BM195" i="13"/>
  <c r="BJ195" i="13"/>
  <c r="BC195" i="13"/>
  <c r="BF195" i="13" s="1"/>
  <c r="AG195" i="13"/>
  <c r="AJ195" i="13" s="1"/>
  <c r="AK195" i="13" s="1"/>
  <c r="Y195" i="13"/>
  <c r="AB195" i="13" s="1"/>
  <c r="AC195" i="13" s="1"/>
  <c r="Q195" i="13"/>
  <c r="T195" i="13" s="1"/>
  <c r="U195" i="13" s="1"/>
  <c r="F195" i="13"/>
  <c r="J195" i="13" s="1"/>
  <c r="K195" i="13" s="1"/>
  <c r="CB194" i="13"/>
  <c r="BY194" i="13"/>
  <c r="BR194" i="13"/>
  <c r="BU194" i="13" s="1"/>
  <c r="BJ194" i="13"/>
  <c r="BM194" i="13" s="1"/>
  <c r="BC194" i="13"/>
  <c r="BF194" i="13" s="1"/>
  <c r="AX194" i="13"/>
  <c r="AQ194" i="13"/>
  <c r="AR194" i="13" s="1"/>
  <c r="AJ194" i="13"/>
  <c r="AK194" i="13" s="1"/>
  <c r="AG194" i="13"/>
  <c r="AB194" i="13"/>
  <c r="AC194" i="13" s="1"/>
  <c r="Y194" i="13"/>
  <c r="Q194" i="13"/>
  <c r="T194" i="13" s="1"/>
  <c r="U194" i="13" s="1"/>
  <c r="J194" i="13"/>
  <c r="K194" i="13" s="1"/>
  <c r="F194" i="13"/>
  <c r="CB193" i="13"/>
  <c r="BY193" i="13"/>
  <c r="BR193" i="13"/>
  <c r="BU193" i="13" s="1"/>
  <c r="BJ193" i="13"/>
  <c r="BM193" i="13" s="1"/>
  <c r="BC193" i="13"/>
  <c r="BF193" i="13" s="1"/>
  <c r="AY193" i="13"/>
  <c r="AX193" i="13"/>
  <c r="AQ193" i="13"/>
  <c r="AR193" i="13" s="1"/>
  <c r="AG193" i="13"/>
  <c r="AJ193" i="13" s="1"/>
  <c r="AK193" i="13" s="1"/>
  <c r="AB193" i="13"/>
  <c r="AC193" i="13" s="1"/>
  <c r="Y193" i="13"/>
  <c r="Q193" i="13"/>
  <c r="T193" i="13" s="1"/>
  <c r="U193" i="13" s="1"/>
  <c r="F193" i="13"/>
  <c r="J193" i="13" s="1"/>
  <c r="K193" i="13" s="1"/>
  <c r="BY192" i="13"/>
  <c r="CB192" i="13" s="1"/>
  <c r="BR192" i="13"/>
  <c r="BU192" i="13" s="1"/>
  <c r="BJ192" i="13"/>
  <c r="BM192" i="13" s="1"/>
  <c r="BC192" i="13"/>
  <c r="BF192" i="13" s="1"/>
  <c r="AX192" i="13"/>
  <c r="AY192" i="13" s="1"/>
  <c r="AQ192" i="13"/>
  <c r="AR192" i="13" s="1"/>
  <c r="AG192" i="13"/>
  <c r="AJ192" i="13" s="1"/>
  <c r="AK192" i="13" s="1"/>
  <c r="Y192" i="13"/>
  <c r="AB192" i="13" s="1"/>
  <c r="AC192" i="13" s="1"/>
  <c r="Q192" i="13"/>
  <c r="T192" i="13" s="1"/>
  <c r="U192" i="13" s="1"/>
  <c r="K192" i="13"/>
  <c r="F192" i="13"/>
  <c r="J192" i="13" s="1"/>
  <c r="BY191" i="13"/>
  <c r="CB191" i="13" s="1"/>
  <c r="BR191" i="13"/>
  <c r="BU191" i="13" s="1"/>
  <c r="BJ191" i="13"/>
  <c r="BM191" i="13" s="1"/>
  <c r="BC191" i="13"/>
  <c r="BF191" i="13" s="1"/>
  <c r="AX191" i="13"/>
  <c r="AQ191" i="13"/>
  <c r="AR191" i="13" s="1"/>
  <c r="AG191" i="13"/>
  <c r="AJ191" i="13" s="1"/>
  <c r="AB191" i="13"/>
  <c r="AC191" i="13" s="1"/>
  <c r="Y191" i="13"/>
  <c r="Q191" i="13"/>
  <c r="T191" i="13" s="1"/>
  <c r="U191" i="13" s="1"/>
  <c r="F191" i="13"/>
  <c r="J191" i="13" s="1"/>
  <c r="K191" i="13" s="1"/>
  <c r="CB190" i="13"/>
  <c r="BY190" i="13"/>
  <c r="BU190" i="13"/>
  <c r="BR190" i="13"/>
  <c r="BM190" i="13"/>
  <c r="BJ190" i="13"/>
  <c r="BC190" i="13"/>
  <c r="BF190" i="13" s="1"/>
  <c r="AY190" i="13"/>
  <c r="AX190" i="13"/>
  <c r="AR190" i="13"/>
  <c r="AQ190" i="13"/>
  <c r="AK190" i="13"/>
  <c r="AG190" i="13"/>
  <c r="AJ190" i="13" s="1"/>
  <c r="Y190" i="13"/>
  <c r="AB190" i="13" s="1"/>
  <c r="AC190" i="13" s="1"/>
  <c r="Q190" i="13"/>
  <c r="T190" i="13" s="1"/>
  <c r="U190" i="13" s="1"/>
  <c r="F190" i="13"/>
  <c r="J190" i="13" s="1"/>
  <c r="K190" i="13" s="1"/>
  <c r="BY189" i="13"/>
  <c r="CB189" i="13" s="1"/>
  <c r="BR189" i="13"/>
  <c r="BU189" i="13" s="1"/>
  <c r="BJ189" i="13"/>
  <c r="BM189" i="13" s="1"/>
  <c r="BC189" i="13"/>
  <c r="BF189" i="13" s="1"/>
  <c r="AX189" i="13"/>
  <c r="AY189" i="13" s="1"/>
  <c r="AQ189" i="13"/>
  <c r="AR189" i="13" s="1"/>
  <c r="AG189" i="13"/>
  <c r="AJ189" i="13" s="1"/>
  <c r="AK189" i="13" s="1"/>
  <c r="Y189" i="13"/>
  <c r="AB189" i="13" s="1"/>
  <c r="AC189" i="13" s="1"/>
  <c r="U189" i="13"/>
  <c r="Q189" i="13"/>
  <c r="T189" i="13" s="1"/>
  <c r="F189" i="13"/>
  <c r="J189" i="13" s="1"/>
  <c r="K189" i="13" s="1"/>
  <c r="BY188" i="13"/>
  <c r="CB188" i="13" s="1"/>
  <c r="BR188" i="13"/>
  <c r="BU188" i="13" s="1"/>
  <c r="BJ188" i="13"/>
  <c r="BM188" i="13" s="1"/>
  <c r="BC188" i="13"/>
  <c r="BF188" i="13" s="1"/>
  <c r="AX188" i="13"/>
  <c r="AY188" i="13" s="1"/>
  <c r="AR188" i="13"/>
  <c r="AQ188" i="13"/>
  <c r="AG188" i="13"/>
  <c r="AJ188" i="13" s="1"/>
  <c r="AK188" i="13" s="1"/>
  <c r="Y188" i="13"/>
  <c r="AB188" i="13" s="1"/>
  <c r="Q188" i="13"/>
  <c r="T188" i="13" s="1"/>
  <c r="U188" i="13" s="1"/>
  <c r="F188" i="13"/>
  <c r="J188" i="13" s="1"/>
  <c r="BY187" i="13"/>
  <c r="CB187" i="13" s="1"/>
  <c r="BR187" i="13"/>
  <c r="BU187" i="13" s="1"/>
  <c r="BJ187" i="13"/>
  <c r="BM187" i="13" s="1"/>
  <c r="BF187" i="13"/>
  <c r="BC187" i="13"/>
  <c r="AX187" i="13"/>
  <c r="AY187" i="13" s="1"/>
  <c r="AQ187" i="13"/>
  <c r="AR187" i="13" s="1"/>
  <c r="AG187" i="13"/>
  <c r="AJ187" i="13" s="1"/>
  <c r="Y187" i="13"/>
  <c r="AB187" i="13" s="1"/>
  <c r="AC187" i="13" s="1"/>
  <c r="Q187" i="13"/>
  <c r="T187" i="13" s="1"/>
  <c r="U187" i="13" s="1"/>
  <c r="F187" i="13"/>
  <c r="J187" i="13" s="1"/>
  <c r="K187" i="13" s="1"/>
  <c r="BY186" i="13"/>
  <c r="CB186" i="13" s="1"/>
  <c r="BR186" i="13"/>
  <c r="BU186" i="13" s="1"/>
  <c r="BJ186" i="13"/>
  <c r="BM186" i="13" s="1"/>
  <c r="BC186" i="13"/>
  <c r="BF186" i="13" s="1"/>
  <c r="AX186" i="13"/>
  <c r="AY186" i="13" s="1"/>
  <c r="AQ186" i="13"/>
  <c r="AR186" i="13" s="1"/>
  <c r="AG186" i="13"/>
  <c r="AJ186" i="13" s="1"/>
  <c r="Y186" i="13"/>
  <c r="AB186" i="13" s="1"/>
  <c r="AC186" i="13" s="1"/>
  <c r="Q186" i="13"/>
  <c r="T186" i="13" s="1"/>
  <c r="U186" i="13" s="1"/>
  <c r="F186" i="13"/>
  <c r="J186" i="13" s="1"/>
  <c r="K186" i="13" s="1"/>
  <c r="BY185" i="13"/>
  <c r="CB185" i="13" s="1"/>
  <c r="BR185" i="13"/>
  <c r="BU185" i="13" s="1"/>
  <c r="BJ185" i="13"/>
  <c r="BM185" i="13" s="1"/>
  <c r="BF185" i="13"/>
  <c r="BC185" i="13"/>
  <c r="AX185" i="13"/>
  <c r="AY185" i="13" s="1"/>
  <c r="AQ185" i="13"/>
  <c r="AR185" i="13" s="1"/>
  <c r="AJ185" i="13"/>
  <c r="AK185" i="13" s="1"/>
  <c r="AG185" i="13"/>
  <c r="AB185" i="13"/>
  <c r="AC185" i="13" s="1"/>
  <c r="Y185" i="13"/>
  <c r="Q185" i="13"/>
  <c r="T185" i="13" s="1"/>
  <c r="U185" i="13" s="1"/>
  <c r="F185" i="13"/>
  <c r="J185" i="13" s="1"/>
  <c r="K185" i="13" s="1"/>
  <c r="CB184" i="13"/>
  <c r="BY184" i="13"/>
  <c r="BU184" i="13"/>
  <c r="BR184" i="13"/>
  <c r="BM184" i="13"/>
  <c r="BJ184" i="13"/>
  <c r="BC184" i="13"/>
  <c r="BF184" i="13" s="1"/>
  <c r="AY184" i="13"/>
  <c r="AX184" i="13"/>
  <c r="AR184" i="13"/>
  <c r="AQ184" i="13"/>
  <c r="AG184" i="13"/>
  <c r="AJ184" i="13" s="1"/>
  <c r="AK184" i="13" s="1"/>
  <c r="Y184" i="13"/>
  <c r="AB184" i="13" s="1"/>
  <c r="AC184" i="13" s="1"/>
  <c r="U184" i="13"/>
  <c r="T184" i="13"/>
  <c r="Q184" i="13"/>
  <c r="F184" i="13"/>
  <c r="J184" i="13" s="1"/>
  <c r="K184" i="13" s="1"/>
  <c r="BY183" i="13"/>
  <c r="CB183" i="13" s="1"/>
  <c r="BR183" i="13"/>
  <c r="BU183" i="13" s="1"/>
  <c r="BM183" i="13"/>
  <c r="BJ183" i="13"/>
  <c r="BC183" i="13"/>
  <c r="BF183" i="13" s="1"/>
  <c r="AY183" i="13"/>
  <c r="AX183" i="13"/>
  <c r="AQ183" i="13"/>
  <c r="AR183" i="13" s="1"/>
  <c r="AG183" i="13"/>
  <c r="AJ183" i="13" s="1"/>
  <c r="AK183" i="13" s="1"/>
  <c r="Y183" i="13"/>
  <c r="AB183" i="13" s="1"/>
  <c r="AC183" i="13" s="1"/>
  <c r="Q183" i="13"/>
  <c r="T183" i="13" s="1"/>
  <c r="U183" i="13" s="1"/>
  <c r="F183" i="13"/>
  <c r="J183" i="13" s="1"/>
  <c r="K183" i="13" s="1"/>
  <c r="BY182" i="13"/>
  <c r="CB182" i="13" s="1"/>
  <c r="BU182" i="13"/>
  <c r="BR182" i="13"/>
  <c r="BJ182" i="13"/>
  <c r="BM182" i="13" s="1"/>
  <c r="BC182" i="13"/>
  <c r="BF182" i="13" s="1"/>
  <c r="AX182" i="13"/>
  <c r="AY182" i="13" s="1"/>
  <c r="AR182" i="13"/>
  <c r="AQ182" i="13"/>
  <c r="AG182" i="13"/>
  <c r="AJ182" i="13" s="1"/>
  <c r="AK182" i="13" s="1"/>
  <c r="Y182" i="13"/>
  <c r="AB182" i="13" s="1"/>
  <c r="Q182" i="13"/>
  <c r="T182" i="13" s="1"/>
  <c r="J182" i="13"/>
  <c r="F182" i="13"/>
  <c r="BY181" i="13"/>
  <c r="CB181" i="13" s="1"/>
  <c r="BU181" i="13"/>
  <c r="BR181" i="13"/>
  <c r="BJ181" i="13"/>
  <c r="BM181" i="13" s="1"/>
  <c r="BF181" i="13"/>
  <c r="BC181" i="13"/>
  <c r="AX181" i="13"/>
  <c r="AQ181" i="13"/>
  <c r="AJ181" i="13"/>
  <c r="AK181" i="13" s="1"/>
  <c r="AG181" i="13"/>
  <c r="Y181" i="13"/>
  <c r="AB181" i="13" s="1"/>
  <c r="Q181" i="13"/>
  <c r="T181" i="13" s="1"/>
  <c r="F181" i="13"/>
  <c r="J181" i="13" s="1"/>
  <c r="BY180" i="13"/>
  <c r="CB180" i="13" s="1"/>
  <c r="BR180" i="13"/>
  <c r="BU180" i="13" s="1"/>
  <c r="BJ180" i="13"/>
  <c r="BM180" i="13" s="1"/>
  <c r="BC180" i="13"/>
  <c r="BF180" i="13" s="1"/>
  <c r="AX180" i="13"/>
  <c r="AQ180" i="13"/>
  <c r="AG180" i="13"/>
  <c r="AJ180" i="13" s="1"/>
  <c r="AK180" i="13" s="1"/>
  <c r="AC180" i="13"/>
  <c r="Y180" i="13"/>
  <c r="AB180" i="13" s="1"/>
  <c r="Q180" i="13"/>
  <c r="T180" i="13" s="1"/>
  <c r="U180" i="13" s="1"/>
  <c r="F180" i="13"/>
  <c r="J180" i="13" s="1"/>
  <c r="K180" i="13" s="1"/>
  <c r="BY179" i="13"/>
  <c r="CB179" i="13" s="1"/>
  <c r="BR179" i="13"/>
  <c r="BU179" i="13" s="1"/>
  <c r="BJ179" i="13"/>
  <c r="BM179" i="13" s="1"/>
  <c r="BF179" i="13"/>
  <c r="BC179" i="13"/>
  <c r="AX179" i="13"/>
  <c r="AY179" i="13" s="1"/>
  <c r="AR179" i="13"/>
  <c r="AQ179" i="13"/>
  <c r="AG179" i="13"/>
  <c r="AJ179" i="13" s="1"/>
  <c r="AK179" i="13" s="1"/>
  <c r="Y179" i="13"/>
  <c r="AB179" i="13" s="1"/>
  <c r="AC179" i="13" s="1"/>
  <c r="Q179" i="13"/>
  <c r="T179" i="13" s="1"/>
  <c r="U179" i="13" s="1"/>
  <c r="F179" i="13"/>
  <c r="J179" i="13" s="1"/>
  <c r="K179" i="13" s="1"/>
  <c r="BY178" i="13"/>
  <c r="CB178" i="13" s="1"/>
  <c r="BR178" i="13"/>
  <c r="BU178" i="13" s="1"/>
  <c r="BJ178" i="13"/>
  <c r="BM178" i="13" s="1"/>
  <c r="BF178" i="13"/>
  <c r="BC178" i="13"/>
  <c r="AX178" i="13"/>
  <c r="AY178" i="13" s="1"/>
  <c r="AQ178" i="13"/>
  <c r="AR178" i="13" s="1"/>
  <c r="AJ178" i="13"/>
  <c r="AK178" i="13" s="1"/>
  <c r="AG178" i="13"/>
  <c r="AB178" i="13"/>
  <c r="AC178" i="13" s="1"/>
  <c r="Y178" i="13"/>
  <c r="Q178" i="13"/>
  <c r="T178" i="13" s="1"/>
  <c r="U178" i="13" s="1"/>
  <c r="F178" i="13"/>
  <c r="J178" i="13" s="1"/>
  <c r="K178" i="13" s="1"/>
  <c r="CB177" i="13"/>
  <c r="BY177" i="13"/>
  <c r="BR177" i="13"/>
  <c r="BU177" i="13" s="1"/>
  <c r="BJ177" i="13"/>
  <c r="BM177" i="13" s="1"/>
  <c r="BC177" i="13"/>
  <c r="BF177" i="13" s="1"/>
  <c r="AX177" i="13"/>
  <c r="AY177" i="13" s="1"/>
  <c r="AQ177" i="13"/>
  <c r="AR177" i="13" s="1"/>
  <c r="AG177" i="13"/>
  <c r="AJ177" i="13" s="1"/>
  <c r="AK177" i="13" s="1"/>
  <c r="AB177" i="13"/>
  <c r="AC177" i="13" s="1"/>
  <c r="Y177" i="13"/>
  <c r="U177" i="13"/>
  <c r="T177" i="13"/>
  <c r="Q177" i="13"/>
  <c r="F177" i="13"/>
  <c r="J177" i="13" s="1"/>
  <c r="K177" i="13" s="1"/>
  <c r="CB176" i="13"/>
  <c r="BY176" i="13"/>
  <c r="BU176" i="13"/>
  <c r="BR176" i="13"/>
  <c r="BM176" i="13"/>
  <c r="BJ176" i="13"/>
  <c r="BC176" i="13"/>
  <c r="BF176" i="13" s="1"/>
  <c r="AY176" i="13"/>
  <c r="AX176" i="13"/>
  <c r="AQ176" i="13"/>
  <c r="AR176" i="13" s="1"/>
  <c r="AG176" i="13"/>
  <c r="AJ176" i="13" s="1"/>
  <c r="AK176" i="13" s="1"/>
  <c r="AB176" i="13"/>
  <c r="AC176" i="13" s="1"/>
  <c r="Y176" i="13"/>
  <c r="Q176" i="13"/>
  <c r="T176" i="13" s="1"/>
  <c r="U176" i="13" s="1"/>
  <c r="F176" i="13"/>
  <c r="J176" i="13" s="1"/>
  <c r="K176" i="13" s="1"/>
  <c r="CB175" i="13"/>
  <c r="BY175" i="13"/>
  <c r="BU175" i="13"/>
  <c r="BR175" i="13"/>
  <c r="BM175" i="13"/>
  <c r="BJ175" i="13"/>
  <c r="BC175" i="13"/>
  <c r="BF175" i="13" s="1"/>
  <c r="AY175" i="13"/>
  <c r="AX175" i="13"/>
  <c r="AR175" i="13"/>
  <c r="AQ175" i="13"/>
  <c r="AG175" i="13"/>
  <c r="AJ175" i="13" s="1"/>
  <c r="AK175" i="13" s="1"/>
  <c r="Y175" i="13"/>
  <c r="AB175" i="13" s="1"/>
  <c r="AC175" i="13" s="1"/>
  <c r="Q175" i="13"/>
  <c r="T175" i="13" s="1"/>
  <c r="U175" i="13" s="1"/>
  <c r="F175" i="13"/>
  <c r="J175" i="13" s="1"/>
  <c r="K175" i="13" s="1"/>
  <c r="BY174" i="13"/>
  <c r="CB174" i="13" s="1"/>
  <c r="BU174" i="13"/>
  <c r="BR174" i="13"/>
  <c r="BM174" i="13"/>
  <c r="BJ174" i="13"/>
  <c r="BC174" i="13"/>
  <c r="BF174" i="13" s="1"/>
  <c r="AX174" i="13"/>
  <c r="AY174" i="13" s="1"/>
  <c r="AQ174" i="13"/>
  <c r="AR174" i="13" s="1"/>
  <c r="AG174" i="13"/>
  <c r="AJ174" i="13" s="1"/>
  <c r="AK174" i="13" s="1"/>
  <c r="Y174" i="13"/>
  <c r="AB174" i="13" s="1"/>
  <c r="AC174" i="13" s="1"/>
  <c r="Q174" i="13"/>
  <c r="T174" i="13" s="1"/>
  <c r="U174" i="13" s="1"/>
  <c r="J174" i="13"/>
  <c r="K174" i="13" s="1"/>
  <c r="F174" i="13"/>
  <c r="CB173" i="13"/>
  <c r="BY173" i="13"/>
  <c r="BU173" i="13"/>
  <c r="BR173" i="13"/>
  <c r="BJ173" i="13"/>
  <c r="BM173" i="13" s="1"/>
  <c r="BF173" i="13"/>
  <c r="BC173" i="13"/>
  <c r="AY173" i="13"/>
  <c r="AX173" i="13"/>
  <c r="AR173" i="13"/>
  <c r="AQ173" i="13"/>
  <c r="AG173" i="13"/>
  <c r="AJ173" i="13" s="1"/>
  <c r="AK173" i="13" s="1"/>
  <c r="AB173" i="13"/>
  <c r="AC173" i="13" s="1"/>
  <c r="Y173" i="13"/>
  <c r="T173" i="13"/>
  <c r="U173" i="13" s="1"/>
  <c r="Q173" i="13"/>
  <c r="F173" i="13"/>
  <c r="J173" i="13" s="1"/>
  <c r="K173" i="13" s="1"/>
  <c r="BY172" i="13"/>
  <c r="CB172" i="13" s="1"/>
  <c r="BR172" i="13"/>
  <c r="BU172" i="13" s="1"/>
  <c r="BM172" i="13"/>
  <c r="BJ172" i="13"/>
  <c r="BF172" i="13"/>
  <c r="BC172" i="13"/>
  <c r="AX172" i="13"/>
  <c r="AQ172" i="13"/>
  <c r="AR172" i="13" s="1"/>
  <c r="AG172" i="13"/>
  <c r="AJ172" i="13" s="1"/>
  <c r="AK172" i="13" s="1"/>
  <c r="AB172" i="13"/>
  <c r="AC172" i="13" s="1"/>
  <c r="Y172" i="13"/>
  <c r="T172" i="13"/>
  <c r="U172" i="13" s="1"/>
  <c r="Q172" i="13"/>
  <c r="J172" i="13"/>
  <c r="K172" i="13" s="1"/>
  <c r="F172" i="13"/>
  <c r="BY171" i="13"/>
  <c r="CB171" i="13" s="1"/>
  <c r="BR171" i="13"/>
  <c r="BU171" i="13" s="1"/>
  <c r="BJ171" i="13"/>
  <c r="BM171" i="13" s="1"/>
  <c r="BC171" i="13"/>
  <c r="BF171" i="13" s="1"/>
  <c r="AX171" i="13"/>
  <c r="AY171" i="13" s="1"/>
  <c r="AQ171" i="13"/>
  <c r="AR171" i="13" s="1"/>
  <c r="AG171" i="13"/>
  <c r="AJ171" i="13" s="1"/>
  <c r="AK171" i="13" s="1"/>
  <c r="Y171" i="13"/>
  <c r="AB171" i="13" s="1"/>
  <c r="AC171" i="13" s="1"/>
  <c r="T171" i="13"/>
  <c r="U171" i="13" s="1"/>
  <c r="Q171" i="13"/>
  <c r="F171" i="13"/>
  <c r="J171" i="13" s="1"/>
  <c r="K171" i="13" s="1"/>
  <c r="BY170" i="13"/>
  <c r="CB170" i="13" s="1"/>
  <c r="BU170" i="13"/>
  <c r="BR170" i="13"/>
  <c r="BJ170" i="13"/>
  <c r="BM170" i="13" s="1"/>
  <c r="BC170" i="13"/>
  <c r="BF170" i="13" s="1"/>
  <c r="AX170" i="13"/>
  <c r="AY170" i="13" s="1"/>
  <c r="AQ170" i="13"/>
  <c r="AR170" i="13" s="1"/>
  <c r="AG170" i="13"/>
  <c r="AJ170" i="13" s="1"/>
  <c r="AK170" i="13" s="1"/>
  <c r="Y170" i="13"/>
  <c r="AB170" i="13" s="1"/>
  <c r="AC170" i="13" s="1"/>
  <c r="Q170" i="13"/>
  <c r="T170" i="13" s="1"/>
  <c r="U170" i="13" s="1"/>
  <c r="F170" i="13"/>
  <c r="J170" i="13" s="1"/>
  <c r="K170" i="13" s="1"/>
  <c r="BY169" i="13"/>
  <c r="CB169" i="13" s="1"/>
  <c r="BR169" i="13"/>
  <c r="BU169" i="13" s="1"/>
  <c r="BJ169" i="13"/>
  <c r="BM169" i="13" s="1"/>
  <c r="BF169" i="13"/>
  <c r="BC169" i="13"/>
  <c r="AX169" i="13"/>
  <c r="AY169" i="13" s="1"/>
  <c r="AR169" i="13"/>
  <c r="AQ169" i="13"/>
  <c r="AG169" i="13"/>
  <c r="AJ169" i="13" s="1"/>
  <c r="AK169" i="13" s="1"/>
  <c r="Y169" i="13"/>
  <c r="AB169" i="13" s="1"/>
  <c r="AC169" i="13" s="1"/>
  <c r="T169" i="13"/>
  <c r="U169" i="13" s="1"/>
  <c r="Q169" i="13"/>
  <c r="F169" i="13"/>
  <c r="J169" i="13" s="1"/>
  <c r="K169" i="13" s="1"/>
  <c r="BY168" i="13"/>
  <c r="CB168" i="13" s="1"/>
  <c r="BR168" i="13"/>
  <c r="BU168" i="13" s="1"/>
  <c r="BJ168" i="13"/>
  <c r="BM168" i="13" s="1"/>
  <c r="BC168" i="13"/>
  <c r="BF168" i="13" s="1"/>
  <c r="AX168" i="13"/>
  <c r="AY168" i="13" s="1"/>
  <c r="AQ168" i="13"/>
  <c r="AG168" i="13"/>
  <c r="AJ168" i="13" s="1"/>
  <c r="AK168" i="13" s="1"/>
  <c r="AC168" i="13"/>
  <c r="AB168" i="13"/>
  <c r="Y168" i="13"/>
  <c r="Q168" i="13"/>
  <c r="T168" i="13" s="1"/>
  <c r="U168" i="13" s="1"/>
  <c r="J168" i="13"/>
  <c r="K168" i="13" s="1"/>
  <c r="F168" i="13"/>
  <c r="BY167" i="13"/>
  <c r="CB167" i="13" s="1"/>
  <c r="BR167" i="13"/>
  <c r="BU167" i="13" s="1"/>
  <c r="BM167" i="13"/>
  <c r="BJ167" i="13"/>
  <c r="BC167" i="13"/>
  <c r="BF167" i="13" s="1"/>
  <c r="AY167" i="13"/>
  <c r="AX167" i="13"/>
  <c r="AQ167" i="13"/>
  <c r="AR167" i="13" s="1"/>
  <c r="AG167" i="13"/>
  <c r="AJ167" i="13" s="1"/>
  <c r="AK167" i="13" s="1"/>
  <c r="Y167" i="13"/>
  <c r="AB167" i="13" s="1"/>
  <c r="AC167" i="13" s="1"/>
  <c r="Q167" i="13"/>
  <c r="T167" i="13" s="1"/>
  <c r="U167" i="13" s="1"/>
  <c r="F167" i="13"/>
  <c r="J167" i="13" s="1"/>
  <c r="K167" i="13" s="1"/>
  <c r="BY166" i="13"/>
  <c r="CB166" i="13" s="1"/>
  <c r="BR166" i="13"/>
  <c r="BU166" i="13" s="1"/>
  <c r="BJ166" i="13"/>
  <c r="BM166" i="13" s="1"/>
  <c r="BC166" i="13"/>
  <c r="BF166" i="13" s="1"/>
  <c r="AX166" i="13"/>
  <c r="AQ166" i="13"/>
  <c r="AR166" i="13" s="1"/>
  <c r="AG166" i="13"/>
  <c r="AJ166" i="13" s="1"/>
  <c r="AK166" i="13" s="1"/>
  <c r="AB166" i="13"/>
  <c r="AC166" i="13" s="1"/>
  <c r="Y166" i="13"/>
  <c r="Q166" i="13"/>
  <c r="T166" i="13" s="1"/>
  <c r="U166" i="13" s="1"/>
  <c r="F166" i="13"/>
  <c r="J166" i="13" s="1"/>
  <c r="K166" i="13" s="1"/>
  <c r="BY165" i="13"/>
  <c r="CB165" i="13" s="1"/>
  <c r="BR165" i="13"/>
  <c r="BU165" i="13" s="1"/>
  <c r="BJ165" i="13"/>
  <c r="BM165" i="13" s="1"/>
  <c r="BC165" i="13"/>
  <c r="BF165" i="13" s="1"/>
  <c r="AX165" i="13"/>
  <c r="AY165" i="13" s="1"/>
  <c r="AQ165" i="13"/>
  <c r="AR165" i="13" s="1"/>
  <c r="AG165" i="13"/>
  <c r="AJ165" i="13" s="1"/>
  <c r="AK165" i="13" s="1"/>
  <c r="Y165" i="13"/>
  <c r="AB165" i="13" s="1"/>
  <c r="AC165" i="13" s="1"/>
  <c r="Q165" i="13"/>
  <c r="T165" i="13" s="1"/>
  <c r="U165" i="13" s="1"/>
  <c r="F165" i="13"/>
  <c r="J165" i="13" s="1"/>
  <c r="K165" i="13" s="1"/>
  <c r="BY164" i="13"/>
  <c r="CB164" i="13" s="1"/>
  <c r="BR164" i="13"/>
  <c r="BU164" i="13" s="1"/>
  <c r="BJ164" i="13"/>
  <c r="BM164" i="13" s="1"/>
  <c r="BC164" i="13"/>
  <c r="BF164" i="13" s="1"/>
  <c r="AX164" i="13"/>
  <c r="AY164" i="13" s="1"/>
  <c r="AQ164" i="13"/>
  <c r="AR164" i="13" s="1"/>
  <c r="AG164" i="13"/>
  <c r="AJ164" i="13" s="1"/>
  <c r="AK164" i="13" s="1"/>
  <c r="Y164" i="13"/>
  <c r="AB164" i="13" s="1"/>
  <c r="AC164" i="13" s="1"/>
  <c r="Q164" i="13"/>
  <c r="T164" i="13" s="1"/>
  <c r="U164" i="13" s="1"/>
  <c r="J164" i="13"/>
  <c r="K164" i="13" s="1"/>
  <c r="F164" i="13"/>
  <c r="BY163" i="13"/>
  <c r="CB163" i="13" s="1"/>
  <c r="BU163" i="13"/>
  <c r="BR163" i="13"/>
  <c r="BJ163" i="13"/>
  <c r="BM163" i="13" s="1"/>
  <c r="BF163" i="13"/>
  <c r="BC163" i="13"/>
  <c r="AX163" i="13"/>
  <c r="AY163" i="13" s="1"/>
  <c r="AR163" i="13"/>
  <c r="AQ163" i="13"/>
  <c r="AG163" i="13"/>
  <c r="AJ163" i="13" s="1"/>
  <c r="AK163" i="13" s="1"/>
  <c r="Y163" i="13"/>
  <c r="AB163" i="13" s="1"/>
  <c r="AC163" i="13" s="1"/>
  <c r="Q163" i="13"/>
  <c r="T163" i="13" s="1"/>
  <c r="U163" i="13" s="1"/>
  <c r="F163" i="13"/>
  <c r="J163" i="13" s="1"/>
  <c r="K163" i="13" s="1"/>
  <c r="BY162" i="13"/>
  <c r="CB162" i="13" s="1"/>
  <c r="BR162" i="13"/>
  <c r="BU162" i="13" s="1"/>
  <c r="BJ162" i="13"/>
  <c r="BM162" i="13" s="1"/>
  <c r="BC162" i="13"/>
  <c r="BF162" i="13" s="1"/>
  <c r="AX162" i="13"/>
  <c r="AY162" i="13" s="1"/>
  <c r="AR162" i="13"/>
  <c r="AQ162" i="13"/>
  <c r="AG162" i="13"/>
  <c r="AJ162" i="13" s="1"/>
  <c r="AK162" i="13" s="1"/>
  <c r="Y162" i="13"/>
  <c r="AB162" i="13" s="1"/>
  <c r="AC162" i="13" s="1"/>
  <c r="Q162" i="13"/>
  <c r="T162" i="13" s="1"/>
  <c r="U162" i="13" s="1"/>
  <c r="J162" i="13"/>
  <c r="K162" i="13" s="1"/>
  <c r="F162" i="13"/>
  <c r="BY161" i="13"/>
  <c r="CB161" i="13" s="1"/>
  <c r="BU161" i="13"/>
  <c r="BR161" i="13"/>
  <c r="BJ161" i="13"/>
  <c r="BM161" i="13" s="1"/>
  <c r="BC161" i="13"/>
  <c r="BF161" i="13" s="1"/>
  <c r="AY161" i="13"/>
  <c r="AX161" i="13"/>
  <c r="AQ161" i="13"/>
  <c r="AR161" i="13" s="1"/>
  <c r="AK161" i="13"/>
  <c r="AJ161" i="13"/>
  <c r="AG161" i="13"/>
  <c r="Y161" i="13"/>
  <c r="AB161" i="13" s="1"/>
  <c r="AC161" i="13" s="1"/>
  <c r="T161" i="13"/>
  <c r="U161" i="13" s="1"/>
  <c r="Q161" i="13"/>
  <c r="J161" i="13"/>
  <c r="K161" i="13" s="1"/>
  <c r="F161" i="13"/>
  <c r="BY160" i="13"/>
  <c r="CB160" i="13" s="1"/>
  <c r="BR160" i="13"/>
  <c r="BU160" i="13" s="1"/>
  <c r="BM160" i="13"/>
  <c r="BJ160" i="13"/>
  <c r="BC160" i="13"/>
  <c r="BF160" i="13" s="1"/>
  <c r="AX160" i="13"/>
  <c r="AR160" i="13"/>
  <c r="AQ160" i="13"/>
  <c r="AG160" i="13"/>
  <c r="AJ160" i="13" s="1"/>
  <c r="AK160" i="13" s="1"/>
  <c r="Y160" i="13"/>
  <c r="AB160" i="13" s="1"/>
  <c r="AC160" i="13" s="1"/>
  <c r="Q160" i="13"/>
  <c r="T160" i="13" s="1"/>
  <c r="U160" i="13" s="1"/>
  <c r="F160" i="13"/>
  <c r="J160" i="13" s="1"/>
  <c r="K160" i="13" s="1"/>
  <c r="BY159" i="13"/>
  <c r="CB159" i="13" s="1"/>
  <c r="BR159" i="13"/>
  <c r="BU159" i="13" s="1"/>
  <c r="BJ159" i="13"/>
  <c r="BM159" i="13" s="1"/>
  <c r="BF159" i="13"/>
  <c r="BC159" i="13"/>
  <c r="AX159" i="13"/>
  <c r="AY159" i="13" s="1"/>
  <c r="AR159" i="13"/>
  <c r="AQ159" i="13"/>
  <c r="AG159" i="13"/>
  <c r="AJ159" i="13" s="1"/>
  <c r="AK159" i="13" s="1"/>
  <c r="Y159" i="13"/>
  <c r="AB159" i="13" s="1"/>
  <c r="AC159" i="13" s="1"/>
  <c r="T159" i="13"/>
  <c r="U159" i="13" s="1"/>
  <c r="Q159" i="13"/>
  <c r="F159" i="13"/>
  <c r="J159" i="13" s="1"/>
  <c r="K159" i="13" s="1"/>
  <c r="BY158" i="13"/>
  <c r="CB158" i="13" s="1"/>
  <c r="BU158" i="13"/>
  <c r="BR158" i="13"/>
  <c r="BJ158" i="13"/>
  <c r="BM158" i="13" s="1"/>
  <c r="BC158" i="13"/>
  <c r="BF158" i="13" s="1"/>
  <c r="AX158" i="13"/>
  <c r="AY158" i="13" s="1"/>
  <c r="AQ158" i="13"/>
  <c r="AR158" i="13" s="1"/>
  <c r="AG158" i="13"/>
  <c r="AJ158" i="13" s="1"/>
  <c r="AK158" i="13" s="1"/>
  <c r="Y158" i="13"/>
  <c r="AB158" i="13" s="1"/>
  <c r="AC158" i="13" s="1"/>
  <c r="Q158" i="13"/>
  <c r="T158" i="13" s="1"/>
  <c r="U158" i="13" s="1"/>
  <c r="F158" i="13"/>
  <c r="J158" i="13" s="1"/>
  <c r="K158" i="13" s="1"/>
  <c r="BY157" i="13"/>
  <c r="CB157" i="13" s="1"/>
  <c r="BR157" i="13"/>
  <c r="BU157" i="13" s="1"/>
  <c r="BM157" i="13"/>
  <c r="BJ157" i="13"/>
  <c r="BC157" i="13"/>
  <c r="BF157" i="13" s="1"/>
  <c r="AX157" i="13"/>
  <c r="AQ157" i="13"/>
  <c r="AR157" i="13" s="1"/>
  <c r="AG157" i="13"/>
  <c r="AJ157" i="13" s="1"/>
  <c r="Y157" i="13"/>
  <c r="AB157" i="13" s="1"/>
  <c r="T157" i="13"/>
  <c r="U157" i="13" s="1"/>
  <c r="Q157" i="13"/>
  <c r="F157" i="13"/>
  <c r="J157" i="13" s="1"/>
  <c r="K157" i="13" s="1"/>
  <c r="BY156" i="13"/>
  <c r="CB156" i="13" s="1"/>
  <c r="BR156" i="13"/>
  <c r="BU156" i="13" s="1"/>
  <c r="BJ156" i="13"/>
  <c r="BM156" i="13" s="1"/>
  <c r="BC156" i="13"/>
  <c r="BF156" i="13" s="1"/>
  <c r="AX156" i="13"/>
  <c r="AY156" i="13" s="1"/>
  <c r="AQ156" i="13"/>
  <c r="AR156" i="13" s="1"/>
  <c r="AG156" i="13"/>
  <c r="AJ156" i="13" s="1"/>
  <c r="Y156" i="13"/>
  <c r="AB156" i="13" s="1"/>
  <c r="AC156" i="13" s="1"/>
  <c r="Q156" i="13"/>
  <c r="T156" i="13" s="1"/>
  <c r="U156" i="13" s="1"/>
  <c r="F156" i="13"/>
  <c r="J156" i="13" s="1"/>
  <c r="K156" i="13" s="1"/>
  <c r="BY155" i="13"/>
  <c r="CB155" i="13" s="1"/>
  <c r="BR155" i="13"/>
  <c r="BU155" i="13" s="1"/>
  <c r="BJ155" i="13"/>
  <c r="BM155" i="13" s="1"/>
  <c r="BC155" i="13"/>
  <c r="BF155" i="13" s="1"/>
  <c r="AX155" i="13"/>
  <c r="AY155" i="13" s="1"/>
  <c r="AR155" i="13"/>
  <c r="AQ155" i="13"/>
  <c r="AG155" i="13"/>
  <c r="AJ155" i="13" s="1"/>
  <c r="AK155" i="13" s="1"/>
  <c r="Y155" i="13"/>
  <c r="AB155" i="13" s="1"/>
  <c r="AC155" i="13" s="1"/>
  <c r="T155" i="13"/>
  <c r="U155" i="13" s="1"/>
  <c r="Q155" i="13"/>
  <c r="F155" i="13"/>
  <c r="J155" i="13" s="1"/>
  <c r="K155" i="13" s="1"/>
  <c r="CB154" i="13"/>
  <c r="BY154" i="13"/>
  <c r="BR154" i="13"/>
  <c r="BU154" i="13" s="1"/>
  <c r="BJ154" i="13"/>
  <c r="BM154" i="13" s="1"/>
  <c r="BC154" i="13"/>
  <c r="BF154" i="13" s="1"/>
  <c r="AY154" i="13"/>
  <c r="AX154" i="13"/>
  <c r="AQ154" i="13"/>
  <c r="AR154" i="13" s="1"/>
  <c r="AG154" i="13"/>
  <c r="AJ154" i="13" s="1"/>
  <c r="AK154" i="13" s="1"/>
  <c r="Y154" i="13"/>
  <c r="AB154" i="13" s="1"/>
  <c r="AC154" i="13" s="1"/>
  <c r="Q154" i="13"/>
  <c r="T154" i="13" s="1"/>
  <c r="U154" i="13" s="1"/>
  <c r="F154" i="13"/>
  <c r="J154" i="13" s="1"/>
  <c r="K154" i="13" s="1"/>
  <c r="BY153" i="13"/>
  <c r="CB153" i="13" s="1"/>
  <c r="BR153" i="13"/>
  <c r="BU153" i="13" s="1"/>
  <c r="BJ153" i="13"/>
  <c r="BM153" i="13" s="1"/>
  <c r="BC153" i="13"/>
  <c r="BF153" i="13" s="1"/>
  <c r="AX153" i="13"/>
  <c r="AY153" i="13" s="1"/>
  <c r="AQ153" i="13"/>
  <c r="AR153" i="13" s="1"/>
  <c r="AG153" i="13"/>
  <c r="AJ153" i="13" s="1"/>
  <c r="AK153" i="13" s="1"/>
  <c r="Y153" i="13"/>
  <c r="AB153" i="13" s="1"/>
  <c r="AC153" i="13" s="1"/>
  <c r="Q153" i="13"/>
  <c r="T153" i="13" s="1"/>
  <c r="U153" i="13" s="1"/>
  <c r="K153" i="13"/>
  <c r="J153" i="13"/>
  <c r="F153" i="13"/>
  <c r="BY152" i="13"/>
  <c r="CB152" i="13" s="1"/>
  <c r="BR152" i="13"/>
  <c r="BU152" i="13" s="1"/>
  <c r="BJ152" i="13"/>
  <c r="BM152" i="13" s="1"/>
  <c r="BC152" i="13"/>
  <c r="BF152" i="13" s="1"/>
  <c r="AX152" i="13"/>
  <c r="AY152" i="13" s="1"/>
  <c r="AQ152" i="13"/>
  <c r="AR152" i="13" s="1"/>
  <c r="AJ152" i="13"/>
  <c r="AK152" i="13" s="1"/>
  <c r="AG152" i="13"/>
  <c r="AB152" i="13"/>
  <c r="AC152" i="13" s="1"/>
  <c r="Y152" i="13"/>
  <c r="Q152" i="13"/>
  <c r="T152" i="13" s="1"/>
  <c r="U152" i="13" s="1"/>
  <c r="F152" i="13"/>
  <c r="J152" i="13" s="1"/>
  <c r="K152" i="13" s="1"/>
  <c r="CB151" i="13"/>
  <c r="BY151" i="13"/>
  <c r="BR151" i="13"/>
  <c r="BU151" i="13" s="1"/>
  <c r="BJ151" i="13"/>
  <c r="BM151" i="13" s="1"/>
  <c r="BC151" i="13"/>
  <c r="BF151" i="13" s="1"/>
  <c r="AX151" i="13"/>
  <c r="AY151" i="13" s="1"/>
  <c r="AQ151" i="13"/>
  <c r="AR151" i="13" s="1"/>
  <c r="AG151" i="13"/>
  <c r="AJ151" i="13" s="1"/>
  <c r="AK151" i="13" s="1"/>
  <c r="Y151" i="13"/>
  <c r="AB151" i="13" s="1"/>
  <c r="AC151" i="13" s="1"/>
  <c r="Q151" i="13"/>
  <c r="T151" i="13" s="1"/>
  <c r="U151" i="13" s="1"/>
  <c r="K151" i="13"/>
  <c r="F151" i="13"/>
  <c r="BY150" i="13"/>
  <c r="CB150" i="13" s="1"/>
  <c r="BR150" i="13"/>
  <c r="BU150" i="13" s="1"/>
  <c r="BJ150" i="13"/>
  <c r="BM150" i="13" s="1"/>
  <c r="BF150" i="13"/>
  <c r="BC150" i="13"/>
  <c r="AX150" i="13"/>
  <c r="AY150" i="13" s="1"/>
  <c r="AQ150" i="13"/>
  <c r="AR150" i="13" s="1"/>
  <c r="AJ150" i="13"/>
  <c r="AK150" i="13" s="1"/>
  <c r="AG150" i="13"/>
  <c r="Y150" i="13"/>
  <c r="AB150" i="13" s="1"/>
  <c r="AC150" i="13" s="1"/>
  <c r="Q150" i="13"/>
  <c r="T150" i="13" s="1"/>
  <c r="U150" i="13" s="1"/>
  <c r="F150" i="13"/>
  <c r="J150" i="13" s="1"/>
  <c r="K150" i="13" s="1"/>
  <c r="BY149" i="13"/>
  <c r="CB149" i="13" s="1"/>
  <c r="BR149" i="13"/>
  <c r="BU149" i="13" s="1"/>
  <c r="BJ149" i="13"/>
  <c r="BM149" i="13" s="1"/>
  <c r="BC149" i="13"/>
  <c r="BF149" i="13" s="1"/>
  <c r="AX149" i="13"/>
  <c r="AY149" i="13" s="1"/>
  <c r="AQ149" i="13"/>
  <c r="AR149" i="13" s="1"/>
  <c r="AG149" i="13"/>
  <c r="AJ149" i="13" s="1"/>
  <c r="AK149" i="13" s="1"/>
  <c r="Y149" i="13"/>
  <c r="AB149" i="13" s="1"/>
  <c r="AC149" i="13" s="1"/>
  <c r="Q149" i="13"/>
  <c r="T149" i="13" s="1"/>
  <c r="U149" i="13" s="1"/>
  <c r="F149" i="13"/>
  <c r="J149" i="13" s="1"/>
  <c r="K149" i="13" s="1"/>
  <c r="BY148" i="13"/>
  <c r="CB148" i="13" s="1"/>
  <c r="BR148" i="13"/>
  <c r="BU148" i="13" s="1"/>
  <c r="BJ148" i="13"/>
  <c r="BM148" i="13" s="1"/>
  <c r="BC148" i="13"/>
  <c r="BF148" i="13" s="1"/>
  <c r="AX148" i="13"/>
  <c r="AY148" i="13" s="1"/>
  <c r="AQ148" i="13"/>
  <c r="AR148" i="13" s="1"/>
  <c r="AG148" i="13"/>
  <c r="AJ148" i="13" s="1"/>
  <c r="AK148" i="13" s="1"/>
  <c r="Y148" i="13"/>
  <c r="AB148" i="13" s="1"/>
  <c r="AC148" i="13" s="1"/>
  <c r="T148" i="13"/>
  <c r="U148" i="13" s="1"/>
  <c r="Q148" i="13"/>
  <c r="F148" i="13"/>
  <c r="J148" i="13" s="1"/>
  <c r="K148" i="13" s="1"/>
  <c r="CB147" i="13"/>
  <c r="BY147" i="13"/>
  <c r="BR147" i="13"/>
  <c r="BU147" i="13" s="1"/>
  <c r="BJ147" i="13"/>
  <c r="BM147" i="13" s="1"/>
  <c r="BC147" i="13"/>
  <c r="BF147" i="13" s="1"/>
  <c r="AY147" i="13"/>
  <c r="AX147" i="13"/>
  <c r="AQ147" i="13"/>
  <c r="AR147" i="13" s="1"/>
  <c r="AG147" i="13"/>
  <c r="AJ147" i="13" s="1"/>
  <c r="AK147" i="13" s="1"/>
  <c r="Y147" i="13"/>
  <c r="AB147" i="13" s="1"/>
  <c r="AC147" i="13" s="1"/>
  <c r="Q147" i="13"/>
  <c r="T147" i="13" s="1"/>
  <c r="U147" i="13" s="1"/>
  <c r="F147" i="13"/>
  <c r="J147" i="13" s="1"/>
  <c r="K147" i="13" s="1"/>
  <c r="CB146" i="13"/>
  <c r="BY146" i="13"/>
  <c r="BR146" i="13"/>
  <c r="BU146" i="13" s="1"/>
  <c r="BM146" i="13"/>
  <c r="BJ146" i="13"/>
  <c r="BC146" i="13"/>
  <c r="BF146" i="13" s="1"/>
  <c r="AX146" i="13"/>
  <c r="AY146" i="13" s="1"/>
  <c r="AQ146" i="13"/>
  <c r="AR146" i="13" s="1"/>
  <c r="AG146" i="13"/>
  <c r="AJ146" i="13" s="1"/>
  <c r="AK146" i="13" s="1"/>
  <c r="Y146" i="13"/>
  <c r="AB146" i="13" s="1"/>
  <c r="AC146" i="13" s="1"/>
  <c r="Q146" i="13"/>
  <c r="T146" i="13" s="1"/>
  <c r="U146" i="13" s="1"/>
  <c r="F146" i="13"/>
  <c r="J146" i="13" s="1"/>
  <c r="K146" i="13" s="1"/>
  <c r="CB145" i="13"/>
  <c r="BY145" i="13"/>
  <c r="BR145" i="13"/>
  <c r="BU145" i="13" s="1"/>
  <c r="BJ145" i="13"/>
  <c r="BM145" i="13" s="1"/>
  <c r="BC145" i="13"/>
  <c r="BF145" i="13" s="1"/>
  <c r="AX145" i="13"/>
  <c r="AY145" i="13" s="1"/>
  <c r="AQ145" i="13"/>
  <c r="AR145" i="13" s="1"/>
  <c r="AG145" i="13"/>
  <c r="AJ145" i="13" s="1"/>
  <c r="AK145" i="13" s="1"/>
  <c r="Y145" i="13"/>
  <c r="AB145" i="13" s="1"/>
  <c r="AC145" i="13" s="1"/>
  <c r="Q145" i="13"/>
  <c r="T145" i="13" s="1"/>
  <c r="U145" i="13" s="1"/>
  <c r="F145" i="13"/>
  <c r="J145" i="13" s="1"/>
  <c r="K145" i="13" s="1"/>
  <c r="BY144" i="13"/>
  <c r="CB144" i="13" s="1"/>
  <c r="BR144" i="13"/>
  <c r="BU144" i="13" s="1"/>
  <c r="BJ144" i="13"/>
  <c r="BM144" i="13" s="1"/>
  <c r="BC144" i="13"/>
  <c r="BF144" i="13" s="1"/>
  <c r="AX144" i="13"/>
  <c r="AY144" i="13" s="1"/>
  <c r="AQ144" i="13"/>
  <c r="AR144" i="13" s="1"/>
  <c r="AJ144" i="13"/>
  <c r="AK144" i="13" s="1"/>
  <c r="AG144" i="13"/>
  <c r="Y144" i="13"/>
  <c r="AB144" i="13" s="1"/>
  <c r="AC144" i="13" s="1"/>
  <c r="Q144" i="13"/>
  <c r="T144" i="13" s="1"/>
  <c r="U144" i="13" s="1"/>
  <c r="J144" i="13"/>
  <c r="K144" i="13" s="1"/>
  <c r="F144" i="13"/>
  <c r="CB143" i="13"/>
  <c r="BY143" i="13"/>
  <c r="BU143" i="13"/>
  <c r="BR143" i="13"/>
  <c r="BJ143" i="13"/>
  <c r="BM143" i="13" s="1"/>
  <c r="BF143" i="13"/>
  <c r="BC143" i="13"/>
  <c r="AY143" i="13"/>
  <c r="AX143" i="13"/>
  <c r="AR143" i="13"/>
  <c r="AQ143" i="13"/>
  <c r="AG143" i="13"/>
  <c r="AJ143" i="13" s="1"/>
  <c r="AK143" i="13" s="1"/>
  <c r="AB143" i="13"/>
  <c r="AC143" i="13" s="1"/>
  <c r="Y143" i="13"/>
  <c r="T143" i="13"/>
  <c r="U143" i="13" s="1"/>
  <c r="Q143" i="13"/>
  <c r="K143" i="13"/>
  <c r="F143" i="13"/>
  <c r="J143" i="13" s="1"/>
  <c r="BY142" i="13"/>
  <c r="CB142" i="13" s="1"/>
  <c r="BR142" i="13"/>
  <c r="BU142" i="13" s="1"/>
  <c r="BJ142" i="13"/>
  <c r="BM142" i="13" s="1"/>
  <c r="BF142" i="13"/>
  <c r="BC142" i="13"/>
  <c r="AX142" i="13"/>
  <c r="AY142" i="13" s="1"/>
  <c r="AQ142" i="13"/>
  <c r="AR142" i="13" s="1"/>
  <c r="AJ142" i="13"/>
  <c r="AK142" i="13" s="1"/>
  <c r="AG142" i="13"/>
  <c r="Y142" i="13"/>
  <c r="AB142" i="13" s="1"/>
  <c r="AC142" i="13" s="1"/>
  <c r="Q142" i="13"/>
  <c r="T142" i="13" s="1"/>
  <c r="U142" i="13" s="1"/>
  <c r="F142" i="13"/>
  <c r="J142" i="13" s="1"/>
  <c r="K142" i="13" s="1"/>
  <c r="BY141" i="13"/>
  <c r="CB141" i="13" s="1"/>
  <c r="BR141" i="13"/>
  <c r="BU141" i="13" s="1"/>
  <c r="BM141" i="13"/>
  <c r="BJ141" i="13"/>
  <c r="BF141" i="13"/>
  <c r="BC141" i="13"/>
  <c r="AY141" i="13"/>
  <c r="AX141" i="13"/>
  <c r="AQ141" i="13"/>
  <c r="AR141" i="13" s="1"/>
  <c r="AG141" i="13"/>
  <c r="AJ141" i="13" s="1"/>
  <c r="AK141" i="13" s="1"/>
  <c r="Y141" i="13"/>
  <c r="AB141" i="13" s="1"/>
  <c r="AC141" i="13" s="1"/>
  <c r="Q141" i="13"/>
  <c r="T141" i="13" s="1"/>
  <c r="U141" i="13" s="1"/>
  <c r="F141" i="13"/>
  <c r="J141" i="13" s="1"/>
  <c r="K141" i="13" s="1"/>
  <c r="BY140" i="13"/>
  <c r="CB140" i="13" s="1"/>
  <c r="BR140" i="13"/>
  <c r="BU140" i="13" s="1"/>
  <c r="BJ140" i="13"/>
  <c r="BM140" i="13" s="1"/>
  <c r="BC140" i="13"/>
  <c r="BF140" i="13" s="1"/>
  <c r="AX140" i="13"/>
  <c r="AY140" i="13" s="1"/>
  <c r="AQ140" i="13"/>
  <c r="AR140" i="13" s="1"/>
  <c r="AJ140" i="13"/>
  <c r="AK140" i="13" s="1"/>
  <c r="AG140" i="13"/>
  <c r="Y140" i="13"/>
  <c r="AB140" i="13" s="1"/>
  <c r="AC140" i="13" s="1"/>
  <c r="Q140" i="13"/>
  <c r="T140" i="13" s="1"/>
  <c r="U140" i="13" s="1"/>
  <c r="F140" i="13"/>
  <c r="J140" i="13" s="1"/>
  <c r="K140" i="13" s="1"/>
  <c r="BY139" i="13"/>
  <c r="CB139" i="13" s="1"/>
  <c r="BU139" i="13"/>
  <c r="BR139" i="13"/>
  <c r="BJ139" i="13"/>
  <c r="BM139" i="13" s="1"/>
  <c r="BF139" i="13"/>
  <c r="BC139" i="13"/>
  <c r="AX139" i="13"/>
  <c r="AY139" i="13" s="1"/>
  <c r="AR139" i="13"/>
  <c r="AQ139" i="13"/>
  <c r="AG139" i="13"/>
  <c r="AJ139" i="13" s="1"/>
  <c r="AK139" i="13" s="1"/>
  <c r="Y139" i="13"/>
  <c r="AB139" i="13" s="1"/>
  <c r="AC139" i="13" s="1"/>
  <c r="Q139" i="13"/>
  <c r="T139" i="13" s="1"/>
  <c r="U139" i="13" s="1"/>
  <c r="F139" i="13"/>
  <c r="J139" i="13" s="1"/>
  <c r="K139" i="13" s="1"/>
  <c r="CB138" i="13"/>
  <c r="BY138" i="13"/>
  <c r="BR138" i="13"/>
  <c r="BU138" i="13" s="1"/>
  <c r="BM138" i="13"/>
  <c r="BJ138" i="13"/>
  <c r="BC138" i="13"/>
  <c r="BF138" i="13" s="1"/>
  <c r="AX138" i="13"/>
  <c r="AY138" i="13" s="1"/>
  <c r="AQ138" i="13"/>
  <c r="AR138" i="13" s="1"/>
  <c r="AG138" i="13"/>
  <c r="AJ138" i="13" s="1"/>
  <c r="AK138" i="13" s="1"/>
  <c r="Y138" i="13"/>
  <c r="AB138" i="13" s="1"/>
  <c r="AC138" i="13" s="1"/>
  <c r="T138" i="13"/>
  <c r="U138" i="13" s="1"/>
  <c r="Q138" i="13"/>
  <c r="F138" i="13"/>
  <c r="J138" i="13" s="1"/>
  <c r="K138" i="13" s="1"/>
  <c r="CB137" i="13"/>
  <c r="BY137" i="13"/>
  <c r="BR137" i="13"/>
  <c r="BU137" i="13" s="1"/>
  <c r="BM137" i="13"/>
  <c r="BJ137" i="13"/>
  <c r="BC137" i="13"/>
  <c r="BF137" i="13" s="1"/>
  <c r="AX137" i="13"/>
  <c r="AY137" i="13" s="1"/>
  <c r="AQ137" i="13"/>
  <c r="AR137" i="13" s="1"/>
  <c r="AG137" i="13"/>
  <c r="AJ137" i="13" s="1"/>
  <c r="AK137" i="13" s="1"/>
  <c r="AB137" i="13"/>
  <c r="AC137" i="13" s="1"/>
  <c r="Y137" i="13"/>
  <c r="Q137" i="13"/>
  <c r="T137" i="13" s="1"/>
  <c r="U137" i="13" s="1"/>
  <c r="F137" i="13"/>
  <c r="J137" i="13" s="1"/>
  <c r="K137" i="13" s="1"/>
  <c r="BY136" i="13"/>
  <c r="CB136" i="13" s="1"/>
  <c r="BR136" i="13"/>
  <c r="BU136" i="13" s="1"/>
  <c r="BJ136" i="13"/>
  <c r="BM136" i="13" s="1"/>
  <c r="BC136" i="13"/>
  <c r="BF136" i="13" s="1"/>
  <c r="AX136" i="13"/>
  <c r="AQ136" i="13"/>
  <c r="AG136" i="13"/>
  <c r="AJ136" i="13" s="1"/>
  <c r="AK136" i="13" s="1"/>
  <c r="AB136" i="13"/>
  <c r="Y136" i="13"/>
  <c r="Q136" i="13"/>
  <c r="T136" i="13" s="1"/>
  <c r="U136" i="13" s="1"/>
  <c r="J136" i="13"/>
  <c r="F136" i="13"/>
  <c r="BY135" i="13"/>
  <c r="CB135" i="13" s="1"/>
  <c r="BR135" i="13"/>
  <c r="BU135" i="13" s="1"/>
  <c r="BJ135" i="13"/>
  <c r="BM135" i="13" s="1"/>
  <c r="BF135" i="13"/>
  <c r="BC135" i="13"/>
  <c r="AX135" i="13"/>
  <c r="AQ135" i="13"/>
  <c r="AJ135" i="13"/>
  <c r="AK135" i="13" s="1"/>
  <c r="AG135" i="13"/>
  <c r="AB135" i="13"/>
  <c r="AC135" i="13" s="1"/>
  <c r="Y135" i="13"/>
  <c r="Q135" i="13"/>
  <c r="T135" i="13" s="1"/>
  <c r="U135" i="13" s="1"/>
  <c r="F135" i="13"/>
  <c r="J135" i="13" s="1"/>
  <c r="K135" i="13" s="1"/>
  <c r="BY134" i="13"/>
  <c r="CB134" i="13" s="1"/>
  <c r="BR134" i="13"/>
  <c r="BU134" i="13" s="1"/>
  <c r="BJ134" i="13"/>
  <c r="BM134" i="13" s="1"/>
  <c r="BC134" i="13"/>
  <c r="BF134" i="13" s="1"/>
  <c r="AX134" i="13"/>
  <c r="AY134" i="13" s="1"/>
  <c r="AQ134" i="13"/>
  <c r="AR134" i="13" s="1"/>
  <c r="AG134" i="13"/>
  <c r="AJ134" i="13" s="1"/>
  <c r="AK134" i="13" s="1"/>
  <c r="Y134" i="13"/>
  <c r="AB134" i="13" s="1"/>
  <c r="T134" i="13"/>
  <c r="U134" i="13" s="1"/>
  <c r="Q134" i="13"/>
  <c r="J134" i="13"/>
  <c r="K134" i="13" s="1"/>
  <c r="F134" i="13"/>
  <c r="BY133" i="13"/>
  <c r="CB133" i="13" s="1"/>
  <c r="BR133" i="13"/>
  <c r="BU133" i="13" s="1"/>
  <c r="BJ133" i="13"/>
  <c r="BM133" i="13" s="1"/>
  <c r="BC133" i="13"/>
  <c r="BF133" i="13" s="1"/>
  <c r="AY133" i="13"/>
  <c r="AX133" i="13"/>
  <c r="AQ133" i="13"/>
  <c r="AR133" i="13" s="1"/>
  <c r="AG133" i="13"/>
  <c r="AJ133" i="13" s="1"/>
  <c r="AK133" i="13" s="1"/>
  <c r="AB133" i="13"/>
  <c r="AC133" i="13" s="1"/>
  <c r="Y133" i="13"/>
  <c r="Q133" i="13"/>
  <c r="T133" i="13" s="1"/>
  <c r="U133" i="13" s="1"/>
  <c r="F133" i="13"/>
  <c r="J133" i="13" s="1"/>
  <c r="K133" i="13" s="1"/>
  <c r="BY132" i="13"/>
  <c r="CB132" i="13" s="1"/>
  <c r="BU132" i="13"/>
  <c r="BR132" i="13"/>
  <c r="BJ132" i="13"/>
  <c r="BM132" i="13" s="1"/>
  <c r="BC132" i="13"/>
  <c r="BF132" i="13" s="1"/>
  <c r="AX132" i="13"/>
  <c r="AY132" i="13" s="1"/>
  <c r="AQ132" i="13"/>
  <c r="AR132" i="13" s="1"/>
  <c r="AJ132" i="13"/>
  <c r="AK132" i="13" s="1"/>
  <c r="AG132" i="13"/>
  <c r="Y132" i="13"/>
  <c r="AB132" i="13" s="1"/>
  <c r="AC132" i="13" s="1"/>
  <c r="Q132" i="13"/>
  <c r="T132" i="13" s="1"/>
  <c r="U132" i="13" s="1"/>
  <c r="F132" i="13"/>
  <c r="J132" i="13" s="1"/>
  <c r="K132" i="13" s="1"/>
  <c r="CB131" i="13"/>
  <c r="BY131" i="13"/>
  <c r="BR131" i="13"/>
  <c r="BU131" i="13" s="1"/>
  <c r="BJ131" i="13"/>
  <c r="BM131" i="13" s="1"/>
  <c r="BC131" i="13"/>
  <c r="BF131" i="13" s="1"/>
  <c r="AX131" i="13"/>
  <c r="AR131" i="13"/>
  <c r="AQ131" i="13"/>
  <c r="AG131" i="13"/>
  <c r="AJ131" i="13" s="1"/>
  <c r="AK131" i="13" s="1"/>
  <c r="Y131" i="13"/>
  <c r="AB131" i="13" s="1"/>
  <c r="AC131" i="13" s="1"/>
  <c r="Q131" i="13"/>
  <c r="T131" i="13" s="1"/>
  <c r="U131" i="13" s="1"/>
  <c r="F131" i="13"/>
  <c r="J131" i="13" s="1"/>
  <c r="K131" i="13" s="1"/>
  <c r="BY130" i="13"/>
  <c r="CB130" i="13" s="1"/>
  <c r="BR130" i="13"/>
  <c r="BU130" i="13" s="1"/>
  <c r="BJ130" i="13"/>
  <c r="BM130" i="13" s="1"/>
  <c r="BC130" i="13"/>
  <c r="BF130" i="13" s="1"/>
  <c r="AX130" i="13"/>
  <c r="AY130" i="13" s="1"/>
  <c r="AQ130" i="13"/>
  <c r="AR130" i="13" s="1"/>
  <c r="AJ130" i="13"/>
  <c r="AK130" i="13" s="1"/>
  <c r="AG130" i="13"/>
  <c r="AB130" i="13"/>
  <c r="AC130" i="13" s="1"/>
  <c r="Y130" i="13"/>
  <c r="Q130" i="13"/>
  <c r="T130" i="13" s="1"/>
  <c r="U130" i="13" s="1"/>
  <c r="J130" i="13"/>
  <c r="K130" i="13" s="1"/>
  <c r="F130" i="13"/>
  <c r="BY129" i="13"/>
  <c r="CB129" i="13" s="1"/>
  <c r="BR129" i="13"/>
  <c r="BU129" i="13" s="1"/>
  <c r="BJ129" i="13"/>
  <c r="BM129" i="13" s="1"/>
  <c r="BC129" i="13"/>
  <c r="BF129" i="13" s="1"/>
  <c r="AX129" i="13"/>
  <c r="AY129" i="13" s="1"/>
  <c r="AQ129" i="13"/>
  <c r="AR129" i="13" s="1"/>
  <c r="AG129" i="13"/>
  <c r="AJ129" i="13" s="1"/>
  <c r="AK129" i="13" s="1"/>
  <c r="AB129" i="13"/>
  <c r="AC129" i="13" s="1"/>
  <c r="Y129" i="13"/>
  <c r="Q129" i="13"/>
  <c r="T129" i="13" s="1"/>
  <c r="U129" i="13" s="1"/>
  <c r="F129" i="13"/>
  <c r="J129" i="13" s="1"/>
  <c r="K129" i="13" s="1"/>
  <c r="CB128" i="13"/>
  <c r="BY128" i="13"/>
  <c r="BR128" i="13"/>
  <c r="BU128" i="13" s="1"/>
  <c r="BJ128" i="13"/>
  <c r="BM128" i="13" s="1"/>
  <c r="BC128" i="13"/>
  <c r="BF128" i="13" s="1"/>
  <c r="AX128" i="13"/>
  <c r="AY128" i="13" s="1"/>
  <c r="AQ128" i="13"/>
  <c r="AR128" i="13" s="1"/>
  <c r="AG128" i="13"/>
  <c r="AJ128" i="13" s="1"/>
  <c r="AK128" i="13" s="1"/>
  <c r="Y128" i="13"/>
  <c r="AB128" i="13" s="1"/>
  <c r="AC128" i="13" s="1"/>
  <c r="Q128" i="13"/>
  <c r="T128" i="13" s="1"/>
  <c r="U128" i="13" s="1"/>
  <c r="F128" i="13"/>
  <c r="J128" i="13" s="1"/>
  <c r="K128" i="13" s="1"/>
  <c r="CB127" i="13"/>
  <c r="BY127" i="13"/>
  <c r="BR127" i="13"/>
  <c r="BU127" i="13" s="1"/>
  <c r="BJ127" i="13"/>
  <c r="BM127" i="13" s="1"/>
  <c r="BF127" i="13"/>
  <c r="BC127" i="13"/>
  <c r="AX127" i="13"/>
  <c r="AY127" i="13" s="1"/>
  <c r="AQ127" i="13"/>
  <c r="AG127" i="13"/>
  <c r="AJ127" i="13" s="1"/>
  <c r="Y127" i="13"/>
  <c r="AB127" i="13" s="1"/>
  <c r="AC127" i="13" s="1"/>
  <c r="T127" i="13"/>
  <c r="U127" i="13" s="1"/>
  <c r="Q127" i="13"/>
  <c r="F127" i="13"/>
  <c r="J127" i="13" s="1"/>
  <c r="K127" i="13" s="1"/>
  <c r="BY126" i="13"/>
  <c r="CB126" i="13" s="1"/>
  <c r="BU126" i="13"/>
  <c r="BR126" i="13"/>
  <c r="BJ126" i="13"/>
  <c r="BM126" i="13" s="1"/>
  <c r="BF126" i="13"/>
  <c r="BC126" i="13"/>
  <c r="AX126" i="13"/>
  <c r="AY126" i="13" s="1"/>
  <c r="AQ126" i="13"/>
  <c r="AR126" i="13" s="1"/>
  <c r="AG126" i="13"/>
  <c r="AJ126" i="13" s="1"/>
  <c r="Y126" i="13"/>
  <c r="AB126" i="13" s="1"/>
  <c r="AC126" i="13" s="1"/>
  <c r="Q126" i="13"/>
  <c r="T126" i="13" s="1"/>
  <c r="U126" i="13" s="1"/>
  <c r="F126" i="13"/>
  <c r="J126" i="13" s="1"/>
  <c r="K126" i="13" s="1"/>
  <c r="CB125" i="13"/>
  <c r="BY125" i="13"/>
  <c r="BR125" i="13"/>
  <c r="BU125" i="13" s="1"/>
  <c r="BM125" i="13"/>
  <c r="BJ125" i="13"/>
  <c r="BC125" i="13"/>
  <c r="BF125" i="13" s="1"/>
  <c r="AX125" i="13"/>
  <c r="AY125" i="13" s="1"/>
  <c r="AQ125" i="13"/>
  <c r="AR125" i="13" s="1"/>
  <c r="AG125" i="13"/>
  <c r="AJ125" i="13" s="1"/>
  <c r="Y125" i="13"/>
  <c r="AB125" i="13" s="1"/>
  <c r="AC125" i="13" s="1"/>
  <c r="Q125" i="13"/>
  <c r="T125" i="13" s="1"/>
  <c r="U125" i="13" s="1"/>
  <c r="J125" i="13"/>
  <c r="K125" i="13" s="1"/>
  <c r="F125" i="13"/>
  <c r="CB124" i="13"/>
  <c r="BY124" i="13"/>
  <c r="BR124" i="13"/>
  <c r="BU124" i="13" s="1"/>
  <c r="BM124" i="13"/>
  <c r="BJ124" i="13"/>
  <c r="BF124" i="13"/>
  <c r="BC124" i="13"/>
  <c r="AX124" i="13"/>
  <c r="AY124" i="13" s="1"/>
  <c r="AQ124" i="13"/>
  <c r="AR124" i="13" s="1"/>
  <c r="AG124" i="13"/>
  <c r="AJ124" i="13" s="1"/>
  <c r="AK124" i="13" s="1"/>
  <c r="Y124" i="13"/>
  <c r="AB124" i="13" s="1"/>
  <c r="AC124" i="13" s="1"/>
  <c r="Q124" i="13"/>
  <c r="T124" i="13" s="1"/>
  <c r="U124" i="13" s="1"/>
  <c r="F124" i="13"/>
  <c r="J124" i="13" s="1"/>
  <c r="K124" i="13" s="1"/>
  <c r="BY123" i="13"/>
  <c r="CB123" i="13" s="1"/>
  <c r="BR123" i="13"/>
  <c r="BU123" i="13" s="1"/>
  <c r="BJ123" i="13"/>
  <c r="BM123" i="13" s="1"/>
  <c r="BC123" i="13"/>
  <c r="BF123" i="13" s="1"/>
  <c r="AX123" i="13"/>
  <c r="AY123" i="13" s="1"/>
  <c r="AQ123" i="13"/>
  <c r="AR123" i="13" s="1"/>
  <c r="AJ123" i="13"/>
  <c r="AK123" i="13" s="1"/>
  <c r="AG123" i="13"/>
  <c r="AB123" i="13"/>
  <c r="AC123" i="13" s="1"/>
  <c r="Y123" i="13"/>
  <c r="T123" i="13"/>
  <c r="U123" i="13" s="1"/>
  <c r="Q123" i="13"/>
  <c r="F123" i="13"/>
  <c r="J123" i="13" s="1"/>
  <c r="K123" i="13" s="1"/>
  <c r="BY122" i="13"/>
  <c r="CB122" i="13" s="1"/>
  <c r="BR122" i="13"/>
  <c r="BU122" i="13" s="1"/>
  <c r="BJ122" i="13"/>
  <c r="BM122" i="13" s="1"/>
  <c r="BF122" i="13"/>
  <c r="BC122" i="13"/>
  <c r="AX122" i="13"/>
  <c r="AY122" i="13" s="1"/>
  <c r="AR122" i="13"/>
  <c r="AQ122" i="13"/>
  <c r="AG122" i="13"/>
  <c r="AJ122" i="13" s="1"/>
  <c r="AK122" i="13" s="1"/>
  <c r="Y122" i="13"/>
  <c r="AB122" i="13" s="1"/>
  <c r="AC122" i="13" s="1"/>
  <c r="Q122" i="13"/>
  <c r="T122" i="13" s="1"/>
  <c r="U122" i="13" s="1"/>
  <c r="F122" i="13"/>
  <c r="J122" i="13" s="1"/>
  <c r="K122" i="13" s="1"/>
  <c r="CB121" i="13"/>
  <c r="BY121" i="13"/>
  <c r="BR121" i="13"/>
  <c r="BU121" i="13" s="1"/>
  <c r="BJ121" i="13"/>
  <c r="BM121" i="13" s="1"/>
  <c r="BC121" i="13"/>
  <c r="BF121" i="13" s="1"/>
  <c r="AX121" i="13"/>
  <c r="AY121" i="13" s="1"/>
  <c r="AQ121" i="13"/>
  <c r="AR121" i="13" s="1"/>
  <c r="AG121" i="13"/>
  <c r="AJ121" i="13" s="1"/>
  <c r="AK121" i="13" s="1"/>
  <c r="AC121" i="13"/>
  <c r="Y121" i="13"/>
  <c r="AB121" i="13" s="1"/>
  <c r="Q121" i="13"/>
  <c r="T121" i="13" s="1"/>
  <c r="U121" i="13" s="1"/>
  <c r="F121" i="13"/>
  <c r="J121" i="13" s="1"/>
  <c r="K121" i="13" s="1"/>
  <c r="BY120" i="13"/>
  <c r="CB120" i="13" s="1"/>
  <c r="BU120" i="13"/>
  <c r="BR120" i="13"/>
  <c r="BJ120" i="13"/>
  <c r="BM120" i="13" s="1"/>
  <c r="BC120" i="13"/>
  <c r="BF120" i="13" s="1"/>
  <c r="AY120" i="13"/>
  <c r="AX120" i="13"/>
  <c r="AR120" i="13"/>
  <c r="AQ120" i="13"/>
  <c r="AJ120" i="13"/>
  <c r="AK120" i="13" s="1"/>
  <c r="AG120" i="13"/>
  <c r="Y120" i="13"/>
  <c r="AB120" i="13" s="1"/>
  <c r="AC120" i="13" s="1"/>
  <c r="Q120" i="13"/>
  <c r="T120" i="13" s="1"/>
  <c r="U120" i="13" s="1"/>
  <c r="J120" i="13"/>
  <c r="K120" i="13" s="1"/>
  <c r="F120" i="13"/>
  <c r="BY119" i="13"/>
  <c r="CB119" i="13" s="1"/>
  <c r="BR119" i="13"/>
  <c r="BU119" i="13" s="1"/>
  <c r="BJ119" i="13"/>
  <c r="BM119" i="13" s="1"/>
  <c r="BC119" i="13"/>
  <c r="BF119" i="13" s="1"/>
  <c r="AX119" i="13"/>
  <c r="AY119" i="13" s="1"/>
  <c r="AQ119" i="13"/>
  <c r="AR119" i="13" s="1"/>
  <c r="AJ119" i="13"/>
  <c r="AK119" i="13" s="1"/>
  <c r="AG119" i="13"/>
  <c r="Y119" i="13"/>
  <c r="AB119" i="13" s="1"/>
  <c r="AC119" i="13" s="1"/>
  <c r="Q119" i="13"/>
  <c r="T119" i="13" s="1"/>
  <c r="U119" i="13" s="1"/>
  <c r="F119" i="13"/>
  <c r="J119" i="13" s="1"/>
  <c r="K119" i="13" s="1"/>
  <c r="BY118" i="13"/>
  <c r="CB118" i="13" s="1"/>
  <c r="BR118" i="13"/>
  <c r="BU118" i="13" s="1"/>
  <c r="BJ118" i="13"/>
  <c r="BM118" i="13" s="1"/>
  <c r="BC118" i="13"/>
  <c r="BF118" i="13" s="1"/>
  <c r="AX118" i="13"/>
  <c r="AY118" i="13" s="1"/>
  <c r="AQ118" i="13"/>
  <c r="AR118" i="13" s="1"/>
  <c r="AG118" i="13"/>
  <c r="AJ118" i="13" s="1"/>
  <c r="AK118" i="13" s="1"/>
  <c r="AB118" i="13"/>
  <c r="AC118" i="13" s="1"/>
  <c r="Y118" i="13"/>
  <c r="Q118" i="13"/>
  <c r="T118" i="13" s="1"/>
  <c r="U118" i="13" s="1"/>
  <c r="F118" i="13"/>
  <c r="J118" i="13" s="1"/>
  <c r="K118" i="13" s="1"/>
  <c r="BY117" i="13"/>
  <c r="CB117" i="13" s="1"/>
  <c r="BR117" i="13"/>
  <c r="BU117" i="13" s="1"/>
  <c r="BJ117" i="13"/>
  <c r="BM117" i="13" s="1"/>
  <c r="BC117" i="13"/>
  <c r="BF117" i="13" s="1"/>
  <c r="AX117" i="13"/>
  <c r="AY117" i="13" s="1"/>
  <c r="AQ117" i="13"/>
  <c r="AR117" i="13" s="1"/>
  <c r="AG117" i="13"/>
  <c r="AJ117" i="13" s="1"/>
  <c r="AK117" i="13" s="1"/>
  <c r="Y117" i="13"/>
  <c r="AB117" i="13" s="1"/>
  <c r="AC117" i="13" s="1"/>
  <c r="Q117" i="13"/>
  <c r="T117" i="13" s="1"/>
  <c r="U117" i="13" s="1"/>
  <c r="F117" i="13"/>
  <c r="J117" i="13" s="1"/>
  <c r="K117" i="13" s="1"/>
  <c r="BY116" i="13"/>
  <c r="CB116" i="13" s="1"/>
  <c r="BR116" i="13"/>
  <c r="BU116" i="13" s="1"/>
  <c r="BM116" i="13"/>
  <c r="BJ116" i="13"/>
  <c r="BF116" i="13"/>
  <c r="BC116" i="13"/>
  <c r="AX116" i="13"/>
  <c r="AY116" i="13" s="1"/>
  <c r="AQ116" i="13"/>
  <c r="AR116" i="13" s="1"/>
  <c r="AG116" i="13"/>
  <c r="AJ116" i="13" s="1"/>
  <c r="AK116" i="13" s="1"/>
  <c r="Y116" i="13"/>
  <c r="AB116" i="13" s="1"/>
  <c r="AC116" i="13" s="1"/>
  <c r="Q116" i="13"/>
  <c r="T116" i="13" s="1"/>
  <c r="U116" i="13" s="1"/>
  <c r="F116" i="13"/>
  <c r="J116" i="13" s="1"/>
  <c r="K116" i="13" s="1"/>
  <c r="BY115" i="13"/>
  <c r="CB115" i="13" s="1"/>
  <c r="BR115" i="13"/>
  <c r="BU115" i="13" s="1"/>
  <c r="BJ115" i="13"/>
  <c r="BM115" i="13" s="1"/>
  <c r="BF115" i="13"/>
  <c r="BC115" i="13"/>
  <c r="AX115" i="13"/>
  <c r="AQ115" i="13"/>
  <c r="AR115" i="13" s="1"/>
  <c r="AJ115" i="13"/>
  <c r="AK115" i="13" s="1"/>
  <c r="AG115" i="13"/>
  <c r="Y115" i="13"/>
  <c r="AB115" i="13" s="1"/>
  <c r="AC115" i="13" s="1"/>
  <c r="Q115" i="13"/>
  <c r="T115" i="13" s="1"/>
  <c r="U115" i="13" s="1"/>
  <c r="F115" i="13"/>
  <c r="J115" i="13" s="1"/>
  <c r="K115" i="13" s="1"/>
  <c r="BY114" i="13"/>
  <c r="CB114" i="13" s="1"/>
  <c r="BR114" i="13"/>
  <c r="BU114" i="13" s="1"/>
  <c r="BJ114" i="13"/>
  <c r="BM114" i="13" s="1"/>
  <c r="BC114" i="13"/>
  <c r="BF114" i="13" s="1"/>
  <c r="AX114" i="13"/>
  <c r="AY114" i="13" s="1"/>
  <c r="AQ114" i="13"/>
  <c r="AR114" i="13" s="1"/>
  <c r="AG114" i="13"/>
  <c r="AJ114" i="13" s="1"/>
  <c r="AK114" i="13" s="1"/>
  <c r="Y114" i="13"/>
  <c r="AB114" i="13" s="1"/>
  <c r="AC114" i="13" s="1"/>
  <c r="Q114" i="13"/>
  <c r="T114" i="13" s="1"/>
  <c r="U114" i="13" s="1"/>
  <c r="F114" i="13"/>
  <c r="J114" i="13" s="1"/>
  <c r="K114" i="13" s="1"/>
  <c r="BY113" i="13"/>
  <c r="CB113" i="13" s="1"/>
  <c r="BR113" i="13"/>
  <c r="BU113" i="13" s="1"/>
  <c r="BJ113" i="13"/>
  <c r="BM113" i="13" s="1"/>
  <c r="BC113" i="13"/>
  <c r="BF113" i="13" s="1"/>
  <c r="AX113" i="13"/>
  <c r="AY113" i="13" s="1"/>
  <c r="AR113" i="13"/>
  <c r="AQ113" i="13"/>
  <c r="AG113" i="13"/>
  <c r="AJ113" i="13" s="1"/>
  <c r="AK113" i="13" s="1"/>
  <c r="Y113" i="13"/>
  <c r="AB113" i="13" s="1"/>
  <c r="AC113" i="13" s="1"/>
  <c r="T113" i="13"/>
  <c r="U113" i="13" s="1"/>
  <c r="Q113" i="13"/>
  <c r="F113" i="13"/>
  <c r="J113" i="13" s="1"/>
  <c r="K113" i="13" s="1"/>
  <c r="BY112" i="13"/>
  <c r="CB112" i="13" s="1"/>
  <c r="BR112" i="13"/>
  <c r="BU112" i="13" s="1"/>
  <c r="BM112" i="13"/>
  <c r="BJ112" i="13"/>
  <c r="BC112" i="13"/>
  <c r="BF112" i="13" s="1"/>
  <c r="AX112" i="13"/>
  <c r="AY112" i="13" s="1"/>
  <c r="AQ112" i="13"/>
  <c r="AR112" i="13" s="1"/>
  <c r="AG112" i="13"/>
  <c r="AJ112" i="13" s="1"/>
  <c r="AK112" i="13" s="1"/>
  <c r="Y112" i="13"/>
  <c r="AB112" i="13" s="1"/>
  <c r="AC112" i="13" s="1"/>
  <c r="Q112" i="13"/>
  <c r="T112" i="13" s="1"/>
  <c r="U112" i="13" s="1"/>
  <c r="F112" i="13"/>
  <c r="J112" i="13" s="1"/>
  <c r="K112" i="13" s="1"/>
  <c r="BY111" i="13"/>
  <c r="CB111" i="13" s="1"/>
  <c r="BR111" i="13"/>
  <c r="BU111" i="13" s="1"/>
  <c r="BM111" i="13"/>
  <c r="BJ111" i="13"/>
  <c r="BC111" i="13"/>
  <c r="BF111" i="13" s="1"/>
  <c r="AX111" i="13"/>
  <c r="AY111" i="13" s="1"/>
  <c r="AQ111" i="13"/>
  <c r="AR111" i="13" s="1"/>
  <c r="AG111" i="13"/>
  <c r="AJ111" i="13" s="1"/>
  <c r="AK111" i="13" s="1"/>
  <c r="Y111" i="13"/>
  <c r="AB111" i="13" s="1"/>
  <c r="AC111" i="13" s="1"/>
  <c r="Q111" i="13"/>
  <c r="T111" i="13" s="1"/>
  <c r="U111" i="13" s="1"/>
  <c r="K111" i="13"/>
  <c r="J111" i="13"/>
  <c r="F111" i="13"/>
  <c r="BY110" i="13"/>
  <c r="CB110" i="13" s="1"/>
  <c r="BR110" i="13"/>
  <c r="BU110" i="13" s="1"/>
  <c r="BJ110" i="13"/>
  <c r="BM110" i="13" s="1"/>
  <c r="BC110" i="13"/>
  <c r="BF110" i="13" s="1"/>
  <c r="AX110" i="13"/>
  <c r="AY110" i="13" s="1"/>
  <c r="AQ110" i="13"/>
  <c r="AR110" i="13" s="1"/>
  <c r="AG110" i="13"/>
  <c r="AJ110" i="13" s="1"/>
  <c r="AK110" i="13" s="1"/>
  <c r="Y110" i="13"/>
  <c r="AB110" i="13" s="1"/>
  <c r="AC110" i="13" s="1"/>
  <c r="Q110" i="13"/>
  <c r="T110" i="13" s="1"/>
  <c r="U110" i="13" s="1"/>
  <c r="J110" i="13"/>
  <c r="K110" i="13" s="1"/>
  <c r="F110" i="13"/>
  <c r="BY109" i="13"/>
  <c r="CB109" i="13" s="1"/>
  <c r="BR109" i="13"/>
  <c r="BU109" i="13" s="1"/>
  <c r="BM109" i="13"/>
  <c r="BJ109" i="13"/>
  <c r="BC109" i="13"/>
  <c r="BF109" i="13" s="1"/>
  <c r="AY109" i="13"/>
  <c r="AX109" i="13"/>
  <c r="AQ109" i="13"/>
  <c r="AR109" i="13" s="1"/>
  <c r="AG109" i="13"/>
  <c r="AJ109" i="13" s="1"/>
  <c r="AK109" i="13" s="1"/>
  <c r="Y109" i="13"/>
  <c r="AB109" i="13" s="1"/>
  <c r="AC109" i="13" s="1"/>
  <c r="Q109" i="13"/>
  <c r="T109" i="13" s="1"/>
  <c r="U109" i="13" s="1"/>
  <c r="F109" i="13"/>
  <c r="J109" i="13" s="1"/>
  <c r="K109" i="13" s="1"/>
  <c r="BY108" i="13"/>
  <c r="CB108" i="13" s="1"/>
  <c r="BR108" i="13"/>
  <c r="BU108" i="13" s="1"/>
  <c r="BM108" i="13"/>
  <c r="BJ108" i="13"/>
  <c r="BC108" i="13"/>
  <c r="BF108" i="13" s="1"/>
  <c r="AX108" i="13"/>
  <c r="AY108" i="13" s="1"/>
  <c r="AQ108" i="13"/>
  <c r="AR108" i="13" s="1"/>
  <c r="AK108" i="13"/>
  <c r="AJ108" i="13"/>
  <c r="AG108" i="13"/>
  <c r="Y108" i="13"/>
  <c r="AB108" i="13" s="1"/>
  <c r="AC108" i="13" s="1"/>
  <c r="Q108" i="13"/>
  <c r="T108" i="13" s="1"/>
  <c r="U108" i="13" s="1"/>
  <c r="F108" i="13"/>
  <c r="J108" i="13" s="1"/>
  <c r="K108" i="13" s="1"/>
  <c r="BY107" i="13"/>
  <c r="CB107" i="13" s="1"/>
  <c r="BR107" i="13"/>
  <c r="BU107" i="13" s="1"/>
  <c r="BJ107" i="13"/>
  <c r="BM107" i="13" s="1"/>
  <c r="BF107" i="13"/>
  <c r="BC107" i="13"/>
  <c r="AX107" i="13"/>
  <c r="AY107" i="13" s="1"/>
  <c r="AQ107" i="13"/>
  <c r="AR107" i="13" s="1"/>
  <c r="AJ107" i="13"/>
  <c r="AK107" i="13" s="1"/>
  <c r="AG107" i="13"/>
  <c r="AC107" i="13"/>
  <c r="Y107" i="13"/>
  <c r="AB107" i="13" s="1"/>
  <c r="Q107" i="13"/>
  <c r="T107" i="13" s="1"/>
  <c r="U107" i="13" s="1"/>
  <c r="F107" i="13"/>
  <c r="J107" i="13" s="1"/>
  <c r="K107" i="13" s="1"/>
  <c r="BY106" i="13"/>
  <c r="CB106" i="13" s="1"/>
  <c r="BR106" i="13"/>
  <c r="BU106" i="13" s="1"/>
  <c r="BJ106" i="13"/>
  <c r="BM106" i="13" s="1"/>
  <c r="BC106" i="13"/>
  <c r="BF106" i="13" s="1"/>
  <c r="AX106" i="13"/>
  <c r="AY106" i="13" s="1"/>
  <c r="AQ106" i="13"/>
  <c r="AR106" i="13" s="1"/>
  <c r="AG106" i="13"/>
  <c r="AJ106" i="13" s="1"/>
  <c r="AK106" i="13" s="1"/>
  <c r="Y106" i="13"/>
  <c r="AB106" i="13" s="1"/>
  <c r="AC106" i="13" s="1"/>
  <c r="U106" i="13"/>
  <c r="T106" i="13"/>
  <c r="Q106" i="13"/>
  <c r="F106" i="13"/>
  <c r="J106" i="13" s="1"/>
  <c r="K106" i="13" s="1"/>
  <c r="BY105" i="13"/>
  <c r="CB105" i="13" s="1"/>
  <c r="BR105" i="13"/>
  <c r="BU105" i="13" s="1"/>
  <c r="BJ105" i="13"/>
  <c r="BM105" i="13" s="1"/>
  <c r="BF105" i="13"/>
  <c r="BC105" i="13"/>
  <c r="AX105" i="13"/>
  <c r="AY105" i="13" s="1"/>
  <c r="AR105" i="13"/>
  <c r="AQ105" i="13"/>
  <c r="AG105" i="13"/>
  <c r="AJ105" i="13" s="1"/>
  <c r="AK105" i="13" s="1"/>
  <c r="Y105" i="13"/>
  <c r="AB105" i="13" s="1"/>
  <c r="AC105" i="13" s="1"/>
  <c r="T105" i="13"/>
  <c r="U105" i="13" s="1"/>
  <c r="Q105" i="13"/>
  <c r="F105" i="13"/>
  <c r="J105" i="13" s="1"/>
  <c r="K105" i="13" s="1"/>
  <c r="BY104" i="13"/>
  <c r="CB104" i="13" s="1"/>
  <c r="BR104" i="13"/>
  <c r="BU104" i="13" s="1"/>
  <c r="BJ104" i="13"/>
  <c r="BM104" i="13" s="1"/>
  <c r="BF104" i="13"/>
  <c r="BC104" i="13"/>
  <c r="AX104" i="13"/>
  <c r="AY104" i="13" s="1"/>
  <c r="AQ104" i="13"/>
  <c r="AR104" i="13" s="1"/>
  <c r="AG104" i="13"/>
  <c r="AJ104" i="13" s="1"/>
  <c r="AK104" i="13" s="1"/>
  <c r="Y104" i="13"/>
  <c r="AB104" i="13" s="1"/>
  <c r="AC104" i="13" s="1"/>
  <c r="Q104" i="13"/>
  <c r="T104" i="13" s="1"/>
  <c r="U104" i="13" s="1"/>
  <c r="F104" i="13"/>
  <c r="J104" i="13" s="1"/>
  <c r="K104" i="13" s="1"/>
  <c r="BY103" i="13"/>
  <c r="CB103" i="13" s="1"/>
  <c r="BR103" i="13"/>
  <c r="BU103" i="13" s="1"/>
  <c r="BJ103" i="13"/>
  <c r="BM103" i="13" s="1"/>
  <c r="BC103" i="13"/>
  <c r="BF103" i="13" s="1"/>
  <c r="AY103" i="13"/>
  <c r="AX103" i="13"/>
  <c r="AQ103" i="13"/>
  <c r="AG103" i="13"/>
  <c r="AJ103" i="13" s="1"/>
  <c r="AK103" i="13" s="1"/>
  <c r="AB103" i="13"/>
  <c r="AC103" i="13" s="1"/>
  <c r="Y103" i="13"/>
  <c r="Q103" i="13"/>
  <c r="T103" i="13" s="1"/>
  <c r="U103" i="13" s="1"/>
  <c r="J103" i="13"/>
  <c r="K103" i="13" s="1"/>
  <c r="F103" i="13"/>
  <c r="BY102" i="13"/>
  <c r="CB102" i="13" s="1"/>
  <c r="BR102" i="13"/>
  <c r="BU102" i="13" s="1"/>
  <c r="BJ102" i="13"/>
  <c r="BM102" i="13" s="1"/>
  <c r="BC102" i="13"/>
  <c r="BF102" i="13" s="1"/>
  <c r="AX102" i="13"/>
  <c r="AY102" i="13" s="1"/>
  <c r="AQ102" i="13"/>
  <c r="AR102" i="13" s="1"/>
  <c r="AG102" i="13"/>
  <c r="AJ102" i="13" s="1"/>
  <c r="AK102" i="13" s="1"/>
  <c r="Y102" i="13"/>
  <c r="AB102" i="13" s="1"/>
  <c r="AC102" i="13" s="1"/>
  <c r="U102" i="13"/>
  <c r="Q102" i="13"/>
  <c r="T102" i="13" s="1"/>
  <c r="F102" i="13"/>
  <c r="J102" i="13" s="1"/>
  <c r="K102" i="13" s="1"/>
  <c r="CB101" i="13"/>
  <c r="BY101" i="13"/>
  <c r="BR101" i="13"/>
  <c r="BU101" i="13" s="1"/>
  <c r="BJ101" i="13"/>
  <c r="BM101" i="13" s="1"/>
  <c r="BC101" i="13"/>
  <c r="BF101" i="13" s="1"/>
  <c r="AY101" i="13"/>
  <c r="AX101" i="13"/>
  <c r="AQ101" i="13"/>
  <c r="AR101" i="13" s="1"/>
  <c r="AG101" i="13"/>
  <c r="AJ101" i="13" s="1"/>
  <c r="AK101" i="13" s="1"/>
  <c r="Y101" i="13"/>
  <c r="AB101" i="13" s="1"/>
  <c r="AC101" i="13" s="1"/>
  <c r="Q101" i="13"/>
  <c r="T101" i="13" s="1"/>
  <c r="U101" i="13" s="1"/>
  <c r="F101" i="13"/>
  <c r="J101" i="13" s="1"/>
  <c r="K101" i="13" s="1"/>
  <c r="BY100" i="13"/>
  <c r="CB100" i="13" s="1"/>
  <c r="BR100" i="13"/>
  <c r="BU100" i="13" s="1"/>
  <c r="BJ100" i="13"/>
  <c r="BM100" i="13" s="1"/>
  <c r="BF100" i="13"/>
  <c r="BC100" i="13"/>
  <c r="AX100" i="13"/>
  <c r="AY100" i="13" s="1"/>
  <c r="AR100" i="13"/>
  <c r="AQ100" i="13"/>
  <c r="AG100" i="13"/>
  <c r="AJ100" i="13" s="1"/>
  <c r="AK100" i="13" s="1"/>
  <c r="Y100" i="13"/>
  <c r="AB100" i="13" s="1"/>
  <c r="AC100" i="13" s="1"/>
  <c r="Q100" i="13"/>
  <c r="T100" i="13" s="1"/>
  <c r="U100" i="13" s="1"/>
  <c r="F100" i="13"/>
  <c r="J100" i="13" s="1"/>
  <c r="K100" i="13" s="1"/>
  <c r="BY99" i="13"/>
  <c r="CB99" i="13" s="1"/>
  <c r="BR99" i="13"/>
  <c r="BU99" i="13" s="1"/>
  <c r="BJ99" i="13"/>
  <c r="BM99" i="13" s="1"/>
  <c r="BC99" i="13"/>
  <c r="BF99" i="13" s="1"/>
  <c r="AX99" i="13"/>
  <c r="AY99" i="13" s="1"/>
  <c r="AQ99" i="13"/>
  <c r="AR99" i="13" s="1"/>
  <c r="AG99" i="13"/>
  <c r="AJ99" i="13" s="1"/>
  <c r="AK99" i="13" s="1"/>
  <c r="Y99" i="13"/>
  <c r="AB99" i="13" s="1"/>
  <c r="AC99" i="13" s="1"/>
  <c r="Q99" i="13"/>
  <c r="T99" i="13" s="1"/>
  <c r="U99" i="13" s="1"/>
  <c r="F99" i="13"/>
  <c r="J99" i="13" s="1"/>
  <c r="K99" i="13" s="1"/>
  <c r="BY98" i="13"/>
  <c r="CB98" i="13" s="1"/>
  <c r="BR98" i="13"/>
  <c r="BU98" i="13" s="1"/>
  <c r="BJ98" i="13"/>
  <c r="BM98" i="13" s="1"/>
  <c r="BC98" i="13"/>
  <c r="BF98" i="13" s="1"/>
  <c r="AX98" i="13"/>
  <c r="AY98" i="13" s="1"/>
  <c r="AQ98" i="13"/>
  <c r="AR98" i="13" s="1"/>
  <c r="AJ98" i="13"/>
  <c r="AK98" i="13" s="1"/>
  <c r="AG98" i="13"/>
  <c r="Y98" i="13"/>
  <c r="AB98" i="13" s="1"/>
  <c r="AC98" i="13" s="1"/>
  <c r="Q98" i="13"/>
  <c r="T98" i="13" s="1"/>
  <c r="U98" i="13" s="1"/>
  <c r="F98" i="13"/>
  <c r="J98" i="13" s="1"/>
  <c r="K98" i="13" s="1"/>
  <c r="CB97" i="13"/>
  <c r="BY97" i="13"/>
  <c r="BR97" i="13"/>
  <c r="BU97" i="13" s="1"/>
  <c r="BJ97" i="13"/>
  <c r="BM97" i="13" s="1"/>
  <c r="BC97" i="13"/>
  <c r="BF97" i="13" s="1"/>
  <c r="AY97" i="13"/>
  <c r="AX97" i="13"/>
  <c r="AQ97" i="13"/>
  <c r="AR97" i="13" s="1"/>
  <c r="AG97" i="13"/>
  <c r="AJ97" i="13" s="1"/>
  <c r="AK97" i="13" s="1"/>
  <c r="Y97" i="13"/>
  <c r="AB97" i="13" s="1"/>
  <c r="AC97" i="13" s="1"/>
  <c r="Q97" i="13"/>
  <c r="T97" i="13" s="1"/>
  <c r="U97" i="13" s="1"/>
  <c r="F97" i="13"/>
  <c r="J97" i="13" s="1"/>
  <c r="K97" i="13" s="1"/>
  <c r="BY96" i="13"/>
  <c r="CB96" i="13" s="1"/>
  <c r="BR96" i="13"/>
  <c r="BU96" i="13" s="1"/>
  <c r="BM96" i="13"/>
  <c r="BJ96" i="13"/>
  <c r="BC96" i="13"/>
  <c r="BF96" i="13" s="1"/>
  <c r="AX96" i="13"/>
  <c r="AY96" i="13" s="1"/>
  <c r="AQ96" i="13"/>
  <c r="AR96" i="13" s="1"/>
  <c r="AG96" i="13"/>
  <c r="AJ96" i="13" s="1"/>
  <c r="Y96" i="13"/>
  <c r="AB96" i="13" s="1"/>
  <c r="Q96" i="13"/>
  <c r="T96" i="13" s="1"/>
  <c r="F96" i="13"/>
  <c r="J96" i="13" s="1"/>
  <c r="BY95" i="13"/>
  <c r="CB95" i="13" s="1"/>
  <c r="BR95" i="13"/>
  <c r="BU95" i="13" s="1"/>
  <c r="BJ95" i="13"/>
  <c r="BM95" i="13" s="1"/>
  <c r="BN95" i="13" s="1"/>
  <c r="BC95" i="13"/>
  <c r="BF95" i="13" s="1"/>
  <c r="AX95" i="13"/>
  <c r="AY95" i="13" s="1"/>
  <c r="AR95" i="13"/>
  <c r="AQ95" i="13"/>
  <c r="AG95" i="13"/>
  <c r="AJ95" i="13" s="1"/>
  <c r="Y95" i="13"/>
  <c r="AB95" i="13" s="1"/>
  <c r="AC95" i="13" s="1"/>
  <c r="Q95" i="13"/>
  <c r="T95" i="13" s="1"/>
  <c r="U95" i="13" s="1"/>
  <c r="F95" i="13"/>
  <c r="J95" i="13" s="1"/>
  <c r="K95" i="13" s="1"/>
  <c r="CB94" i="13"/>
  <c r="BY94" i="13"/>
  <c r="BR94" i="13"/>
  <c r="BU94" i="13" s="1"/>
  <c r="BM94" i="13"/>
  <c r="BJ94" i="13"/>
  <c r="BC94" i="13"/>
  <c r="BF94" i="13" s="1"/>
  <c r="AY94" i="13"/>
  <c r="AX94" i="13"/>
  <c r="AQ94" i="13"/>
  <c r="AR94" i="13" s="1"/>
  <c r="AJ94" i="13"/>
  <c r="AG94" i="13"/>
  <c r="Y94" i="13"/>
  <c r="AB94" i="13" s="1"/>
  <c r="Q94" i="13"/>
  <c r="T94" i="13" s="1"/>
  <c r="F94" i="13"/>
  <c r="J94" i="13" s="1"/>
  <c r="BY93" i="13"/>
  <c r="CB93" i="13" s="1"/>
  <c r="CC93" i="13" s="1"/>
  <c r="BR93" i="13"/>
  <c r="BU93" i="13" s="1"/>
  <c r="BJ93" i="13"/>
  <c r="BM93" i="13" s="1"/>
  <c r="BN93" i="13" s="1"/>
  <c r="BC93" i="13"/>
  <c r="BF93" i="13" s="1"/>
  <c r="AX93" i="13"/>
  <c r="AY93" i="13" s="1"/>
  <c r="AR93" i="13"/>
  <c r="AQ93" i="13"/>
  <c r="AG93" i="13"/>
  <c r="AJ93" i="13" s="1"/>
  <c r="AK93" i="13" s="1"/>
  <c r="Y93" i="13"/>
  <c r="AB93" i="13" s="1"/>
  <c r="AC93" i="13" s="1"/>
  <c r="Q93" i="13"/>
  <c r="T93" i="13" s="1"/>
  <c r="U93" i="13" s="1"/>
  <c r="J93" i="13"/>
  <c r="K93" i="13" s="1"/>
  <c r="F93" i="13"/>
  <c r="BY92" i="13"/>
  <c r="CB92" i="13" s="1"/>
  <c r="CC92" i="13" s="1"/>
  <c r="BR92" i="13"/>
  <c r="BU92" i="13" s="1"/>
  <c r="BJ92" i="13"/>
  <c r="BM92" i="13" s="1"/>
  <c r="BN92" i="13" s="1"/>
  <c r="BC92" i="13"/>
  <c r="BF92" i="13" s="1"/>
  <c r="AY92" i="13"/>
  <c r="AX92" i="13"/>
  <c r="AQ92" i="13"/>
  <c r="AR92" i="13" s="1"/>
  <c r="AG92" i="13"/>
  <c r="AJ92" i="13" s="1"/>
  <c r="AK92" i="13" s="1"/>
  <c r="Y92" i="13"/>
  <c r="AB92" i="13" s="1"/>
  <c r="AC92" i="13" s="1"/>
  <c r="Q92" i="13"/>
  <c r="T92" i="13" s="1"/>
  <c r="U92" i="13" s="1"/>
  <c r="F92" i="13"/>
  <c r="J92" i="13" s="1"/>
  <c r="K92" i="13" s="1"/>
  <c r="CB91" i="13"/>
  <c r="CC91" i="13" s="1"/>
  <c r="BY91" i="13"/>
  <c r="BR91" i="13"/>
  <c r="BU91" i="13" s="1"/>
  <c r="BJ91" i="13"/>
  <c r="BM91" i="13" s="1"/>
  <c r="BN91" i="13" s="1"/>
  <c r="BC91" i="13"/>
  <c r="BF91" i="13" s="1"/>
  <c r="AX91" i="13"/>
  <c r="AY91" i="13" s="1"/>
  <c r="AQ91" i="13"/>
  <c r="AR91" i="13" s="1"/>
  <c r="AG91" i="13"/>
  <c r="AJ91" i="13" s="1"/>
  <c r="AK91" i="13" s="1"/>
  <c r="Y91" i="13"/>
  <c r="AB91" i="13" s="1"/>
  <c r="AC91" i="13" s="1"/>
  <c r="U91" i="13"/>
  <c r="Q91" i="13"/>
  <c r="T91" i="13" s="1"/>
  <c r="F91" i="13"/>
  <c r="J91" i="13" s="1"/>
  <c r="K91" i="13" s="1"/>
  <c r="BY90" i="13"/>
  <c r="CB90" i="13" s="1"/>
  <c r="CC90" i="13" s="1"/>
  <c r="BR90" i="13"/>
  <c r="BU90" i="13" s="1"/>
  <c r="BJ90" i="13"/>
  <c r="BM90" i="13" s="1"/>
  <c r="BN90" i="13" s="1"/>
  <c r="BF90" i="13"/>
  <c r="BC90" i="13"/>
  <c r="AX90" i="13"/>
  <c r="AY90" i="13" s="1"/>
  <c r="AQ90" i="13"/>
  <c r="AR90" i="13" s="1"/>
  <c r="AJ90" i="13"/>
  <c r="AK90" i="13" s="1"/>
  <c r="AG90" i="13"/>
  <c r="AB90" i="13"/>
  <c r="AC90" i="13" s="1"/>
  <c r="Y90" i="13"/>
  <c r="Q90" i="13"/>
  <c r="T90" i="13" s="1"/>
  <c r="U90" i="13" s="1"/>
  <c r="F90" i="13"/>
  <c r="J90" i="13" s="1"/>
  <c r="K90" i="13" s="1"/>
  <c r="BY89" i="13"/>
  <c r="CB89" i="13" s="1"/>
  <c r="CC89" i="13" s="1"/>
  <c r="BR89" i="13"/>
  <c r="BU89" i="13" s="1"/>
  <c r="BJ89" i="13"/>
  <c r="BM89" i="13" s="1"/>
  <c r="BN89" i="13" s="1"/>
  <c r="BC89" i="13"/>
  <c r="BF89" i="13" s="1"/>
  <c r="AX89" i="13"/>
  <c r="AY89" i="13" s="1"/>
  <c r="AQ89" i="13"/>
  <c r="AR89" i="13" s="1"/>
  <c r="AG89" i="13"/>
  <c r="AJ89" i="13" s="1"/>
  <c r="AK89" i="13" s="1"/>
  <c r="Y89" i="13"/>
  <c r="AB89" i="13" s="1"/>
  <c r="AC89" i="13" s="1"/>
  <c r="Q89" i="13"/>
  <c r="T89" i="13" s="1"/>
  <c r="U89" i="13" s="1"/>
  <c r="F89" i="13"/>
  <c r="J89" i="13" s="1"/>
  <c r="K89" i="13" s="1"/>
  <c r="CB88" i="13"/>
  <c r="CC88" i="13" s="1"/>
  <c r="BY88" i="13"/>
  <c r="BR88" i="13"/>
  <c r="BU88" i="13" s="1"/>
  <c r="BN88" i="13"/>
  <c r="BJ88" i="13"/>
  <c r="BM88" i="13" s="1"/>
  <c r="BF88" i="13"/>
  <c r="BC88" i="13"/>
  <c r="AX88" i="13"/>
  <c r="AY88" i="13" s="1"/>
  <c r="AR88" i="13"/>
  <c r="AQ88" i="13"/>
  <c r="AG88" i="13"/>
  <c r="AJ88" i="13" s="1"/>
  <c r="AK88" i="13" s="1"/>
  <c r="AB88" i="13"/>
  <c r="AC88" i="13" s="1"/>
  <c r="Y88" i="13"/>
  <c r="Q88" i="13"/>
  <c r="T88" i="13" s="1"/>
  <c r="U88" i="13" s="1"/>
  <c r="F88" i="13"/>
  <c r="J88" i="13" s="1"/>
  <c r="K88" i="13" s="1"/>
  <c r="BY87" i="13"/>
  <c r="CB87" i="13" s="1"/>
  <c r="CC87" i="13" s="1"/>
  <c r="BR87" i="13"/>
  <c r="BU87" i="13" s="1"/>
  <c r="BJ87" i="13"/>
  <c r="BM87" i="13" s="1"/>
  <c r="BN87" i="13" s="1"/>
  <c r="BC87" i="13"/>
  <c r="BF87" i="13" s="1"/>
  <c r="AX87" i="13"/>
  <c r="AY87" i="13" s="1"/>
  <c r="AQ87" i="13"/>
  <c r="AR87" i="13" s="1"/>
  <c r="AG87" i="13"/>
  <c r="AJ87" i="13" s="1"/>
  <c r="AK87" i="13" s="1"/>
  <c r="Y87" i="13"/>
  <c r="AB87" i="13" s="1"/>
  <c r="AC87" i="13" s="1"/>
  <c r="T87" i="13"/>
  <c r="U87" i="13" s="1"/>
  <c r="Q87" i="13"/>
  <c r="J87" i="13"/>
  <c r="K87" i="13" s="1"/>
  <c r="F87" i="13"/>
  <c r="BY86" i="13"/>
  <c r="CB86" i="13" s="1"/>
  <c r="CC86" i="13" s="1"/>
  <c r="BR86" i="13"/>
  <c r="BU86" i="13" s="1"/>
  <c r="BJ86" i="13"/>
  <c r="BM86" i="13" s="1"/>
  <c r="BN86" i="13" s="1"/>
  <c r="BF86" i="13"/>
  <c r="BC86" i="13"/>
  <c r="AY86" i="13"/>
  <c r="AX86" i="13"/>
  <c r="AQ86" i="13"/>
  <c r="AR86" i="13" s="1"/>
  <c r="AG86" i="13"/>
  <c r="AJ86" i="13" s="1"/>
  <c r="AK86" i="13" s="1"/>
  <c r="Y86" i="13"/>
  <c r="AB86" i="13" s="1"/>
  <c r="AC86" i="13" s="1"/>
  <c r="Q86" i="13"/>
  <c r="T86" i="13" s="1"/>
  <c r="U86" i="13" s="1"/>
  <c r="F86" i="13"/>
  <c r="J86" i="13" s="1"/>
  <c r="K86" i="13" s="1"/>
  <c r="BY85" i="13"/>
  <c r="CB85" i="13" s="1"/>
  <c r="CC85" i="13" s="1"/>
  <c r="BR85" i="13"/>
  <c r="BU85" i="13" s="1"/>
  <c r="BJ85" i="13"/>
  <c r="BM85" i="13" s="1"/>
  <c r="BN85" i="13" s="1"/>
  <c r="BC85" i="13"/>
  <c r="BF85" i="13" s="1"/>
  <c r="AX85" i="13"/>
  <c r="AY85" i="13" s="1"/>
  <c r="AQ85" i="13"/>
  <c r="AR85" i="13" s="1"/>
  <c r="AG85" i="13"/>
  <c r="AJ85" i="13" s="1"/>
  <c r="AK85" i="13" s="1"/>
  <c r="Y85" i="13"/>
  <c r="AB85" i="13" s="1"/>
  <c r="AC85" i="13" s="1"/>
  <c r="Q85" i="13"/>
  <c r="T85" i="13" s="1"/>
  <c r="U85" i="13" s="1"/>
  <c r="J85" i="13"/>
  <c r="K85" i="13" s="1"/>
  <c r="F85" i="13"/>
  <c r="BY84" i="13"/>
  <c r="CB84" i="13" s="1"/>
  <c r="CC84" i="13" s="1"/>
  <c r="BR84" i="13"/>
  <c r="BU84" i="13" s="1"/>
  <c r="BM84" i="13"/>
  <c r="BN84" i="13" s="1"/>
  <c r="BJ84" i="13"/>
  <c r="BC84" i="13"/>
  <c r="BF84" i="13" s="1"/>
  <c r="AY84" i="13"/>
  <c r="AX84" i="13"/>
  <c r="AQ84" i="13"/>
  <c r="AR84" i="13" s="1"/>
  <c r="AG84" i="13"/>
  <c r="AJ84" i="13" s="1"/>
  <c r="AK84" i="13" s="1"/>
  <c r="Y84" i="13"/>
  <c r="AB84" i="13" s="1"/>
  <c r="AC84" i="13" s="1"/>
  <c r="Q84" i="13"/>
  <c r="T84" i="13" s="1"/>
  <c r="U84" i="13" s="1"/>
  <c r="F84" i="13"/>
  <c r="J84" i="13" s="1"/>
  <c r="K84" i="13" s="1"/>
  <c r="CB83" i="13"/>
  <c r="CC83" i="13" s="1"/>
  <c r="BY83" i="13"/>
  <c r="BR83" i="13"/>
  <c r="BU83" i="13" s="1"/>
  <c r="BJ83" i="13"/>
  <c r="BM83" i="13" s="1"/>
  <c r="BN83" i="13" s="1"/>
  <c r="BC83" i="13"/>
  <c r="BF83" i="13" s="1"/>
  <c r="AX83" i="13"/>
  <c r="AY83" i="13" s="1"/>
  <c r="AQ83" i="13"/>
  <c r="AR83" i="13" s="1"/>
  <c r="AG83" i="13"/>
  <c r="AJ83" i="13" s="1"/>
  <c r="AK83" i="13" s="1"/>
  <c r="Y83" i="13"/>
  <c r="AB83" i="13" s="1"/>
  <c r="AC83" i="13" s="1"/>
  <c r="Q83" i="13"/>
  <c r="T83" i="13" s="1"/>
  <c r="U83" i="13" s="1"/>
  <c r="K83" i="13"/>
  <c r="F83" i="13"/>
  <c r="CB82" i="13"/>
  <c r="CC82" i="13" s="1"/>
  <c r="BY82" i="13"/>
  <c r="BR82" i="13"/>
  <c r="BU82" i="13" s="1"/>
  <c r="BJ82" i="13"/>
  <c r="BM82" i="13" s="1"/>
  <c r="BN82" i="13" s="1"/>
  <c r="BC82" i="13"/>
  <c r="BF82" i="13" s="1"/>
  <c r="AX82" i="13"/>
  <c r="AY82" i="13" s="1"/>
  <c r="AQ82" i="13"/>
  <c r="AR82" i="13" s="1"/>
  <c r="AG82" i="13"/>
  <c r="AJ82" i="13" s="1"/>
  <c r="AK82" i="13" s="1"/>
  <c r="Y82" i="13"/>
  <c r="AB82" i="13" s="1"/>
  <c r="AC82" i="13" s="1"/>
  <c r="Q82" i="13"/>
  <c r="T82" i="13" s="1"/>
  <c r="U82" i="13" s="1"/>
  <c r="F82" i="13"/>
  <c r="J82" i="13" s="1"/>
  <c r="K82" i="13" s="1"/>
  <c r="BY81" i="13"/>
  <c r="CB81" i="13" s="1"/>
  <c r="CC81" i="13" s="1"/>
  <c r="BR81" i="13"/>
  <c r="BU81" i="13" s="1"/>
  <c r="BJ81" i="13"/>
  <c r="BM81" i="13" s="1"/>
  <c r="BN81" i="13" s="1"/>
  <c r="BC81" i="13"/>
  <c r="BF81" i="13" s="1"/>
  <c r="AX81" i="13"/>
  <c r="AY81" i="13" s="1"/>
  <c r="AQ81" i="13"/>
  <c r="AR81" i="13" s="1"/>
  <c r="AG81" i="13"/>
  <c r="AJ81" i="13" s="1"/>
  <c r="AK81" i="13" s="1"/>
  <c r="Y81" i="13"/>
  <c r="AB81" i="13" s="1"/>
  <c r="AC81" i="13" s="1"/>
  <c r="Q81" i="13"/>
  <c r="T81" i="13" s="1"/>
  <c r="U81" i="13" s="1"/>
  <c r="F81" i="13"/>
  <c r="J81" i="13" s="1"/>
  <c r="K81" i="13" s="1"/>
  <c r="CB80" i="13"/>
  <c r="CC80" i="13" s="1"/>
  <c r="BY80" i="13"/>
  <c r="BR80" i="13"/>
  <c r="BU80" i="13" s="1"/>
  <c r="BJ80" i="13"/>
  <c r="BM80" i="13" s="1"/>
  <c r="BN80" i="13" s="1"/>
  <c r="BC80" i="13"/>
  <c r="BF80" i="13" s="1"/>
  <c r="AY80" i="13"/>
  <c r="AX80" i="13"/>
  <c r="AQ80" i="13"/>
  <c r="AR80" i="13" s="1"/>
  <c r="AG80" i="13"/>
  <c r="AJ80" i="13" s="1"/>
  <c r="AK80" i="13" s="1"/>
  <c r="Y80" i="13"/>
  <c r="AB80" i="13" s="1"/>
  <c r="AC80" i="13" s="1"/>
  <c r="Q80" i="13"/>
  <c r="T80" i="13" s="1"/>
  <c r="U80" i="13" s="1"/>
  <c r="F80" i="13"/>
  <c r="J80" i="13" s="1"/>
  <c r="K80" i="13" s="1"/>
  <c r="BY79" i="13"/>
  <c r="CB79" i="13" s="1"/>
  <c r="CC79" i="13" s="1"/>
  <c r="BR79" i="13"/>
  <c r="BU79" i="13" s="1"/>
  <c r="BJ79" i="13"/>
  <c r="BM79" i="13" s="1"/>
  <c r="BN79" i="13" s="1"/>
  <c r="BF79" i="13"/>
  <c r="BC79" i="13"/>
  <c r="AX79" i="13"/>
  <c r="AY79" i="13" s="1"/>
  <c r="AQ79" i="13"/>
  <c r="AR79" i="13" s="1"/>
  <c r="AG79" i="13"/>
  <c r="AJ79" i="13" s="1"/>
  <c r="AK79" i="13" s="1"/>
  <c r="Y79" i="13"/>
  <c r="AB79" i="13" s="1"/>
  <c r="AC79" i="13" s="1"/>
  <c r="Q79" i="13"/>
  <c r="T79" i="13" s="1"/>
  <c r="U79" i="13" s="1"/>
  <c r="F79" i="13"/>
  <c r="J79" i="13" s="1"/>
  <c r="K79" i="13" s="1"/>
  <c r="BY78" i="13"/>
  <c r="CB78" i="13" s="1"/>
  <c r="CC78" i="13" s="1"/>
  <c r="BU78" i="13"/>
  <c r="BR78" i="13"/>
  <c r="BJ78" i="13"/>
  <c r="BM78" i="13" s="1"/>
  <c r="BN78" i="13" s="1"/>
  <c r="BC78" i="13"/>
  <c r="BF78" i="13" s="1"/>
  <c r="AX78" i="13"/>
  <c r="AY78" i="13" s="1"/>
  <c r="AQ78" i="13"/>
  <c r="AR78" i="13" s="1"/>
  <c r="AJ78" i="13"/>
  <c r="AK78" i="13" s="1"/>
  <c r="AG78" i="13"/>
  <c r="Y78" i="13"/>
  <c r="AB78" i="13" s="1"/>
  <c r="AC78" i="13" s="1"/>
  <c r="Q78" i="13"/>
  <c r="T78" i="13" s="1"/>
  <c r="U78" i="13" s="1"/>
  <c r="F78" i="13"/>
  <c r="J78" i="13" s="1"/>
  <c r="K78" i="13" s="1"/>
  <c r="BY77" i="13"/>
  <c r="CB77" i="13" s="1"/>
  <c r="CC77" i="13" s="1"/>
  <c r="BR77" i="13"/>
  <c r="BU77" i="13" s="1"/>
  <c r="BJ77" i="13"/>
  <c r="BM77" i="13" s="1"/>
  <c r="BN77" i="13" s="1"/>
  <c r="BC77" i="13"/>
  <c r="BF77" i="13" s="1"/>
  <c r="AX77" i="13"/>
  <c r="AY77" i="13" s="1"/>
  <c r="AQ77" i="13"/>
  <c r="AR77" i="13" s="1"/>
  <c r="AG77" i="13"/>
  <c r="AJ77" i="13" s="1"/>
  <c r="AK77" i="13" s="1"/>
  <c r="Y77" i="13"/>
  <c r="AB77" i="13" s="1"/>
  <c r="AC77" i="13" s="1"/>
  <c r="Q77" i="13"/>
  <c r="T77" i="13" s="1"/>
  <c r="U77" i="13" s="1"/>
  <c r="K77" i="13"/>
  <c r="F77" i="13"/>
  <c r="J77" i="13" s="1"/>
  <c r="CB76" i="13"/>
  <c r="CC76" i="13" s="1"/>
  <c r="BY76" i="13"/>
  <c r="BR76" i="13"/>
  <c r="BU76" i="13" s="1"/>
  <c r="BJ76" i="13"/>
  <c r="BM76" i="13" s="1"/>
  <c r="BN76" i="13" s="1"/>
  <c r="BC76" i="13"/>
  <c r="BF76" i="13" s="1"/>
  <c r="AX76" i="13"/>
  <c r="AY76" i="13" s="1"/>
  <c r="AR76" i="13"/>
  <c r="AQ76" i="13"/>
  <c r="AG76" i="13"/>
  <c r="AJ76" i="13" s="1"/>
  <c r="AK76" i="13" s="1"/>
  <c r="Y76" i="13"/>
  <c r="AB76" i="13" s="1"/>
  <c r="AC76" i="13" s="1"/>
  <c r="Q76" i="13"/>
  <c r="T76" i="13" s="1"/>
  <c r="U76" i="13" s="1"/>
  <c r="J76" i="13"/>
  <c r="K76" i="13" s="1"/>
  <c r="F76" i="13"/>
  <c r="BY75" i="13"/>
  <c r="CB75" i="13" s="1"/>
  <c r="CC75" i="13" s="1"/>
  <c r="BR75" i="13"/>
  <c r="BU75" i="13" s="1"/>
  <c r="BJ75" i="13"/>
  <c r="BM75" i="13" s="1"/>
  <c r="BN75" i="13" s="1"/>
  <c r="BC75" i="13"/>
  <c r="BF75" i="13" s="1"/>
  <c r="AY75" i="13"/>
  <c r="AX75" i="13"/>
  <c r="AQ75" i="13"/>
  <c r="AG75" i="13"/>
  <c r="AJ75" i="13" s="1"/>
  <c r="AK75" i="13" s="1"/>
  <c r="Y75" i="13"/>
  <c r="AB75" i="13" s="1"/>
  <c r="Q75" i="13"/>
  <c r="T75" i="13" s="1"/>
  <c r="U75" i="13" s="1"/>
  <c r="F75" i="13"/>
  <c r="J75" i="13" s="1"/>
  <c r="K75" i="13" s="1"/>
  <c r="BY74" i="13"/>
  <c r="CB74" i="13" s="1"/>
  <c r="CC74" i="13" s="1"/>
  <c r="BR74" i="13"/>
  <c r="BU74" i="13" s="1"/>
  <c r="BJ74" i="13"/>
  <c r="BM74" i="13" s="1"/>
  <c r="BN74" i="13" s="1"/>
  <c r="BC74" i="13"/>
  <c r="BF74" i="13" s="1"/>
  <c r="AY74" i="13"/>
  <c r="AX74" i="13"/>
  <c r="AQ74" i="13"/>
  <c r="AR74" i="13" s="1"/>
  <c r="AG74" i="13"/>
  <c r="AJ74" i="13" s="1"/>
  <c r="AK74" i="13" s="1"/>
  <c r="Y74" i="13"/>
  <c r="AB74" i="13" s="1"/>
  <c r="AC74" i="13" s="1"/>
  <c r="Q74" i="13"/>
  <c r="T74" i="13" s="1"/>
  <c r="U74" i="13" s="1"/>
  <c r="F74" i="13"/>
  <c r="J74" i="13" s="1"/>
  <c r="K74" i="13" s="1"/>
  <c r="CB73" i="13"/>
  <c r="CC73" i="13" s="1"/>
  <c r="BY73" i="13"/>
  <c r="BR73" i="13"/>
  <c r="BU73" i="13" s="1"/>
  <c r="BJ73" i="13"/>
  <c r="BM73" i="13" s="1"/>
  <c r="BN73" i="13" s="1"/>
  <c r="BC73" i="13"/>
  <c r="BF73" i="13" s="1"/>
  <c r="AX73" i="13"/>
  <c r="AY73" i="13" s="1"/>
  <c r="AQ73" i="13"/>
  <c r="AR73" i="13" s="1"/>
  <c r="AG73" i="13"/>
  <c r="AJ73" i="13" s="1"/>
  <c r="AK73" i="13" s="1"/>
  <c r="Y73" i="13"/>
  <c r="AB73" i="13" s="1"/>
  <c r="AC73" i="13" s="1"/>
  <c r="Q73" i="13"/>
  <c r="T73" i="13" s="1"/>
  <c r="U73" i="13" s="1"/>
  <c r="F73" i="13"/>
  <c r="J73" i="13" s="1"/>
  <c r="K73" i="13" s="1"/>
  <c r="BY72" i="13"/>
  <c r="CB72" i="13" s="1"/>
  <c r="CC72" i="13" s="1"/>
  <c r="BR72" i="13"/>
  <c r="BU72" i="13" s="1"/>
  <c r="BJ72" i="13"/>
  <c r="BM72" i="13" s="1"/>
  <c r="BN72" i="13" s="1"/>
  <c r="BF72" i="13"/>
  <c r="BC72" i="13"/>
  <c r="AX72" i="13"/>
  <c r="AY72" i="13" s="1"/>
  <c r="AQ72" i="13"/>
  <c r="AG72" i="13"/>
  <c r="AJ72" i="13" s="1"/>
  <c r="AK72" i="13" s="1"/>
  <c r="Y72" i="13"/>
  <c r="AB72" i="13" s="1"/>
  <c r="AC72" i="13" s="1"/>
  <c r="Q72" i="13"/>
  <c r="T72" i="13" s="1"/>
  <c r="U72" i="13" s="1"/>
  <c r="J72" i="13"/>
  <c r="K72" i="13" s="1"/>
  <c r="F72" i="13"/>
  <c r="BY71" i="13"/>
  <c r="CB71" i="13" s="1"/>
  <c r="CC71" i="13" s="1"/>
  <c r="BR71" i="13"/>
  <c r="BU71" i="13" s="1"/>
  <c r="BJ71" i="13"/>
  <c r="BM71" i="13" s="1"/>
  <c r="BN71" i="13" s="1"/>
  <c r="BC71" i="13"/>
  <c r="BF71" i="13" s="1"/>
  <c r="AY71" i="13"/>
  <c r="AX71" i="13"/>
  <c r="AQ71" i="13"/>
  <c r="AR71" i="13" s="1"/>
  <c r="AJ71" i="13"/>
  <c r="AK71" i="13" s="1"/>
  <c r="AG71" i="13"/>
  <c r="AB71" i="13"/>
  <c r="AC71" i="13" s="1"/>
  <c r="Y71" i="13"/>
  <c r="Q71" i="13"/>
  <c r="T71" i="13" s="1"/>
  <c r="U71" i="13" s="1"/>
  <c r="F71" i="13"/>
  <c r="J71" i="13" s="1"/>
  <c r="K71" i="13" s="1"/>
  <c r="BY70" i="13"/>
  <c r="CB70" i="13" s="1"/>
  <c r="CC70" i="13" s="1"/>
  <c r="BR70" i="13"/>
  <c r="BU70" i="13" s="1"/>
  <c r="BN70" i="13"/>
  <c r="BM70" i="13"/>
  <c r="BJ70" i="13"/>
  <c r="BC70" i="13"/>
  <c r="BF70" i="13" s="1"/>
  <c r="AX70" i="13"/>
  <c r="AY70" i="13" s="1"/>
  <c r="AQ70" i="13"/>
  <c r="AR70" i="13" s="1"/>
  <c r="AG70" i="13"/>
  <c r="AJ70" i="13" s="1"/>
  <c r="AK70" i="13" s="1"/>
  <c r="Y70" i="13"/>
  <c r="AB70" i="13" s="1"/>
  <c r="AC70" i="13" s="1"/>
  <c r="Q70" i="13"/>
  <c r="T70" i="13" s="1"/>
  <c r="U70" i="13" s="1"/>
  <c r="F70" i="13"/>
  <c r="J70" i="13" s="1"/>
  <c r="K70" i="13" s="1"/>
  <c r="BY69" i="13"/>
  <c r="CB69" i="13" s="1"/>
  <c r="CC69" i="13" s="1"/>
  <c r="BU69" i="13"/>
  <c r="BR69" i="13"/>
  <c r="BJ69" i="13"/>
  <c r="BM69" i="13" s="1"/>
  <c r="BN69" i="13" s="1"/>
  <c r="BC69" i="13"/>
  <c r="BF69" i="13" s="1"/>
  <c r="AX69" i="13"/>
  <c r="AY69" i="13" s="1"/>
  <c r="AQ69" i="13"/>
  <c r="AR69" i="13" s="1"/>
  <c r="AG69" i="13"/>
  <c r="AJ69" i="13" s="1"/>
  <c r="AK69" i="13" s="1"/>
  <c r="Y69" i="13"/>
  <c r="AB69" i="13" s="1"/>
  <c r="AC69" i="13" s="1"/>
  <c r="Q69" i="13"/>
  <c r="T69" i="13" s="1"/>
  <c r="U69" i="13" s="1"/>
  <c r="J69" i="13"/>
  <c r="K69" i="13" s="1"/>
  <c r="F69" i="13"/>
  <c r="BY68" i="13"/>
  <c r="CB68" i="13" s="1"/>
  <c r="CC68" i="13" s="1"/>
  <c r="BR68" i="13"/>
  <c r="BU68" i="13" s="1"/>
  <c r="BJ68" i="13"/>
  <c r="BM68" i="13" s="1"/>
  <c r="BN68" i="13" s="1"/>
  <c r="BC68" i="13"/>
  <c r="BF68" i="13" s="1"/>
  <c r="AY68" i="13"/>
  <c r="AX68" i="13"/>
  <c r="AR68" i="13"/>
  <c r="AQ68" i="13"/>
  <c r="AG68" i="13"/>
  <c r="AJ68" i="13" s="1"/>
  <c r="AK68" i="13" s="1"/>
  <c r="Y68" i="13"/>
  <c r="AB68" i="13" s="1"/>
  <c r="AC68" i="13" s="1"/>
  <c r="Q68" i="13"/>
  <c r="T68" i="13" s="1"/>
  <c r="U68" i="13" s="1"/>
  <c r="F68" i="13"/>
  <c r="J68" i="13" s="1"/>
  <c r="BY67" i="13"/>
  <c r="CB67" i="13" s="1"/>
  <c r="CC67" i="13" s="1"/>
  <c r="BR67" i="13"/>
  <c r="BU67" i="13" s="1"/>
  <c r="BJ67" i="13"/>
  <c r="BM67" i="13" s="1"/>
  <c r="BN67" i="13" s="1"/>
  <c r="BC67" i="13"/>
  <c r="BF67" i="13" s="1"/>
  <c r="AX67" i="13"/>
  <c r="AY67" i="13" s="1"/>
  <c r="AR67" i="13"/>
  <c r="AQ67" i="13"/>
  <c r="AG67" i="13"/>
  <c r="AJ67" i="13" s="1"/>
  <c r="AK67" i="13" s="1"/>
  <c r="Y67" i="13"/>
  <c r="AB67" i="13" s="1"/>
  <c r="AC67" i="13" s="1"/>
  <c r="Q67" i="13"/>
  <c r="T67" i="13" s="1"/>
  <c r="U67" i="13" s="1"/>
  <c r="F67" i="13"/>
  <c r="J67" i="13" s="1"/>
  <c r="K67" i="13" s="1"/>
  <c r="CB66" i="13"/>
  <c r="CC66" i="13" s="1"/>
  <c r="BY66" i="13"/>
  <c r="BR66" i="13"/>
  <c r="BU66" i="13" s="1"/>
  <c r="BJ66" i="13"/>
  <c r="BM66" i="13" s="1"/>
  <c r="BN66" i="13" s="1"/>
  <c r="BF66" i="13"/>
  <c r="BC66" i="13"/>
  <c r="AX66" i="13"/>
  <c r="AY66" i="13" s="1"/>
  <c r="AR66" i="13"/>
  <c r="AQ66" i="13"/>
  <c r="AG66" i="13"/>
  <c r="AJ66" i="13" s="1"/>
  <c r="AK66" i="13" s="1"/>
  <c r="Y66" i="13"/>
  <c r="AB66" i="13" s="1"/>
  <c r="AC66" i="13" s="1"/>
  <c r="Q66" i="13"/>
  <c r="T66" i="13" s="1"/>
  <c r="F66" i="13"/>
  <c r="J66" i="13" s="1"/>
  <c r="K66" i="13" s="1"/>
  <c r="CB65" i="13"/>
  <c r="BY65" i="13"/>
  <c r="BR65" i="13"/>
  <c r="BU65" i="13" s="1"/>
  <c r="BJ65" i="13"/>
  <c r="BM65" i="13" s="1"/>
  <c r="BN65" i="13" s="1"/>
  <c r="BC65" i="13"/>
  <c r="BF65" i="13" s="1"/>
  <c r="AX65" i="13"/>
  <c r="AY65" i="13" s="1"/>
  <c r="AR65" i="13"/>
  <c r="AQ65" i="13"/>
  <c r="AG65" i="13"/>
  <c r="AJ65" i="13" s="1"/>
  <c r="Y65" i="13"/>
  <c r="AB65" i="13" s="1"/>
  <c r="AC65" i="13" s="1"/>
  <c r="U65" i="13"/>
  <c r="T65" i="13"/>
  <c r="Q65" i="13"/>
  <c r="F65" i="13"/>
  <c r="J65" i="13" s="1"/>
  <c r="K65" i="13" s="1"/>
  <c r="BY64" i="13"/>
  <c r="CB64" i="13" s="1"/>
  <c r="CC64" i="13" s="1"/>
  <c r="BR64" i="13"/>
  <c r="BU64" i="13" s="1"/>
  <c r="BN64" i="13"/>
  <c r="BM64" i="13"/>
  <c r="BJ64" i="13"/>
  <c r="BC64" i="13"/>
  <c r="BF64" i="13" s="1"/>
  <c r="AX64" i="13"/>
  <c r="AY64" i="13" s="1"/>
  <c r="AR64" i="13"/>
  <c r="AQ64" i="13"/>
  <c r="AG64" i="13"/>
  <c r="AJ64" i="13" s="1"/>
  <c r="AK64" i="13" s="1"/>
  <c r="Y64" i="13"/>
  <c r="AB64" i="13" s="1"/>
  <c r="AC64" i="13" s="1"/>
  <c r="Q64" i="13"/>
  <c r="T64" i="13" s="1"/>
  <c r="U64" i="13" s="1"/>
  <c r="F64" i="13"/>
  <c r="J64" i="13" s="1"/>
  <c r="K64" i="13" s="1"/>
  <c r="CB63" i="13"/>
  <c r="CC63" i="13" s="1"/>
  <c r="BY63" i="13"/>
  <c r="BU63" i="13"/>
  <c r="BR63" i="13"/>
  <c r="BJ63" i="13"/>
  <c r="BM63" i="13" s="1"/>
  <c r="BN63" i="13" s="1"/>
  <c r="BC63" i="13"/>
  <c r="BF63" i="13" s="1"/>
  <c r="AX63" i="13"/>
  <c r="AY63" i="13" s="1"/>
  <c r="AQ63" i="13"/>
  <c r="AR63" i="13" s="1"/>
  <c r="AJ63" i="13"/>
  <c r="AK63" i="13" s="1"/>
  <c r="AG63" i="13"/>
  <c r="Y63" i="13"/>
  <c r="AB63" i="13" s="1"/>
  <c r="AC63" i="13" s="1"/>
  <c r="T63" i="13"/>
  <c r="U63" i="13" s="1"/>
  <c r="Q63" i="13"/>
  <c r="F63" i="13"/>
  <c r="J63" i="13" s="1"/>
  <c r="K63" i="13" s="1"/>
  <c r="BY62" i="13"/>
  <c r="CB62" i="13" s="1"/>
  <c r="CC62" i="13" s="1"/>
  <c r="BR62" i="13"/>
  <c r="BU62" i="13" s="1"/>
  <c r="BJ62" i="13"/>
  <c r="BM62" i="13" s="1"/>
  <c r="BN62" i="13" s="1"/>
  <c r="BF62" i="13"/>
  <c r="BC62" i="13"/>
  <c r="AX62" i="13"/>
  <c r="AY62" i="13" s="1"/>
  <c r="AR62" i="13"/>
  <c r="AQ62" i="13"/>
  <c r="AG62" i="13"/>
  <c r="AJ62" i="13" s="1"/>
  <c r="AK62" i="13" s="1"/>
  <c r="AB62" i="13"/>
  <c r="AC62" i="13" s="1"/>
  <c r="Y62" i="13"/>
  <c r="Q62" i="13"/>
  <c r="T62" i="13" s="1"/>
  <c r="U62" i="13" s="1"/>
  <c r="F62" i="13"/>
  <c r="J62" i="13" s="1"/>
  <c r="K62" i="13" s="1"/>
  <c r="CB61" i="13"/>
  <c r="CC61" i="13" s="1"/>
  <c r="BY61" i="13"/>
  <c r="BR61" i="13"/>
  <c r="BU61" i="13" s="1"/>
  <c r="BJ61" i="13"/>
  <c r="BM61" i="13" s="1"/>
  <c r="BN61" i="13" s="1"/>
  <c r="BC61" i="13"/>
  <c r="BF61" i="13" s="1"/>
  <c r="AX61" i="13"/>
  <c r="AY61" i="13" s="1"/>
  <c r="AR61" i="13"/>
  <c r="AQ61" i="13"/>
  <c r="AG61" i="13"/>
  <c r="AJ61" i="13" s="1"/>
  <c r="AK61" i="13" s="1"/>
  <c r="Y61" i="13"/>
  <c r="AB61" i="13" s="1"/>
  <c r="AC61" i="13" s="1"/>
  <c r="Q61" i="13"/>
  <c r="T61" i="13" s="1"/>
  <c r="U61" i="13" s="1"/>
  <c r="J61" i="13"/>
  <c r="K61" i="13" s="1"/>
  <c r="F61" i="13"/>
  <c r="BY60" i="13"/>
  <c r="CB60" i="13" s="1"/>
  <c r="CC60" i="13" s="1"/>
  <c r="BR60" i="13"/>
  <c r="BU60" i="13" s="1"/>
  <c r="BM60" i="13"/>
  <c r="BN60" i="13" s="1"/>
  <c r="BJ60" i="13"/>
  <c r="BC60" i="13"/>
  <c r="BF60" i="13" s="1"/>
  <c r="AX60" i="13"/>
  <c r="AY60" i="13" s="1"/>
  <c r="AQ60" i="13"/>
  <c r="AR60" i="13" s="1"/>
  <c r="AK60" i="13"/>
  <c r="AG60" i="13"/>
  <c r="AJ60" i="13" s="1"/>
  <c r="Y60" i="13"/>
  <c r="AB60" i="13" s="1"/>
  <c r="AC60" i="13" s="1"/>
  <c r="Q60" i="13"/>
  <c r="T60" i="13" s="1"/>
  <c r="U60" i="13" s="1"/>
  <c r="F60" i="13"/>
  <c r="J60" i="13" s="1"/>
  <c r="K60" i="13" s="1"/>
  <c r="CB59" i="13"/>
  <c r="CC59" i="13" s="1"/>
  <c r="BY59" i="13"/>
  <c r="BR59" i="13"/>
  <c r="BU59" i="13" s="1"/>
  <c r="BJ59" i="13"/>
  <c r="BM59" i="13" s="1"/>
  <c r="BN59" i="13" s="1"/>
  <c r="BC59" i="13"/>
  <c r="BF59" i="13" s="1"/>
  <c r="AX59" i="13"/>
  <c r="AY59" i="13" s="1"/>
  <c r="AQ59" i="13"/>
  <c r="AR59" i="13" s="1"/>
  <c r="AG59" i="13"/>
  <c r="AJ59" i="13" s="1"/>
  <c r="AK59" i="13" s="1"/>
  <c r="Y59" i="13"/>
  <c r="AB59" i="13" s="1"/>
  <c r="AC59" i="13" s="1"/>
  <c r="Q59" i="13"/>
  <c r="T59" i="13" s="1"/>
  <c r="U59" i="13" s="1"/>
  <c r="F59" i="13"/>
  <c r="J59" i="13" s="1"/>
  <c r="K59" i="13" s="1"/>
  <c r="BY58" i="13"/>
  <c r="CB58" i="13" s="1"/>
  <c r="CC58" i="13" s="1"/>
  <c r="BR58" i="13"/>
  <c r="BU58" i="13" s="1"/>
  <c r="BJ58" i="13"/>
  <c r="BM58" i="13" s="1"/>
  <c r="BN58" i="13" s="1"/>
  <c r="BF58" i="13"/>
  <c r="BC58" i="13"/>
  <c r="AX58" i="13"/>
  <c r="AY58" i="13" s="1"/>
  <c r="AQ58" i="13"/>
  <c r="AR58" i="13" s="1"/>
  <c r="AJ58" i="13"/>
  <c r="AK58" i="13" s="1"/>
  <c r="AG58" i="13"/>
  <c r="Y58" i="13"/>
  <c r="AB58" i="13" s="1"/>
  <c r="AC58" i="13" s="1"/>
  <c r="Q58" i="13"/>
  <c r="T58" i="13" s="1"/>
  <c r="U58" i="13" s="1"/>
  <c r="F58" i="13"/>
  <c r="J58" i="13" s="1"/>
  <c r="K58" i="13" s="1"/>
  <c r="BY57" i="13"/>
  <c r="CB57" i="13" s="1"/>
  <c r="CC57" i="13" s="1"/>
  <c r="BU57" i="13"/>
  <c r="BR57" i="13"/>
  <c r="BJ57" i="13"/>
  <c r="BM57" i="13" s="1"/>
  <c r="BN57" i="13" s="1"/>
  <c r="BC57" i="13"/>
  <c r="BF57" i="13" s="1"/>
  <c r="AY57" i="13"/>
  <c r="AX57" i="13"/>
  <c r="AQ57" i="13"/>
  <c r="AR57" i="13" s="1"/>
  <c r="AG57" i="13"/>
  <c r="AJ57" i="13" s="1"/>
  <c r="AK57" i="13" s="1"/>
  <c r="Y57" i="13"/>
  <c r="AB57" i="13" s="1"/>
  <c r="AC57" i="13" s="1"/>
  <c r="Q57" i="13"/>
  <c r="T57" i="13" s="1"/>
  <c r="U57" i="13" s="1"/>
  <c r="F57" i="13"/>
  <c r="J57" i="13" s="1"/>
  <c r="K57" i="13" s="1"/>
  <c r="CB56" i="13"/>
  <c r="CC56" i="13" s="1"/>
  <c r="BY56" i="13"/>
  <c r="BR56" i="13"/>
  <c r="BU56" i="13" s="1"/>
  <c r="BJ56" i="13"/>
  <c r="BM56" i="13" s="1"/>
  <c r="BN56" i="13" s="1"/>
  <c r="BC56" i="13"/>
  <c r="BF56" i="13" s="1"/>
  <c r="AX56" i="13"/>
  <c r="AY56" i="13" s="1"/>
  <c r="AR56" i="13"/>
  <c r="AQ56" i="13"/>
  <c r="AG56" i="13"/>
  <c r="AJ56" i="13" s="1"/>
  <c r="AK56" i="13" s="1"/>
  <c r="Y56" i="13"/>
  <c r="AB56" i="13" s="1"/>
  <c r="AC56" i="13" s="1"/>
  <c r="Q56" i="13"/>
  <c r="T56" i="13" s="1"/>
  <c r="U56" i="13" s="1"/>
  <c r="F56" i="13"/>
  <c r="J56" i="13" s="1"/>
  <c r="K56" i="13" s="1"/>
  <c r="CC55" i="13"/>
  <c r="BY55" i="13"/>
  <c r="CB55" i="13" s="1"/>
  <c r="BR55" i="13"/>
  <c r="BU55" i="13" s="1"/>
  <c r="BJ55" i="13"/>
  <c r="BM55" i="13" s="1"/>
  <c r="BN55" i="13" s="1"/>
  <c r="BC55" i="13"/>
  <c r="BF55" i="13" s="1"/>
  <c r="AX55" i="13"/>
  <c r="AY55" i="13" s="1"/>
  <c r="AQ55" i="13"/>
  <c r="AR55" i="13" s="1"/>
  <c r="AJ55" i="13"/>
  <c r="AK55" i="13" s="1"/>
  <c r="AG55" i="13"/>
  <c r="Y55" i="13"/>
  <c r="AB55" i="13" s="1"/>
  <c r="AC55" i="13" s="1"/>
  <c r="T55" i="13"/>
  <c r="U55" i="13" s="1"/>
  <c r="Q55" i="13"/>
  <c r="F55" i="13"/>
  <c r="J55" i="13" s="1"/>
  <c r="K55" i="13" s="1"/>
  <c r="BY54" i="13"/>
  <c r="CB54" i="13" s="1"/>
  <c r="CC54" i="13" s="1"/>
  <c r="BR54" i="13"/>
  <c r="BU54" i="13" s="1"/>
  <c r="BJ54" i="13"/>
  <c r="BM54" i="13" s="1"/>
  <c r="BN54" i="13" s="1"/>
  <c r="BF54" i="13"/>
  <c r="BC54" i="13"/>
  <c r="AX54" i="13"/>
  <c r="AY54" i="13" s="1"/>
  <c r="AQ54" i="13"/>
  <c r="AR54" i="13" s="1"/>
  <c r="AG54" i="13"/>
  <c r="AJ54" i="13" s="1"/>
  <c r="AK54" i="13" s="1"/>
  <c r="Q54" i="13"/>
  <c r="T54" i="13" s="1"/>
  <c r="U54" i="13" s="1"/>
  <c r="F54" i="13"/>
  <c r="J54" i="13" s="1"/>
  <c r="K54" i="13" s="1"/>
  <c r="CB53" i="13"/>
  <c r="CC53" i="13" s="1"/>
  <c r="BY53" i="13"/>
  <c r="BR53" i="13"/>
  <c r="BU53" i="13" s="1"/>
  <c r="BJ53" i="13"/>
  <c r="BM53" i="13" s="1"/>
  <c r="BN53" i="13" s="1"/>
  <c r="BF53" i="13"/>
  <c r="BC53" i="13"/>
  <c r="AX53" i="13"/>
  <c r="AY53" i="13" s="1"/>
  <c r="AQ53" i="13"/>
  <c r="AR53" i="13" s="1"/>
  <c r="AG53" i="13"/>
  <c r="AJ53" i="13" s="1"/>
  <c r="AK53" i="13" s="1"/>
  <c r="AA53" i="13"/>
  <c r="Y54" i="13" s="1"/>
  <c r="AB54" i="13" s="1"/>
  <c r="AC54" i="13" s="1"/>
  <c r="U53" i="13"/>
  <c r="Q53" i="13"/>
  <c r="T53" i="13" s="1"/>
  <c r="F53" i="13"/>
  <c r="J53" i="13" s="1"/>
  <c r="K53" i="13" s="1"/>
  <c r="BY52" i="13"/>
  <c r="CB52" i="13" s="1"/>
  <c r="CC52" i="13" s="1"/>
  <c r="BR52" i="13"/>
  <c r="BU52" i="13" s="1"/>
  <c r="BJ52" i="13"/>
  <c r="BM52" i="13" s="1"/>
  <c r="BN52" i="13" s="1"/>
  <c r="BC52" i="13"/>
  <c r="BF52" i="13" s="1"/>
  <c r="AX52" i="13"/>
  <c r="AY52" i="13" s="1"/>
  <c r="AQ52" i="13"/>
  <c r="AR52" i="13" s="1"/>
  <c r="AG52" i="13"/>
  <c r="AJ52" i="13" s="1"/>
  <c r="AK52" i="13" s="1"/>
  <c r="AA52" i="13"/>
  <c r="Y53" i="13" s="1"/>
  <c r="Q52" i="13"/>
  <c r="T52" i="13" s="1"/>
  <c r="U52" i="13" s="1"/>
  <c r="J52" i="13"/>
  <c r="K52" i="13" s="1"/>
  <c r="G52" i="13"/>
  <c r="F52" i="13"/>
  <c r="CB51" i="13"/>
  <c r="CC51" i="13" s="1"/>
  <c r="BY51" i="13"/>
  <c r="BR51" i="13"/>
  <c r="BU51" i="13" s="1"/>
  <c r="BJ51" i="13"/>
  <c r="BM51" i="13" s="1"/>
  <c r="BN51" i="13" s="1"/>
  <c r="BF51" i="13"/>
  <c r="BC51" i="13"/>
  <c r="AX51" i="13"/>
  <c r="AY51" i="13" s="1"/>
  <c r="AQ51" i="13"/>
  <c r="AR51" i="13" s="1"/>
  <c r="AG51" i="13"/>
  <c r="AJ51" i="13" s="1"/>
  <c r="AK51" i="13" s="1"/>
  <c r="AA51" i="13"/>
  <c r="Y52" i="13" s="1"/>
  <c r="AB52" i="13" s="1"/>
  <c r="AC52" i="13" s="1"/>
  <c r="Y51" i="13"/>
  <c r="Q51" i="13"/>
  <c r="T51" i="13" s="1"/>
  <c r="U51" i="13" s="1"/>
  <c r="F51" i="13"/>
  <c r="J51" i="13" s="1"/>
  <c r="K51" i="13" s="1"/>
  <c r="BY50" i="13"/>
  <c r="CB50" i="13" s="1"/>
  <c r="CC50" i="13" s="1"/>
  <c r="BR50" i="13"/>
  <c r="BU50" i="13" s="1"/>
  <c r="BJ50" i="13"/>
  <c r="BM50" i="13" s="1"/>
  <c r="BN50" i="13" s="1"/>
  <c r="BF50" i="13"/>
  <c r="BC50" i="13"/>
  <c r="AX50" i="13"/>
  <c r="AY50" i="13" s="1"/>
  <c r="AQ50" i="13"/>
  <c r="AR50" i="13" s="1"/>
  <c r="AG50" i="13"/>
  <c r="AJ50" i="13" s="1"/>
  <c r="AK50" i="13" s="1"/>
  <c r="AA50" i="13"/>
  <c r="Q50" i="13"/>
  <c r="T50" i="13" s="1"/>
  <c r="U50" i="13" s="1"/>
  <c r="F50" i="13"/>
  <c r="J50" i="13" s="1"/>
  <c r="K50" i="13" s="1"/>
  <c r="BY49" i="13"/>
  <c r="CB49" i="13" s="1"/>
  <c r="CC49" i="13" s="1"/>
  <c r="BR49" i="13"/>
  <c r="BU49" i="13" s="1"/>
  <c r="BJ49" i="13"/>
  <c r="BM49" i="13" s="1"/>
  <c r="BN49" i="13" s="1"/>
  <c r="BC49" i="13"/>
  <c r="BF49" i="13" s="1"/>
  <c r="AX49" i="13"/>
  <c r="AY49" i="13" s="1"/>
  <c r="AQ49" i="13"/>
  <c r="AR49" i="13" s="1"/>
  <c r="AG49" i="13"/>
  <c r="AJ49" i="13" s="1"/>
  <c r="AK49" i="13" s="1"/>
  <c r="AA49" i="13"/>
  <c r="Y50" i="13" s="1"/>
  <c r="Y49" i="13"/>
  <c r="AB49" i="13" s="1"/>
  <c r="AC49" i="13" s="1"/>
  <c r="U49" i="13"/>
  <c r="Q49" i="13"/>
  <c r="T49" i="13" s="1"/>
  <c r="F49" i="13"/>
  <c r="J49" i="13" s="1"/>
  <c r="K49" i="13" s="1"/>
  <c r="BY48" i="13"/>
  <c r="CB48" i="13" s="1"/>
  <c r="CC48" i="13" s="1"/>
  <c r="BR48" i="13"/>
  <c r="BU48" i="13" s="1"/>
  <c r="BJ48" i="13"/>
  <c r="BM48" i="13" s="1"/>
  <c r="BN48" i="13" s="1"/>
  <c r="BC48" i="13"/>
  <c r="BF48" i="13" s="1"/>
  <c r="AX48" i="13"/>
  <c r="AY48" i="13" s="1"/>
  <c r="AQ48" i="13"/>
  <c r="AR48" i="13" s="1"/>
  <c r="AG48" i="13"/>
  <c r="AJ48" i="13" s="1"/>
  <c r="AK48" i="13" s="1"/>
  <c r="AA48" i="13"/>
  <c r="Q48" i="13"/>
  <c r="T48" i="13" s="1"/>
  <c r="U48" i="13" s="1"/>
  <c r="F48" i="13"/>
  <c r="J48" i="13" s="1"/>
  <c r="K48" i="13" s="1"/>
  <c r="BY47" i="13"/>
  <c r="CB47" i="13" s="1"/>
  <c r="CC47" i="13" s="1"/>
  <c r="BR47" i="13"/>
  <c r="BU47" i="13" s="1"/>
  <c r="BM47" i="13"/>
  <c r="BN47" i="13" s="1"/>
  <c r="BJ47" i="13"/>
  <c r="BC47" i="13"/>
  <c r="BF47" i="13" s="1"/>
  <c r="AY47" i="13"/>
  <c r="AX47" i="13"/>
  <c r="AR47" i="13"/>
  <c r="AQ47" i="13"/>
  <c r="AG47" i="13"/>
  <c r="AJ47" i="13" s="1"/>
  <c r="AK47" i="13" s="1"/>
  <c r="AA47" i="13"/>
  <c r="Y48" i="13" s="1"/>
  <c r="AB48" i="13" s="1"/>
  <c r="AC48" i="13" s="1"/>
  <c r="Y47" i="13"/>
  <c r="AB47" i="13" s="1"/>
  <c r="AC47" i="13" s="1"/>
  <c r="T47" i="13"/>
  <c r="U47" i="13" s="1"/>
  <c r="Q47" i="13"/>
  <c r="F47" i="13"/>
  <c r="J47" i="13" s="1"/>
  <c r="K47" i="13" s="1"/>
  <c r="BY46" i="13"/>
  <c r="CB46" i="13" s="1"/>
  <c r="BR46" i="13"/>
  <c r="BU46" i="13" s="1"/>
  <c r="BJ46" i="13"/>
  <c r="BM46" i="13" s="1"/>
  <c r="BC46" i="13"/>
  <c r="BF46" i="13" s="1"/>
  <c r="AX46" i="13"/>
  <c r="AY46" i="13" s="1"/>
  <c r="AQ46" i="13"/>
  <c r="AR46" i="13" s="1"/>
  <c r="AG46" i="13"/>
  <c r="AJ46" i="13" s="1"/>
  <c r="AA46" i="13"/>
  <c r="Q46" i="13"/>
  <c r="T46" i="13" s="1"/>
  <c r="F46" i="13"/>
  <c r="J46" i="13" s="1"/>
  <c r="BY45" i="13"/>
  <c r="CB45" i="13" s="1"/>
  <c r="BU45" i="13"/>
  <c r="BR45" i="13"/>
  <c r="BJ45" i="13"/>
  <c r="BM45" i="13" s="1"/>
  <c r="BC45" i="13"/>
  <c r="BF45" i="13" s="1"/>
  <c r="AX45" i="13"/>
  <c r="AQ45" i="13"/>
  <c r="AG45" i="13"/>
  <c r="AJ45" i="13" s="1"/>
  <c r="AA45" i="13"/>
  <c r="Y46" i="13" s="1"/>
  <c r="AB46" i="13" s="1"/>
  <c r="Q45" i="13"/>
  <c r="T45" i="13" s="1"/>
  <c r="J45" i="13"/>
  <c r="F45" i="13"/>
  <c r="BY44" i="13"/>
  <c r="CB44" i="13" s="1"/>
  <c r="CC44" i="13" s="1"/>
  <c r="BR44" i="13"/>
  <c r="BU44" i="13" s="1"/>
  <c r="BJ44" i="13"/>
  <c r="BM44" i="13" s="1"/>
  <c r="BN44" i="13" s="1"/>
  <c r="BC44" i="13"/>
  <c r="BF44" i="13" s="1"/>
  <c r="AX44" i="13"/>
  <c r="AY44" i="13" s="1"/>
  <c r="AQ44" i="13"/>
  <c r="AR44" i="13" s="1"/>
  <c r="AG44" i="13"/>
  <c r="AJ44" i="13" s="1"/>
  <c r="AK44" i="13" s="1"/>
  <c r="AB44" i="13"/>
  <c r="AC44" i="13" s="1"/>
  <c r="AA44" i="13"/>
  <c r="Y45" i="13" s="1"/>
  <c r="Q44" i="13"/>
  <c r="T44" i="13" s="1"/>
  <c r="U44" i="13" s="1"/>
  <c r="F44" i="13"/>
  <c r="J44" i="13" s="1"/>
  <c r="K44" i="13" s="1"/>
  <c r="BY43" i="13"/>
  <c r="CB43" i="13" s="1"/>
  <c r="CC43" i="13" s="1"/>
  <c r="BR43" i="13"/>
  <c r="BU43" i="13" s="1"/>
  <c r="BJ43" i="13"/>
  <c r="BM43" i="13" s="1"/>
  <c r="BN43" i="13" s="1"/>
  <c r="BC43" i="13"/>
  <c r="BF43" i="13" s="1"/>
  <c r="AX43" i="13"/>
  <c r="AY43" i="13" s="1"/>
  <c r="AQ43" i="13"/>
  <c r="AR43" i="13" s="1"/>
  <c r="AG43" i="13"/>
  <c r="AJ43" i="13" s="1"/>
  <c r="AK43" i="13" s="1"/>
  <c r="AA43" i="13"/>
  <c r="Y44" i="13" s="1"/>
  <c r="T43" i="13"/>
  <c r="U43" i="13" s="1"/>
  <c r="Q43" i="13"/>
  <c r="F43" i="13"/>
  <c r="J43" i="13" s="1"/>
  <c r="K43" i="13" s="1"/>
  <c r="BY42" i="13"/>
  <c r="CB42" i="13" s="1"/>
  <c r="CC42" i="13" s="1"/>
  <c r="BR42" i="13"/>
  <c r="BU42" i="13" s="1"/>
  <c r="BJ42" i="13"/>
  <c r="BM42" i="13" s="1"/>
  <c r="BN42" i="13" s="1"/>
  <c r="BC42" i="13"/>
  <c r="BF42" i="13" s="1"/>
  <c r="AX42" i="13"/>
  <c r="AQ42" i="13"/>
  <c r="AJ42" i="13"/>
  <c r="AK42" i="13" s="1"/>
  <c r="AG42" i="13"/>
  <c r="AA42" i="13"/>
  <c r="Y43" i="13" s="1"/>
  <c r="AB43" i="13" s="1"/>
  <c r="AC43" i="13" s="1"/>
  <c r="T42" i="13"/>
  <c r="U42" i="13" s="1"/>
  <c r="Q42" i="13"/>
  <c r="J42" i="13"/>
  <c r="K42" i="13" s="1"/>
  <c r="F42" i="13"/>
  <c r="CB41" i="13"/>
  <c r="CC41" i="13" s="1"/>
  <c r="BY41" i="13"/>
  <c r="BR41" i="13"/>
  <c r="BU41" i="13" s="1"/>
  <c r="BJ41" i="13"/>
  <c r="BM41" i="13" s="1"/>
  <c r="BN41" i="13" s="1"/>
  <c r="BF41" i="13"/>
  <c r="BC41" i="13"/>
  <c r="AY41" i="13"/>
  <c r="AX41" i="13"/>
  <c r="AR41" i="13"/>
  <c r="AQ41" i="13"/>
  <c r="AG41" i="13"/>
  <c r="AJ41" i="13" s="1"/>
  <c r="AK41" i="13" s="1"/>
  <c r="AA41" i="13"/>
  <c r="Y42" i="13" s="1"/>
  <c r="AB42" i="13" s="1"/>
  <c r="AC42" i="13" s="1"/>
  <c r="Q41" i="13"/>
  <c r="T41" i="13" s="1"/>
  <c r="U41" i="13" s="1"/>
  <c r="J41" i="13"/>
  <c r="K41" i="13" s="1"/>
  <c r="F41" i="13"/>
  <c r="BY40" i="13"/>
  <c r="CB40" i="13" s="1"/>
  <c r="CC40" i="13" s="1"/>
  <c r="BR40" i="13"/>
  <c r="BU40" i="13" s="1"/>
  <c r="BJ40" i="13"/>
  <c r="BM40" i="13" s="1"/>
  <c r="BN40" i="13" s="1"/>
  <c r="BC40" i="13"/>
  <c r="BF40" i="13" s="1"/>
  <c r="AY40" i="13"/>
  <c r="AX40" i="13"/>
  <c r="AQ40" i="13"/>
  <c r="AR40" i="13" s="1"/>
  <c r="AG40" i="13"/>
  <c r="AJ40" i="13" s="1"/>
  <c r="AK40" i="13" s="1"/>
  <c r="AA40" i="13"/>
  <c r="Y41" i="13" s="1"/>
  <c r="Y40" i="13"/>
  <c r="AB40" i="13" s="1"/>
  <c r="AC40" i="13" s="1"/>
  <c r="Q40" i="13"/>
  <c r="T40" i="13" s="1"/>
  <c r="U40" i="13" s="1"/>
  <c r="J40" i="13"/>
  <c r="K40" i="13" s="1"/>
  <c r="F40" i="13"/>
  <c r="CC39" i="13"/>
  <c r="BY39" i="13"/>
  <c r="CB39" i="13" s="1"/>
  <c r="BR39" i="13"/>
  <c r="BU39" i="13" s="1"/>
  <c r="BJ39" i="13"/>
  <c r="BM39" i="13" s="1"/>
  <c r="BN39" i="13" s="1"/>
  <c r="BF39" i="13"/>
  <c r="BI35" i="13" s="1"/>
  <c r="BC39" i="13"/>
  <c r="AY39" i="13"/>
  <c r="AX39" i="13"/>
  <c r="AQ39" i="13"/>
  <c r="AR39" i="13" s="1"/>
  <c r="AJ39" i="13"/>
  <c r="AK39" i="13" s="1"/>
  <c r="AG39" i="13"/>
  <c r="AA39" i="13"/>
  <c r="T39" i="13"/>
  <c r="U39" i="13" s="1"/>
  <c r="Q39" i="13"/>
  <c r="F39" i="13"/>
  <c r="J39" i="13" s="1"/>
  <c r="K39" i="13" s="1"/>
  <c r="BY38" i="13"/>
  <c r="CB38" i="13" s="1"/>
  <c r="CC38" i="13" s="1"/>
  <c r="BR38" i="13"/>
  <c r="BU38" i="13" s="1"/>
  <c r="BJ38" i="13"/>
  <c r="BM38" i="13" s="1"/>
  <c r="BN38" i="13" s="1"/>
  <c r="BC38" i="13"/>
  <c r="BF38" i="13" s="1"/>
  <c r="AX38" i="13"/>
  <c r="AY38" i="13" s="1"/>
  <c r="AQ38" i="13"/>
  <c r="AR38" i="13" s="1"/>
  <c r="AJ38" i="13"/>
  <c r="AK38" i="13" s="1"/>
  <c r="AG38" i="13"/>
  <c r="AA38" i="13"/>
  <c r="Y39" i="13" s="1"/>
  <c r="AB39" i="13" s="1"/>
  <c r="AC39" i="13" s="1"/>
  <c r="T38" i="13"/>
  <c r="U38" i="13" s="1"/>
  <c r="Q38" i="13"/>
  <c r="F38" i="13"/>
  <c r="J38" i="13" s="1"/>
  <c r="K38" i="13" s="1"/>
  <c r="BY37" i="13"/>
  <c r="CB37" i="13" s="1"/>
  <c r="CC37" i="13" s="1"/>
  <c r="BR37" i="13"/>
  <c r="BU37" i="13" s="1"/>
  <c r="BN37" i="13"/>
  <c r="BM37" i="13"/>
  <c r="BJ37" i="13"/>
  <c r="BF37" i="13"/>
  <c r="BC37" i="13"/>
  <c r="AX37" i="13"/>
  <c r="AY37" i="13" s="1"/>
  <c r="AR37" i="13"/>
  <c r="AQ37" i="13"/>
  <c r="AG37" i="13"/>
  <c r="AJ37" i="13" s="1"/>
  <c r="AK37" i="13" s="1"/>
  <c r="AA37" i="13"/>
  <c r="Y38" i="13" s="1"/>
  <c r="AB38" i="13" s="1"/>
  <c r="AC38" i="13" s="1"/>
  <c r="Q37" i="13"/>
  <c r="T37" i="13" s="1"/>
  <c r="U37" i="13" s="1"/>
  <c r="J37" i="13"/>
  <c r="K37" i="13" s="1"/>
  <c r="F37" i="13"/>
  <c r="BY36" i="13"/>
  <c r="CB36" i="13" s="1"/>
  <c r="CC36" i="13" s="1"/>
  <c r="BU36" i="13"/>
  <c r="BR36" i="13"/>
  <c r="BJ36" i="13"/>
  <c r="BM36" i="13" s="1"/>
  <c r="BC36" i="13"/>
  <c r="BF36" i="13" s="1"/>
  <c r="AY36" i="13"/>
  <c r="AX36" i="13"/>
  <c r="AQ36" i="13"/>
  <c r="AR36" i="13" s="1"/>
  <c r="AG36" i="13"/>
  <c r="AJ36" i="13" s="1"/>
  <c r="AK36" i="13" s="1"/>
  <c r="AA36" i="13"/>
  <c r="Y37" i="13" s="1"/>
  <c r="Q36" i="13"/>
  <c r="T36" i="13" s="1"/>
  <c r="U36" i="13" s="1"/>
  <c r="J36" i="13"/>
  <c r="K36" i="13" s="1"/>
  <c r="F36" i="13"/>
  <c r="BY35" i="13"/>
  <c r="CB35" i="13" s="1"/>
  <c r="BR35" i="13"/>
  <c r="BU35" i="13" s="1"/>
  <c r="BM35" i="13"/>
  <c r="BJ35" i="13"/>
  <c r="BF35" i="13"/>
  <c r="BC35" i="13"/>
  <c r="AX35" i="13"/>
  <c r="AQ35" i="13"/>
  <c r="AG35" i="13"/>
  <c r="AJ35" i="13" s="1"/>
  <c r="AA35" i="13"/>
  <c r="Y36" i="13" s="1"/>
  <c r="AB36" i="13" s="1"/>
  <c r="AC36" i="13" s="1"/>
  <c r="Y35" i="13"/>
  <c r="T35" i="13"/>
  <c r="Q35" i="13"/>
  <c r="J35" i="13"/>
  <c r="F35" i="13"/>
  <c r="BY34" i="13"/>
  <c r="CB34" i="13" s="1"/>
  <c r="CC34" i="13" s="1"/>
  <c r="BR34" i="13"/>
  <c r="BU34" i="13" s="1"/>
  <c r="BJ34" i="13"/>
  <c r="BM34" i="13" s="1"/>
  <c r="BN34" i="13" s="1"/>
  <c r="BF34" i="13"/>
  <c r="BC34" i="13"/>
  <c r="AY34" i="13"/>
  <c r="AX34" i="13"/>
  <c r="AQ34" i="13"/>
  <c r="AR34" i="13" s="1"/>
  <c r="AG34" i="13"/>
  <c r="AJ34" i="13" s="1"/>
  <c r="AK34" i="13" s="1"/>
  <c r="AB34" i="13"/>
  <c r="AC34" i="13" s="1"/>
  <c r="Y34" i="13"/>
  <c r="Q34" i="13"/>
  <c r="T34" i="13" s="1"/>
  <c r="U34" i="13" s="1"/>
  <c r="F34" i="13"/>
  <c r="J34" i="13" s="1"/>
  <c r="K34" i="13" s="1"/>
  <c r="BY33" i="13"/>
  <c r="CB33" i="13" s="1"/>
  <c r="CC33" i="13" s="1"/>
  <c r="BU33" i="13"/>
  <c r="BR33" i="13"/>
  <c r="BJ33" i="13"/>
  <c r="BM33" i="13" s="1"/>
  <c r="BN33" i="13" s="1"/>
  <c r="BC33" i="13"/>
  <c r="BF33" i="13" s="1"/>
  <c r="AX33" i="13"/>
  <c r="AY33" i="13" s="1"/>
  <c r="AQ33" i="13"/>
  <c r="AR33" i="13" s="1"/>
  <c r="AG33" i="13"/>
  <c r="AJ33" i="13" s="1"/>
  <c r="AK33" i="13" s="1"/>
  <c r="Y33" i="13"/>
  <c r="AB33" i="13" s="1"/>
  <c r="AC33" i="13" s="1"/>
  <c r="U33" i="13"/>
  <c r="T33" i="13"/>
  <c r="Q33" i="13"/>
  <c r="F33" i="13"/>
  <c r="J33" i="13" s="1"/>
  <c r="K33" i="13" s="1"/>
  <c r="CB32" i="13"/>
  <c r="CC32" i="13" s="1"/>
  <c r="BY32" i="13"/>
  <c r="BR32" i="13"/>
  <c r="BU32" i="13" s="1"/>
  <c r="BJ32" i="13"/>
  <c r="BM32" i="13" s="1"/>
  <c r="BN32" i="13" s="1"/>
  <c r="BF32" i="13"/>
  <c r="BC32" i="13"/>
  <c r="AX32" i="13"/>
  <c r="AY32" i="13" s="1"/>
  <c r="AQ32" i="13"/>
  <c r="AR32" i="13" s="1"/>
  <c r="AG32" i="13"/>
  <c r="AJ32" i="13" s="1"/>
  <c r="AK32" i="13" s="1"/>
  <c r="AB32" i="13"/>
  <c r="AC32" i="13" s="1"/>
  <c r="Y32" i="13"/>
  <c r="Q32" i="13"/>
  <c r="T32" i="13" s="1"/>
  <c r="U32" i="13" s="1"/>
  <c r="J32" i="13"/>
  <c r="K32" i="13" s="1"/>
  <c r="F32" i="13"/>
  <c r="BY31" i="13"/>
  <c r="CB31" i="13" s="1"/>
  <c r="CC31" i="13" s="1"/>
  <c r="BR31" i="13"/>
  <c r="BU31" i="13" s="1"/>
  <c r="BM31" i="13"/>
  <c r="BN31" i="13" s="1"/>
  <c r="BJ31" i="13"/>
  <c r="BC31" i="13"/>
  <c r="BF31" i="13" s="1"/>
  <c r="AY31" i="13"/>
  <c r="AX31" i="13"/>
  <c r="AQ31" i="13"/>
  <c r="AR31" i="13" s="1"/>
  <c r="AJ31" i="13"/>
  <c r="AK31" i="13" s="1"/>
  <c r="AG31" i="13"/>
  <c r="Y31" i="13"/>
  <c r="AB31" i="13" s="1"/>
  <c r="AC31" i="13" s="1"/>
  <c r="Q31" i="13"/>
  <c r="T31" i="13" s="1"/>
  <c r="U31" i="13" s="1"/>
  <c r="J31" i="13"/>
  <c r="K31" i="13" s="1"/>
  <c r="F31" i="13"/>
  <c r="CB30" i="13"/>
  <c r="CC30" i="13" s="1"/>
  <c r="BY30" i="13"/>
  <c r="BR30" i="13"/>
  <c r="BU30" i="13" s="1"/>
  <c r="BM30" i="13"/>
  <c r="BN30" i="13" s="1"/>
  <c r="BJ30" i="13"/>
  <c r="BC30" i="13"/>
  <c r="BF30" i="13" s="1"/>
  <c r="AX30" i="13"/>
  <c r="AY30" i="13" s="1"/>
  <c r="AQ30" i="13"/>
  <c r="AR30" i="13" s="1"/>
  <c r="AG30" i="13"/>
  <c r="AJ30" i="13" s="1"/>
  <c r="AK30" i="13" s="1"/>
  <c r="Y30" i="13"/>
  <c r="AB30" i="13" s="1"/>
  <c r="AC30" i="13" s="1"/>
  <c r="Q30" i="13"/>
  <c r="T30" i="13" s="1"/>
  <c r="U30" i="13" s="1"/>
  <c r="F30" i="13"/>
  <c r="J30" i="13" s="1"/>
  <c r="K30" i="13" s="1"/>
  <c r="BY29" i="13"/>
  <c r="CB29" i="13" s="1"/>
  <c r="CC29" i="13" s="1"/>
  <c r="BR29" i="13"/>
  <c r="BU29" i="13" s="1"/>
  <c r="BJ29" i="13"/>
  <c r="BM29" i="13" s="1"/>
  <c r="BN29" i="13" s="1"/>
  <c r="BF29" i="13"/>
  <c r="BC29" i="13"/>
  <c r="AX29" i="13"/>
  <c r="AY29" i="13" s="1"/>
  <c r="AQ29" i="13"/>
  <c r="AR29" i="13" s="1"/>
  <c r="AJ29" i="13"/>
  <c r="AK29" i="13" s="1"/>
  <c r="AG29" i="13"/>
  <c r="Y29" i="13"/>
  <c r="AB29" i="13" s="1"/>
  <c r="AC29" i="13" s="1"/>
  <c r="Q29" i="13"/>
  <c r="T29" i="13" s="1"/>
  <c r="U29" i="13" s="1"/>
  <c r="J29" i="13"/>
  <c r="K29" i="13" s="1"/>
  <c r="F29" i="13"/>
  <c r="BY28" i="13"/>
  <c r="CB28" i="13" s="1"/>
  <c r="CC28" i="13" s="1"/>
  <c r="BU28" i="13"/>
  <c r="BR28" i="13"/>
  <c r="BJ28" i="13"/>
  <c r="BM28" i="13" s="1"/>
  <c r="BN28" i="13" s="1"/>
  <c r="BC28" i="13"/>
  <c r="BF28" i="13" s="1"/>
  <c r="AY28" i="13"/>
  <c r="AX28" i="13"/>
  <c r="AQ28" i="13"/>
  <c r="AR28" i="13" s="1"/>
  <c r="AG28" i="13"/>
  <c r="AJ28" i="13" s="1"/>
  <c r="AK28" i="13" s="1"/>
  <c r="Y28" i="13"/>
  <c r="AB28" i="13" s="1"/>
  <c r="AC28" i="13" s="1"/>
  <c r="Q28" i="13"/>
  <c r="T28" i="13" s="1"/>
  <c r="U28" i="13" s="1"/>
  <c r="F28" i="13"/>
  <c r="J28" i="13" s="1"/>
  <c r="K28" i="13" s="1"/>
  <c r="BY27" i="13"/>
  <c r="CB27" i="13" s="1"/>
  <c r="CC27" i="13" s="1"/>
  <c r="BR27" i="13"/>
  <c r="BU27" i="13" s="1"/>
  <c r="BJ27" i="13"/>
  <c r="BM27" i="13" s="1"/>
  <c r="BN27" i="13" s="1"/>
  <c r="BC27" i="13"/>
  <c r="BF27" i="13" s="1"/>
  <c r="AX27" i="13"/>
  <c r="AY27" i="13" s="1"/>
  <c r="AQ27" i="13"/>
  <c r="AR27" i="13" s="1"/>
  <c r="AG27" i="13"/>
  <c r="AJ27" i="13" s="1"/>
  <c r="AK27" i="13" s="1"/>
  <c r="Y27" i="13"/>
  <c r="AB27" i="13" s="1"/>
  <c r="AC27" i="13" s="1"/>
  <c r="Q27" i="13"/>
  <c r="T27" i="13" s="1"/>
  <c r="U27" i="13" s="1"/>
  <c r="F27" i="13"/>
  <c r="J27" i="13" s="1"/>
  <c r="K27" i="13" s="1"/>
  <c r="BY26" i="13"/>
  <c r="CB26" i="13" s="1"/>
  <c r="CC26" i="13" s="1"/>
  <c r="BU26" i="13"/>
  <c r="BR26" i="13"/>
  <c r="BJ26" i="13"/>
  <c r="BM26" i="13" s="1"/>
  <c r="BN26" i="13" s="1"/>
  <c r="BF26" i="13"/>
  <c r="BC26" i="13"/>
  <c r="AX26" i="13"/>
  <c r="AY26" i="13" s="1"/>
  <c r="AQ26" i="13"/>
  <c r="AR26" i="13" s="1"/>
  <c r="AJ26" i="13"/>
  <c r="AK26" i="13" s="1"/>
  <c r="AG26" i="13"/>
  <c r="AB26" i="13"/>
  <c r="AC26" i="13" s="1"/>
  <c r="Y26" i="13"/>
  <c r="T26" i="13"/>
  <c r="U26" i="13" s="1"/>
  <c r="Q26" i="13"/>
  <c r="F26" i="13"/>
  <c r="J26" i="13" s="1"/>
  <c r="K26" i="13" s="1"/>
  <c r="BY25" i="13"/>
  <c r="CB25" i="13" s="1"/>
  <c r="CC25" i="13" s="1"/>
  <c r="BR25" i="13"/>
  <c r="BU25" i="13" s="1"/>
  <c r="BM25" i="13"/>
  <c r="BN25" i="13" s="1"/>
  <c r="BJ25" i="13"/>
  <c r="BC25" i="13"/>
  <c r="BF25" i="13" s="1"/>
  <c r="AX25" i="13"/>
  <c r="AY25" i="13" s="1"/>
  <c r="AQ25" i="13"/>
  <c r="AR25" i="13" s="1"/>
  <c r="AG25" i="13"/>
  <c r="AJ25" i="13" s="1"/>
  <c r="AK25" i="13" s="1"/>
  <c r="Y25" i="13"/>
  <c r="AB25" i="13" s="1"/>
  <c r="AC25" i="13" s="1"/>
  <c r="T25" i="13"/>
  <c r="U25" i="13" s="1"/>
  <c r="Q25" i="13"/>
  <c r="F25" i="13"/>
  <c r="J25" i="13" s="1"/>
  <c r="K25" i="13" s="1"/>
  <c r="CB24" i="13"/>
  <c r="CC24" i="13" s="1"/>
  <c r="BY24" i="13"/>
  <c r="BR24" i="13"/>
  <c r="BU24" i="13" s="1"/>
  <c r="BJ24" i="13"/>
  <c r="BM24" i="13" s="1"/>
  <c r="BN24" i="13" s="1"/>
  <c r="BC24" i="13"/>
  <c r="BF24" i="13" s="1"/>
  <c r="AX24" i="13"/>
  <c r="AY24" i="13" s="1"/>
  <c r="AR24" i="13"/>
  <c r="AQ24" i="13"/>
  <c r="AG24" i="13"/>
  <c r="AJ24" i="13" s="1"/>
  <c r="AK24" i="13" s="1"/>
  <c r="Y24" i="13"/>
  <c r="AB24" i="13" s="1"/>
  <c r="AC24" i="13" s="1"/>
  <c r="Q24" i="13"/>
  <c r="T24" i="13" s="1"/>
  <c r="U24" i="13" s="1"/>
  <c r="J24" i="13"/>
  <c r="K24" i="13" s="1"/>
  <c r="F24" i="13"/>
  <c r="CC23" i="13"/>
  <c r="BY23" i="13"/>
  <c r="CB23" i="13" s="1"/>
  <c r="BR23" i="13"/>
  <c r="BU23" i="13" s="1"/>
  <c r="BM23" i="13"/>
  <c r="BN23" i="13" s="1"/>
  <c r="BJ23" i="13"/>
  <c r="BC23" i="13"/>
  <c r="BF23" i="13" s="1"/>
  <c r="AX23" i="13"/>
  <c r="AY23" i="13" s="1"/>
  <c r="AQ23" i="13"/>
  <c r="AR23" i="13" s="1"/>
  <c r="AG23" i="13"/>
  <c r="AJ23" i="13" s="1"/>
  <c r="AK23" i="13" s="1"/>
  <c r="Y23" i="13"/>
  <c r="AB23" i="13" s="1"/>
  <c r="AC23" i="13" s="1"/>
  <c r="Q23" i="13"/>
  <c r="T23" i="13" s="1"/>
  <c r="U23" i="13" s="1"/>
  <c r="F23" i="13"/>
  <c r="J23" i="13" s="1"/>
  <c r="K23" i="13" s="1"/>
  <c r="CB22" i="13"/>
  <c r="CC22" i="13" s="1"/>
  <c r="BY22" i="13"/>
  <c r="BR22" i="13"/>
  <c r="BU22" i="13" s="1"/>
  <c r="BM22" i="13"/>
  <c r="BN22" i="13" s="1"/>
  <c r="BJ22" i="13"/>
  <c r="BC22" i="13"/>
  <c r="BF22" i="13" s="1"/>
  <c r="AX22" i="13"/>
  <c r="AY22" i="13" s="1"/>
  <c r="AQ22" i="13"/>
  <c r="AR22" i="13" s="1"/>
  <c r="AG22" i="13"/>
  <c r="AJ22" i="13" s="1"/>
  <c r="AK22" i="13" s="1"/>
  <c r="Y22" i="13"/>
  <c r="AB22" i="13" s="1"/>
  <c r="AC22" i="13" s="1"/>
  <c r="Q22" i="13"/>
  <c r="T22" i="13" s="1"/>
  <c r="U22" i="13" s="1"/>
  <c r="F22" i="13"/>
  <c r="J22" i="13" s="1"/>
  <c r="K22" i="13" s="1"/>
  <c r="CC21" i="13"/>
  <c r="CB21" i="13"/>
  <c r="BY21" i="13"/>
  <c r="BR21" i="13"/>
  <c r="BU21" i="13" s="1"/>
  <c r="BJ21" i="13"/>
  <c r="BM21" i="13" s="1"/>
  <c r="BN21" i="13" s="1"/>
  <c r="BF21" i="13"/>
  <c r="BC21" i="13"/>
  <c r="AX21" i="13"/>
  <c r="AY21" i="13" s="1"/>
  <c r="AR21" i="13"/>
  <c r="AQ21" i="13"/>
  <c r="AG21" i="13"/>
  <c r="AJ21" i="13" s="1"/>
  <c r="AK21" i="13" s="1"/>
  <c r="Y21" i="13"/>
  <c r="AB21" i="13" s="1"/>
  <c r="AC21" i="13" s="1"/>
  <c r="Q21" i="13"/>
  <c r="T21" i="13" s="1"/>
  <c r="U21" i="13" s="1"/>
  <c r="F21" i="13"/>
  <c r="J21" i="13" s="1"/>
  <c r="K21" i="13" s="1"/>
  <c r="BY20" i="13"/>
  <c r="CB20" i="13" s="1"/>
  <c r="CC20" i="13" s="1"/>
  <c r="BR20" i="13"/>
  <c r="BU20" i="13" s="1"/>
  <c r="BJ20" i="13"/>
  <c r="BM20" i="13" s="1"/>
  <c r="BN20" i="13" s="1"/>
  <c r="BC20" i="13"/>
  <c r="BF20" i="13" s="1"/>
  <c r="AX20" i="13"/>
  <c r="AY20" i="13" s="1"/>
  <c r="AQ20" i="13"/>
  <c r="AR20" i="13" s="1"/>
  <c r="AG20" i="13"/>
  <c r="AJ20" i="13" s="1"/>
  <c r="AK20" i="13" s="1"/>
  <c r="Y20" i="13"/>
  <c r="AB20" i="13" s="1"/>
  <c r="AC20" i="13" s="1"/>
  <c r="T20" i="13"/>
  <c r="U20" i="13" s="1"/>
  <c r="Q20" i="13"/>
  <c r="F20" i="13"/>
  <c r="J20" i="13" s="1"/>
  <c r="K20" i="13" s="1"/>
  <c r="CB19" i="13"/>
  <c r="CC19" i="13" s="1"/>
  <c r="BY19" i="13"/>
  <c r="BR19" i="13"/>
  <c r="BU19" i="13" s="1"/>
  <c r="BJ19" i="13"/>
  <c r="BM19" i="13" s="1"/>
  <c r="BN19" i="13" s="1"/>
  <c r="BC19" i="13"/>
  <c r="BF19" i="13" s="1"/>
  <c r="AX19" i="13"/>
  <c r="AY19" i="13" s="1"/>
  <c r="AR19" i="13"/>
  <c r="AQ19" i="13"/>
  <c r="AG19" i="13"/>
  <c r="AJ19" i="13" s="1"/>
  <c r="AK19" i="13" s="1"/>
  <c r="Q19" i="13"/>
  <c r="T19" i="13" s="1"/>
  <c r="U19" i="13" s="1"/>
  <c r="F19" i="13"/>
  <c r="J19" i="13" s="1"/>
  <c r="K19" i="13" s="1"/>
  <c r="BY18" i="13"/>
  <c r="CB18" i="13" s="1"/>
  <c r="CC18" i="13" s="1"/>
  <c r="BR18" i="13"/>
  <c r="BU18" i="13" s="1"/>
  <c r="BJ18" i="13"/>
  <c r="BM18" i="13" s="1"/>
  <c r="BN18" i="13" s="1"/>
  <c r="BF18" i="13"/>
  <c r="BC18" i="13"/>
  <c r="AX18" i="13"/>
  <c r="AY18" i="13" s="1"/>
  <c r="AQ18" i="13"/>
  <c r="AR18" i="13" s="1"/>
  <c r="AG18" i="13"/>
  <c r="AJ18" i="13" s="1"/>
  <c r="AK18" i="13" s="1"/>
  <c r="AA18" i="13"/>
  <c r="Y19" i="13" s="1"/>
  <c r="AB19" i="13" s="1"/>
  <c r="AC19" i="13" s="1"/>
  <c r="Q18" i="13"/>
  <c r="T18" i="13" s="1"/>
  <c r="U18" i="13" s="1"/>
  <c r="F18" i="13"/>
  <c r="J18" i="13" s="1"/>
  <c r="K18" i="13" s="1"/>
  <c r="CB17" i="13"/>
  <c r="CC17" i="13" s="1"/>
  <c r="BY17" i="13"/>
  <c r="BR17" i="13"/>
  <c r="BU17" i="13" s="1"/>
  <c r="BJ17" i="13"/>
  <c r="BM17" i="13" s="1"/>
  <c r="BN17" i="13" s="1"/>
  <c r="BF17" i="13"/>
  <c r="BC17" i="13"/>
  <c r="AX17" i="13"/>
  <c r="AY17" i="13" s="1"/>
  <c r="AR17" i="13"/>
  <c r="AQ17" i="13"/>
  <c r="AG17" i="13"/>
  <c r="AJ17" i="13" s="1"/>
  <c r="AK17" i="13" s="1"/>
  <c r="AA17" i="13"/>
  <c r="Y18" i="13" s="1"/>
  <c r="T17" i="13"/>
  <c r="U17" i="13" s="1"/>
  <c r="Q17" i="13"/>
  <c r="J17" i="13"/>
  <c r="K17" i="13" s="1"/>
  <c r="F17" i="13"/>
  <c r="BY16" i="13"/>
  <c r="CB16" i="13" s="1"/>
  <c r="CC16" i="13" s="1"/>
  <c r="BR16" i="13"/>
  <c r="BU16" i="13" s="1"/>
  <c r="BJ16" i="13"/>
  <c r="BM16" i="13" s="1"/>
  <c r="BN16" i="13" s="1"/>
  <c r="BC16" i="13"/>
  <c r="BF16" i="13" s="1"/>
  <c r="AY16" i="13"/>
  <c r="AX16" i="13"/>
  <c r="AQ16" i="13"/>
  <c r="AR16" i="13" s="1"/>
  <c r="AG16" i="13"/>
  <c r="AJ16" i="13" s="1"/>
  <c r="AK16" i="13" s="1"/>
  <c r="AA16" i="13"/>
  <c r="Y17" i="13" s="1"/>
  <c r="Q16" i="13"/>
  <c r="T16" i="13" s="1"/>
  <c r="U16" i="13" s="1"/>
  <c r="F16" i="13"/>
  <c r="J16" i="13" s="1"/>
  <c r="K16" i="13" s="1"/>
  <c r="BY15" i="13"/>
  <c r="CB15" i="13" s="1"/>
  <c r="CC15" i="13" s="1"/>
  <c r="BR15" i="13"/>
  <c r="BU15" i="13" s="1"/>
  <c r="BM15" i="13"/>
  <c r="BN15" i="13" s="1"/>
  <c r="BJ15" i="13"/>
  <c r="BC15" i="13"/>
  <c r="BF15" i="13" s="1"/>
  <c r="AX15" i="13"/>
  <c r="AY15" i="13" s="1"/>
  <c r="AQ15" i="13"/>
  <c r="AR15" i="13" s="1"/>
  <c r="AG15" i="13"/>
  <c r="AJ15" i="13" s="1"/>
  <c r="AK15" i="13" s="1"/>
  <c r="AA15" i="13"/>
  <c r="Y16" i="13" s="1"/>
  <c r="Q15" i="13"/>
  <c r="T15" i="13" s="1"/>
  <c r="U15" i="13" s="1"/>
  <c r="F15" i="13"/>
  <c r="J15" i="13" s="1"/>
  <c r="K15" i="13" s="1"/>
  <c r="BY14" i="13"/>
  <c r="CB14" i="13" s="1"/>
  <c r="CC14" i="13" s="1"/>
  <c r="BR14" i="13"/>
  <c r="BU14" i="13" s="1"/>
  <c r="BJ14" i="13"/>
  <c r="BM14" i="13" s="1"/>
  <c r="BN14" i="13" s="1"/>
  <c r="BC14" i="13"/>
  <c r="BF14" i="13" s="1"/>
  <c r="AX14" i="13"/>
  <c r="AY14" i="13" s="1"/>
  <c r="AR14" i="13"/>
  <c r="AQ14" i="13"/>
  <c r="AG14" i="13"/>
  <c r="AJ14" i="13" s="1"/>
  <c r="AK14" i="13" s="1"/>
  <c r="AA14" i="13"/>
  <c r="Y15" i="13" s="1"/>
  <c r="T14" i="13"/>
  <c r="U14" i="13" s="1"/>
  <c r="Q14" i="13"/>
  <c r="F14" i="13"/>
  <c r="J14" i="13" s="1"/>
  <c r="K14" i="13" s="1"/>
  <c r="BY13" i="13"/>
  <c r="CB13" i="13" s="1"/>
  <c r="CC13" i="13" s="1"/>
  <c r="BR13" i="13"/>
  <c r="BU13" i="13" s="1"/>
  <c r="BJ13" i="13"/>
  <c r="BM13" i="13" s="1"/>
  <c r="BN13" i="13" s="1"/>
  <c r="BC13" i="13"/>
  <c r="BF13" i="13" s="1"/>
  <c r="AX13" i="13"/>
  <c r="AY13" i="13" s="1"/>
  <c r="AQ13" i="13"/>
  <c r="AR13" i="13" s="1"/>
  <c r="AG13" i="13"/>
  <c r="AJ13" i="13" s="1"/>
  <c r="AK13" i="13" s="1"/>
  <c r="AA13" i="13"/>
  <c r="Y14" i="13" s="1"/>
  <c r="AB14" i="13" s="1"/>
  <c r="AC14" i="13" s="1"/>
  <c r="Q13" i="13"/>
  <c r="T13" i="13" s="1"/>
  <c r="U13" i="13" s="1"/>
  <c r="J13" i="13"/>
  <c r="K13" i="13" s="1"/>
  <c r="F13" i="13"/>
  <c r="CB12" i="13"/>
  <c r="CC12" i="13" s="1"/>
  <c r="BY12" i="13"/>
  <c r="BR12" i="13"/>
  <c r="BU12" i="13" s="1"/>
  <c r="BM12" i="13"/>
  <c r="BN12" i="13" s="1"/>
  <c r="BJ12" i="13"/>
  <c r="BC12" i="13"/>
  <c r="BF12" i="13" s="1"/>
  <c r="AY12" i="13"/>
  <c r="AX12" i="13"/>
  <c r="AQ12" i="13"/>
  <c r="AR12" i="13" s="1"/>
  <c r="AG12" i="13"/>
  <c r="AJ12" i="13" s="1"/>
  <c r="AK12" i="13" s="1"/>
  <c r="AA12" i="13"/>
  <c r="Y13" i="13" s="1"/>
  <c r="Q12" i="13"/>
  <c r="T12" i="13" s="1"/>
  <c r="U12" i="13" s="1"/>
  <c r="F12" i="13"/>
  <c r="J12" i="13" s="1"/>
  <c r="K12" i="13" s="1"/>
  <c r="BY11" i="13"/>
  <c r="CB11" i="13" s="1"/>
  <c r="CC11" i="13" s="1"/>
  <c r="BU11" i="13"/>
  <c r="BR11" i="13"/>
  <c r="BM11" i="13"/>
  <c r="BN11" i="13" s="1"/>
  <c r="BJ11" i="13"/>
  <c r="BC11" i="13"/>
  <c r="BF11" i="13" s="1"/>
  <c r="AX11" i="13"/>
  <c r="AY11" i="13" s="1"/>
  <c r="AQ11" i="13"/>
  <c r="AR11" i="13" s="1"/>
  <c r="AG11" i="13"/>
  <c r="AJ11" i="13" s="1"/>
  <c r="AK11" i="13" s="1"/>
  <c r="AA11" i="13"/>
  <c r="Y12" i="13" s="1"/>
  <c r="Q11" i="13"/>
  <c r="T11" i="13" s="1"/>
  <c r="U11" i="13" s="1"/>
  <c r="J11" i="13"/>
  <c r="K11" i="13" s="1"/>
  <c r="F11" i="13"/>
  <c r="BY10" i="13"/>
  <c r="CB10" i="13" s="1"/>
  <c r="CC10" i="13" s="1"/>
  <c r="BR10" i="13"/>
  <c r="BU10" i="13" s="1"/>
  <c r="BJ10" i="13"/>
  <c r="BM10" i="13" s="1"/>
  <c r="BN10" i="13" s="1"/>
  <c r="BF10" i="13"/>
  <c r="BC10" i="13"/>
  <c r="AX10" i="13"/>
  <c r="AY10" i="13" s="1"/>
  <c r="AQ10" i="13"/>
  <c r="AR10" i="13" s="1"/>
  <c r="AJ10" i="13"/>
  <c r="AK10" i="13" s="1"/>
  <c r="AG10" i="13"/>
  <c r="AA10" i="13"/>
  <c r="Y11" i="13" s="1"/>
  <c r="AB11" i="13" s="1"/>
  <c r="AC11" i="13" s="1"/>
  <c r="U10" i="13"/>
  <c r="T10" i="13"/>
  <c r="Q10" i="13"/>
  <c r="F10" i="13"/>
  <c r="J10" i="13" s="1"/>
  <c r="K10" i="13" s="1"/>
  <c r="BY9" i="13"/>
  <c r="CB9" i="13" s="1"/>
  <c r="CC9" i="13" s="1"/>
  <c r="BR9" i="13"/>
  <c r="BU9" i="13" s="1"/>
  <c r="BJ9" i="13"/>
  <c r="BM9" i="13" s="1"/>
  <c r="BN9" i="13" s="1"/>
  <c r="BF9" i="13"/>
  <c r="BC9" i="13"/>
  <c r="AX9" i="13"/>
  <c r="AY9" i="13" s="1"/>
  <c r="AQ9" i="13"/>
  <c r="AR9" i="13" s="1"/>
  <c r="AG9" i="13"/>
  <c r="AJ9" i="13" s="1"/>
  <c r="AK9" i="13" s="1"/>
  <c r="AA9" i="13"/>
  <c r="Y10" i="13" s="1"/>
  <c r="Q9" i="13"/>
  <c r="T9" i="13" s="1"/>
  <c r="U9" i="13" s="1"/>
  <c r="J9" i="13"/>
  <c r="K9" i="13" s="1"/>
  <c r="F9" i="13"/>
  <c r="BY8" i="13"/>
  <c r="CB8" i="13" s="1"/>
  <c r="CC8" i="13" s="1"/>
  <c r="BR8" i="13"/>
  <c r="BU8" i="13" s="1"/>
  <c r="BM8" i="13"/>
  <c r="BN8" i="13" s="1"/>
  <c r="BJ8" i="13"/>
  <c r="BC8" i="13"/>
  <c r="BF8" i="13" s="1"/>
  <c r="AY8" i="13"/>
  <c r="AX8" i="13"/>
  <c r="AQ8" i="13"/>
  <c r="AR8" i="13" s="1"/>
  <c r="AG8" i="13"/>
  <c r="AJ8" i="13" s="1"/>
  <c r="AK8" i="13" s="1"/>
  <c r="AA8" i="13"/>
  <c r="Y9" i="13" s="1"/>
  <c r="AB9" i="13" s="1"/>
  <c r="AC9" i="13" s="1"/>
  <c r="Y8" i="13"/>
  <c r="Q8" i="13"/>
  <c r="T8" i="13" s="1"/>
  <c r="U8" i="13" s="1"/>
  <c r="J8" i="13"/>
  <c r="K8" i="13" s="1"/>
  <c r="F8" i="13"/>
  <c r="BY7" i="13"/>
  <c r="CB7" i="13" s="1"/>
  <c r="CC7" i="13" s="1"/>
  <c r="BR7" i="13"/>
  <c r="BU7" i="13" s="1"/>
  <c r="BM7" i="13"/>
  <c r="BN7" i="13" s="1"/>
  <c r="BJ7" i="13"/>
  <c r="BC7" i="13"/>
  <c r="BF7" i="13" s="1"/>
  <c r="AY7" i="13"/>
  <c r="AX7" i="13"/>
  <c r="AQ7" i="13"/>
  <c r="AR7" i="13" s="1"/>
  <c r="AG7" i="13"/>
  <c r="AJ7" i="13" s="1"/>
  <c r="AK7" i="13" s="1"/>
  <c r="Y7" i="13"/>
  <c r="AB7" i="13" s="1"/>
  <c r="AC7" i="13" s="1"/>
  <c r="Q7" i="13"/>
  <c r="T7" i="13" s="1"/>
  <c r="U7" i="13" s="1"/>
  <c r="J7" i="13"/>
  <c r="K7" i="13" s="1"/>
  <c r="F7" i="13"/>
  <c r="BY6" i="13"/>
  <c r="CB6" i="13" s="1"/>
  <c r="CC6" i="13" s="1"/>
  <c r="BR6" i="13"/>
  <c r="BU6" i="13" s="1"/>
  <c r="BM6" i="13"/>
  <c r="BN6" i="13" s="1"/>
  <c r="BJ6" i="13"/>
  <c r="BC6" i="13"/>
  <c r="BF6" i="13" s="1"/>
  <c r="AY6" i="13"/>
  <c r="AX6" i="13"/>
  <c r="AQ6" i="13"/>
  <c r="AR6" i="13" s="1"/>
  <c r="AG6" i="13"/>
  <c r="AJ6" i="13" s="1"/>
  <c r="AK6" i="13" s="1"/>
  <c r="Y6" i="13"/>
  <c r="AB6" i="13" s="1"/>
  <c r="AC6" i="13" s="1"/>
  <c r="Q6" i="13"/>
  <c r="T6" i="13" s="1"/>
  <c r="U6" i="13" s="1"/>
  <c r="F6" i="13"/>
  <c r="J6" i="13" s="1"/>
  <c r="K6" i="13" s="1"/>
  <c r="CB5" i="13"/>
  <c r="BY5" i="13"/>
  <c r="BR5" i="13"/>
  <c r="BU5" i="13" s="1"/>
  <c r="BJ5" i="13"/>
  <c r="BM5" i="13" s="1"/>
  <c r="BN5" i="13" s="1"/>
  <c r="BC5" i="13"/>
  <c r="BF5" i="13" s="1"/>
  <c r="AX5" i="13"/>
  <c r="AY5" i="13" s="1"/>
  <c r="AQ5" i="13"/>
  <c r="AR5" i="13" s="1"/>
  <c r="AJ5" i="13"/>
  <c r="AK5" i="13" s="1"/>
  <c r="AG5" i="13"/>
  <c r="Y5" i="13"/>
  <c r="AB5" i="13" s="1"/>
  <c r="AC5" i="13" s="1"/>
  <c r="Q5" i="13"/>
  <c r="T5" i="13" s="1"/>
  <c r="U5" i="13" s="1"/>
  <c r="L5" i="13"/>
  <c r="J5" i="13"/>
  <c r="K5" i="13" s="1"/>
  <c r="F5" i="13"/>
  <c r="E5" i="13"/>
  <c r="E6" i="13" s="1"/>
  <c r="E7" i="13" s="1"/>
  <c r="E8" i="13" s="1"/>
  <c r="E9" i="13" s="1"/>
  <c r="E10" i="13" s="1"/>
  <c r="E11" i="13" s="1"/>
  <c r="E12" i="13" s="1"/>
  <c r="E13" i="13" s="1"/>
  <c r="E14" i="13" s="1"/>
  <c r="E15" i="13" s="1"/>
  <c r="E16" i="13" s="1"/>
  <c r="E17" i="13" s="1"/>
  <c r="E18" i="13" s="1"/>
  <c r="E19" i="13" s="1"/>
  <c r="E20" i="13" s="1"/>
  <c r="E21" i="13" s="1"/>
  <c r="E22" i="13" s="1"/>
  <c r="E23" i="13" s="1"/>
  <c r="E24" i="13" s="1"/>
  <c r="E25" i="13" s="1"/>
  <c r="E26" i="13" s="1"/>
  <c r="E27" i="13" s="1"/>
  <c r="E28" i="13" s="1"/>
  <c r="E29" i="13" s="1"/>
  <c r="E30" i="13" s="1"/>
  <c r="E31" i="13" s="1"/>
  <c r="E32" i="13" s="1"/>
  <c r="E33" i="13" s="1"/>
  <c r="E34" i="13" s="1"/>
  <c r="E35" i="13" s="1"/>
  <c r="E36" i="13" s="1"/>
  <c r="E37" i="13" s="1"/>
  <c r="E38" i="13" s="1"/>
  <c r="E39" i="13" s="1"/>
  <c r="E40" i="13" s="1"/>
  <c r="E41" i="13" s="1"/>
  <c r="E42" i="13" s="1"/>
  <c r="E43" i="13" s="1"/>
  <c r="E44" i="13" s="1"/>
  <c r="E45" i="13" s="1"/>
  <c r="E46" i="13" s="1"/>
  <c r="E47" i="13" s="1"/>
  <c r="E48" i="13" s="1"/>
  <c r="E49" i="13" s="1"/>
  <c r="E50" i="13" s="1"/>
  <c r="E51" i="13" s="1"/>
  <c r="E52" i="13" s="1"/>
  <c r="E53" i="13" s="1"/>
  <c r="E54" i="13" s="1"/>
  <c r="E55" i="13" s="1"/>
  <c r="E56" i="13" s="1"/>
  <c r="E57" i="13" s="1"/>
  <c r="E58" i="13" s="1"/>
  <c r="E59" i="13" s="1"/>
  <c r="E60" i="13" s="1"/>
  <c r="E61" i="13" s="1"/>
  <c r="E62" i="13" s="1"/>
  <c r="E63" i="13" s="1"/>
  <c r="E64" i="13" s="1"/>
  <c r="E65" i="13" s="1"/>
  <c r="E66" i="13" s="1"/>
  <c r="E67" i="13" s="1"/>
  <c r="E68" i="13" s="1"/>
  <c r="E69" i="13" s="1"/>
  <c r="E70" i="13" s="1"/>
  <c r="E71" i="13" s="1"/>
  <c r="E72" i="13" s="1"/>
  <c r="E73" i="13" s="1"/>
  <c r="E74" i="13" s="1"/>
  <c r="E75" i="13" s="1"/>
  <c r="E76" i="13" s="1"/>
  <c r="E77" i="13" s="1"/>
  <c r="E78" i="13" s="1"/>
  <c r="E79" i="13" s="1"/>
  <c r="E80" i="13" s="1"/>
  <c r="E81" i="13" s="1"/>
  <c r="E82" i="13" s="1"/>
  <c r="E83" i="13" s="1"/>
  <c r="E84" i="13" s="1"/>
  <c r="E85" i="13" s="1"/>
  <c r="E86" i="13" s="1"/>
  <c r="E87" i="13" s="1"/>
  <c r="E88" i="13" s="1"/>
  <c r="E89" i="13" s="1"/>
  <c r="E90" i="13" s="1"/>
  <c r="E91" i="13" s="1"/>
  <c r="E92" i="13" s="1"/>
  <c r="E93" i="13" s="1"/>
  <c r="E94" i="13" s="1"/>
  <c r="E95" i="13" s="1"/>
  <c r="E96" i="13" s="1"/>
  <c r="E97" i="13" s="1"/>
  <c r="E98" i="13" s="1"/>
  <c r="E99" i="13" s="1"/>
  <c r="E100" i="13" s="1"/>
  <c r="E101" i="13" s="1"/>
  <c r="E102" i="13" s="1"/>
  <c r="E103" i="13" s="1"/>
  <c r="E104" i="13" s="1"/>
  <c r="E105" i="13" s="1"/>
  <c r="E106" i="13" s="1"/>
  <c r="E107" i="13" s="1"/>
  <c r="E108" i="13" s="1"/>
  <c r="E109" i="13" s="1"/>
  <c r="E110" i="13" s="1"/>
  <c r="E111" i="13" s="1"/>
  <c r="E112" i="13" s="1"/>
  <c r="E113" i="13" s="1"/>
  <c r="E114" i="13" s="1"/>
  <c r="E115" i="13" s="1"/>
  <c r="E116" i="13" s="1"/>
  <c r="E117" i="13" s="1"/>
  <c r="E118" i="13" s="1"/>
  <c r="E119" i="13" s="1"/>
  <c r="E120" i="13" s="1"/>
  <c r="E121" i="13" s="1"/>
  <c r="E122" i="13" s="1"/>
  <c r="E123" i="13" s="1"/>
  <c r="E124" i="13" s="1"/>
  <c r="E125" i="13" s="1"/>
  <c r="E126" i="13" s="1"/>
  <c r="E127" i="13" s="1"/>
  <c r="E128" i="13" s="1"/>
  <c r="E129" i="13" s="1"/>
  <c r="E130" i="13" s="1"/>
  <c r="E131" i="13" s="1"/>
  <c r="E132" i="13" s="1"/>
  <c r="E133" i="13" s="1"/>
  <c r="E134" i="13" s="1"/>
  <c r="E135" i="13" s="1"/>
  <c r="E136" i="13" s="1"/>
  <c r="E137" i="13" s="1"/>
  <c r="E138" i="13" s="1"/>
  <c r="E139" i="13" s="1"/>
  <c r="E140" i="13" s="1"/>
  <c r="E141" i="13" s="1"/>
  <c r="E142" i="13" s="1"/>
  <c r="E143" i="13" s="1"/>
  <c r="E144" i="13" s="1"/>
  <c r="E145" i="13" s="1"/>
  <c r="E146" i="13" s="1"/>
  <c r="E147" i="13" s="1"/>
  <c r="E148" i="13" s="1"/>
  <c r="E149" i="13" s="1"/>
  <c r="E150" i="13" s="1"/>
  <c r="E151" i="13" s="1"/>
  <c r="E152" i="13" s="1"/>
  <c r="E153" i="13" s="1"/>
  <c r="E154" i="13" s="1"/>
  <c r="E155" i="13" s="1"/>
  <c r="E156" i="13" s="1"/>
  <c r="E157" i="13" s="1"/>
  <c r="E158" i="13" s="1"/>
  <c r="E159" i="13" s="1"/>
  <c r="E160" i="13" s="1"/>
  <c r="E161" i="13" s="1"/>
  <c r="E162" i="13" s="1"/>
  <c r="E163" i="13" s="1"/>
  <c r="E164" i="13" s="1"/>
  <c r="E165" i="13" s="1"/>
  <c r="E166" i="13" s="1"/>
  <c r="E167" i="13" s="1"/>
  <c r="E168" i="13" s="1"/>
  <c r="E169" i="13" s="1"/>
  <c r="E170" i="13" s="1"/>
  <c r="E171" i="13" s="1"/>
  <c r="E172" i="13" s="1"/>
  <c r="E173" i="13" s="1"/>
  <c r="E174" i="13" s="1"/>
  <c r="E175" i="13" s="1"/>
  <c r="E176" i="13" s="1"/>
  <c r="E177" i="13" s="1"/>
  <c r="E178" i="13" s="1"/>
  <c r="E179" i="13" s="1"/>
  <c r="E180" i="13" s="1"/>
  <c r="E181" i="13" s="1"/>
  <c r="E182" i="13" s="1"/>
  <c r="E183" i="13" s="1"/>
  <c r="E184" i="13" s="1"/>
  <c r="E185" i="13" s="1"/>
  <c r="E186" i="13" s="1"/>
  <c r="E187" i="13" s="1"/>
  <c r="E188" i="13" s="1"/>
  <c r="E189" i="13" s="1"/>
  <c r="E190" i="13" s="1"/>
  <c r="E191" i="13" s="1"/>
  <c r="E192" i="13" s="1"/>
  <c r="E193" i="13" s="1"/>
  <c r="E194" i="13" s="1"/>
  <c r="E195" i="13" s="1"/>
  <c r="E196" i="13" s="1"/>
  <c r="E197" i="13" s="1"/>
  <c r="E198" i="13" s="1"/>
  <c r="E199" i="13" s="1"/>
  <c r="E200" i="13" s="1"/>
  <c r="E201" i="13" s="1"/>
  <c r="E202" i="13" s="1"/>
  <c r="E203" i="13" s="1"/>
  <c r="E204" i="13" s="1"/>
  <c r="E205" i="13" s="1"/>
  <c r="E206" i="13" s="1"/>
  <c r="E207" i="13" s="1"/>
  <c r="E208" i="13" s="1"/>
  <c r="E209" i="13" s="1"/>
  <c r="E210" i="13" s="1"/>
  <c r="E211" i="13" s="1"/>
  <c r="E212" i="13" s="1"/>
  <c r="E213" i="13" s="1"/>
  <c r="E214" i="13" s="1"/>
  <c r="E215" i="13" s="1"/>
  <c r="E216" i="13" s="1"/>
  <c r="E217" i="13" s="1"/>
  <c r="CB4" i="13"/>
  <c r="CC4" i="13" s="1"/>
  <c r="BY4" i="13"/>
  <c r="BR4" i="13"/>
  <c r="BU4" i="13" s="1"/>
  <c r="BJ4" i="13"/>
  <c r="BM4" i="13" s="1"/>
  <c r="BC4" i="13"/>
  <c r="AX4" i="13"/>
  <c r="AU4" i="13"/>
  <c r="AQ4" i="13"/>
  <c r="AR4" i="13" s="1"/>
  <c r="AG4" i="13"/>
  <c r="AJ4" i="13" s="1"/>
  <c r="Y4" i="13"/>
  <c r="AB4" i="13" s="1"/>
  <c r="AC4" i="13" s="1"/>
  <c r="Q4" i="13"/>
  <c r="T4" i="13" s="1"/>
  <c r="U4" i="13" s="1"/>
  <c r="F4" i="13"/>
  <c r="J4" i="13" s="1"/>
  <c r="E4" i="13"/>
  <c r="C4" i="13"/>
  <c r="C5" i="13" s="1"/>
  <c r="C6" i="13" s="1"/>
  <c r="C7" i="13" s="1"/>
  <c r="C8" i="13" s="1"/>
  <c r="C9" i="13" s="1"/>
  <c r="C10" i="13" s="1"/>
  <c r="C11" i="13" s="1"/>
  <c r="C12" i="13" s="1"/>
  <c r="C13" i="13" s="1"/>
  <c r="C14" i="13" s="1"/>
  <c r="C15" i="13" s="1"/>
  <c r="C16" i="13" s="1"/>
  <c r="C17" i="13" s="1"/>
  <c r="C18" i="13" s="1"/>
  <c r="C19" i="13" s="1"/>
  <c r="C20" i="13" s="1"/>
  <c r="C21" i="13" s="1"/>
  <c r="C22" i="13" s="1"/>
  <c r="C23" i="13" s="1"/>
  <c r="C24" i="13" s="1"/>
  <c r="C25" i="13" s="1"/>
  <c r="C26" i="13" s="1"/>
  <c r="C27" i="13" s="1"/>
  <c r="C28" i="13" s="1"/>
  <c r="C29" i="13" s="1"/>
  <c r="C30" i="13" s="1"/>
  <c r="C31" i="13" s="1"/>
  <c r="C32" i="13" s="1"/>
  <c r="C33" i="13" s="1"/>
  <c r="C34" i="13" s="1"/>
  <c r="C35" i="13" s="1"/>
  <c r="C36" i="13" s="1"/>
  <c r="C37" i="13" s="1"/>
  <c r="C38" i="13" s="1"/>
  <c r="C39" i="13" s="1"/>
  <c r="C40" i="13" s="1"/>
  <c r="C41" i="13" s="1"/>
  <c r="C42" i="13" s="1"/>
  <c r="C43" i="13" s="1"/>
  <c r="C44" i="13" s="1"/>
  <c r="C45" i="13" s="1"/>
  <c r="C46" i="13" s="1"/>
  <c r="C47" i="13" s="1"/>
  <c r="C48" i="13" s="1"/>
  <c r="C49" i="13" s="1"/>
  <c r="C50" i="13" s="1"/>
  <c r="C51" i="13" s="1"/>
  <c r="C52" i="13" s="1"/>
  <c r="C53" i="13" s="1"/>
  <c r="C54" i="13" s="1"/>
  <c r="C55" i="13" s="1"/>
  <c r="C56" i="13" s="1"/>
  <c r="C57" i="13" s="1"/>
  <c r="C58" i="13" s="1"/>
  <c r="C59" i="13" s="1"/>
  <c r="C60" i="13" s="1"/>
  <c r="C61" i="13" s="1"/>
  <c r="C62" i="13" s="1"/>
  <c r="C63" i="13" s="1"/>
  <c r="C64" i="13" s="1"/>
  <c r="C65" i="13" s="1"/>
  <c r="C66" i="13" s="1"/>
  <c r="C67" i="13" s="1"/>
  <c r="C68" i="13" s="1"/>
  <c r="C69" i="13" s="1"/>
  <c r="C70" i="13" s="1"/>
  <c r="C71" i="13" s="1"/>
  <c r="C72" i="13" s="1"/>
  <c r="C73" i="13" s="1"/>
  <c r="C74" i="13" s="1"/>
  <c r="C75" i="13" s="1"/>
  <c r="C76" i="13" s="1"/>
  <c r="C77" i="13" s="1"/>
  <c r="C78" i="13" s="1"/>
  <c r="C79" i="13" s="1"/>
  <c r="C80" i="13" s="1"/>
  <c r="C81" i="13" s="1"/>
  <c r="C82" i="13" s="1"/>
  <c r="C83" i="13" s="1"/>
  <c r="C84" i="13" s="1"/>
  <c r="C85" i="13" s="1"/>
  <c r="C86" i="13" s="1"/>
  <c r="C87" i="13" s="1"/>
  <c r="C88" i="13" s="1"/>
  <c r="C89" i="13" s="1"/>
  <c r="C90" i="13" s="1"/>
  <c r="C91" i="13" s="1"/>
  <c r="C92" i="13" s="1"/>
  <c r="C93" i="13" s="1"/>
  <c r="C94" i="13" s="1"/>
  <c r="C95" i="13" s="1"/>
  <c r="C96" i="13" s="1"/>
  <c r="C97" i="13" s="1"/>
  <c r="C98" i="13" s="1"/>
  <c r="C99" i="13" s="1"/>
  <c r="C100" i="13" s="1"/>
  <c r="C101" i="13" s="1"/>
  <c r="C102" i="13" s="1"/>
  <c r="C103" i="13" s="1"/>
  <c r="C104" i="13" s="1"/>
  <c r="C105" i="13" s="1"/>
  <c r="C106" i="13" s="1"/>
  <c r="C107" i="13" s="1"/>
  <c r="C108" i="13" s="1"/>
  <c r="C109" i="13" s="1"/>
  <c r="C110" i="13" s="1"/>
  <c r="C111" i="13" s="1"/>
  <c r="C112" i="13" s="1"/>
  <c r="C113" i="13" s="1"/>
  <c r="C114" i="13" s="1"/>
  <c r="C115" i="13" s="1"/>
  <c r="C116" i="13" s="1"/>
  <c r="C117" i="13" s="1"/>
  <c r="C118" i="13" s="1"/>
  <c r="C119" i="13" s="1"/>
  <c r="C120" i="13" s="1"/>
  <c r="C121" i="13" s="1"/>
  <c r="C122" i="13" s="1"/>
  <c r="C123" i="13" s="1"/>
  <c r="C124" i="13" s="1"/>
  <c r="C125" i="13" s="1"/>
  <c r="C126" i="13" s="1"/>
  <c r="C127" i="13" s="1"/>
  <c r="C128" i="13" s="1"/>
  <c r="C129" i="13" s="1"/>
  <c r="C130" i="13" s="1"/>
  <c r="C131" i="13" s="1"/>
  <c r="C132" i="13" s="1"/>
  <c r="C133" i="13" s="1"/>
  <c r="C134" i="13" s="1"/>
  <c r="C135" i="13" s="1"/>
  <c r="C136" i="13" s="1"/>
  <c r="C137" i="13" s="1"/>
  <c r="C138" i="13" s="1"/>
  <c r="C139" i="13" s="1"/>
  <c r="C140" i="13" s="1"/>
  <c r="C141" i="13" s="1"/>
  <c r="C142" i="13" s="1"/>
  <c r="C143" i="13" s="1"/>
  <c r="C144" i="13" s="1"/>
  <c r="C145" i="13" s="1"/>
  <c r="C146" i="13" s="1"/>
  <c r="C147" i="13" s="1"/>
  <c r="C148" i="13" s="1"/>
  <c r="C149" i="13" s="1"/>
  <c r="C150" i="13" s="1"/>
  <c r="C151" i="13" s="1"/>
  <c r="C152" i="13" s="1"/>
  <c r="C153" i="13" s="1"/>
  <c r="C154" i="13" s="1"/>
  <c r="C155" i="13" s="1"/>
  <c r="C156" i="13" s="1"/>
  <c r="C157" i="13" s="1"/>
  <c r="C158" i="13" s="1"/>
  <c r="C159" i="13" s="1"/>
  <c r="C160" i="13" s="1"/>
  <c r="C161" i="13" s="1"/>
  <c r="C162" i="13" s="1"/>
  <c r="C163" i="13" s="1"/>
  <c r="C164" i="13" s="1"/>
  <c r="C165" i="13" s="1"/>
  <c r="C166" i="13" s="1"/>
  <c r="C167" i="13" s="1"/>
  <c r="C168" i="13" s="1"/>
  <c r="C169" i="13" s="1"/>
  <c r="C170" i="13" s="1"/>
  <c r="C171" i="13" s="1"/>
  <c r="C172" i="13" s="1"/>
  <c r="C173" i="13" s="1"/>
  <c r="C174" i="13" s="1"/>
  <c r="C175" i="13" s="1"/>
  <c r="C176" i="13" s="1"/>
  <c r="C177" i="13" s="1"/>
  <c r="C178" i="13" s="1"/>
  <c r="C179" i="13" s="1"/>
  <c r="C180" i="13" s="1"/>
  <c r="C181" i="13" s="1"/>
  <c r="C182" i="13" s="1"/>
  <c r="C183" i="13" s="1"/>
  <c r="C184" i="13" s="1"/>
  <c r="C185" i="13" s="1"/>
  <c r="C186" i="13" s="1"/>
  <c r="C187" i="13" s="1"/>
  <c r="C188" i="13" s="1"/>
  <c r="C189" i="13" s="1"/>
  <c r="C190" i="13" s="1"/>
  <c r="C191" i="13" s="1"/>
  <c r="C192" i="13" s="1"/>
  <c r="C193" i="13" s="1"/>
  <c r="C194" i="13" s="1"/>
  <c r="C195" i="13" s="1"/>
  <c r="C196" i="13" s="1"/>
  <c r="C197" i="13" s="1"/>
  <c r="C198" i="13" s="1"/>
  <c r="C199" i="13" s="1"/>
  <c r="C200" i="13" s="1"/>
  <c r="C201" i="13" s="1"/>
  <c r="C202" i="13" s="1"/>
  <c r="C203" i="13" s="1"/>
  <c r="C204" i="13" s="1"/>
  <c r="C205" i="13" s="1"/>
  <c r="C206" i="13" s="1"/>
  <c r="C207" i="13" s="1"/>
  <c r="C208" i="13" s="1"/>
  <c r="C209" i="13" s="1"/>
  <c r="C210" i="13" s="1"/>
  <c r="C211" i="13" s="1"/>
  <c r="C212" i="13" s="1"/>
  <c r="C213" i="13" s="1"/>
  <c r="C214" i="13" s="1"/>
  <c r="C215" i="13" s="1"/>
  <c r="C216" i="13" s="1"/>
  <c r="C217" i="13" s="1"/>
  <c r="CB3" i="13"/>
  <c r="CD3" i="13" s="1"/>
  <c r="BU3" i="13"/>
  <c r="BV3" i="13" s="1"/>
  <c r="BV4" i="13" s="1"/>
  <c r="BG3" i="13"/>
  <c r="BG4" i="13" s="1"/>
  <c r="AX3" i="13"/>
  <c r="AQ3" i="13"/>
  <c r="AS3" i="13" s="1"/>
  <c r="AJ3" i="13"/>
  <c r="AL3" i="13" s="1"/>
  <c r="AB3" i="13"/>
  <c r="T3" i="13"/>
  <c r="BB4" i="13" l="1"/>
  <c r="AY4" i="13"/>
  <c r="AZ3" i="13"/>
  <c r="AY3" i="13"/>
  <c r="AB50" i="13"/>
  <c r="AC50" i="13" s="1"/>
  <c r="AB18" i="13"/>
  <c r="AC18" i="13" s="1"/>
  <c r="CF218" i="13"/>
  <c r="AB10" i="13"/>
  <c r="AC10" i="13" s="1"/>
  <c r="AB13" i="13"/>
  <c r="AC13" i="13" s="1"/>
  <c r="CF188" i="13"/>
  <c r="AB15" i="13"/>
  <c r="AC15" i="13" s="1"/>
  <c r="AB53" i="13"/>
  <c r="AC53" i="13" s="1"/>
  <c r="BB127" i="13"/>
  <c r="AY131" i="13"/>
  <c r="AU188" i="13"/>
  <c r="BX96" i="13"/>
  <c r="L6" i="13"/>
  <c r="BI4" i="13"/>
  <c r="BB65" i="13"/>
  <c r="X4" i="13"/>
  <c r="CF35" i="13"/>
  <c r="AK3" i="13"/>
  <c r="AB17" i="13"/>
  <c r="AC17" i="13" s="1"/>
  <c r="O35" i="13"/>
  <c r="P35" i="13" s="1"/>
  <c r="AB45" i="13"/>
  <c r="AN218" i="13"/>
  <c r="BX157" i="13"/>
  <c r="CF157" i="13"/>
  <c r="BI218" i="13"/>
  <c r="BI157" i="13"/>
  <c r="BQ218" i="13"/>
  <c r="M6" i="13"/>
  <c r="N6" i="13" s="1"/>
  <c r="L7" i="13"/>
  <c r="BG5" i="13"/>
  <c r="BH4" i="13"/>
  <c r="BQ4" i="13"/>
  <c r="BO4" i="13"/>
  <c r="BN4" i="13"/>
  <c r="AM3" i="13"/>
  <c r="AN3" i="13" s="1"/>
  <c r="AL4" i="13"/>
  <c r="AK4" i="13"/>
  <c r="AN4" i="13"/>
  <c r="BX4" i="13"/>
  <c r="BV5" i="13"/>
  <c r="BW4" i="13"/>
  <c r="AS4" i="13"/>
  <c r="AT3" i="13"/>
  <c r="AU3" i="13" s="1"/>
  <c r="CE3" i="13"/>
  <c r="CF3" i="13" s="1"/>
  <c r="CD4" i="13"/>
  <c r="CF4" i="13"/>
  <c r="O4" i="13"/>
  <c r="P4" i="13" s="1"/>
  <c r="L4" i="13"/>
  <c r="M4" i="13" s="1"/>
  <c r="N4" i="13" s="1"/>
  <c r="K4" i="13"/>
  <c r="AC3" i="13"/>
  <c r="BW3" i="13"/>
  <c r="BX3" i="13" s="1"/>
  <c r="M5" i="13"/>
  <c r="N5" i="13" s="1"/>
  <c r="CC5" i="13"/>
  <c r="AB12" i="13"/>
  <c r="AC12" i="13" s="1"/>
  <c r="AB16" i="13"/>
  <c r="AC16" i="13" s="1"/>
  <c r="BB35" i="13"/>
  <c r="AY35" i="13"/>
  <c r="AB8" i="13"/>
  <c r="AC8" i="13" s="1"/>
  <c r="AR3" i="13"/>
  <c r="AD3" i="13"/>
  <c r="U3" i="13"/>
  <c r="CC3" i="13"/>
  <c r="V3" i="13"/>
  <c r="BH3" i="13"/>
  <c r="BI3" i="13" s="1"/>
  <c r="AC75" i="13"/>
  <c r="AF65" i="13"/>
  <c r="BN36" i="13"/>
  <c r="BQ35" i="13"/>
  <c r="AB37" i="13"/>
  <c r="AC37" i="13" s="1"/>
  <c r="AN35" i="13"/>
  <c r="U66" i="13"/>
  <c r="X65" i="13"/>
  <c r="X35" i="13"/>
  <c r="AU35" i="13"/>
  <c r="BX35" i="13"/>
  <c r="BX65" i="13"/>
  <c r="AB35" i="13"/>
  <c r="AR35" i="13"/>
  <c r="AB41" i="13"/>
  <c r="AC41" i="13" s="1"/>
  <c r="AN65" i="13"/>
  <c r="AK65" i="13"/>
  <c r="BI65" i="13"/>
  <c r="AU65" i="13"/>
  <c r="CF65" i="13"/>
  <c r="CC65" i="13"/>
  <c r="AB51" i="13"/>
  <c r="AC51" i="13" s="1"/>
  <c r="O65" i="13"/>
  <c r="P65" i="13" s="1"/>
  <c r="BQ65" i="13"/>
  <c r="K96" i="13"/>
  <c r="O96" i="13"/>
  <c r="P96" i="13" s="1"/>
  <c r="CF96" i="13"/>
  <c r="U96" i="13"/>
  <c r="X96" i="13"/>
  <c r="AY115" i="13"/>
  <c r="BB96" i="13"/>
  <c r="BI96" i="13"/>
  <c r="BQ96" i="13"/>
  <c r="AF96" i="13"/>
  <c r="AC96" i="13"/>
  <c r="AN96" i="13"/>
  <c r="AK96" i="13"/>
  <c r="AR103" i="13"/>
  <c r="AU96" i="13"/>
  <c r="AC134" i="13"/>
  <c r="AF127" i="13"/>
  <c r="O157" i="13"/>
  <c r="P157" i="13" s="1"/>
  <c r="AR168" i="13"/>
  <c r="AU157" i="13"/>
  <c r="AN127" i="13"/>
  <c r="AK127" i="13"/>
  <c r="BI127" i="13"/>
  <c r="AU127" i="13"/>
  <c r="O127" i="13"/>
  <c r="P127" i="13" s="1"/>
  <c r="X127" i="13"/>
  <c r="AR127" i="13"/>
  <c r="AF157" i="13"/>
  <c r="AC157" i="13"/>
  <c r="BX127" i="13"/>
  <c r="AN157" i="13"/>
  <c r="AK157" i="13"/>
  <c r="K188" i="13"/>
  <c r="O188" i="13"/>
  <c r="P188" i="13" s="1"/>
  <c r="AK191" i="13"/>
  <c r="AN188" i="13"/>
  <c r="X157" i="13"/>
  <c r="BQ157" i="13"/>
  <c r="BB157" i="13"/>
  <c r="AY157" i="13"/>
  <c r="X188" i="13"/>
  <c r="BI188" i="13"/>
  <c r="AF188" i="13"/>
  <c r="AC188" i="13"/>
  <c r="BQ188" i="13"/>
  <c r="U219" i="13"/>
  <c r="X218" i="13"/>
  <c r="BB188" i="13"/>
  <c r="AY191" i="13"/>
  <c r="BX188" i="13"/>
  <c r="BX218" i="13"/>
  <c r="AF218" i="13"/>
  <c r="AC218" i="13"/>
  <c r="BA3" i="13" l="1"/>
  <c r="BB3" i="13" s="1"/>
  <c r="AZ4" i="13"/>
  <c r="W3" i="13"/>
  <c r="X3" i="13" s="1"/>
  <c r="V4" i="13"/>
  <c r="AT4" i="13"/>
  <c r="AS5" i="13"/>
  <c r="BP4" i="13"/>
  <c r="BO5" i="13"/>
  <c r="AF35" i="13"/>
  <c r="AD4" i="13"/>
  <c r="AE3" i="13"/>
  <c r="AF3" i="13" s="1"/>
  <c r="AF4" i="13"/>
  <c r="BV6" i="13"/>
  <c r="BW5" i="13"/>
  <c r="CD5" i="13"/>
  <c r="CE4" i="13"/>
  <c r="BG6" i="13"/>
  <c r="BH5" i="13"/>
  <c r="AM4" i="13"/>
  <c r="AL5" i="13"/>
  <c r="M7" i="13"/>
  <c r="N7" i="13" s="1"/>
  <c r="L8" i="13"/>
  <c r="BA4" i="13" l="1"/>
  <c r="AZ5" i="13"/>
  <c r="M8" i="13"/>
  <c r="N8" i="13" s="1"/>
  <c r="L9" i="13"/>
  <c r="AS6" i="13"/>
  <c r="AT5" i="13"/>
  <c r="BW6" i="13"/>
  <c r="BV7" i="13"/>
  <c r="CE5" i="13"/>
  <c r="CD6" i="13"/>
  <c r="AL6" i="13"/>
  <c r="AM5" i="13"/>
  <c r="AD5" i="13"/>
  <c r="AE4" i="13"/>
  <c r="V5" i="13"/>
  <c r="W4" i="13"/>
  <c r="BO6" i="13"/>
  <c r="BP5" i="13"/>
  <c r="BH6" i="13"/>
  <c r="BG7" i="13"/>
  <c r="AZ6" i="13" l="1"/>
  <c r="BA5" i="13"/>
  <c r="CD7" i="13"/>
  <c r="CE6" i="13"/>
  <c r="V6" i="13"/>
  <c r="W5" i="13"/>
  <c r="AD6" i="13"/>
  <c r="AE5" i="13"/>
  <c r="BG8" i="13"/>
  <c r="BH7" i="13"/>
  <c r="BV8" i="13"/>
  <c r="BW7" i="13"/>
  <c r="AT6" i="13"/>
  <c r="AS7" i="13"/>
  <c r="L10" i="13"/>
  <c r="M9" i="13"/>
  <c r="N9" i="13" s="1"/>
  <c r="BO7" i="13"/>
  <c r="BP6" i="13"/>
  <c r="AL7" i="13"/>
  <c r="AM6" i="13"/>
  <c r="AZ7" i="13" l="1"/>
  <c r="BA6" i="13"/>
  <c r="AD7" i="13"/>
  <c r="AE6" i="13"/>
  <c r="AL8" i="13"/>
  <c r="AM7" i="13"/>
  <c r="BW8" i="13"/>
  <c r="BV9" i="13"/>
  <c r="V7" i="13"/>
  <c r="W6" i="13"/>
  <c r="BG9" i="13"/>
  <c r="BH8" i="13"/>
  <c r="L11" i="13"/>
  <c r="M10" i="13"/>
  <c r="N10" i="13" s="1"/>
  <c r="AS8" i="13"/>
  <c r="AT7" i="13"/>
  <c r="BP7" i="13"/>
  <c r="BO8" i="13"/>
  <c r="CE7" i="13"/>
  <c r="CD8" i="13"/>
  <c r="AZ8" i="13" l="1"/>
  <c r="BA7" i="13"/>
  <c r="BV10" i="13"/>
  <c r="BW9" i="13"/>
  <c r="AS9" i="13"/>
  <c r="AT8" i="13"/>
  <c r="M11" i="13"/>
  <c r="N11" i="13" s="1"/>
  <c r="L12" i="13"/>
  <c r="AL9" i="13"/>
  <c r="AM8" i="13"/>
  <c r="BP8" i="13"/>
  <c r="BO9" i="13"/>
  <c r="CD9" i="13"/>
  <c r="CE8" i="13"/>
  <c r="V8" i="13"/>
  <c r="W7" i="13"/>
  <c r="BG10" i="13"/>
  <c r="BH9" i="13"/>
  <c r="AE7" i="13"/>
  <c r="AD8" i="13"/>
  <c r="AZ9" i="13" l="1"/>
  <c r="BA8" i="13"/>
  <c r="L13" i="13"/>
  <c r="M12" i="13"/>
  <c r="N12" i="13" s="1"/>
  <c r="AL10" i="13"/>
  <c r="AM9" i="13"/>
  <c r="W8" i="13"/>
  <c r="V9" i="13"/>
  <c r="AD9" i="13"/>
  <c r="AE8" i="13"/>
  <c r="CD10" i="13"/>
  <c r="CE9" i="13"/>
  <c r="AS10" i="13"/>
  <c r="AT9" i="13"/>
  <c r="BO10" i="13"/>
  <c r="BP9" i="13"/>
  <c r="BH10" i="13"/>
  <c r="BG11" i="13"/>
  <c r="BV11" i="13"/>
  <c r="BW10" i="13"/>
  <c r="AZ10" i="13" l="1"/>
  <c r="BA9" i="13"/>
  <c r="AE9" i="13"/>
  <c r="AD10" i="13"/>
  <c r="BP10" i="13"/>
  <c r="BO11" i="13"/>
  <c r="BV12" i="13"/>
  <c r="BW11" i="13"/>
  <c r="AT10" i="13"/>
  <c r="AS11" i="13"/>
  <c r="AL11" i="13"/>
  <c r="AM10" i="13"/>
  <c r="W9" i="13"/>
  <c r="V10" i="13"/>
  <c r="BG12" i="13"/>
  <c r="BH11" i="13"/>
  <c r="CD11" i="13"/>
  <c r="CE10" i="13"/>
  <c r="L14" i="13"/>
  <c r="M13" i="13"/>
  <c r="N13" i="13" s="1"/>
  <c r="AZ11" i="13" l="1"/>
  <c r="BA10" i="13"/>
  <c r="AL12" i="13"/>
  <c r="AM11" i="13"/>
  <c r="AS12" i="13"/>
  <c r="AT11" i="13"/>
  <c r="BG13" i="13"/>
  <c r="BH12" i="13"/>
  <c r="BV13" i="13"/>
  <c r="BW12" i="13"/>
  <c r="AD11" i="13"/>
  <c r="AE10" i="13"/>
  <c r="BO12" i="13"/>
  <c r="BP11" i="13"/>
  <c r="CE11" i="13"/>
  <c r="CD12" i="13"/>
  <c r="V11" i="13"/>
  <c r="W10" i="13"/>
  <c r="L15" i="13"/>
  <c r="M14" i="13"/>
  <c r="N14" i="13" s="1"/>
  <c r="BA11" i="13" l="1"/>
  <c r="AZ12" i="13"/>
  <c r="V12" i="13"/>
  <c r="W11" i="13"/>
  <c r="BV14" i="13"/>
  <c r="BW13" i="13"/>
  <c r="BO13" i="13"/>
  <c r="BP12" i="13"/>
  <c r="AS13" i="13"/>
  <c r="AT12" i="13"/>
  <c r="CD13" i="13"/>
  <c r="CE12" i="13"/>
  <c r="BH13" i="13"/>
  <c r="BG14" i="13"/>
  <c r="L16" i="13"/>
  <c r="M15" i="13"/>
  <c r="N15" i="13" s="1"/>
  <c r="AD12" i="13"/>
  <c r="AE11" i="13"/>
  <c r="AM12" i="13"/>
  <c r="AL13" i="13"/>
  <c r="BA12" i="13" l="1"/>
  <c r="AZ13" i="13"/>
  <c r="BO14" i="13"/>
  <c r="BP13" i="13"/>
  <c r="BH14" i="13"/>
  <c r="BG15" i="13"/>
  <c r="L17" i="13"/>
  <c r="M16" i="13"/>
  <c r="N16" i="13" s="1"/>
  <c r="AL14" i="13"/>
  <c r="AM13" i="13"/>
  <c r="CD14" i="13"/>
  <c r="CE13" i="13"/>
  <c r="BV15" i="13"/>
  <c r="BW14" i="13"/>
  <c r="AD13" i="13"/>
  <c r="AE12" i="13"/>
  <c r="AT13" i="13"/>
  <c r="AS14" i="13"/>
  <c r="V13" i="13"/>
  <c r="W12" i="13"/>
  <c r="BA13" i="13" l="1"/>
  <c r="AZ14" i="13"/>
  <c r="AD14" i="13"/>
  <c r="AE13" i="13"/>
  <c r="L18" i="13"/>
  <c r="M17" i="13"/>
  <c r="N17" i="13" s="1"/>
  <c r="BV16" i="13"/>
  <c r="BW15" i="13"/>
  <c r="BG16" i="13"/>
  <c r="BH15" i="13"/>
  <c r="V14" i="13"/>
  <c r="W13" i="13"/>
  <c r="CE14" i="13"/>
  <c r="CD15" i="13"/>
  <c r="AT14" i="13"/>
  <c r="AS15" i="13"/>
  <c r="AL15" i="13"/>
  <c r="AM14" i="13"/>
  <c r="BO15" i="13"/>
  <c r="BP14" i="13"/>
  <c r="BA14" i="13" l="1"/>
  <c r="AZ15" i="13"/>
  <c r="AS16" i="13"/>
  <c r="AT15" i="13"/>
  <c r="BV17" i="13"/>
  <c r="BW16" i="13"/>
  <c r="BO16" i="13"/>
  <c r="BP15" i="13"/>
  <c r="V15" i="13"/>
  <c r="W14" i="13"/>
  <c r="L19" i="13"/>
  <c r="M18" i="13"/>
  <c r="N18" i="13" s="1"/>
  <c r="CE15" i="13"/>
  <c r="CD16" i="13"/>
  <c r="AM15" i="13"/>
  <c r="AL16" i="13"/>
  <c r="BG17" i="13"/>
  <c r="BH16" i="13"/>
  <c r="AD15" i="13"/>
  <c r="AE14" i="13"/>
  <c r="BA15" i="13" l="1"/>
  <c r="AZ16" i="13"/>
  <c r="AM16" i="13"/>
  <c r="AL17" i="13"/>
  <c r="CD17" i="13"/>
  <c r="CE16" i="13"/>
  <c r="AD16" i="13"/>
  <c r="AE15" i="13"/>
  <c r="L20" i="13"/>
  <c r="M19" i="13"/>
  <c r="N19" i="13" s="1"/>
  <c r="BV18" i="13"/>
  <c r="BW17" i="13"/>
  <c r="BO17" i="13"/>
  <c r="BP16" i="13"/>
  <c r="BH17" i="13"/>
  <c r="BG18" i="13"/>
  <c r="V16" i="13"/>
  <c r="W15" i="13"/>
  <c r="AS17" i="13"/>
  <c r="AT16" i="13"/>
  <c r="AZ17" i="13" l="1"/>
  <c r="BA16" i="13"/>
  <c r="AD17" i="13"/>
  <c r="AE16" i="13"/>
  <c r="CD18" i="13"/>
  <c r="CE17" i="13"/>
  <c r="AL18" i="13"/>
  <c r="AM17" i="13"/>
  <c r="AT17" i="13"/>
  <c r="AS18" i="13"/>
  <c r="BW18" i="13"/>
  <c r="BV19" i="13"/>
  <c r="BG19" i="13"/>
  <c r="BH18" i="13"/>
  <c r="BO18" i="13"/>
  <c r="BP17" i="13"/>
  <c r="V17" i="13"/>
  <c r="W16" i="13"/>
  <c r="L21" i="13"/>
  <c r="M20" i="13"/>
  <c r="N20" i="13" s="1"/>
  <c r="BA17" i="13" l="1"/>
  <c r="AZ18" i="13"/>
  <c r="V18" i="13"/>
  <c r="W17" i="13"/>
  <c r="BO19" i="13"/>
  <c r="BP18" i="13"/>
  <c r="AL19" i="13"/>
  <c r="AM18" i="13"/>
  <c r="BH19" i="13"/>
  <c r="BG20" i="13"/>
  <c r="CD19" i="13"/>
  <c r="CE18" i="13"/>
  <c r="AS19" i="13"/>
  <c r="AT18" i="13"/>
  <c r="BV20" i="13"/>
  <c r="BW19" i="13"/>
  <c r="M21" i="13"/>
  <c r="N21" i="13" s="1"/>
  <c r="L22" i="13"/>
  <c r="AD18" i="13"/>
  <c r="AE17" i="13"/>
  <c r="AZ19" i="13" l="1"/>
  <c r="BA18" i="13"/>
  <c r="AS20" i="13"/>
  <c r="AT19" i="13"/>
  <c r="BV21" i="13"/>
  <c r="BW20" i="13"/>
  <c r="AD19" i="13"/>
  <c r="AE18" i="13"/>
  <c r="CE19" i="13"/>
  <c r="CD20" i="13"/>
  <c r="BO20" i="13"/>
  <c r="BP19" i="13"/>
  <c r="AL20" i="13"/>
  <c r="AM19" i="13"/>
  <c r="L23" i="13"/>
  <c r="M22" i="13"/>
  <c r="N22" i="13" s="1"/>
  <c r="BG21" i="13"/>
  <c r="BH20" i="13"/>
  <c r="V19" i="13"/>
  <c r="W18" i="13"/>
  <c r="AZ20" i="13" l="1"/>
  <c r="BA19" i="13"/>
  <c r="AD20" i="13"/>
  <c r="AE19" i="13"/>
  <c r="AL21" i="13"/>
  <c r="AM20" i="13"/>
  <c r="V20" i="13"/>
  <c r="W19" i="13"/>
  <c r="BV22" i="13"/>
  <c r="BW21" i="13"/>
  <c r="L24" i="13"/>
  <c r="M23" i="13"/>
  <c r="N23" i="13" s="1"/>
  <c r="CD21" i="13"/>
  <c r="CE20" i="13"/>
  <c r="BG22" i="13"/>
  <c r="BH21" i="13"/>
  <c r="BP20" i="13"/>
  <c r="BO21" i="13"/>
  <c r="AS21" i="13"/>
  <c r="AT20" i="13"/>
  <c r="AZ21" i="13" l="1"/>
  <c r="BA20" i="13"/>
  <c r="BG23" i="13"/>
  <c r="BH22" i="13"/>
  <c r="CD22" i="13"/>
  <c r="CE21" i="13"/>
  <c r="V21" i="13"/>
  <c r="W20" i="13"/>
  <c r="AS22" i="13"/>
  <c r="AT21" i="13"/>
  <c r="L25" i="13"/>
  <c r="M24" i="13"/>
  <c r="N24" i="13" s="1"/>
  <c r="AL22" i="13"/>
  <c r="AM21" i="13"/>
  <c r="BO22" i="13"/>
  <c r="BP21" i="13"/>
  <c r="BV23" i="13"/>
  <c r="BW22" i="13"/>
  <c r="AD21" i="13"/>
  <c r="AE20" i="13"/>
  <c r="BA21" i="13" l="1"/>
  <c r="AZ22" i="13"/>
  <c r="BO23" i="13"/>
  <c r="BP22" i="13"/>
  <c r="V22" i="13"/>
  <c r="W21" i="13"/>
  <c r="AL23" i="13"/>
  <c r="AM22" i="13"/>
  <c r="CD23" i="13"/>
  <c r="CE22" i="13"/>
  <c r="AD22" i="13"/>
  <c r="AE21" i="13"/>
  <c r="L26" i="13"/>
  <c r="M25" i="13"/>
  <c r="N25" i="13" s="1"/>
  <c r="BV24" i="13"/>
  <c r="BW23" i="13"/>
  <c r="AS23" i="13"/>
  <c r="AT22" i="13"/>
  <c r="BG24" i="13"/>
  <c r="BH23" i="13"/>
  <c r="BA22" i="13" l="1"/>
  <c r="AZ23" i="13"/>
  <c r="BW24" i="13"/>
  <c r="BV25" i="13"/>
  <c r="CD24" i="13"/>
  <c r="CE23" i="13"/>
  <c r="AM23" i="13"/>
  <c r="AL24" i="13"/>
  <c r="BG25" i="13"/>
  <c r="BH24" i="13"/>
  <c r="L27" i="13"/>
  <c r="M26" i="13"/>
  <c r="N26" i="13" s="1"/>
  <c r="V23" i="13"/>
  <c r="W22" i="13"/>
  <c r="AS24" i="13"/>
  <c r="AT23" i="13"/>
  <c r="AD23" i="13"/>
  <c r="AE22" i="13"/>
  <c r="BO24" i="13"/>
  <c r="BP23" i="13"/>
  <c r="BA23" i="13" l="1"/>
  <c r="AZ24" i="13"/>
  <c r="AS25" i="13"/>
  <c r="AT24" i="13"/>
  <c r="BO25" i="13"/>
  <c r="BP24" i="13"/>
  <c r="L28" i="13"/>
  <c r="M27" i="13"/>
  <c r="N27" i="13" s="1"/>
  <c r="CD25" i="13"/>
  <c r="CE24" i="13"/>
  <c r="W23" i="13"/>
  <c r="V24" i="13"/>
  <c r="BV26" i="13"/>
  <c r="BW25" i="13"/>
  <c r="AL25" i="13"/>
  <c r="AM24" i="13"/>
  <c r="AD24" i="13"/>
  <c r="AE23" i="13"/>
  <c r="BG26" i="13"/>
  <c r="BH25" i="13"/>
  <c r="BA24" i="13" l="1"/>
  <c r="AZ25" i="13"/>
  <c r="L29" i="13"/>
  <c r="M28" i="13"/>
  <c r="N28" i="13" s="1"/>
  <c r="BG27" i="13"/>
  <c r="BH26" i="13"/>
  <c r="AL26" i="13"/>
  <c r="AM25" i="13"/>
  <c r="BV27" i="13"/>
  <c r="BW26" i="13"/>
  <c r="V25" i="13"/>
  <c r="W24" i="13"/>
  <c r="BO26" i="13"/>
  <c r="BP25" i="13"/>
  <c r="AD25" i="13"/>
  <c r="AE24" i="13"/>
  <c r="CD26" i="13"/>
  <c r="CE25" i="13"/>
  <c r="AS26" i="13"/>
  <c r="AT25" i="13"/>
  <c r="BA25" i="13" l="1"/>
  <c r="AZ26" i="13"/>
  <c r="AD26" i="13"/>
  <c r="AE25" i="13"/>
  <c r="AL27" i="13"/>
  <c r="AM26" i="13"/>
  <c r="BO27" i="13"/>
  <c r="BP26" i="13"/>
  <c r="AS27" i="13"/>
  <c r="AT26" i="13"/>
  <c r="W25" i="13"/>
  <c r="V26" i="13"/>
  <c r="BH27" i="13"/>
  <c r="BG28" i="13"/>
  <c r="CD27" i="13"/>
  <c r="CE26" i="13"/>
  <c r="BV28" i="13"/>
  <c r="BW27" i="13"/>
  <c r="L30" i="13"/>
  <c r="M29" i="13"/>
  <c r="N29" i="13" s="1"/>
  <c r="AZ27" i="13" l="1"/>
  <c r="BA26" i="13"/>
  <c r="CE27" i="13"/>
  <c r="CD28" i="13"/>
  <c r="AT27" i="13"/>
  <c r="AS28" i="13"/>
  <c r="BG29" i="13"/>
  <c r="BH28" i="13"/>
  <c r="L31" i="13"/>
  <c r="M30" i="13"/>
  <c r="N30" i="13" s="1"/>
  <c r="AL28" i="13"/>
  <c r="AM27" i="13"/>
  <c r="V27" i="13"/>
  <c r="W26" i="13"/>
  <c r="BO28" i="13"/>
  <c r="BP27" i="13"/>
  <c r="BV29" i="13"/>
  <c r="BW28" i="13"/>
  <c r="AD27" i="13"/>
  <c r="AE26" i="13"/>
  <c r="AZ28" i="13" l="1"/>
  <c r="BA27" i="13"/>
  <c r="BO29" i="13"/>
  <c r="BP28" i="13"/>
  <c r="BG30" i="13"/>
  <c r="BH29" i="13"/>
  <c r="V28" i="13"/>
  <c r="W27" i="13"/>
  <c r="AL29" i="13"/>
  <c r="AM28" i="13"/>
  <c r="CD29" i="13"/>
  <c r="CE28" i="13"/>
  <c r="AS29" i="13"/>
  <c r="AT28" i="13"/>
  <c r="AD28" i="13"/>
  <c r="AE27" i="13"/>
  <c r="BV30" i="13"/>
  <c r="BW29" i="13"/>
  <c r="L32" i="13"/>
  <c r="M31" i="13"/>
  <c r="N31" i="13" s="1"/>
  <c r="BA28" i="13" l="1"/>
  <c r="AZ29" i="13"/>
  <c r="AS30" i="13"/>
  <c r="AT29" i="13"/>
  <c r="AE28" i="13"/>
  <c r="AD29" i="13"/>
  <c r="L33" i="13"/>
  <c r="M32" i="13"/>
  <c r="N32" i="13" s="1"/>
  <c r="CD30" i="13"/>
  <c r="CE29" i="13"/>
  <c r="V29" i="13"/>
  <c r="W28" i="13"/>
  <c r="BG31" i="13"/>
  <c r="BH30" i="13"/>
  <c r="BV31" i="13"/>
  <c r="BW30" i="13"/>
  <c r="AM29" i="13"/>
  <c r="AL30" i="13"/>
  <c r="BO30" i="13"/>
  <c r="BP29" i="13"/>
  <c r="AZ30" i="13" l="1"/>
  <c r="BA29" i="13"/>
  <c r="BV32" i="13"/>
  <c r="BW31" i="13"/>
  <c r="CD31" i="13"/>
  <c r="CE30" i="13"/>
  <c r="BO31" i="13"/>
  <c r="BP30" i="13"/>
  <c r="V30" i="13"/>
  <c r="W29" i="13"/>
  <c r="L34" i="13"/>
  <c r="M33" i="13"/>
  <c r="N33" i="13" s="1"/>
  <c r="AL31" i="13"/>
  <c r="AM30" i="13"/>
  <c r="BG32" i="13"/>
  <c r="BH31" i="13"/>
  <c r="AD30" i="13"/>
  <c r="AE29" i="13"/>
  <c r="AS31" i="13"/>
  <c r="AT30" i="13"/>
  <c r="AZ31" i="13" l="1"/>
  <c r="BA30" i="13"/>
  <c r="V31" i="13"/>
  <c r="W30" i="13"/>
  <c r="BG33" i="13"/>
  <c r="BH32" i="13"/>
  <c r="BO32" i="13"/>
  <c r="BP31" i="13"/>
  <c r="AS32" i="13"/>
  <c r="AT31" i="13"/>
  <c r="AL32" i="13"/>
  <c r="AM31" i="13"/>
  <c r="CD32" i="13"/>
  <c r="CE31" i="13"/>
  <c r="AD31" i="13"/>
  <c r="AE30" i="13"/>
  <c r="M34" i="13"/>
  <c r="N34" i="13" s="1"/>
  <c r="L35" i="13"/>
  <c r="BV33" i="13"/>
  <c r="BW32" i="13"/>
  <c r="AZ32" i="13" l="1"/>
  <c r="BA31" i="13"/>
  <c r="AD32" i="13"/>
  <c r="AE31" i="13"/>
  <c r="BO33" i="13"/>
  <c r="BP32" i="13"/>
  <c r="BV34" i="13"/>
  <c r="BW33" i="13"/>
  <c r="CD33" i="13"/>
  <c r="CE32" i="13"/>
  <c r="BG34" i="13"/>
  <c r="BH33" i="13"/>
  <c r="AS33" i="13"/>
  <c r="AT32" i="13"/>
  <c r="L36" i="13"/>
  <c r="M35" i="13"/>
  <c r="N35" i="13" s="1"/>
  <c r="AL33" i="13"/>
  <c r="AM32" i="13"/>
  <c r="V32" i="13"/>
  <c r="W31" i="13"/>
  <c r="BA32" i="13" l="1"/>
  <c r="AZ33" i="13"/>
  <c r="AL34" i="13"/>
  <c r="AM33" i="13"/>
  <c r="M36" i="13"/>
  <c r="N36" i="13" s="1"/>
  <c r="L37" i="13"/>
  <c r="BV35" i="13"/>
  <c r="BW34" i="13"/>
  <c r="BG35" i="13"/>
  <c r="BH34" i="13"/>
  <c r="AD33" i="13"/>
  <c r="AE32" i="13"/>
  <c r="CD34" i="13"/>
  <c r="CE33" i="13"/>
  <c r="AT33" i="13"/>
  <c r="AS34" i="13"/>
  <c r="BO34" i="13"/>
  <c r="BP33" i="13"/>
  <c r="V33" i="13"/>
  <c r="W32" i="13"/>
  <c r="AZ34" i="13" l="1"/>
  <c r="BA33" i="13"/>
  <c r="BW35" i="13"/>
  <c r="BV36" i="13"/>
  <c r="AS35" i="13"/>
  <c r="AT34" i="13"/>
  <c r="L38" i="13"/>
  <c r="M37" i="13"/>
  <c r="N37" i="13" s="1"/>
  <c r="CE34" i="13"/>
  <c r="CD35" i="13"/>
  <c r="V34" i="13"/>
  <c r="W33" i="13"/>
  <c r="AD34" i="13"/>
  <c r="AE33" i="13"/>
  <c r="BP34" i="13"/>
  <c r="BO35" i="13"/>
  <c r="BG36" i="13"/>
  <c r="BH35" i="13"/>
  <c r="AM34" i="13"/>
  <c r="AL35" i="13"/>
  <c r="BA34" i="13" l="1"/>
  <c r="AZ35" i="13"/>
  <c r="BP35" i="13"/>
  <c r="BO36" i="13"/>
  <c r="CE35" i="13"/>
  <c r="CD36" i="13"/>
  <c r="L39" i="13"/>
  <c r="M38" i="13"/>
  <c r="N38" i="13" s="1"/>
  <c r="AL36" i="13"/>
  <c r="AM35" i="13"/>
  <c r="AD35" i="13"/>
  <c r="AE34" i="13"/>
  <c r="AS36" i="13"/>
  <c r="AT35" i="13"/>
  <c r="BW36" i="13"/>
  <c r="BV37" i="13"/>
  <c r="BG37" i="13"/>
  <c r="BH36" i="13"/>
  <c r="V35" i="13"/>
  <c r="W34" i="13"/>
  <c r="AZ36" i="13" l="1"/>
  <c r="BA35" i="13"/>
  <c r="M39" i="13"/>
  <c r="N39" i="13" s="1"/>
  <c r="L40" i="13"/>
  <c r="BW37" i="13"/>
  <c r="BV38" i="13"/>
  <c r="AS37" i="13"/>
  <c r="AT36" i="13"/>
  <c r="CD37" i="13"/>
  <c r="CE36" i="13"/>
  <c r="W35" i="13"/>
  <c r="V36" i="13"/>
  <c r="AD36" i="13"/>
  <c r="AE35" i="13"/>
  <c r="BO37" i="13"/>
  <c r="BP36" i="13"/>
  <c r="BG38" i="13"/>
  <c r="BH37" i="13"/>
  <c r="AM36" i="13"/>
  <c r="AL37" i="13"/>
  <c r="AZ37" i="13" l="1"/>
  <c r="BA36" i="13"/>
  <c r="BO38" i="13"/>
  <c r="BP37" i="13"/>
  <c r="AE36" i="13"/>
  <c r="AD37" i="13"/>
  <c r="AS38" i="13"/>
  <c r="AT37" i="13"/>
  <c r="AL38" i="13"/>
  <c r="AM37" i="13"/>
  <c r="W36" i="13"/>
  <c r="V37" i="13"/>
  <c r="BV39" i="13"/>
  <c r="BW38" i="13"/>
  <c r="M40" i="13"/>
  <c r="N40" i="13" s="1"/>
  <c r="L41" i="13"/>
  <c r="BH38" i="13"/>
  <c r="BG39" i="13"/>
  <c r="CD38" i="13"/>
  <c r="CE37" i="13"/>
  <c r="AZ38" i="13" l="1"/>
  <c r="BA37" i="13"/>
  <c r="AS39" i="13"/>
  <c r="AT38" i="13"/>
  <c r="AE37" i="13"/>
  <c r="AD38" i="13"/>
  <c r="BV40" i="13"/>
  <c r="BW39" i="13"/>
  <c r="L42" i="13"/>
  <c r="M41" i="13"/>
  <c r="N41" i="13" s="1"/>
  <c r="W37" i="13"/>
  <c r="V38" i="13"/>
  <c r="CD39" i="13"/>
  <c r="CE38" i="13"/>
  <c r="BG40" i="13"/>
  <c r="BH39" i="13"/>
  <c r="AL39" i="13"/>
  <c r="AM38" i="13"/>
  <c r="BP38" i="13"/>
  <c r="BO39" i="13"/>
  <c r="BA38" i="13" l="1"/>
  <c r="AZ39" i="13"/>
  <c r="BG41" i="13"/>
  <c r="BH40" i="13"/>
  <c r="CD40" i="13"/>
  <c r="CE39" i="13"/>
  <c r="BW40" i="13"/>
  <c r="BV41" i="13"/>
  <c r="BP39" i="13"/>
  <c r="BO40" i="13"/>
  <c r="V39" i="13"/>
  <c r="W38" i="13"/>
  <c r="AE38" i="13"/>
  <c r="AD39" i="13"/>
  <c r="AL40" i="13"/>
  <c r="AM39" i="13"/>
  <c r="M42" i="13"/>
  <c r="N42" i="13" s="1"/>
  <c r="L43" i="13"/>
  <c r="AS40" i="13"/>
  <c r="AT39" i="13"/>
  <c r="AZ40" i="13" l="1"/>
  <c r="BA39" i="13"/>
  <c r="AD40" i="13"/>
  <c r="AE39" i="13"/>
  <c r="CD41" i="13"/>
  <c r="CE40" i="13"/>
  <c r="AS41" i="13"/>
  <c r="AT40" i="13"/>
  <c r="V40" i="13"/>
  <c r="W39" i="13"/>
  <c r="BG42" i="13"/>
  <c r="BH41" i="13"/>
  <c r="BW41" i="13"/>
  <c r="BV42" i="13"/>
  <c r="L44" i="13"/>
  <c r="M43" i="13"/>
  <c r="N43" i="13" s="1"/>
  <c r="BO41" i="13"/>
  <c r="BP40" i="13"/>
  <c r="AL41" i="13"/>
  <c r="AM40" i="13"/>
  <c r="AZ41" i="13" l="1"/>
  <c r="BA40" i="13"/>
  <c r="BP41" i="13"/>
  <c r="BO42" i="13"/>
  <c r="W40" i="13"/>
  <c r="V41" i="13"/>
  <c r="L45" i="13"/>
  <c r="M44" i="13"/>
  <c r="N44" i="13" s="1"/>
  <c r="AT41" i="13"/>
  <c r="AS42" i="13"/>
  <c r="BW42" i="13"/>
  <c r="BV43" i="13"/>
  <c r="CE41" i="13"/>
  <c r="CD42" i="13"/>
  <c r="AL42" i="13"/>
  <c r="AM41" i="13"/>
  <c r="BG43" i="13"/>
  <c r="BH42" i="13"/>
  <c r="AD41" i="13"/>
  <c r="AE40" i="13"/>
  <c r="BA41" i="13" l="1"/>
  <c r="AZ42" i="13"/>
  <c r="AS43" i="13"/>
  <c r="AT42" i="13"/>
  <c r="AM42" i="13"/>
  <c r="AL43" i="13"/>
  <c r="CD43" i="13"/>
  <c r="CE42" i="13"/>
  <c r="L46" i="13"/>
  <c r="M45" i="13"/>
  <c r="N45" i="13" s="1"/>
  <c r="W41" i="13"/>
  <c r="V42" i="13"/>
  <c r="AE41" i="13"/>
  <c r="AD42" i="13"/>
  <c r="BV44" i="13"/>
  <c r="BW43" i="13"/>
  <c r="BO43" i="13"/>
  <c r="BP42" i="13"/>
  <c r="BG44" i="13"/>
  <c r="BH43" i="13"/>
  <c r="BA42" i="13" l="1"/>
  <c r="AZ43" i="13"/>
  <c r="BW44" i="13"/>
  <c r="BV45" i="13"/>
  <c r="AE42" i="13"/>
  <c r="AD43" i="13"/>
  <c r="BH44" i="13"/>
  <c r="BG45" i="13"/>
  <c r="BO44" i="13"/>
  <c r="BP43" i="13"/>
  <c r="M46" i="13"/>
  <c r="N46" i="13" s="1"/>
  <c r="L47" i="13"/>
  <c r="CD44" i="13"/>
  <c r="CE43" i="13"/>
  <c r="AL44" i="13"/>
  <c r="AM43" i="13"/>
  <c r="V43" i="13"/>
  <c r="W42" i="13"/>
  <c r="AS44" i="13"/>
  <c r="AT43" i="13"/>
  <c r="BA43" i="13" l="1"/>
  <c r="AZ44" i="13"/>
  <c r="AL45" i="13"/>
  <c r="AM44" i="13"/>
  <c r="CD45" i="13"/>
  <c r="CE44" i="13"/>
  <c r="L48" i="13"/>
  <c r="M47" i="13"/>
  <c r="N47" i="13" s="1"/>
  <c r="AE43" i="13"/>
  <c r="AD44" i="13"/>
  <c r="AS45" i="13"/>
  <c r="AT44" i="13"/>
  <c r="BG46" i="13"/>
  <c r="BH45" i="13"/>
  <c r="BV46" i="13"/>
  <c r="BW45" i="13"/>
  <c r="V44" i="13"/>
  <c r="W43" i="13"/>
  <c r="BO45" i="13"/>
  <c r="BP44" i="13"/>
  <c r="AZ45" i="13" l="1"/>
  <c r="BA44" i="13"/>
  <c r="BV47" i="13"/>
  <c r="BW46" i="13"/>
  <c r="M48" i="13"/>
  <c r="N48" i="13" s="1"/>
  <c r="L49" i="13"/>
  <c r="BH46" i="13"/>
  <c r="BG47" i="13"/>
  <c r="BP45" i="13"/>
  <c r="BO46" i="13"/>
  <c r="AS46" i="13"/>
  <c r="AT45" i="13"/>
  <c r="CE45" i="13"/>
  <c r="CD46" i="13"/>
  <c r="AD45" i="13"/>
  <c r="AE44" i="13"/>
  <c r="V45" i="13"/>
  <c r="W44" i="13"/>
  <c r="AL46" i="13"/>
  <c r="AM45" i="13"/>
  <c r="BA45" i="13" l="1"/>
  <c r="AZ46" i="13"/>
  <c r="AD46" i="13"/>
  <c r="AE45" i="13"/>
  <c r="CD47" i="13"/>
  <c r="CE46" i="13"/>
  <c r="BG48" i="13"/>
  <c r="BH47" i="13"/>
  <c r="L50" i="13"/>
  <c r="M49" i="13"/>
  <c r="N49" i="13" s="1"/>
  <c r="AL47" i="13"/>
  <c r="AM46" i="13"/>
  <c r="AT46" i="13"/>
  <c r="AS47" i="13"/>
  <c r="BO47" i="13"/>
  <c r="BP46" i="13"/>
  <c r="W45" i="13"/>
  <c r="V46" i="13"/>
  <c r="BW47" i="13"/>
  <c r="BV48" i="13"/>
  <c r="BA46" i="13" l="1"/>
  <c r="AZ47" i="13"/>
  <c r="BP47" i="13"/>
  <c r="BO48" i="13"/>
  <c r="BH48" i="13"/>
  <c r="BG49" i="13"/>
  <c r="AS48" i="13"/>
  <c r="AT47" i="13"/>
  <c r="CD48" i="13"/>
  <c r="CE47" i="13"/>
  <c r="BW48" i="13"/>
  <c r="BV49" i="13"/>
  <c r="AL48" i="13"/>
  <c r="AM47" i="13"/>
  <c r="V47" i="13"/>
  <c r="W46" i="13"/>
  <c r="M50" i="13"/>
  <c r="N50" i="13" s="1"/>
  <c r="L51" i="13"/>
  <c r="AE46" i="13"/>
  <c r="AD47" i="13"/>
  <c r="AZ48" i="13" l="1"/>
  <c r="BA47" i="13"/>
  <c r="CD49" i="13"/>
  <c r="CE48" i="13"/>
  <c r="W47" i="13"/>
  <c r="V48" i="13"/>
  <c r="AT48" i="13"/>
  <c r="AS49" i="13"/>
  <c r="AL49" i="13"/>
  <c r="AM48" i="13"/>
  <c r="AD48" i="13"/>
  <c r="AE47" i="13"/>
  <c r="L52" i="13"/>
  <c r="M51" i="13"/>
  <c r="N51" i="13" s="1"/>
  <c r="BW49" i="13"/>
  <c r="BV50" i="13"/>
  <c r="BO49" i="13"/>
  <c r="BP48" i="13"/>
  <c r="BG50" i="13"/>
  <c r="BH49" i="13"/>
  <c r="BA48" i="13" l="1"/>
  <c r="AZ49" i="13"/>
  <c r="AL50" i="13"/>
  <c r="AM49" i="13"/>
  <c r="BV51" i="13"/>
  <c r="BW50" i="13"/>
  <c r="AS50" i="13"/>
  <c r="AT49" i="13"/>
  <c r="L53" i="13"/>
  <c r="M52" i="13"/>
  <c r="N52" i="13" s="1"/>
  <c r="W48" i="13"/>
  <c r="V49" i="13"/>
  <c r="BG51" i="13"/>
  <c r="BH50" i="13"/>
  <c r="AE48" i="13"/>
  <c r="AD49" i="13"/>
  <c r="BP49" i="13"/>
  <c r="BO50" i="13"/>
  <c r="CE49" i="13"/>
  <c r="CD50" i="13"/>
  <c r="AZ50" i="13" l="1"/>
  <c r="BA49" i="13"/>
  <c r="L54" i="13"/>
  <c r="M53" i="13"/>
  <c r="N53" i="13" s="1"/>
  <c r="AD50" i="13"/>
  <c r="AE49" i="13"/>
  <c r="AS51" i="13"/>
  <c r="AT50" i="13"/>
  <c r="CD51" i="13"/>
  <c r="CE50" i="13"/>
  <c r="BH51" i="13"/>
  <c r="BG52" i="13"/>
  <c r="BW51" i="13"/>
  <c r="BV52" i="13"/>
  <c r="BP50" i="13"/>
  <c r="BO51" i="13"/>
  <c r="W49" i="13"/>
  <c r="V50" i="13"/>
  <c r="AM50" i="13"/>
  <c r="AL51" i="13"/>
  <c r="AZ51" i="13" l="1"/>
  <c r="BA50" i="13"/>
  <c r="AT51" i="13"/>
  <c r="AS52" i="13"/>
  <c r="AE50" i="13"/>
  <c r="AD51" i="13"/>
  <c r="BO52" i="13"/>
  <c r="BP51" i="13"/>
  <c r="BV53" i="13"/>
  <c r="BW52" i="13"/>
  <c r="AM51" i="13"/>
  <c r="AL52" i="13"/>
  <c r="L55" i="13"/>
  <c r="M54" i="13"/>
  <c r="N54" i="13" s="1"/>
  <c r="V51" i="13"/>
  <c r="W50" i="13"/>
  <c r="BH52" i="13"/>
  <c r="BG53" i="13"/>
  <c r="CD52" i="13"/>
  <c r="CE51" i="13"/>
  <c r="BA51" i="13" l="1"/>
  <c r="AZ52" i="13"/>
  <c r="BV54" i="13"/>
  <c r="BW53" i="13"/>
  <c r="BG54" i="13"/>
  <c r="BH53" i="13"/>
  <c r="W51" i="13"/>
  <c r="V52" i="13"/>
  <c r="BO53" i="13"/>
  <c r="BP52" i="13"/>
  <c r="AD52" i="13"/>
  <c r="AE51" i="13"/>
  <c r="L56" i="13"/>
  <c r="M55" i="13"/>
  <c r="N55" i="13" s="1"/>
  <c r="AL53" i="13"/>
  <c r="AM52" i="13"/>
  <c r="AT52" i="13"/>
  <c r="AS53" i="13"/>
  <c r="CD53" i="13"/>
  <c r="CE52" i="13"/>
  <c r="AZ53" i="13" l="1"/>
  <c r="BA52" i="13"/>
  <c r="V53" i="13"/>
  <c r="W52" i="13"/>
  <c r="BO54" i="13"/>
  <c r="BP53" i="13"/>
  <c r="CE53" i="13"/>
  <c r="CD54" i="13"/>
  <c r="BH54" i="13"/>
  <c r="BG55" i="13"/>
  <c r="AL54" i="13"/>
  <c r="AM53" i="13"/>
  <c r="L57" i="13"/>
  <c r="M56" i="13"/>
  <c r="N56" i="13" s="1"/>
  <c r="AS54" i="13"/>
  <c r="AT53" i="13"/>
  <c r="AD53" i="13"/>
  <c r="AE52" i="13"/>
  <c r="BV55" i="13"/>
  <c r="BW54" i="13"/>
  <c r="BA53" i="13" l="1"/>
  <c r="AZ54" i="13"/>
  <c r="CE54" i="13"/>
  <c r="CD55" i="13"/>
  <c r="BG56" i="13"/>
  <c r="BH55" i="13"/>
  <c r="BV56" i="13"/>
  <c r="BW55" i="13"/>
  <c r="L58" i="13"/>
  <c r="M57" i="13"/>
  <c r="N57" i="13" s="1"/>
  <c r="BO55" i="13"/>
  <c r="BP54" i="13"/>
  <c r="AS55" i="13"/>
  <c r="AT54" i="13"/>
  <c r="AE53" i="13"/>
  <c r="AD54" i="13"/>
  <c r="AL55" i="13"/>
  <c r="AM54" i="13"/>
  <c r="V54" i="13"/>
  <c r="W53" i="13"/>
  <c r="AZ55" i="13" l="1"/>
  <c r="BA54" i="13"/>
  <c r="L59" i="13"/>
  <c r="M58" i="13"/>
  <c r="N58" i="13" s="1"/>
  <c r="BV57" i="13"/>
  <c r="BW56" i="13"/>
  <c r="AS56" i="13"/>
  <c r="AT55" i="13"/>
  <c r="V55" i="13"/>
  <c r="W54" i="13"/>
  <c r="BG57" i="13"/>
  <c r="BH56" i="13"/>
  <c r="AL56" i="13"/>
  <c r="AM55" i="13"/>
  <c r="AD55" i="13"/>
  <c r="AE54" i="13"/>
  <c r="CD56" i="13"/>
  <c r="CE55" i="13"/>
  <c r="BO56" i="13"/>
  <c r="BP55" i="13"/>
  <c r="BA55" i="13" l="1"/>
  <c r="AZ56" i="13"/>
  <c r="AS57" i="13"/>
  <c r="AT56" i="13"/>
  <c r="AD56" i="13"/>
  <c r="AE55" i="13"/>
  <c r="BO57" i="13"/>
  <c r="BP56" i="13"/>
  <c r="BG58" i="13"/>
  <c r="BH57" i="13"/>
  <c r="BV58" i="13"/>
  <c r="BW57" i="13"/>
  <c r="V56" i="13"/>
  <c r="W55" i="13"/>
  <c r="AM56" i="13"/>
  <c r="AL57" i="13"/>
  <c r="CE56" i="13"/>
  <c r="CD57" i="13"/>
  <c r="L60" i="13"/>
  <c r="M59" i="13"/>
  <c r="N59" i="13" s="1"/>
  <c r="AZ57" i="13" l="1"/>
  <c r="BA56" i="13"/>
  <c r="BO58" i="13"/>
  <c r="BP57" i="13"/>
  <c r="BG59" i="13"/>
  <c r="BH58" i="13"/>
  <c r="L61" i="13"/>
  <c r="M60" i="13"/>
  <c r="N60" i="13" s="1"/>
  <c r="V57" i="13"/>
  <c r="W56" i="13"/>
  <c r="AD57" i="13"/>
  <c r="AE56" i="13"/>
  <c r="CD58" i="13"/>
  <c r="CE57" i="13"/>
  <c r="AL58" i="13"/>
  <c r="AM57" i="13"/>
  <c r="BV59" i="13"/>
  <c r="BW58" i="13"/>
  <c r="AS58" i="13"/>
  <c r="AT57" i="13"/>
  <c r="BA57" i="13" l="1"/>
  <c r="AZ58" i="13"/>
  <c r="AL59" i="13"/>
  <c r="AM58" i="13"/>
  <c r="V58" i="13"/>
  <c r="W57" i="13"/>
  <c r="CD59" i="13"/>
  <c r="CE58" i="13"/>
  <c r="L62" i="13"/>
  <c r="M61" i="13"/>
  <c r="N61" i="13" s="1"/>
  <c r="AS59" i="13"/>
  <c r="AT58" i="13"/>
  <c r="BG60" i="13"/>
  <c r="BH59" i="13"/>
  <c r="BV60" i="13"/>
  <c r="BW59" i="13"/>
  <c r="AD58" i="13"/>
  <c r="AE57" i="13"/>
  <c r="BO59" i="13"/>
  <c r="BP58" i="13"/>
  <c r="BA58" i="13" l="1"/>
  <c r="AZ59" i="13"/>
  <c r="CD60" i="13"/>
  <c r="CE59" i="13"/>
  <c r="BV61" i="13"/>
  <c r="BW60" i="13"/>
  <c r="W58" i="13"/>
  <c r="V59" i="13"/>
  <c r="L63" i="13"/>
  <c r="M62" i="13"/>
  <c r="N62" i="13" s="1"/>
  <c r="BG61" i="13"/>
  <c r="BH60" i="13"/>
  <c r="BO60" i="13"/>
  <c r="BP59" i="13"/>
  <c r="AD59" i="13"/>
  <c r="AE58" i="13"/>
  <c r="AT59" i="13"/>
  <c r="AS60" i="13"/>
  <c r="AL60" i="13"/>
  <c r="AM59" i="13"/>
  <c r="BA59" i="13" l="1"/>
  <c r="AZ60" i="13"/>
  <c r="AD60" i="13"/>
  <c r="AE59" i="13"/>
  <c r="V60" i="13"/>
  <c r="W59" i="13"/>
  <c r="BO61" i="13"/>
  <c r="BP60" i="13"/>
  <c r="AL61" i="13"/>
  <c r="AM60" i="13"/>
  <c r="BG62" i="13"/>
  <c r="BH61" i="13"/>
  <c r="BV62" i="13"/>
  <c r="BW61" i="13"/>
  <c r="AS61" i="13"/>
  <c r="AT60" i="13"/>
  <c r="L64" i="13"/>
  <c r="M63" i="13"/>
  <c r="N63" i="13" s="1"/>
  <c r="CD61" i="13"/>
  <c r="CE60" i="13"/>
  <c r="AZ61" i="13" l="1"/>
  <c r="BA60" i="13"/>
  <c r="CE61" i="13"/>
  <c r="CD62" i="13"/>
  <c r="BH62" i="13"/>
  <c r="BG63" i="13"/>
  <c r="V61" i="13"/>
  <c r="W60" i="13"/>
  <c r="BO62" i="13"/>
  <c r="BP61" i="13"/>
  <c r="AS62" i="13"/>
  <c r="AT61" i="13"/>
  <c r="BV63" i="13"/>
  <c r="BW62" i="13"/>
  <c r="L65" i="13"/>
  <c r="M64" i="13"/>
  <c r="N64" i="13" s="1"/>
  <c r="AL62" i="13"/>
  <c r="AM61" i="13"/>
  <c r="AD61" i="13"/>
  <c r="AE60" i="13"/>
  <c r="AZ62" i="13" l="1"/>
  <c r="BA61" i="13"/>
  <c r="V62" i="13"/>
  <c r="W61" i="13"/>
  <c r="BG64" i="13"/>
  <c r="BH63" i="13"/>
  <c r="CD63" i="13"/>
  <c r="CE62" i="13"/>
  <c r="AE61" i="13"/>
  <c r="AD62" i="13"/>
  <c r="AT62" i="13"/>
  <c r="AS63" i="13"/>
  <c r="L66" i="13"/>
  <c r="M65" i="13"/>
  <c r="N65" i="13" s="1"/>
  <c r="BV64" i="13"/>
  <c r="BW63" i="13"/>
  <c r="AL63" i="13"/>
  <c r="AM62" i="13"/>
  <c r="BP62" i="13"/>
  <c r="BO63" i="13"/>
  <c r="AZ63" i="13" l="1"/>
  <c r="BA62" i="13"/>
  <c r="AL64" i="13"/>
  <c r="AM63" i="13"/>
  <c r="BV65" i="13"/>
  <c r="BW64" i="13"/>
  <c r="CD64" i="13"/>
  <c r="CE63" i="13"/>
  <c r="L67" i="13"/>
  <c r="M66" i="13"/>
  <c r="N66" i="13" s="1"/>
  <c r="BH64" i="13"/>
  <c r="BG65" i="13"/>
  <c r="AD63" i="13"/>
  <c r="AE62" i="13"/>
  <c r="BP63" i="13"/>
  <c r="BO64" i="13"/>
  <c r="AS64" i="13"/>
  <c r="AT63" i="13"/>
  <c r="V63" i="13"/>
  <c r="W62" i="13"/>
  <c r="AZ64" i="13" l="1"/>
  <c r="BA63" i="13"/>
  <c r="AD64" i="13"/>
  <c r="AE63" i="13"/>
  <c r="CD65" i="13"/>
  <c r="CE64" i="13"/>
  <c r="BH65" i="13"/>
  <c r="BG66" i="13"/>
  <c r="BO65" i="13"/>
  <c r="BP64" i="13"/>
  <c r="V64" i="13"/>
  <c r="W63" i="13"/>
  <c r="BV66" i="13"/>
  <c r="BW65" i="13"/>
  <c r="AT64" i="13"/>
  <c r="AS65" i="13"/>
  <c r="M67" i="13"/>
  <c r="N67" i="13" s="1"/>
  <c r="L68" i="13"/>
  <c r="AL65" i="13"/>
  <c r="AM64" i="13"/>
  <c r="AZ65" i="13" l="1"/>
  <c r="BA64" i="13"/>
  <c r="BG67" i="13"/>
  <c r="BH66" i="13"/>
  <c r="AS66" i="13"/>
  <c r="AT65" i="13"/>
  <c r="BV67" i="13"/>
  <c r="BW66" i="13"/>
  <c r="CD66" i="13"/>
  <c r="CE65" i="13"/>
  <c r="AM65" i="13"/>
  <c r="AL66" i="13"/>
  <c r="W64" i="13"/>
  <c r="V65" i="13"/>
  <c r="AD65" i="13"/>
  <c r="AE64" i="13"/>
  <c r="L69" i="13"/>
  <c r="M68" i="13"/>
  <c r="N68" i="13" s="1"/>
  <c r="BO66" i="13"/>
  <c r="BP65" i="13"/>
  <c r="AZ66" i="13" l="1"/>
  <c r="BA65" i="13"/>
  <c r="L70" i="13"/>
  <c r="M69" i="13"/>
  <c r="N69" i="13" s="1"/>
  <c r="CD67" i="13"/>
  <c r="CE66" i="13"/>
  <c r="AD66" i="13"/>
  <c r="AE65" i="13"/>
  <c r="BW67" i="13"/>
  <c r="BV68" i="13"/>
  <c r="W65" i="13"/>
  <c r="V66" i="13"/>
  <c r="BO67" i="13"/>
  <c r="BP66" i="13"/>
  <c r="AS67" i="13"/>
  <c r="AT66" i="13"/>
  <c r="AL67" i="13"/>
  <c r="AM66" i="13"/>
  <c r="BH67" i="13"/>
  <c r="BG68" i="13"/>
  <c r="AZ67" i="13" l="1"/>
  <c r="BA66" i="13"/>
  <c r="BV69" i="13"/>
  <c r="BW68" i="13"/>
  <c r="AT67" i="13"/>
  <c r="AS68" i="13"/>
  <c r="AD67" i="13"/>
  <c r="AE66" i="13"/>
  <c r="AM67" i="13"/>
  <c r="AL68" i="13"/>
  <c r="BG69" i="13"/>
  <c r="BH68" i="13"/>
  <c r="BP67" i="13"/>
  <c r="BO68" i="13"/>
  <c r="CD68" i="13"/>
  <c r="CE67" i="13"/>
  <c r="V67" i="13"/>
  <c r="W66" i="13"/>
  <c r="L71" i="13"/>
  <c r="M70" i="13"/>
  <c r="N70" i="13" s="1"/>
  <c r="AZ68" i="13" l="1"/>
  <c r="BA67" i="13"/>
  <c r="W67" i="13"/>
  <c r="V68" i="13"/>
  <c r="AE67" i="13"/>
  <c r="AD68" i="13"/>
  <c r="AS69" i="13"/>
  <c r="AT68" i="13"/>
  <c r="M71" i="13"/>
  <c r="N71" i="13" s="1"/>
  <c r="L72" i="13"/>
  <c r="AL69" i="13"/>
  <c r="AM68" i="13"/>
  <c r="BO69" i="13"/>
  <c r="BP68" i="13"/>
  <c r="CD69" i="13"/>
  <c r="CE68" i="13"/>
  <c r="BG70" i="13"/>
  <c r="BH69" i="13"/>
  <c r="BV70" i="13"/>
  <c r="BW69" i="13"/>
  <c r="AZ69" i="13" l="1"/>
  <c r="BA68" i="13"/>
  <c r="AS70" i="13"/>
  <c r="AT69" i="13"/>
  <c r="M72" i="13"/>
  <c r="N72" i="13" s="1"/>
  <c r="L73" i="13"/>
  <c r="BV71" i="13"/>
  <c r="BW70" i="13"/>
  <c r="BP69" i="13"/>
  <c r="BO70" i="13"/>
  <c r="AD69" i="13"/>
  <c r="AE68" i="13"/>
  <c r="V69" i="13"/>
  <c r="W68" i="13"/>
  <c r="CE69" i="13"/>
  <c r="CD70" i="13"/>
  <c r="BG71" i="13"/>
  <c r="BH70" i="13"/>
  <c r="AL70" i="13"/>
  <c r="AM69" i="13"/>
  <c r="AZ70" i="13" l="1"/>
  <c r="BA69" i="13"/>
  <c r="CD71" i="13"/>
  <c r="CE70" i="13"/>
  <c r="V70" i="13"/>
  <c r="W69" i="13"/>
  <c r="BV72" i="13"/>
  <c r="BW71" i="13"/>
  <c r="L74" i="13"/>
  <c r="M73" i="13"/>
  <c r="N73" i="13" s="1"/>
  <c r="AL71" i="13"/>
  <c r="AM70" i="13"/>
  <c r="AD70" i="13"/>
  <c r="AE69" i="13"/>
  <c r="BO71" i="13"/>
  <c r="BP70" i="13"/>
  <c r="BH71" i="13"/>
  <c r="BG72" i="13"/>
  <c r="AS71" i="13"/>
  <c r="AT70" i="13"/>
  <c r="AZ71" i="13" l="1"/>
  <c r="BA70" i="13"/>
  <c r="L75" i="13"/>
  <c r="M74" i="13"/>
  <c r="N74" i="13" s="1"/>
  <c r="BP71" i="13"/>
  <c r="BO72" i="13"/>
  <c r="BV73" i="13"/>
  <c r="BW72" i="13"/>
  <c r="BG73" i="13"/>
  <c r="BH72" i="13"/>
  <c r="AT71" i="13"/>
  <c r="AS72" i="13"/>
  <c r="AD71" i="13"/>
  <c r="AE70" i="13"/>
  <c r="W70" i="13"/>
  <c r="V71" i="13"/>
  <c r="AL72" i="13"/>
  <c r="AM71" i="13"/>
  <c r="CD72" i="13"/>
  <c r="CE71" i="13"/>
  <c r="AZ72" i="13" l="1"/>
  <c r="BA71" i="13"/>
  <c r="BV74" i="13"/>
  <c r="BW73" i="13"/>
  <c r="W71" i="13"/>
  <c r="V72" i="13"/>
  <c r="CE72" i="13"/>
  <c r="CD73" i="13"/>
  <c r="AD72" i="13"/>
  <c r="AE71" i="13"/>
  <c r="BH73" i="13"/>
  <c r="BG74" i="13"/>
  <c r="AS73" i="13"/>
  <c r="AT72" i="13"/>
  <c r="BO73" i="13"/>
  <c r="BP72" i="13"/>
  <c r="AM72" i="13"/>
  <c r="AL73" i="13"/>
  <c r="M75" i="13"/>
  <c r="N75" i="13" s="1"/>
  <c r="L76" i="13"/>
  <c r="AZ73" i="13" l="1"/>
  <c r="BA72" i="13"/>
  <c r="BO74" i="13"/>
  <c r="BP73" i="13"/>
  <c r="AE72" i="13"/>
  <c r="AD73" i="13"/>
  <c r="W72" i="13"/>
  <c r="V73" i="13"/>
  <c r="L77" i="13"/>
  <c r="M76" i="13"/>
  <c r="N76" i="13" s="1"/>
  <c r="AT73" i="13"/>
  <c r="AS74" i="13"/>
  <c r="AL74" i="13"/>
  <c r="AM73" i="13"/>
  <c r="BH74" i="13"/>
  <c r="BG75" i="13"/>
  <c r="CD74" i="13"/>
  <c r="CE73" i="13"/>
  <c r="BW74" i="13"/>
  <c r="BV75" i="13"/>
  <c r="AZ74" i="13" l="1"/>
  <c r="BA73" i="13"/>
  <c r="L78" i="13"/>
  <c r="M77" i="13"/>
  <c r="N77" i="13" s="1"/>
  <c r="V74" i="13"/>
  <c r="W73" i="13"/>
  <c r="AM74" i="13"/>
  <c r="AL75" i="13"/>
  <c r="BH75" i="13"/>
  <c r="BG76" i="13"/>
  <c r="AD74" i="13"/>
  <c r="AE73" i="13"/>
  <c r="BV76" i="13"/>
  <c r="BW75" i="13"/>
  <c r="AS75" i="13"/>
  <c r="AT74" i="13"/>
  <c r="CE74" i="13"/>
  <c r="CD75" i="13"/>
  <c r="BP74" i="13"/>
  <c r="BO75" i="13"/>
  <c r="AZ75" i="13" l="1"/>
  <c r="BA74" i="13"/>
  <c r="BG77" i="13"/>
  <c r="BH76" i="13"/>
  <c r="BO76" i="13"/>
  <c r="BP75" i="13"/>
  <c r="V75" i="13"/>
  <c r="W74" i="13"/>
  <c r="BV77" i="13"/>
  <c r="BW76" i="13"/>
  <c r="CD76" i="13"/>
  <c r="CE75" i="13"/>
  <c r="AS76" i="13"/>
  <c r="AT75" i="13"/>
  <c r="AM75" i="13"/>
  <c r="AL76" i="13"/>
  <c r="AE74" i="13"/>
  <c r="AD75" i="13"/>
  <c r="L79" i="13"/>
  <c r="M78" i="13"/>
  <c r="N78" i="13" s="1"/>
  <c r="BA75" i="13" l="1"/>
  <c r="AZ76" i="13"/>
  <c r="AL77" i="13"/>
  <c r="AM76" i="13"/>
  <c r="W75" i="13"/>
  <c r="V76" i="13"/>
  <c r="L80" i="13"/>
  <c r="M79" i="13"/>
  <c r="N79" i="13" s="1"/>
  <c r="CD77" i="13"/>
  <c r="CE76" i="13"/>
  <c r="BO77" i="13"/>
  <c r="BP76" i="13"/>
  <c r="AE75" i="13"/>
  <c r="AD76" i="13"/>
  <c r="AS77" i="13"/>
  <c r="AT76" i="13"/>
  <c r="BV78" i="13"/>
  <c r="BW77" i="13"/>
  <c r="BG78" i="13"/>
  <c r="BH77" i="13"/>
  <c r="AZ77" i="13" l="1"/>
  <c r="BA76" i="13"/>
  <c r="V77" i="13"/>
  <c r="W76" i="13"/>
  <c r="L81" i="13"/>
  <c r="M80" i="13"/>
  <c r="N80" i="13" s="1"/>
  <c r="BG79" i="13"/>
  <c r="BH78" i="13"/>
  <c r="BO78" i="13"/>
  <c r="BP77" i="13"/>
  <c r="AL78" i="13"/>
  <c r="AM77" i="13"/>
  <c r="AT77" i="13"/>
  <c r="AS78" i="13"/>
  <c r="AD77" i="13"/>
  <c r="AE76" i="13"/>
  <c r="BV79" i="13"/>
  <c r="BW78" i="13"/>
  <c r="CD78" i="13"/>
  <c r="CE77" i="13"/>
  <c r="AZ78" i="13" l="1"/>
  <c r="BA77" i="13"/>
  <c r="BV80" i="13"/>
  <c r="BW79" i="13"/>
  <c r="BP78" i="13"/>
  <c r="BO79" i="13"/>
  <c r="AD78" i="13"/>
  <c r="AE77" i="13"/>
  <c r="BG80" i="13"/>
  <c r="BH79" i="13"/>
  <c r="AS79" i="13"/>
  <c r="AT78" i="13"/>
  <c r="L82" i="13"/>
  <c r="M81" i="13"/>
  <c r="N81" i="13" s="1"/>
  <c r="CD79" i="13"/>
  <c r="CE78" i="13"/>
  <c r="AL79" i="13"/>
  <c r="AM78" i="13"/>
  <c r="V78" i="13"/>
  <c r="W77" i="13"/>
  <c r="BA78" i="13" l="1"/>
  <c r="AZ79" i="13"/>
  <c r="CE79" i="13"/>
  <c r="CD80" i="13"/>
  <c r="BG81" i="13"/>
  <c r="BH80" i="13"/>
  <c r="M82" i="13"/>
  <c r="N82" i="13" s="1"/>
  <c r="L83" i="13"/>
  <c r="AD79" i="13"/>
  <c r="AE78" i="13"/>
  <c r="BO80" i="13"/>
  <c r="BP79" i="13"/>
  <c r="V79" i="13"/>
  <c r="W78" i="13"/>
  <c r="AM79" i="13"/>
  <c r="AL80" i="13"/>
  <c r="AS80" i="13"/>
  <c r="AT79" i="13"/>
  <c r="BV81" i="13"/>
  <c r="BW80" i="13"/>
  <c r="BA79" i="13" l="1"/>
  <c r="AZ80" i="13"/>
  <c r="AD80" i="13"/>
  <c r="AE79" i="13"/>
  <c r="L84" i="13"/>
  <c r="M83" i="13"/>
  <c r="N83" i="13" s="1"/>
  <c r="V80" i="13"/>
  <c r="W79" i="13"/>
  <c r="AL81" i="13"/>
  <c r="AM80" i="13"/>
  <c r="BV82" i="13"/>
  <c r="BW81" i="13"/>
  <c r="BO81" i="13"/>
  <c r="BP80" i="13"/>
  <c r="BG82" i="13"/>
  <c r="BH81" i="13"/>
  <c r="CD81" i="13"/>
  <c r="CE80" i="13"/>
  <c r="AS81" i="13"/>
  <c r="AT80" i="13"/>
  <c r="BA80" i="13" l="1"/>
  <c r="AZ81" i="13"/>
  <c r="BG83" i="13"/>
  <c r="BH82" i="13"/>
  <c r="V81" i="13"/>
  <c r="W80" i="13"/>
  <c r="AL82" i="13"/>
  <c r="AM81" i="13"/>
  <c r="AS82" i="13"/>
  <c r="AT81" i="13"/>
  <c r="BO82" i="13"/>
  <c r="BP81" i="13"/>
  <c r="L85" i="13"/>
  <c r="M84" i="13"/>
  <c r="N84" i="13" s="1"/>
  <c r="CD82" i="13"/>
  <c r="CE81" i="13"/>
  <c r="BV83" i="13"/>
  <c r="BW82" i="13"/>
  <c r="AD81" i="13"/>
  <c r="AE80" i="13"/>
  <c r="AZ82" i="13" l="1"/>
  <c r="BA81" i="13"/>
  <c r="L86" i="13"/>
  <c r="M85" i="13"/>
  <c r="N85" i="13" s="1"/>
  <c r="W81" i="13"/>
  <c r="V82" i="13"/>
  <c r="AM82" i="13"/>
  <c r="AL83" i="13"/>
  <c r="AD82" i="13"/>
  <c r="AE81" i="13"/>
  <c r="BP82" i="13"/>
  <c r="BO83" i="13"/>
  <c r="BG84" i="13"/>
  <c r="BH83" i="13"/>
  <c r="CE82" i="13"/>
  <c r="CD83" i="13"/>
  <c r="BV84" i="13"/>
  <c r="BW83" i="13"/>
  <c r="AS83" i="13"/>
  <c r="AT82" i="13"/>
  <c r="BA82" i="13" l="1"/>
  <c r="AZ83" i="13"/>
  <c r="AE82" i="13"/>
  <c r="AD83" i="13"/>
  <c r="CD84" i="13"/>
  <c r="CE83" i="13"/>
  <c r="AL84" i="13"/>
  <c r="AM83" i="13"/>
  <c r="W82" i="13"/>
  <c r="V83" i="13"/>
  <c r="BV85" i="13"/>
  <c r="BW84" i="13"/>
  <c r="BG85" i="13"/>
  <c r="BH84" i="13"/>
  <c r="BO84" i="13"/>
  <c r="BP83" i="13"/>
  <c r="AT83" i="13"/>
  <c r="AS84" i="13"/>
  <c r="L87" i="13"/>
  <c r="M86" i="13"/>
  <c r="N86" i="13" s="1"/>
  <c r="AZ84" i="13" l="1"/>
  <c r="BA83" i="13"/>
  <c r="AL85" i="13"/>
  <c r="AM84" i="13"/>
  <c r="L88" i="13"/>
  <c r="M87" i="13"/>
  <c r="N87" i="13" s="1"/>
  <c r="CD85" i="13"/>
  <c r="CE84" i="13"/>
  <c r="V84" i="13"/>
  <c r="W83" i="13"/>
  <c r="AS85" i="13"/>
  <c r="AT84" i="13"/>
  <c r="AD84" i="13"/>
  <c r="AE83" i="13"/>
  <c r="BO85" i="13"/>
  <c r="BP84" i="13"/>
  <c r="BG86" i="13"/>
  <c r="BH85" i="13"/>
  <c r="BV86" i="13"/>
  <c r="BW85" i="13"/>
  <c r="AZ85" i="13" l="1"/>
  <c r="BA84" i="13"/>
  <c r="AS86" i="13"/>
  <c r="AT85" i="13"/>
  <c r="M88" i="13"/>
  <c r="N88" i="13" s="1"/>
  <c r="L89" i="13"/>
  <c r="CD86" i="13"/>
  <c r="CE85" i="13"/>
  <c r="AD85" i="13"/>
  <c r="AE84" i="13"/>
  <c r="BO86" i="13"/>
  <c r="BP85" i="13"/>
  <c r="BV87" i="13"/>
  <c r="BW86" i="13"/>
  <c r="BH86" i="13"/>
  <c r="BG87" i="13"/>
  <c r="V85" i="13"/>
  <c r="W84" i="13"/>
  <c r="AL86" i="13"/>
  <c r="AM85" i="13"/>
  <c r="BA85" i="13" l="1"/>
  <c r="AZ86" i="13"/>
  <c r="L90" i="13"/>
  <c r="M89" i="13"/>
  <c r="N89" i="13" s="1"/>
  <c r="CE86" i="13"/>
  <c r="CD87" i="13"/>
  <c r="AL87" i="13"/>
  <c r="AM86" i="13"/>
  <c r="BO87" i="13"/>
  <c r="BP86" i="13"/>
  <c r="AS87" i="13"/>
  <c r="AT86" i="13"/>
  <c r="BG88" i="13"/>
  <c r="BH87" i="13"/>
  <c r="BV88" i="13"/>
  <c r="BW87" i="13"/>
  <c r="V86" i="13"/>
  <c r="W85" i="13"/>
  <c r="AD86" i="13"/>
  <c r="AE85" i="13"/>
  <c r="AZ87" i="13" l="1"/>
  <c r="BA86" i="13"/>
  <c r="BP87" i="13"/>
  <c r="BO88" i="13"/>
  <c r="AL88" i="13"/>
  <c r="AM87" i="13"/>
  <c r="BG89" i="13"/>
  <c r="BH88" i="13"/>
  <c r="V87" i="13"/>
  <c r="W86" i="13"/>
  <c r="BV89" i="13"/>
  <c r="BW88" i="13"/>
  <c r="CD88" i="13"/>
  <c r="CE87" i="13"/>
  <c r="AD87" i="13"/>
  <c r="AE86" i="13"/>
  <c r="AS88" i="13"/>
  <c r="AT87" i="13"/>
  <c r="L91" i="13"/>
  <c r="M90" i="13"/>
  <c r="N90" i="13" s="1"/>
  <c r="AZ88" i="13" l="1"/>
  <c r="BA87" i="13"/>
  <c r="CD89" i="13"/>
  <c r="CE88" i="13"/>
  <c r="BG90" i="13"/>
  <c r="BH89" i="13"/>
  <c r="L92" i="13"/>
  <c r="M91" i="13"/>
  <c r="N91" i="13" s="1"/>
  <c r="BV90" i="13"/>
  <c r="BW89" i="13"/>
  <c r="AM88" i="13"/>
  <c r="AL89" i="13"/>
  <c r="BO89" i="13"/>
  <c r="BP88" i="13"/>
  <c r="AD88" i="13"/>
  <c r="AE87" i="13"/>
  <c r="AS89" i="13"/>
  <c r="AT88" i="13"/>
  <c r="V88" i="13"/>
  <c r="W87" i="13"/>
  <c r="AZ89" i="13" l="1"/>
  <c r="BA88" i="13"/>
  <c r="L93" i="13"/>
  <c r="M92" i="13"/>
  <c r="N92" i="13" s="1"/>
  <c r="AD89" i="13"/>
  <c r="AE88" i="13"/>
  <c r="V89" i="13"/>
  <c r="W88" i="13"/>
  <c r="BG91" i="13"/>
  <c r="BH90" i="13"/>
  <c r="BV91" i="13"/>
  <c r="BW90" i="13"/>
  <c r="AL90" i="13"/>
  <c r="AM89" i="13"/>
  <c r="BO90" i="13"/>
  <c r="BP89" i="13"/>
  <c r="AS90" i="13"/>
  <c r="AT89" i="13"/>
  <c r="CD90" i="13"/>
  <c r="CE89" i="13"/>
  <c r="AZ90" i="13" l="1"/>
  <c r="BA89" i="13"/>
  <c r="AL91" i="13"/>
  <c r="AM90" i="13"/>
  <c r="V90" i="13"/>
  <c r="W89" i="13"/>
  <c r="BO91" i="13"/>
  <c r="BP90" i="13"/>
  <c r="CD91" i="13"/>
  <c r="CE90" i="13"/>
  <c r="BW91" i="13"/>
  <c r="BV92" i="13"/>
  <c r="AD90" i="13"/>
  <c r="AE89" i="13"/>
  <c r="AS91" i="13"/>
  <c r="AT90" i="13"/>
  <c r="BG92" i="13"/>
  <c r="BH91" i="13"/>
  <c r="M93" i="13"/>
  <c r="N93" i="13" s="1"/>
  <c r="L94" i="13"/>
  <c r="AZ91" i="13" l="1"/>
  <c r="BA90" i="13"/>
  <c r="AS92" i="13"/>
  <c r="AT91" i="13"/>
  <c r="W90" i="13"/>
  <c r="V91" i="13"/>
  <c r="M94" i="13"/>
  <c r="N94" i="13" s="1"/>
  <c r="L95" i="13"/>
  <c r="AL92" i="13"/>
  <c r="AM91" i="13"/>
  <c r="BV93" i="13"/>
  <c r="BW92" i="13"/>
  <c r="BO92" i="13"/>
  <c r="BP91" i="13"/>
  <c r="AD91" i="13"/>
  <c r="AE90" i="13"/>
  <c r="BG93" i="13"/>
  <c r="BH92" i="13"/>
  <c r="CD92" i="13"/>
  <c r="CE91" i="13"/>
  <c r="AZ92" i="13" l="1"/>
  <c r="BA91" i="13"/>
  <c r="AD92" i="13"/>
  <c r="AE91" i="13"/>
  <c r="AL93" i="13"/>
  <c r="AM92" i="13"/>
  <c r="L96" i="13"/>
  <c r="M95" i="13"/>
  <c r="N95" i="13" s="1"/>
  <c r="BO93" i="13"/>
  <c r="BP92" i="13"/>
  <c r="V92" i="13"/>
  <c r="W91" i="13"/>
  <c r="CD93" i="13"/>
  <c r="CE92" i="13"/>
  <c r="BG94" i="13"/>
  <c r="BH93" i="13"/>
  <c r="BV94" i="13"/>
  <c r="BW93" i="13"/>
  <c r="AS93" i="13"/>
  <c r="AT92" i="13"/>
  <c r="AZ93" i="13" l="1"/>
  <c r="BA92" i="13"/>
  <c r="BH94" i="13"/>
  <c r="BG95" i="13"/>
  <c r="BP93" i="13"/>
  <c r="BO94" i="13"/>
  <c r="L97" i="13"/>
  <c r="M96" i="13"/>
  <c r="N96" i="13" s="1"/>
  <c r="AS94" i="13"/>
  <c r="AT93" i="13"/>
  <c r="CD94" i="13"/>
  <c r="CE93" i="13"/>
  <c r="AM93" i="13"/>
  <c r="AL94" i="13"/>
  <c r="BW94" i="13"/>
  <c r="BV95" i="13"/>
  <c r="V93" i="13"/>
  <c r="W92" i="13"/>
  <c r="AD93" i="13"/>
  <c r="AE92" i="13"/>
  <c r="BA93" i="13" l="1"/>
  <c r="AZ94" i="13"/>
  <c r="M97" i="13"/>
  <c r="N97" i="13" s="1"/>
  <c r="L98" i="13"/>
  <c r="BW95" i="13"/>
  <c r="BV96" i="13"/>
  <c r="AL95" i="13"/>
  <c r="AM94" i="13"/>
  <c r="AD94" i="13"/>
  <c r="AE93" i="13"/>
  <c r="CE94" i="13"/>
  <c r="CD95" i="13"/>
  <c r="BH95" i="13"/>
  <c r="BG96" i="13"/>
  <c r="BP94" i="13"/>
  <c r="BO95" i="13"/>
  <c r="W93" i="13"/>
  <c r="V94" i="13"/>
  <c r="AT94" i="13"/>
  <c r="AS95" i="13"/>
  <c r="BA94" i="13" l="1"/>
  <c r="AZ95" i="13"/>
  <c r="BG97" i="13"/>
  <c r="BH96" i="13"/>
  <c r="BV97" i="13"/>
  <c r="BW96" i="13"/>
  <c r="CD96" i="13"/>
  <c r="CE95" i="13"/>
  <c r="BO96" i="13"/>
  <c r="BP95" i="13"/>
  <c r="AT95" i="13"/>
  <c r="AS96" i="13"/>
  <c r="V95" i="13"/>
  <c r="W94" i="13"/>
  <c r="L99" i="13"/>
  <c r="M98" i="13"/>
  <c r="N98" i="13" s="1"/>
  <c r="AL96" i="13"/>
  <c r="AM95" i="13"/>
  <c r="AE94" i="13"/>
  <c r="AD95" i="13"/>
  <c r="BA95" i="13" l="1"/>
  <c r="AZ96" i="13"/>
  <c r="AM96" i="13"/>
  <c r="AL97" i="13"/>
  <c r="BO97" i="13"/>
  <c r="BP96" i="13"/>
  <c r="L100" i="13"/>
  <c r="M99" i="13"/>
  <c r="N99" i="13" s="1"/>
  <c r="CE96" i="13"/>
  <c r="CD97" i="13"/>
  <c r="AD96" i="13"/>
  <c r="AE95" i="13"/>
  <c r="V96" i="13"/>
  <c r="W95" i="13"/>
  <c r="BW97" i="13"/>
  <c r="BV98" i="13"/>
  <c r="AS97" i="13"/>
  <c r="AT96" i="13"/>
  <c r="BH97" i="13"/>
  <c r="BG98" i="13"/>
  <c r="BA96" i="13" l="1"/>
  <c r="AZ97" i="13"/>
  <c r="CE97" i="13"/>
  <c r="CD98" i="13"/>
  <c r="M100" i="13"/>
  <c r="N100" i="13" s="1"/>
  <c r="L101" i="13"/>
  <c r="BG99" i="13"/>
  <c r="BH98" i="13"/>
  <c r="V97" i="13"/>
  <c r="W96" i="13"/>
  <c r="BP97" i="13"/>
  <c r="BO98" i="13"/>
  <c r="AT97" i="13"/>
  <c r="AS98" i="13"/>
  <c r="AM97" i="13"/>
  <c r="AL98" i="13"/>
  <c r="BW98" i="13"/>
  <c r="BV99" i="13"/>
  <c r="AE96" i="13"/>
  <c r="AD97" i="13"/>
  <c r="AZ98" i="13" l="1"/>
  <c r="BA97" i="13"/>
  <c r="V98" i="13"/>
  <c r="W97" i="13"/>
  <c r="BG100" i="13"/>
  <c r="BH99" i="13"/>
  <c r="AE97" i="13"/>
  <c r="AD98" i="13"/>
  <c r="AT98" i="13"/>
  <c r="AS99" i="13"/>
  <c r="M101" i="13"/>
  <c r="N101" i="13" s="1"/>
  <c r="L102" i="13"/>
  <c r="AL99" i="13"/>
  <c r="AM98" i="13"/>
  <c r="BW99" i="13"/>
  <c r="BV100" i="13"/>
  <c r="BO99" i="13"/>
  <c r="BP98" i="13"/>
  <c r="CD99" i="13"/>
  <c r="CE98" i="13"/>
  <c r="BA98" i="13" l="1"/>
  <c r="AZ99" i="13"/>
  <c r="BH100" i="13"/>
  <c r="BG101" i="13"/>
  <c r="AE98" i="13"/>
  <c r="AD99" i="13"/>
  <c r="L103" i="13"/>
  <c r="M102" i="13"/>
  <c r="N102" i="13" s="1"/>
  <c r="CE99" i="13"/>
  <c r="CD100" i="13"/>
  <c r="BW100" i="13"/>
  <c r="BV101" i="13"/>
  <c r="AT99" i="13"/>
  <c r="AS100" i="13"/>
  <c r="AM99" i="13"/>
  <c r="AL100" i="13"/>
  <c r="BP99" i="13"/>
  <c r="BO100" i="13"/>
  <c r="W98" i="13"/>
  <c r="V99" i="13"/>
  <c r="BA99" i="13" l="1"/>
  <c r="AZ100" i="13"/>
  <c r="M103" i="13"/>
  <c r="N103" i="13" s="1"/>
  <c r="L104" i="13"/>
  <c r="AM100" i="13"/>
  <c r="AL101" i="13"/>
  <c r="V100" i="13"/>
  <c r="W99" i="13"/>
  <c r="BP100" i="13"/>
  <c r="BO101" i="13"/>
  <c r="BV102" i="13"/>
  <c r="BW101" i="13"/>
  <c r="BG102" i="13"/>
  <c r="BH101" i="13"/>
  <c r="CE100" i="13"/>
  <c r="CD101" i="13"/>
  <c r="AS101" i="13"/>
  <c r="AT100" i="13"/>
  <c r="AE99" i="13"/>
  <c r="AD100" i="13"/>
  <c r="BA100" i="13" l="1"/>
  <c r="AZ101" i="13"/>
  <c r="V101" i="13"/>
  <c r="W100" i="13"/>
  <c r="BG103" i="13"/>
  <c r="BH102" i="13"/>
  <c r="CE101" i="13"/>
  <c r="CD102" i="13"/>
  <c r="AD101" i="13"/>
  <c r="AE100" i="13"/>
  <c r="BV103" i="13"/>
  <c r="BW102" i="13"/>
  <c r="BP101" i="13"/>
  <c r="BO102" i="13"/>
  <c r="M104" i="13"/>
  <c r="N104" i="13" s="1"/>
  <c r="L105" i="13"/>
  <c r="AM101" i="13"/>
  <c r="AL102" i="13"/>
  <c r="AS102" i="13"/>
  <c r="AT101" i="13"/>
  <c r="AZ102" i="13" l="1"/>
  <c r="BA101" i="13"/>
  <c r="BO103" i="13"/>
  <c r="BP102" i="13"/>
  <c r="CD103" i="13"/>
  <c r="CE102" i="13"/>
  <c r="BH103" i="13"/>
  <c r="BG104" i="13"/>
  <c r="AS103" i="13"/>
  <c r="AT102" i="13"/>
  <c r="BW103" i="13"/>
  <c r="BV104" i="13"/>
  <c r="AL103" i="13"/>
  <c r="AM102" i="13"/>
  <c r="L106" i="13"/>
  <c r="M105" i="13"/>
  <c r="N105" i="13" s="1"/>
  <c r="AD102" i="13"/>
  <c r="AE101" i="13"/>
  <c r="W101" i="13"/>
  <c r="V102" i="13"/>
  <c r="AZ103" i="13" l="1"/>
  <c r="BA102" i="13"/>
  <c r="L107" i="13"/>
  <c r="M106" i="13"/>
  <c r="N106" i="13" s="1"/>
  <c r="BH104" i="13"/>
  <c r="BG105" i="13"/>
  <c r="AM103" i="13"/>
  <c r="AL104" i="13"/>
  <c r="W102" i="13"/>
  <c r="V103" i="13"/>
  <c r="BW104" i="13"/>
  <c r="BV105" i="13"/>
  <c r="CE103" i="13"/>
  <c r="CD104" i="13"/>
  <c r="AE102" i="13"/>
  <c r="AD103" i="13"/>
  <c r="AT103" i="13"/>
  <c r="AS104" i="13"/>
  <c r="BP103" i="13"/>
  <c r="BO104" i="13"/>
  <c r="AZ104" i="13" l="1"/>
  <c r="BA103" i="13"/>
  <c r="AM104" i="13"/>
  <c r="AL105" i="13"/>
  <c r="CE104" i="13"/>
  <c r="CD105" i="13"/>
  <c r="BH105" i="13"/>
  <c r="BG106" i="13"/>
  <c r="BP104" i="13"/>
  <c r="BO105" i="13"/>
  <c r="BW105" i="13"/>
  <c r="BV106" i="13"/>
  <c r="AE103" i="13"/>
  <c r="AD104" i="13"/>
  <c r="AT104" i="13"/>
  <c r="AS105" i="13"/>
  <c r="V104" i="13"/>
  <c r="W103" i="13"/>
  <c r="M107" i="13"/>
  <c r="N107" i="13" s="1"/>
  <c r="L108" i="13"/>
  <c r="BA104" i="13" l="1"/>
  <c r="AZ105" i="13"/>
  <c r="BO106" i="13"/>
  <c r="BP105" i="13"/>
  <c r="AT105" i="13"/>
  <c r="AS106" i="13"/>
  <c r="AE104" i="13"/>
  <c r="AD105" i="13"/>
  <c r="BG107" i="13"/>
  <c r="BH106" i="13"/>
  <c r="M108" i="13"/>
  <c r="N108" i="13" s="1"/>
  <c r="L109" i="13"/>
  <c r="CD106" i="13"/>
  <c r="CE105" i="13"/>
  <c r="BV107" i="13"/>
  <c r="BW106" i="13"/>
  <c r="AL106" i="13"/>
  <c r="AM105" i="13"/>
  <c r="V105" i="13"/>
  <c r="W104" i="13"/>
  <c r="AZ106" i="13" l="1"/>
  <c r="BA105" i="13"/>
  <c r="BH107" i="13"/>
  <c r="BG108" i="13"/>
  <c r="AD106" i="13"/>
  <c r="AE105" i="13"/>
  <c r="CD107" i="13"/>
  <c r="CE106" i="13"/>
  <c r="AS107" i="13"/>
  <c r="AT106" i="13"/>
  <c r="W105" i="13"/>
  <c r="V106" i="13"/>
  <c r="BW107" i="13"/>
  <c r="BV108" i="13"/>
  <c r="M109" i="13"/>
  <c r="N109" i="13" s="1"/>
  <c r="L110" i="13"/>
  <c r="AL107" i="13"/>
  <c r="AM106" i="13"/>
  <c r="BO107" i="13"/>
  <c r="BP106" i="13"/>
  <c r="AZ107" i="13" l="1"/>
  <c r="BA106" i="13"/>
  <c r="CE107" i="13"/>
  <c r="CD108" i="13"/>
  <c r="L111" i="13"/>
  <c r="M110" i="13"/>
  <c r="N110" i="13" s="1"/>
  <c r="W106" i="13"/>
  <c r="V107" i="13"/>
  <c r="AE106" i="13"/>
  <c r="AD107" i="13"/>
  <c r="BH108" i="13"/>
  <c r="BG109" i="13"/>
  <c r="BW108" i="13"/>
  <c r="BV109" i="13"/>
  <c r="BP107" i="13"/>
  <c r="BO108" i="13"/>
  <c r="AM107" i="13"/>
  <c r="AL108" i="13"/>
  <c r="AT107" i="13"/>
  <c r="AS108" i="13"/>
  <c r="AZ108" i="13" l="1"/>
  <c r="BA107" i="13"/>
  <c r="W107" i="13"/>
  <c r="V108" i="13"/>
  <c r="M111" i="13"/>
  <c r="N111" i="13" s="1"/>
  <c r="L112" i="13"/>
  <c r="AT108" i="13"/>
  <c r="AS109" i="13"/>
  <c r="AM108" i="13"/>
  <c r="AL109" i="13"/>
  <c r="AE107" i="13"/>
  <c r="AD108" i="13"/>
  <c r="CE108" i="13"/>
  <c r="CD109" i="13"/>
  <c r="BP108" i="13"/>
  <c r="BO109" i="13"/>
  <c r="BV110" i="13"/>
  <c r="BW109" i="13"/>
  <c r="BG110" i="13"/>
  <c r="BH109" i="13"/>
  <c r="AZ109" i="13" l="1"/>
  <c r="BA108" i="13"/>
  <c r="AD109" i="13"/>
  <c r="AE108" i="13"/>
  <c r="BP109" i="13"/>
  <c r="BO110" i="13"/>
  <c r="BG111" i="13"/>
  <c r="BH110" i="13"/>
  <c r="AM109" i="13"/>
  <c r="AL110" i="13"/>
  <c r="V109" i="13"/>
  <c r="W108" i="13"/>
  <c r="AS110" i="13"/>
  <c r="AT109" i="13"/>
  <c r="CE109" i="13"/>
  <c r="CD110" i="13"/>
  <c r="M112" i="13"/>
  <c r="N112" i="13" s="1"/>
  <c r="L113" i="13"/>
  <c r="BV111" i="13"/>
  <c r="BW110" i="13"/>
  <c r="BA109" i="13" l="1"/>
  <c r="AZ110" i="13"/>
  <c r="BH111" i="13"/>
  <c r="BG112" i="13"/>
  <c r="BO111" i="13"/>
  <c r="BP110" i="13"/>
  <c r="CD111" i="13"/>
  <c r="CE110" i="13"/>
  <c r="AS111" i="13"/>
  <c r="AT110" i="13"/>
  <c r="BW111" i="13"/>
  <c r="BV112" i="13"/>
  <c r="W109" i="13"/>
  <c r="V110" i="13"/>
  <c r="AD110" i="13"/>
  <c r="AE109" i="13"/>
  <c r="L114" i="13"/>
  <c r="M113" i="13"/>
  <c r="N113" i="13" s="1"/>
  <c r="AL111" i="13"/>
  <c r="AM110" i="13"/>
  <c r="AZ111" i="13" l="1"/>
  <c r="BA110" i="13"/>
  <c r="L115" i="13"/>
  <c r="M114" i="13"/>
  <c r="N114" i="13" s="1"/>
  <c r="AT111" i="13"/>
  <c r="AS112" i="13"/>
  <c r="AE110" i="13"/>
  <c r="AD111" i="13"/>
  <c r="CE111" i="13"/>
  <c r="CD112" i="13"/>
  <c r="W110" i="13"/>
  <c r="V111" i="13"/>
  <c r="BP111" i="13"/>
  <c r="BO112" i="13"/>
  <c r="BW112" i="13"/>
  <c r="BV113" i="13"/>
  <c r="BH112" i="13"/>
  <c r="BG113" i="13"/>
  <c r="AM111" i="13"/>
  <c r="AL112" i="13"/>
  <c r="AZ112" i="13" l="1"/>
  <c r="BA111" i="13"/>
  <c r="BP112" i="13"/>
  <c r="BO113" i="13"/>
  <c r="AE111" i="13"/>
  <c r="AD112" i="13"/>
  <c r="AT112" i="13"/>
  <c r="AS113" i="13"/>
  <c r="BW113" i="13"/>
  <c r="BV114" i="13"/>
  <c r="AM112" i="13"/>
  <c r="AL113" i="13"/>
  <c r="BH113" i="13"/>
  <c r="BG114" i="13"/>
  <c r="V112" i="13"/>
  <c r="W111" i="13"/>
  <c r="CE112" i="13"/>
  <c r="CD113" i="13"/>
  <c r="M115" i="13"/>
  <c r="N115" i="13" s="1"/>
  <c r="L116" i="13"/>
  <c r="AZ113" i="13" l="1"/>
  <c r="BA112" i="13"/>
  <c r="V113" i="13"/>
  <c r="W112" i="13"/>
  <c r="BG115" i="13"/>
  <c r="BH114" i="13"/>
  <c r="AT113" i="13"/>
  <c r="AS114" i="13"/>
  <c r="BV115" i="13"/>
  <c r="BW114" i="13"/>
  <c r="AE112" i="13"/>
  <c r="AD113" i="13"/>
  <c r="M116" i="13"/>
  <c r="N116" i="13" s="1"/>
  <c r="L117" i="13"/>
  <c r="CD114" i="13"/>
  <c r="CE113" i="13"/>
  <c r="AL114" i="13"/>
  <c r="AM113" i="13"/>
  <c r="BO114" i="13"/>
  <c r="BP113" i="13"/>
  <c r="BA113" i="13" l="1"/>
  <c r="AZ114" i="13"/>
  <c r="CD115" i="13"/>
  <c r="CE114" i="13"/>
  <c r="BW115" i="13"/>
  <c r="BV116" i="13"/>
  <c r="M117" i="13"/>
  <c r="N117" i="13" s="1"/>
  <c r="L118" i="13"/>
  <c r="AS115" i="13"/>
  <c r="AT114" i="13"/>
  <c r="AD114" i="13"/>
  <c r="AE113" i="13"/>
  <c r="BO115" i="13"/>
  <c r="BP114" i="13"/>
  <c r="BH115" i="13"/>
  <c r="BG116" i="13"/>
  <c r="AL115" i="13"/>
  <c r="AM114" i="13"/>
  <c r="W113" i="13"/>
  <c r="V114" i="13"/>
  <c r="BA114" i="13" l="1"/>
  <c r="AZ115" i="13"/>
  <c r="M118" i="13"/>
  <c r="N118" i="13" s="1"/>
  <c r="L119" i="13"/>
  <c r="BW116" i="13"/>
  <c r="BV117" i="13"/>
  <c r="BH116" i="13"/>
  <c r="BG117" i="13"/>
  <c r="BP115" i="13"/>
  <c r="BO116" i="13"/>
  <c r="AT115" i="13"/>
  <c r="AS116" i="13"/>
  <c r="W114" i="13"/>
  <c r="V115" i="13"/>
  <c r="AM115" i="13"/>
  <c r="AL116" i="13"/>
  <c r="AE114" i="13"/>
  <c r="AD115" i="13"/>
  <c r="CE115" i="13"/>
  <c r="CD116" i="13"/>
  <c r="AZ116" i="13" l="1"/>
  <c r="BA115" i="13"/>
  <c r="AM116" i="13"/>
  <c r="AL117" i="13"/>
  <c r="BP116" i="13"/>
  <c r="BO117" i="13"/>
  <c r="BG118" i="13"/>
  <c r="BH117" i="13"/>
  <c r="W115" i="13"/>
  <c r="V116" i="13"/>
  <c r="CE116" i="13"/>
  <c r="CD117" i="13"/>
  <c r="AT116" i="13"/>
  <c r="AS117" i="13"/>
  <c r="BV118" i="13"/>
  <c r="BW117" i="13"/>
  <c r="AE115" i="13"/>
  <c r="AD116" i="13"/>
  <c r="M119" i="13"/>
  <c r="N119" i="13" s="1"/>
  <c r="L120" i="13"/>
  <c r="BA116" i="13" l="1"/>
  <c r="AZ117" i="13"/>
  <c r="V117" i="13"/>
  <c r="W116" i="13"/>
  <c r="AD117" i="13"/>
  <c r="AE116" i="13"/>
  <c r="BV119" i="13"/>
  <c r="BW118" i="13"/>
  <c r="BG119" i="13"/>
  <c r="BH118" i="13"/>
  <c r="AS118" i="13"/>
  <c r="AT117" i="13"/>
  <c r="BP117" i="13"/>
  <c r="BO118" i="13"/>
  <c r="L121" i="13"/>
  <c r="M120" i="13"/>
  <c r="N120" i="13" s="1"/>
  <c r="CE117" i="13"/>
  <c r="CD118" i="13"/>
  <c r="AM117" i="13"/>
  <c r="AL118" i="13"/>
  <c r="BA117" i="13" l="1"/>
  <c r="AZ118" i="13"/>
  <c r="BG120" i="13"/>
  <c r="BH119" i="13"/>
  <c r="BV120" i="13"/>
  <c r="BW119" i="13"/>
  <c r="AM118" i="13"/>
  <c r="AL119" i="13"/>
  <c r="AS119" i="13"/>
  <c r="AT118" i="13"/>
  <c r="AD118" i="13"/>
  <c r="AE117" i="13"/>
  <c r="M121" i="13"/>
  <c r="N121" i="13" s="1"/>
  <c r="L122" i="13"/>
  <c r="CD119" i="13"/>
  <c r="CE118" i="13"/>
  <c r="BO119" i="13"/>
  <c r="BP118" i="13"/>
  <c r="W117" i="13"/>
  <c r="V118" i="13"/>
  <c r="AZ119" i="13" l="1"/>
  <c r="BA118" i="13"/>
  <c r="BP119" i="13"/>
  <c r="BO120" i="13"/>
  <c r="AS120" i="13"/>
  <c r="AT119" i="13"/>
  <c r="AM119" i="13"/>
  <c r="AL120" i="13"/>
  <c r="CE119" i="13"/>
  <c r="CD120" i="13"/>
  <c r="W118" i="13"/>
  <c r="V119" i="13"/>
  <c r="L123" i="13"/>
  <c r="M122" i="13"/>
  <c r="N122" i="13" s="1"/>
  <c r="BW120" i="13"/>
  <c r="BV121" i="13"/>
  <c r="AD119" i="13"/>
  <c r="AE118" i="13"/>
  <c r="BH120" i="13"/>
  <c r="BG121" i="13"/>
  <c r="AZ120" i="13" l="1"/>
  <c r="BA119" i="13"/>
  <c r="BW121" i="13"/>
  <c r="BV122" i="13"/>
  <c r="AL121" i="13"/>
  <c r="AM120" i="13"/>
  <c r="BH121" i="13"/>
  <c r="BG122" i="13"/>
  <c r="L124" i="13"/>
  <c r="M123" i="13"/>
  <c r="N123" i="13" s="1"/>
  <c r="AT120" i="13"/>
  <c r="AS121" i="13"/>
  <c r="W119" i="13"/>
  <c r="V120" i="13"/>
  <c r="BO121" i="13"/>
  <c r="BP120" i="13"/>
  <c r="CD121" i="13"/>
  <c r="CE120" i="13"/>
  <c r="AE119" i="13"/>
  <c r="AD120" i="13"/>
  <c r="BA120" i="13" l="1"/>
  <c r="AZ121" i="13"/>
  <c r="BH122" i="13"/>
  <c r="BG123" i="13"/>
  <c r="BP121" i="13"/>
  <c r="BO122" i="13"/>
  <c r="V121" i="13"/>
  <c r="W120" i="13"/>
  <c r="AM121" i="13"/>
  <c r="AL122" i="13"/>
  <c r="AE120" i="13"/>
  <c r="AD121" i="13"/>
  <c r="AT121" i="13"/>
  <c r="AS122" i="13"/>
  <c r="BW122" i="13"/>
  <c r="BV123" i="13"/>
  <c r="CE121" i="13"/>
  <c r="CD122" i="13"/>
  <c r="M124" i="13"/>
  <c r="N124" i="13" s="1"/>
  <c r="L125" i="13"/>
  <c r="BA121" i="13" l="1"/>
  <c r="AZ122" i="13"/>
  <c r="AL123" i="13"/>
  <c r="AM122" i="13"/>
  <c r="BW123" i="13"/>
  <c r="BV124" i="13"/>
  <c r="V122" i="13"/>
  <c r="W121" i="13"/>
  <c r="BO123" i="13"/>
  <c r="BP122" i="13"/>
  <c r="M125" i="13"/>
  <c r="N125" i="13" s="1"/>
  <c r="L126" i="13"/>
  <c r="AE121" i="13"/>
  <c r="AD122" i="13"/>
  <c r="BH123" i="13"/>
  <c r="BG124" i="13"/>
  <c r="CD123" i="13"/>
  <c r="CE122" i="13"/>
  <c r="AT122" i="13"/>
  <c r="AS123" i="13"/>
  <c r="AZ123" i="13" l="1"/>
  <c r="BA122" i="13"/>
  <c r="BO124" i="13"/>
  <c r="BP123" i="13"/>
  <c r="AE122" i="13"/>
  <c r="AD123" i="13"/>
  <c r="W122" i="13"/>
  <c r="V123" i="13"/>
  <c r="AT123" i="13"/>
  <c r="AS124" i="13"/>
  <c r="M126" i="13"/>
  <c r="N126" i="13" s="1"/>
  <c r="L127" i="13"/>
  <c r="BV125" i="13"/>
  <c r="BW124" i="13"/>
  <c r="BH124" i="13"/>
  <c r="BG125" i="13"/>
  <c r="CD124" i="13"/>
  <c r="CE123" i="13"/>
  <c r="AL124" i="13"/>
  <c r="AM123" i="13"/>
  <c r="BA123" i="13" l="1"/>
  <c r="AZ124" i="13"/>
  <c r="BG126" i="13"/>
  <c r="BH125" i="13"/>
  <c r="W123" i="13"/>
  <c r="V124" i="13"/>
  <c r="AE123" i="13"/>
  <c r="AD124" i="13"/>
  <c r="AS125" i="13"/>
  <c r="AT124" i="13"/>
  <c r="AM124" i="13"/>
  <c r="AL125" i="13"/>
  <c r="BV126" i="13"/>
  <c r="BW125" i="13"/>
  <c r="M127" i="13"/>
  <c r="N127" i="13" s="1"/>
  <c r="L128" i="13"/>
  <c r="CE124" i="13"/>
  <c r="CD125" i="13"/>
  <c r="BP124" i="13"/>
  <c r="BO125" i="13"/>
  <c r="BA124" i="13" l="1"/>
  <c r="AZ125" i="13"/>
  <c r="BW126" i="13"/>
  <c r="BV127" i="13"/>
  <c r="W124" i="13"/>
  <c r="V125" i="13"/>
  <c r="AE124" i="13"/>
  <c r="AD125" i="13"/>
  <c r="BP125" i="13"/>
  <c r="BO126" i="13"/>
  <c r="CE125" i="13"/>
  <c r="CD126" i="13"/>
  <c r="M128" i="13"/>
  <c r="N128" i="13" s="1"/>
  <c r="L129" i="13"/>
  <c r="AM125" i="13"/>
  <c r="AL126" i="13"/>
  <c r="AS126" i="13"/>
  <c r="AT125" i="13"/>
  <c r="BH126" i="13"/>
  <c r="BG127" i="13"/>
  <c r="BA125" i="13" l="1"/>
  <c r="AZ126" i="13"/>
  <c r="AD126" i="13"/>
  <c r="AE125" i="13"/>
  <c r="AL127" i="13"/>
  <c r="AM126" i="13"/>
  <c r="L130" i="13"/>
  <c r="M129" i="13"/>
  <c r="N129" i="13" s="1"/>
  <c r="W125" i="13"/>
  <c r="V126" i="13"/>
  <c r="BG128" i="13"/>
  <c r="BH127" i="13"/>
  <c r="CD127" i="13"/>
  <c r="CE126" i="13"/>
  <c r="BW127" i="13"/>
  <c r="BV128" i="13"/>
  <c r="BO127" i="13"/>
  <c r="BP126" i="13"/>
  <c r="AT126" i="13"/>
  <c r="AS127" i="13"/>
  <c r="AZ127" i="13" l="1"/>
  <c r="BA126" i="13"/>
  <c r="BP127" i="13"/>
  <c r="BO128" i="13"/>
  <c r="BW128" i="13"/>
  <c r="BV129" i="13"/>
  <c r="L131" i="13"/>
  <c r="M130" i="13"/>
  <c r="N130" i="13" s="1"/>
  <c r="AS128" i="13"/>
  <c r="AT127" i="13"/>
  <c r="CD128" i="13"/>
  <c r="CE127" i="13"/>
  <c r="AM127" i="13"/>
  <c r="AL128" i="13"/>
  <c r="W126" i="13"/>
  <c r="V127" i="13"/>
  <c r="BH128" i="13"/>
  <c r="BG129" i="13"/>
  <c r="AD127" i="13"/>
  <c r="AE126" i="13"/>
  <c r="BA127" i="13" l="1"/>
  <c r="AZ128" i="13"/>
  <c r="M131" i="13"/>
  <c r="N131" i="13" s="1"/>
  <c r="L132" i="13"/>
  <c r="BW129" i="13"/>
  <c r="BV130" i="13"/>
  <c r="V128" i="13"/>
  <c r="W127" i="13"/>
  <c r="AM128" i="13"/>
  <c r="AL129" i="13"/>
  <c r="AD128" i="13"/>
  <c r="AE127" i="13"/>
  <c r="AT128" i="13"/>
  <c r="AS129" i="13"/>
  <c r="BH129" i="13"/>
  <c r="BG130" i="13"/>
  <c r="BP128" i="13"/>
  <c r="BO129" i="13"/>
  <c r="CE128" i="13"/>
  <c r="CD129" i="13"/>
  <c r="AZ129" i="13" l="1"/>
  <c r="BA128" i="13"/>
  <c r="BH130" i="13"/>
  <c r="BG131" i="13"/>
  <c r="V129" i="13"/>
  <c r="W128" i="13"/>
  <c r="CD130" i="13"/>
  <c r="CE129" i="13"/>
  <c r="AT129" i="13"/>
  <c r="AS130" i="13"/>
  <c r="BW130" i="13"/>
  <c r="BV131" i="13"/>
  <c r="BO130" i="13"/>
  <c r="BP129" i="13"/>
  <c r="AL130" i="13"/>
  <c r="AM129" i="13"/>
  <c r="M132" i="13"/>
  <c r="N132" i="13" s="1"/>
  <c r="L133" i="13"/>
  <c r="AE128" i="13"/>
  <c r="AD129" i="13"/>
  <c r="AZ130" i="13" l="1"/>
  <c r="BA129" i="13"/>
  <c r="AL131" i="13"/>
  <c r="AM130" i="13"/>
  <c r="CD131" i="13"/>
  <c r="CE130" i="13"/>
  <c r="AT130" i="13"/>
  <c r="AS131" i="13"/>
  <c r="AE129" i="13"/>
  <c r="AD130" i="13"/>
  <c r="BO131" i="13"/>
  <c r="BP130" i="13"/>
  <c r="W129" i="13"/>
  <c r="V130" i="13"/>
  <c r="M133" i="13"/>
  <c r="N133" i="13" s="1"/>
  <c r="L134" i="13"/>
  <c r="BV132" i="13"/>
  <c r="BW131" i="13"/>
  <c r="BH131" i="13"/>
  <c r="BG132" i="13"/>
  <c r="AZ131" i="13" l="1"/>
  <c r="BA130" i="13"/>
  <c r="M134" i="13"/>
  <c r="N134" i="13" s="1"/>
  <c r="L135" i="13"/>
  <c r="AS132" i="13"/>
  <c r="AT131" i="13"/>
  <c r="AE130" i="13"/>
  <c r="AD131" i="13"/>
  <c r="W130" i="13"/>
  <c r="V131" i="13"/>
  <c r="CE131" i="13"/>
  <c r="CD132" i="13"/>
  <c r="BW132" i="13"/>
  <c r="BV133" i="13"/>
  <c r="BH132" i="13"/>
  <c r="BG133" i="13"/>
  <c r="BP131" i="13"/>
  <c r="BO132" i="13"/>
  <c r="AM131" i="13"/>
  <c r="AL132" i="13"/>
  <c r="AZ132" i="13" l="1"/>
  <c r="BA131" i="13"/>
  <c r="AE131" i="13"/>
  <c r="AD132" i="13"/>
  <c r="BG134" i="13"/>
  <c r="BH133" i="13"/>
  <c r="BV134" i="13"/>
  <c r="BW133" i="13"/>
  <c r="AM132" i="13"/>
  <c r="AL133" i="13"/>
  <c r="AT132" i="13"/>
  <c r="AS133" i="13"/>
  <c r="BP132" i="13"/>
  <c r="BO133" i="13"/>
  <c r="CE132" i="13"/>
  <c r="CD133" i="13"/>
  <c r="L136" i="13"/>
  <c r="M135" i="13"/>
  <c r="N135" i="13" s="1"/>
  <c r="W131" i="13"/>
  <c r="V132" i="13"/>
  <c r="BA132" i="13" l="1"/>
  <c r="AZ133" i="13"/>
  <c r="BV135" i="13"/>
  <c r="BW134" i="13"/>
  <c r="BG135" i="13"/>
  <c r="BH134" i="13"/>
  <c r="AS134" i="13"/>
  <c r="AT133" i="13"/>
  <c r="AD133" i="13"/>
  <c r="AE132" i="13"/>
  <c r="W132" i="13"/>
  <c r="V133" i="13"/>
  <c r="CE133" i="13"/>
  <c r="CD134" i="13"/>
  <c r="AM133" i="13"/>
  <c r="AL134" i="13"/>
  <c r="BP133" i="13"/>
  <c r="BO134" i="13"/>
  <c r="M136" i="13"/>
  <c r="N136" i="13" s="1"/>
  <c r="L137" i="13"/>
  <c r="AZ134" i="13" l="1"/>
  <c r="BA133" i="13"/>
  <c r="AD134" i="13"/>
  <c r="AE133" i="13"/>
  <c r="AM134" i="13"/>
  <c r="AL135" i="13"/>
  <c r="AS135" i="13"/>
  <c r="AT134" i="13"/>
  <c r="CE134" i="13"/>
  <c r="CD135" i="13"/>
  <c r="BP134" i="13"/>
  <c r="BO135" i="13"/>
  <c r="BG136" i="13"/>
  <c r="BH135" i="13"/>
  <c r="L138" i="13"/>
  <c r="M137" i="13"/>
  <c r="N137" i="13" s="1"/>
  <c r="V134" i="13"/>
  <c r="W133" i="13"/>
  <c r="BV136" i="13"/>
  <c r="BW135" i="13"/>
  <c r="BA134" i="13" l="1"/>
  <c r="AZ135" i="13"/>
  <c r="BG137" i="13"/>
  <c r="BH136" i="13"/>
  <c r="AT135" i="13"/>
  <c r="AS136" i="13"/>
  <c r="BV137" i="13"/>
  <c r="BW136" i="13"/>
  <c r="BP135" i="13"/>
  <c r="BO136" i="13"/>
  <c r="CD136" i="13"/>
  <c r="CE135" i="13"/>
  <c r="M138" i="13"/>
  <c r="N138" i="13" s="1"/>
  <c r="L139" i="13"/>
  <c r="AL136" i="13"/>
  <c r="AM135" i="13"/>
  <c r="W134" i="13"/>
  <c r="V135" i="13"/>
  <c r="AE134" i="13"/>
  <c r="AD135" i="13"/>
  <c r="AZ136" i="13" l="1"/>
  <c r="BA135" i="13"/>
  <c r="BW137" i="13"/>
  <c r="BV138" i="13"/>
  <c r="L140" i="13"/>
  <c r="M139" i="13"/>
  <c r="N139" i="13" s="1"/>
  <c r="AS137" i="13"/>
  <c r="AT136" i="13"/>
  <c r="AM136" i="13"/>
  <c r="AL137" i="13"/>
  <c r="AE135" i="13"/>
  <c r="AD136" i="13"/>
  <c r="CE136" i="13"/>
  <c r="CD137" i="13"/>
  <c r="BH137" i="13"/>
  <c r="BG138" i="13"/>
  <c r="V136" i="13"/>
  <c r="W135" i="13"/>
  <c r="BP136" i="13"/>
  <c r="BO137" i="13"/>
  <c r="BA136" i="13" l="1"/>
  <c r="AZ137" i="13"/>
  <c r="AL138" i="13"/>
  <c r="AM137" i="13"/>
  <c r="BH138" i="13"/>
  <c r="BG139" i="13"/>
  <c r="AT137" i="13"/>
  <c r="AS138" i="13"/>
  <c r="CD138" i="13"/>
  <c r="CE137" i="13"/>
  <c r="W136" i="13"/>
  <c r="V137" i="13"/>
  <c r="L141" i="13"/>
  <c r="M140" i="13"/>
  <c r="N140" i="13" s="1"/>
  <c r="BO138" i="13"/>
  <c r="BP137" i="13"/>
  <c r="AD137" i="13"/>
  <c r="AE136" i="13"/>
  <c r="BW138" i="13"/>
  <c r="BV139" i="13"/>
  <c r="BA137" i="13" l="1"/>
  <c r="AZ138" i="13"/>
  <c r="BP138" i="13"/>
  <c r="BO139" i="13"/>
  <c r="CE138" i="13"/>
  <c r="CD139" i="13"/>
  <c r="AT138" i="13"/>
  <c r="AS139" i="13"/>
  <c r="M141" i="13"/>
  <c r="N141" i="13" s="1"/>
  <c r="L142" i="13"/>
  <c r="BW139" i="13"/>
  <c r="BV140" i="13"/>
  <c r="BH139" i="13"/>
  <c r="BG140" i="13"/>
  <c r="V138" i="13"/>
  <c r="W137" i="13"/>
  <c r="AE137" i="13"/>
  <c r="AD138" i="13"/>
  <c r="AM138" i="13"/>
  <c r="AL139" i="13"/>
  <c r="AZ139" i="13" l="1"/>
  <c r="BA138" i="13"/>
  <c r="AT139" i="13"/>
  <c r="AS140" i="13"/>
  <c r="CD140" i="13"/>
  <c r="CE139" i="13"/>
  <c r="BH140" i="13"/>
  <c r="BG141" i="13"/>
  <c r="M142" i="13"/>
  <c r="N142" i="13" s="1"/>
  <c r="L143" i="13"/>
  <c r="V139" i="13"/>
  <c r="W138" i="13"/>
  <c r="AL140" i="13"/>
  <c r="AM139" i="13"/>
  <c r="AE138" i="13"/>
  <c r="AD139" i="13"/>
  <c r="BW140" i="13"/>
  <c r="BV141" i="13"/>
  <c r="BO140" i="13"/>
  <c r="BP139" i="13"/>
  <c r="AZ140" i="13" l="1"/>
  <c r="BA139" i="13"/>
  <c r="AE139" i="13"/>
  <c r="AD140" i="13"/>
  <c r="BG142" i="13"/>
  <c r="BH141" i="13"/>
  <c r="BV142" i="13"/>
  <c r="BW141" i="13"/>
  <c r="M143" i="13"/>
  <c r="N143" i="13" s="1"/>
  <c r="L144" i="13"/>
  <c r="AL141" i="13"/>
  <c r="AM140" i="13"/>
  <c r="CD141" i="13"/>
  <c r="CE140" i="13"/>
  <c r="AT140" i="13"/>
  <c r="AS141" i="13"/>
  <c r="BO141" i="13"/>
  <c r="BP140" i="13"/>
  <c r="W139" i="13"/>
  <c r="V140" i="13"/>
  <c r="BA140" i="13" l="1"/>
  <c r="AZ141" i="13"/>
  <c r="M144" i="13"/>
  <c r="N144" i="13" s="1"/>
  <c r="L145" i="13"/>
  <c r="CE141" i="13"/>
  <c r="CD142" i="13"/>
  <c r="BW142" i="13"/>
  <c r="BV143" i="13"/>
  <c r="W140" i="13"/>
  <c r="V141" i="13"/>
  <c r="AS142" i="13"/>
  <c r="AT141" i="13"/>
  <c r="AM141" i="13"/>
  <c r="AL142" i="13"/>
  <c r="BH142" i="13"/>
  <c r="BG143" i="13"/>
  <c r="AD141" i="13"/>
  <c r="AE140" i="13"/>
  <c r="BP141" i="13"/>
  <c r="BO142" i="13"/>
  <c r="AZ142" i="13" l="1"/>
  <c r="BA141" i="13"/>
  <c r="BG144" i="13"/>
  <c r="BH143" i="13"/>
  <c r="BV144" i="13"/>
  <c r="BW143" i="13"/>
  <c r="W141" i="13"/>
  <c r="V142" i="13"/>
  <c r="BP142" i="13"/>
  <c r="BO143" i="13"/>
  <c r="AM142" i="13"/>
  <c r="AL143" i="13"/>
  <c r="CE142" i="13"/>
  <c r="CD143" i="13"/>
  <c r="M145" i="13"/>
  <c r="N145" i="13" s="1"/>
  <c r="L146" i="13"/>
  <c r="AE141" i="13"/>
  <c r="AD142" i="13"/>
  <c r="AT142" i="13"/>
  <c r="AS143" i="13"/>
  <c r="BA142" i="13" l="1"/>
  <c r="AZ143" i="13"/>
  <c r="M146" i="13"/>
  <c r="N146" i="13" s="1"/>
  <c r="L147" i="13"/>
  <c r="W142" i="13"/>
  <c r="V143" i="13"/>
  <c r="BV145" i="13"/>
  <c r="BW144" i="13"/>
  <c r="CE143" i="13"/>
  <c r="CD144" i="13"/>
  <c r="BG145" i="13"/>
  <c r="BH144" i="13"/>
  <c r="AS144" i="13"/>
  <c r="AT143" i="13"/>
  <c r="AD143" i="13"/>
  <c r="AE142" i="13"/>
  <c r="BP143" i="13"/>
  <c r="BO144" i="13"/>
  <c r="AM143" i="13"/>
  <c r="AL144" i="13"/>
  <c r="AZ144" i="13" l="1"/>
  <c r="BA143" i="13"/>
  <c r="BP144" i="13"/>
  <c r="BO145" i="13"/>
  <c r="CE144" i="13"/>
  <c r="CD145" i="13"/>
  <c r="AD144" i="13"/>
  <c r="AE143" i="13"/>
  <c r="BW145" i="13"/>
  <c r="BV146" i="13"/>
  <c r="W143" i="13"/>
  <c r="V144" i="13"/>
  <c r="AM144" i="13"/>
  <c r="AL145" i="13"/>
  <c r="AS145" i="13"/>
  <c r="AT144" i="13"/>
  <c r="L148" i="13"/>
  <c r="M147" i="13"/>
  <c r="N147" i="13" s="1"/>
  <c r="BH145" i="13"/>
  <c r="BG146" i="13"/>
  <c r="BA144" i="13" l="1"/>
  <c r="AZ145" i="13"/>
  <c r="BW146" i="13"/>
  <c r="BV147" i="13"/>
  <c r="AT145" i="13"/>
  <c r="AS146" i="13"/>
  <c r="AE144" i="13"/>
  <c r="AD145" i="13"/>
  <c r="CE145" i="13"/>
  <c r="CD146" i="13"/>
  <c r="AM145" i="13"/>
  <c r="AL146" i="13"/>
  <c r="L149" i="13"/>
  <c r="M148" i="13"/>
  <c r="N148" i="13" s="1"/>
  <c r="BH146" i="13"/>
  <c r="BG147" i="13"/>
  <c r="W144" i="13"/>
  <c r="V145" i="13"/>
  <c r="BP145" i="13"/>
  <c r="BO146" i="13"/>
  <c r="BA145" i="13" l="1"/>
  <c r="AZ146" i="13"/>
  <c r="CD147" i="13"/>
  <c r="CE146" i="13"/>
  <c r="BH147" i="13"/>
  <c r="BG148" i="13"/>
  <c r="AE145" i="13"/>
  <c r="AD146" i="13"/>
  <c r="BO147" i="13"/>
  <c r="BP146" i="13"/>
  <c r="AT146" i="13"/>
  <c r="AS147" i="13"/>
  <c r="L150" i="13"/>
  <c r="M149" i="13"/>
  <c r="N149" i="13" s="1"/>
  <c r="V146" i="13"/>
  <c r="W145" i="13"/>
  <c r="AL147" i="13"/>
  <c r="AM146" i="13"/>
  <c r="BW147" i="13"/>
  <c r="BV148" i="13"/>
  <c r="BA146" i="13" l="1"/>
  <c r="AZ147" i="13"/>
  <c r="BG149" i="13"/>
  <c r="BH148" i="13"/>
  <c r="M150" i="13"/>
  <c r="N150" i="13" s="1"/>
  <c r="L151" i="13"/>
  <c r="AT147" i="13"/>
  <c r="AS148" i="13"/>
  <c r="AE146" i="13"/>
  <c r="AD147" i="13"/>
  <c r="BV149" i="13"/>
  <c r="BW148" i="13"/>
  <c r="V147" i="13"/>
  <c r="W146" i="13"/>
  <c r="AL148" i="13"/>
  <c r="AM147" i="13"/>
  <c r="BP147" i="13"/>
  <c r="BO148" i="13"/>
  <c r="CE147" i="13"/>
  <c r="CD148" i="13"/>
  <c r="BA147" i="13" l="1"/>
  <c r="AZ148" i="13"/>
  <c r="AS149" i="13"/>
  <c r="AT148" i="13"/>
  <c r="CD149" i="13"/>
  <c r="CE148" i="13"/>
  <c r="BV150" i="13"/>
  <c r="BW149" i="13"/>
  <c r="AL149" i="13"/>
  <c r="AM148" i="13"/>
  <c r="V148" i="13"/>
  <c r="W147" i="13"/>
  <c r="BO149" i="13"/>
  <c r="BP148" i="13"/>
  <c r="AE147" i="13"/>
  <c r="AD148" i="13"/>
  <c r="M151" i="13"/>
  <c r="N151" i="13" s="1"/>
  <c r="L152" i="13"/>
  <c r="BG150" i="13"/>
  <c r="BH149" i="13"/>
  <c r="AZ149" i="13" l="1"/>
  <c r="BA148" i="13"/>
  <c r="BW150" i="13"/>
  <c r="BV151" i="13"/>
  <c r="AD149" i="13"/>
  <c r="AE148" i="13"/>
  <c r="BO150" i="13"/>
  <c r="BP149" i="13"/>
  <c r="CD150" i="13"/>
  <c r="CE149" i="13"/>
  <c r="BH150" i="13"/>
  <c r="BG151" i="13"/>
  <c r="W148" i="13"/>
  <c r="V149" i="13"/>
  <c r="L153" i="13"/>
  <c r="M152" i="13"/>
  <c r="N152" i="13" s="1"/>
  <c r="AL150" i="13"/>
  <c r="AM149" i="13"/>
  <c r="AS150" i="13"/>
  <c r="AT149" i="13"/>
  <c r="AZ150" i="13" l="1"/>
  <c r="BA149" i="13"/>
  <c r="M153" i="13"/>
  <c r="N153" i="13" s="1"/>
  <c r="L154" i="13"/>
  <c r="CE150" i="13"/>
  <c r="CD151" i="13"/>
  <c r="W149" i="13"/>
  <c r="V150" i="13"/>
  <c r="BP150" i="13"/>
  <c r="BO151" i="13"/>
  <c r="BG152" i="13"/>
  <c r="BH151" i="13"/>
  <c r="AT150" i="13"/>
  <c r="AS151" i="13"/>
  <c r="AD150" i="13"/>
  <c r="AE149" i="13"/>
  <c r="BV152" i="13"/>
  <c r="BW151" i="13"/>
  <c r="AM150" i="13"/>
  <c r="AL151" i="13"/>
  <c r="BA150" i="13" l="1"/>
  <c r="AZ151" i="13"/>
  <c r="BV153" i="13"/>
  <c r="BW152" i="13"/>
  <c r="W150" i="13"/>
  <c r="V151" i="13"/>
  <c r="BP151" i="13"/>
  <c r="BO152" i="13"/>
  <c r="AD151" i="13"/>
  <c r="AE150" i="13"/>
  <c r="AS152" i="13"/>
  <c r="AT151" i="13"/>
  <c r="CE151" i="13"/>
  <c r="CD152" i="13"/>
  <c r="AM151" i="13"/>
  <c r="AL152" i="13"/>
  <c r="M154" i="13"/>
  <c r="N154" i="13" s="1"/>
  <c r="L155" i="13"/>
  <c r="BG153" i="13"/>
  <c r="BH152" i="13"/>
  <c r="BA151" i="13" l="1"/>
  <c r="AZ152" i="13"/>
  <c r="AD152" i="13"/>
  <c r="AE151" i="13"/>
  <c r="AL153" i="13"/>
  <c r="AM152" i="13"/>
  <c r="CD153" i="13"/>
  <c r="CE152" i="13"/>
  <c r="BO153" i="13"/>
  <c r="BP152" i="13"/>
  <c r="W151" i="13"/>
  <c r="V152" i="13"/>
  <c r="BH153" i="13"/>
  <c r="BG154" i="13"/>
  <c r="AS153" i="13"/>
  <c r="AT152" i="13"/>
  <c r="L156" i="13"/>
  <c r="M155" i="13"/>
  <c r="N155" i="13" s="1"/>
  <c r="BW153" i="13"/>
  <c r="BV154" i="13"/>
  <c r="AZ153" i="13" l="1"/>
  <c r="BA152" i="13"/>
  <c r="BP153" i="13"/>
  <c r="BO154" i="13"/>
  <c r="AT153" i="13"/>
  <c r="AS154" i="13"/>
  <c r="CE153" i="13"/>
  <c r="CD154" i="13"/>
  <c r="BW154" i="13"/>
  <c r="BV155" i="13"/>
  <c r="BH154" i="13"/>
  <c r="BG155" i="13"/>
  <c r="AM153" i="13"/>
  <c r="AL154" i="13"/>
  <c r="L157" i="13"/>
  <c r="M156" i="13"/>
  <c r="N156" i="13" s="1"/>
  <c r="W152" i="13"/>
  <c r="V153" i="13"/>
  <c r="AE152" i="13"/>
  <c r="AD153" i="13"/>
  <c r="AZ154" i="13" l="1"/>
  <c r="BA153" i="13"/>
  <c r="CE154" i="13"/>
  <c r="CD155" i="13"/>
  <c r="L158" i="13"/>
  <c r="M157" i="13"/>
  <c r="N157" i="13" s="1"/>
  <c r="AE153" i="13"/>
  <c r="AD154" i="13"/>
  <c r="AM154" i="13"/>
  <c r="AL155" i="13"/>
  <c r="AT154" i="13"/>
  <c r="AS155" i="13"/>
  <c r="BW155" i="13"/>
  <c r="BV156" i="13"/>
  <c r="BH155" i="13"/>
  <c r="BG156" i="13"/>
  <c r="BP154" i="13"/>
  <c r="BO155" i="13"/>
  <c r="V154" i="13"/>
  <c r="W153" i="13"/>
  <c r="AZ155" i="13" l="1"/>
  <c r="BA154" i="13"/>
  <c r="BH156" i="13"/>
  <c r="BG157" i="13"/>
  <c r="AE154" i="13"/>
  <c r="AD155" i="13"/>
  <c r="AL156" i="13"/>
  <c r="AM155" i="13"/>
  <c r="V155" i="13"/>
  <c r="W154" i="13"/>
  <c r="M158" i="13"/>
  <c r="N158" i="13" s="1"/>
  <c r="L159" i="13"/>
  <c r="BO156" i="13"/>
  <c r="BP155" i="13"/>
  <c r="AT155" i="13"/>
  <c r="AS156" i="13"/>
  <c r="CD156" i="13"/>
  <c r="CE155" i="13"/>
  <c r="BW156" i="13"/>
  <c r="BV157" i="13"/>
  <c r="AZ156" i="13" l="1"/>
  <c r="BA155" i="13"/>
  <c r="BP156" i="13"/>
  <c r="BO157" i="13"/>
  <c r="AM156" i="13"/>
  <c r="AL157" i="13"/>
  <c r="BW157" i="13"/>
  <c r="BV158" i="13"/>
  <c r="AS157" i="13"/>
  <c r="AT156" i="13"/>
  <c r="L160" i="13"/>
  <c r="M159" i="13"/>
  <c r="N159" i="13" s="1"/>
  <c r="BG158" i="13"/>
  <c r="BH157" i="13"/>
  <c r="AD156" i="13"/>
  <c r="AE155" i="13"/>
  <c r="CD157" i="13"/>
  <c r="CD158" i="13" s="1"/>
  <c r="CD159" i="13" s="1"/>
  <c r="CD160" i="13" s="1"/>
  <c r="CD161" i="13" s="1"/>
  <c r="CD162" i="13" s="1"/>
  <c r="CD163" i="13" s="1"/>
  <c r="CD164" i="13" s="1"/>
  <c r="CD165" i="13" s="1"/>
  <c r="CD166" i="13" s="1"/>
  <c r="CD167" i="13" s="1"/>
  <c r="CD168" i="13" s="1"/>
  <c r="CD169" i="13" s="1"/>
  <c r="CD170" i="13" s="1"/>
  <c r="CD171" i="13" s="1"/>
  <c r="CD172" i="13" s="1"/>
  <c r="CD173" i="13" s="1"/>
  <c r="CD174" i="13" s="1"/>
  <c r="CD175" i="13" s="1"/>
  <c r="CD176" i="13" s="1"/>
  <c r="CD177" i="13" s="1"/>
  <c r="CD178" i="13" s="1"/>
  <c r="CD179" i="13" s="1"/>
  <c r="CD180" i="13" s="1"/>
  <c r="CD181" i="13" s="1"/>
  <c r="CD182" i="13" s="1"/>
  <c r="CD183" i="13" s="1"/>
  <c r="CD184" i="13" s="1"/>
  <c r="CD185" i="13" s="1"/>
  <c r="CD186" i="13" s="1"/>
  <c r="CD187" i="13" s="1"/>
  <c r="CD188" i="13" s="1"/>
  <c r="CD189" i="13" s="1"/>
  <c r="CD190" i="13" s="1"/>
  <c r="CD191" i="13" s="1"/>
  <c r="CD192" i="13" s="1"/>
  <c r="CD193" i="13" s="1"/>
  <c r="CD194" i="13" s="1"/>
  <c r="CD195" i="13" s="1"/>
  <c r="CD196" i="13" s="1"/>
  <c r="CD197" i="13" s="1"/>
  <c r="CD198" i="13" s="1"/>
  <c r="CD199" i="13" s="1"/>
  <c r="CD200" i="13" s="1"/>
  <c r="CD201" i="13" s="1"/>
  <c r="CD202" i="13" s="1"/>
  <c r="CD203" i="13" s="1"/>
  <c r="CD204" i="13" s="1"/>
  <c r="CD205" i="13" s="1"/>
  <c r="CD206" i="13" s="1"/>
  <c r="CD207" i="13" s="1"/>
  <c r="CD208" i="13" s="1"/>
  <c r="CD209" i="13" s="1"/>
  <c r="CD210" i="13" s="1"/>
  <c r="CD211" i="13" s="1"/>
  <c r="CD212" i="13" s="1"/>
  <c r="CD213" i="13" s="1"/>
  <c r="CD214" i="13" s="1"/>
  <c r="CD215" i="13" s="1"/>
  <c r="CD216" i="13" s="1"/>
  <c r="CD217" i="13" s="1"/>
  <c r="CD218" i="13" s="1"/>
  <c r="CD219" i="13" s="1"/>
  <c r="CD220" i="13" s="1"/>
  <c r="CD221" i="13" s="1"/>
  <c r="CD222" i="13" s="1"/>
  <c r="CD223" i="13" s="1"/>
  <c r="CD224" i="13" s="1"/>
  <c r="CD225" i="13" s="1"/>
  <c r="CE156" i="13"/>
  <c r="W155" i="13"/>
  <c r="V156" i="13"/>
  <c r="BA156" i="13" l="1"/>
  <c r="AZ157" i="13"/>
  <c r="AD157" i="13"/>
  <c r="AE156" i="13"/>
  <c r="AT157" i="13"/>
  <c r="AS158" i="13"/>
  <c r="BV159" i="13"/>
  <c r="BW158" i="13"/>
  <c r="W156" i="13"/>
  <c r="V157" i="13"/>
  <c r="AL158" i="13"/>
  <c r="AM157" i="13"/>
  <c r="BH158" i="13"/>
  <c r="BG159" i="13"/>
  <c r="BO158" i="13"/>
  <c r="BP157" i="13"/>
  <c r="L161" i="13"/>
  <c r="M160" i="13"/>
  <c r="N160" i="13" s="1"/>
  <c r="BA157" i="13" l="1"/>
  <c r="AZ158" i="13"/>
  <c r="BP158" i="13"/>
  <c r="BO159" i="13"/>
  <c r="BV160" i="13"/>
  <c r="BW159" i="13"/>
  <c r="BG160" i="13"/>
  <c r="BH159" i="13"/>
  <c r="AT158" i="13"/>
  <c r="AS159" i="13"/>
  <c r="AM158" i="13"/>
  <c r="AL159" i="13"/>
  <c r="W157" i="13"/>
  <c r="V158" i="13"/>
  <c r="L162" i="13"/>
  <c r="M161" i="13"/>
  <c r="N161" i="13" s="1"/>
  <c r="AD158" i="13"/>
  <c r="AE157" i="13"/>
  <c r="BA158" i="13" l="1"/>
  <c r="AZ159" i="13"/>
  <c r="BG161" i="13"/>
  <c r="BH160" i="13"/>
  <c r="AM159" i="13"/>
  <c r="AL160" i="13"/>
  <c r="W158" i="13"/>
  <c r="V159" i="13"/>
  <c r="BV161" i="13"/>
  <c r="BW160" i="13"/>
  <c r="AS160" i="13"/>
  <c r="AT159" i="13"/>
  <c r="BP159" i="13"/>
  <c r="BO160" i="13"/>
  <c r="M162" i="13"/>
  <c r="N162" i="13" s="1"/>
  <c r="L163" i="13"/>
  <c r="AD159" i="13"/>
  <c r="AE158" i="13"/>
  <c r="BA159" i="13" l="1"/>
  <c r="AZ160" i="13"/>
  <c r="BW161" i="13"/>
  <c r="BV162" i="13"/>
  <c r="BP160" i="13"/>
  <c r="BO161" i="13"/>
  <c r="W159" i="13"/>
  <c r="V160" i="13"/>
  <c r="AM160" i="13"/>
  <c r="AL161" i="13"/>
  <c r="M163" i="13"/>
  <c r="N163" i="13" s="1"/>
  <c r="L164" i="13"/>
  <c r="AS161" i="13"/>
  <c r="AT160" i="13"/>
  <c r="AD160" i="13"/>
  <c r="AE159" i="13"/>
  <c r="BH161" i="13"/>
  <c r="BG162" i="13"/>
  <c r="AZ161" i="13" l="1"/>
  <c r="BA160" i="13"/>
  <c r="AD161" i="13"/>
  <c r="AE160" i="13"/>
  <c r="V161" i="13"/>
  <c r="W160" i="13"/>
  <c r="BO162" i="13"/>
  <c r="BP161" i="13"/>
  <c r="AT161" i="13"/>
  <c r="AS162" i="13"/>
  <c r="AL162" i="13"/>
  <c r="AM161" i="13"/>
  <c r="BG163" i="13"/>
  <c r="BH162" i="13"/>
  <c r="M164" i="13"/>
  <c r="N164" i="13" s="1"/>
  <c r="L165" i="13"/>
  <c r="BV163" i="13"/>
  <c r="BW162" i="13"/>
  <c r="AZ162" i="13" l="1"/>
  <c r="BA161" i="13"/>
  <c r="BP162" i="13"/>
  <c r="BO163" i="13"/>
  <c r="BG164" i="13"/>
  <c r="BH163" i="13"/>
  <c r="V162" i="13"/>
  <c r="W161" i="13"/>
  <c r="AL163" i="13"/>
  <c r="AM162" i="13"/>
  <c r="AT162" i="13"/>
  <c r="AS163" i="13"/>
  <c r="L166" i="13"/>
  <c r="M165" i="13"/>
  <c r="N165" i="13" s="1"/>
  <c r="BV164" i="13"/>
  <c r="BW163" i="13"/>
  <c r="AE161" i="13"/>
  <c r="AD162" i="13"/>
  <c r="AZ163" i="13" l="1"/>
  <c r="BA162" i="13"/>
  <c r="BV165" i="13"/>
  <c r="BW164" i="13"/>
  <c r="M166" i="13"/>
  <c r="N166" i="13" s="1"/>
  <c r="L167" i="13"/>
  <c r="W162" i="13"/>
  <c r="V163" i="13"/>
  <c r="AS164" i="13"/>
  <c r="AT163" i="13"/>
  <c r="BG165" i="13"/>
  <c r="BH164" i="13"/>
  <c r="AE162" i="13"/>
  <c r="AD163" i="13"/>
  <c r="BP163" i="13"/>
  <c r="BO164" i="13"/>
  <c r="AM163" i="13"/>
  <c r="AL164" i="13"/>
  <c r="AZ164" i="13" l="1"/>
  <c r="BA163" i="13"/>
  <c r="AD164" i="13"/>
  <c r="AE163" i="13"/>
  <c r="M167" i="13"/>
  <c r="N167" i="13" s="1"/>
  <c r="L168" i="13"/>
  <c r="BO165" i="13"/>
  <c r="BP164" i="13"/>
  <c r="BH165" i="13"/>
  <c r="BG166" i="13"/>
  <c r="W163" i="13"/>
  <c r="V164" i="13"/>
  <c r="AM164" i="13"/>
  <c r="AL165" i="13"/>
  <c r="AS165" i="13"/>
  <c r="AT164" i="13"/>
  <c r="BW165" i="13"/>
  <c r="BV166" i="13"/>
  <c r="BA164" i="13" l="1"/>
  <c r="AZ165" i="13"/>
  <c r="AT165" i="13"/>
  <c r="AS166" i="13"/>
  <c r="AL166" i="13"/>
  <c r="AM165" i="13"/>
  <c r="BO166" i="13"/>
  <c r="BP165" i="13"/>
  <c r="V165" i="13"/>
  <c r="W164" i="13"/>
  <c r="M168" i="13"/>
  <c r="N168" i="13" s="1"/>
  <c r="L169" i="13"/>
  <c r="BW166" i="13"/>
  <c r="BV167" i="13"/>
  <c r="BH166" i="13"/>
  <c r="BG167" i="13"/>
  <c r="AE164" i="13"/>
  <c r="AD165" i="13"/>
  <c r="AZ166" i="13" l="1"/>
  <c r="BA165" i="13"/>
  <c r="V166" i="13"/>
  <c r="W165" i="13"/>
  <c r="BV168" i="13"/>
  <c r="BW167" i="13"/>
  <c r="BP166" i="13"/>
  <c r="BO167" i="13"/>
  <c r="AM166" i="13"/>
  <c r="AL167" i="13"/>
  <c r="BG168" i="13"/>
  <c r="BH167" i="13"/>
  <c r="AE165" i="13"/>
  <c r="AD166" i="13"/>
  <c r="L170" i="13"/>
  <c r="M169" i="13"/>
  <c r="N169" i="13" s="1"/>
  <c r="AT166" i="13"/>
  <c r="AS167" i="13"/>
  <c r="AZ167" i="13" l="1"/>
  <c r="BA166" i="13"/>
  <c r="BP167" i="13"/>
  <c r="BO168" i="13"/>
  <c r="AD167" i="13"/>
  <c r="AE166" i="13"/>
  <c r="BH168" i="13"/>
  <c r="BG169" i="13"/>
  <c r="BW168" i="13"/>
  <c r="BV169" i="13"/>
  <c r="M170" i="13"/>
  <c r="N170" i="13" s="1"/>
  <c r="L171" i="13"/>
  <c r="AS168" i="13"/>
  <c r="AT167" i="13"/>
  <c r="AM167" i="13"/>
  <c r="AL168" i="13"/>
  <c r="W166" i="13"/>
  <c r="V167" i="13"/>
  <c r="BA167" i="13" l="1"/>
  <c r="AZ168" i="13"/>
  <c r="AT168" i="13"/>
  <c r="AS169" i="13"/>
  <c r="AD168" i="13"/>
  <c r="AE167" i="13"/>
  <c r="L172" i="13"/>
  <c r="M171" i="13"/>
  <c r="N171" i="13" s="1"/>
  <c r="BP168" i="13"/>
  <c r="BO169" i="13"/>
  <c r="AM168" i="13"/>
  <c r="AL169" i="13"/>
  <c r="W167" i="13"/>
  <c r="V168" i="13"/>
  <c r="BW169" i="13"/>
  <c r="BV170" i="13"/>
  <c r="BH169" i="13"/>
  <c r="BG170" i="13"/>
  <c r="AZ169" i="13" l="1"/>
  <c r="BA168" i="13"/>
  <c r="L173" i="13"/>
  <c r="M172" i="13"/>
  <c r="N172" i="13" s="1"/>
  <c r="BO170" i="13"/>
  <c r="BP169" i="13"/>
  <c r="BV171" i="13"/>
  <c r="BW170" i="13"/>
  <c r="AE168" i="13"/>
  <c r="AD169" i="13"/>
  <c r="V169" i="13"/>
  <c r="W168" i="13"/>
  <c r="BG171" i="13"/>
  <c r="BH170" i="13"/>
  <c r="AL170" i="13"/>
  <c r="AM169" i="13"/>
  <c r="AT169" i="13"/>
  <c r="AS170" i="13"/>
  <c r="BA169" i="13" l="1"/>
  <c r="AZ170" i="13"/>
  <c r="AT170" i="13"/>
  <c r="AS171" i="13"/>
  <c r="BV172" i="13"/>
  <c r="BW171" i="13"/>
  <c r="AD170" i="13"/>
  <c r="AE169" i="13"/>
  <c r="BG172" i="13"/>
  <c r="BH171" i="13"/>
  <c r="BP170" i="13"/>
  <c r="BO171" i="13"/>
  <c r="AM170" i="13"/>
  <c r="AL171" i="13"/>
  <c r="W169" i="13"/>
  <c r="V170" i="13"/>
  <c r="L174" i="13"/>
  <c r="M173" i="13"/>
  <c r="N173" i="13" s="1"/>
  <c r="BA170" i="13" l="1"/>
  <c r="AZ171" i="13"/>
  <c r="BH172" i="13"/>
  <c r="BG173" i="13"/>
  <c r="AD171" i="13"/>
  <c r="AE170" i="13"/>
  <c r="AM171" i="13"/>
  <c r="AL172" i="13"/>
  <c r="BV173" i="13"/>
  <c r="BW172" i="13"/>
  <c r="W170" i="13"/>
  <c r="V171" i="13"/>
  <c r="BO172" i="13"/>
  <c r="BP171" i="13"/>
  <c r="AT171" i="13"/>
  <c r="AS172" i="13"/>
  <c r="M174" i="13"/>
  <c r="N174" i="13" s="1"/>
  <c r="L175" i="13"/>
  <c r="AZ172" i="13" l="1"/>
  <c r="BA171" i="13"/>
  <c r="AT172" i="13"/>
  <c r="AS173" i="13"/>
  <c r="AL173" i="13"/>
  <c r="AM172" i="13"/>
  <c r="BO173" i="13"/>
  <c r="BP172" i="13"/>
  <c r="AD172" i="13"/>
  <c r="AE171" i="13"/>
  <c r="W171" i="13"/>
  <c r="V172" i="13"/>
  <c r="L176" i="13"/>
  <c r="M175" i="13"/>
  <c r="N175" i="13" s="1"/>
  <c r="BG174" i="13"/>
  <c r="BH173" i="13"/>
  <c r="BV174" i="13"/>
  <c r="BW173" i="13"/>
  <c r="AZ173" i="13" l="1"/>
  <c r="BA172" i="13"/>
  <c r="BH174" i="13"/>
  <c r="BG175" i="13"/>
  <c r="AD173" i="13"/>
  <c r="AE172" i="13"/>
  <c r="M176" i="13"/>
  <c r="N176" i="13" s="1"/>
  <c r="L177" i="13"/>
  <c r="BP173" i="13"/>
  <c r="BO174" i="13"/>
  <c r="AL174" i="13"/>
  <c r="AM173" i="13"/>
  <c r="W172" i="13"/>
  <c r="V173" i="13"/>
  <c r="AS174" i="13"/>
  <c r="AT173" i="13"/>
  <c r="BW174" i="13"/>
  <c r="BV175" i="13"/>
  <c r="AZ174" i="13" l="1"/>
  <c r="BA173" i="13"/>
  <c r="M177" i="13"/>
  <c r="N177" i="13" s="1"/>
  <c r="L178" i="13"/>
  <c r="BO175" i="13"/>
  <c r="BP174" i="13"/>
  <c r="AL175" i="13"/>
  <c r="AM174" i="13"/>
  <c r="AD174" i="13"/>
  <c r="AE173" i="13"/>
  <c r="W173" i="13"/>
  <c r="V174" i="13"/>
  <c r="BW175" i="13"/>
  <c r="BV176" i="13"/>
  <c r="BH175" i="13"/>
  <c r="BG176" i="13"/>
  <c r="AT174" i="13"/>
  <c r="AS175" i="13"/>
  <c r="BA174" i="13" l="1"/>
  <c r="AZ175" i="13"/>
  <c r="AE174" i="13"/>
  <c r="AD175" i="13"/>
  <c r="BO176" i="13"/>
  <c r="BP175" i="13"/>
  <c r="BG177" i="13"/>
  <c r="BH176" i="13"/>
  <c r="BV177" i="13"/>
  <c r="BW176" i="13"/>
  <c r="AT175" i="13"/>
  <c r="AS176" i="13"/>
  <c r="V175" i="13"/>
  <c r="W174" i="13"/>
  <c r="L179" i="13"/>
  <c r="M178" i="13"/>
  <c r="N178" i="13" s="1"/>
  <c r="AL176" i="13"/>
  <c r="AM175" i="13"/>
  <c r="BA175" i="13" l="1"/>
  <c r="AZ176" i="13"/>
  <c r="L180" i="13"/>
  <c r="M179" i="13"/>
  <c r="N179" i="13" s="1"/>
  <c r="BG178" i="13"/>
  <c r="BH177" i="13"/>
  <c r="W175" i="13"/>
  <c r="V176" i="13"/>
  <c r="BP176" i="13"/>
  <c r="BO177" i="13"/>
  <c r="AT176" i="13"/>
  <c r="AS177" i="13"/>
  <c r="AE175" i="13"/>
  <c r="AD176" i="13"/>
  <c r="AM176" i="13"/>
  <c r="AL177" i="13"/>
  <c r="BV178" i="13"/>
  <c r="BW177" i="13"/>
  <c r="BA176" i="13" l="1"/>
  <c r="AZ177" i="13"/>
  <c r="AM177" i="13"/>
  <c r="AL178" i="13"/>
  <c r="AD177" i="13"/>
  <c r="AE176" i="13"/>
  <c r="BH178" i="13"/>
  <c r="BG179" i="13"/>
  <c r="BP177" i="13"/>
  <c r="BO178" i="13"/>
  <c r="W176" i="13"/>
  <c r="V177" i="13"/>
  <c r="AS178" i="13"/>
  <c r="AT177" i="13"/>
  <c r="BW178" i="13"/>
  <c r="BV179" i="13"/>
  <c r="M180" i="13"/>
  <c r="N180" i="13" s="1"/>
  <c r="L181" i="13"/>
  <c r="BA177" i="13" l="1"/>
  <c r="AZ178" i="13"/>
  <c r="BW179" i="13"/>
  <c r="BV180" i="13"/>
  <c r="BH179" i="13"/>
  <c r="BG180" i="13"/>
  <c r="BP178" i="13"/>
  <c r="BO179" i="13"/>
  <c r="AD178" i="13"/>
  <c r="AE177" i="13"/>
  <c r="L182" i="13"/>
  <c r="M181" i="13"/>
  <c r="N181" i="13" s="1"/>
  <c r="V178" i="13"/>
  <c r="W177" i="13"/>
  <c r="AL179" i="13"/>
  <c r="AM178" i="13"/>
  <c r="AT178" i="13"/>
  <c r="AS179" i="13"/>
  <c r="AZ179" i="13" l="1"/>
  <c r="BA178" i="13"/>
  <c r="BO180" i="13"/>
  <c r="BP179" i="13"/>
  <c r="AL180" i="13"/>
  <c r="AM179" i="13"/>
  <c r="V179" i="13"/>
  <c r="W178" i="13"/>
  <c r="BG181" i="13"/>
  <c r="BH180" i="13"/>
  <c r="L183" i="13"/>
  <c r="M182" i="13"/>
  <c r="N182" i="13" s="1"/>
  <c r="AT179" i="13"/>
  <c r="AS180" i="13"/>
  <c r="BV181" i="13"/>
  <c r="BW180" i="13"/>
  <c r="AE178" i="13"/>
  <c r="AD179" i="13"/>
  <c r="AZ180" i="13" l="1"/>
  <c r="BA179" i="13"/>
  <c r="BV182" i="13"/>
  <c r="BW181" i="13"/>
  <c r="BG182" i="13"/>
  <c r="BH181" i="13"/>
  <c r="AS181" i="13"/>
  <c r="AT180" i="13"/>
  <c r="W179" i="13"/>
  <c r="V180" i="13"/>
  <c r="M183" i="13"/>
  <c r="N183" i="13" s="1"/>
  <c r="L184" i="13"/>
  <c r="AL181" i="13"/>
  <c r="AM180" i="13"/>
  <c r="AE179" i="13"/>
  <c r="AD180" i="13"/>
  <c r="BO181" i="13"/>
  <c r="BP180" i="13"/>
  <c r="AZ181" i="13" l="1"/>
  <c r="BA180" i="13"/>
  <c r="AD181" i="13"/>
  <c r="AE180" i="13"/>
  <c r="AS182" i="13"/>
  <c r="AT181" i="13"/>
  <c r="AL182" i="13"/>
  <c r="AM181" i="13"/>
  <c r="BH182" i="13"/>
  <c r="BG183" i="13"/>
  <c r="V181" i="13"/>
  <c r="W180" i="13"/>
  <c r="M184" i="13"/>
  <c r="N184" i="13" s="1"/>
  <c r="L185" i="13"/>
  <c r="BP181" i="13"/>
  <c r="BO182" i="13"/>
  <c r="BW182" i="13"/>
  <c r="BV183" i="13"/>
  <c r="BA181" i="13" l="1"/>
  <c r="AZ182" i="13"/>
  <c r="AL183" i="13"/>
  <c r="AM182" i="13"/>
  <c r="M185" i="13"/>
  <c r="N185" i="13" s="1"/>
  <c r="L186" i="13"/>
  <c r="V182" i="13"/>
  <c r="W181" i="13"/>
  <c r="AT182" i="13"/>
  <c r="AS183" i="13"/>
  <c r="BV184" i="13"/>
  <c r="BW183" i="13"/>
  <c r="BG184" i="13"/>
  <c r="BH183" i="13"/>
  <c r="BO183" i="13"/>
  <c r="BP182" i="13"/>
  <c r="AD182" i="13"/>
  <c r="AE181" i="13"/>
  <c r="AZ183" i="13" l="1"/>
  <c r="BA182" i="13"/>
  <c r="BP183" i="13"/>
  <c r="BO184" i="13"/>
  <c r="V183" i="13"/>
  <c r="W182" i="13"/>
  <c r="BG185" i="13"/>
  <c r="BH184" i="13"/>
  <c r="M186" i="13"/>
  <c r="N186" i="13" s="1"/>
  <c r="L187" i="13"/>
  <c r="BV185" i="13"/>
  <c r="BW184" i="13"/>
  <c r="AT183" i="13"/>
  <c r="AS184" i="13"/>
  <c r="AE182" i="13"/>
  <c r="AD183" i="13"/>
  <c r="AM183" i="13"/>
  <c r="AL184" i="13"/>
  <c r="BA183" i="13" l="1"/>
  <c r="AZ184" i="13"/>
  <c r="BG186" i="13"/>
  <c r="BH185" i="13"/>
  <c r="AS185" i="13"/>
  <c r="AT184" i="13"/>
  <c r="AD184" i="13"/>
  <c r="AE183" i="13"/>
  <c r="BV186" i="13"/>
  <c r="BW185" i="13"/>
  <c r="W183" i="13"/>
  <c r="V184" i="13"/>
  <c r="AM184" i="13"/>
  <c r="AL185" i="13"/>
  <c r="M187" i="13"/>
  <c r="N187" i="13" s="1"/>
  <c r="L188" i="13"/>
  <c r="BP184" i="13"/>
  <c r="BO185" i="13"/>
  <c r="AZ185" i="13" l="1"/>
  <c r="BA184" i="13"/>
  <c r="AD185" i="13"/>
  <c r="AE184" i="13"/>
  <c r="AM185" i="13"/>
  <c r="AL186" i="13"/>
  <c r="L189" i="13"/>
  <c r="M188" i="13"/>
  <c r="N188" i="13" s="1"/>
  <c r="V185" i="13"/>
  <c r="W184" i="13"/>
  <c r="AS186" i="13"/>
  <c r="AT185" i="13"/>
  <c r="BP185" i="13"/>
  <c r="BO186" i="13"/>
  <c r="BW186" i="13"/>
  <c r="BV187" i="13"/>
  <c r="BH186" i="13"/>
  <c r="BG187" i="13"/>
  <c r="BA185" i="13" l="1"/>
  <c r="AZ186" i="13"/>
  <c r="L190" i="13"/>
  <c r="M189" i="13"/>
  <c r="N189" i="13" s="1"/>
  <c r="AM186" i="13"/>
  <c r="AL187" i="13"/>
  <c r="AS187" i="13"/>
  <c r="AT186" i="13"/>
  <c r="BW187" i="13"/>
  <c r="BV188" i="13"/>
  <c r="BP186" i="13"/>
  <c r="BO187" i="13"/>
  <c r="BH187" i="13"/>
  <c r="BG188" i="13"/>
  <c r="V186" i="13"/>
  <c r="W185" i="13"/>
  <c r="AD186" i="13"/>
  <c r="AE185" i="13"/>
  <c r="BA186" i="13" l="1"/>
  <c r="AZ187" i="13"/>
  <c r="AS188" i="13"/>
  <c r="AT187" i="13"/>
  <c r="AL188" i="13"/>
  <c r="AM187" i="13"/>
  <c r="V187" i="13"/>
  <c r="W186" i="13"/>
  <c r="BG189" i="13"/>
  <c r="BH188" i="13"/>
  <c r="BV189" i="13"/>
  <c r="BW188" i="13"/>
  <c r="BO188" i="13"/>
  <c r="BP187" i="13"/>
  <c r="AD187" i="13"/>
  <c r="AE186" i="13"/>
  <c r="M190" i="13"/>
  <c r="N190" i="13" s="1"/>
  <c r="L191" i="13"/>
  <c r="BA187" i="13" l="1"/>
  <c r="AZ188" i="13"/>
  <c r="BO189" i="13"/>
  <c r="BP188" i="13"/>
  <c r="V188" i="13"/>
  <c r="W187" i="13"/>
  <c r="BV190" i="13"/>
  <c r="BW189" i="13"/>
  <c r="AL189" i="13"/>
  <c r="AM188" i="13"/>
  <c r="L192" i="13"/>
  <c r="M191" i="13"/>
  <c r="N191" i="13" s="1"/>
  <c r="AE187" i="13"/>
  <c r="AD188" i="13"/>
  <c r="BH189" i="13"/>
  <c r="BG190" i="13"/>
  <c r="AS189" i="13"/>
  <c r="AT188" i="13"/>
  <c r="BA188" i="13" l="1"/>
  <c r="AZ189" i="13"/>
  <c r="BV191" i="13"/>
  <c r="BW190" i="13"/>
  <c r="BG191" i="13"/>
  <c r="BH190" i="13"/>
  <c r="AE188" i="13"/>
  <c r="AD189" i="13"/>
  <c r="W188" i="13"/>
  <c r="V189" i="13"/>
  <c r="L193" i="13"/>
  <c r="M192" i="13"/>
  <c r="N192" i="13" s="1"/>
  <c r="BO190" i="13"/>
  <c r="BP189" i="13"/>
  <c r="AT189" i="13"/>
  <c r="AS190" i="13"/>
  <c r="AL190" i="13"/>
  <c r="AM189" i="13"/>
  <c r="BA189" i="13" l="1"/>
  <c r="AZ190" i="13"/>
  <c r="W189" i="13"/>
  <c r="V190" i="13"/>
  <c r="AE189" i="13"/>
  <c r="AD190" i="13"/>
  <c r="AS191" i="13"/>
  <c r="AT190" i="13"/>
  <c r="BP190" i="13"/>
  <c r="BO191" i="13"/>
  <c r="BG192" i="13"/>
  <c r="BH191" i="13"/>
  <c r="AM190" i="13"/>
  <c r="AL191" i="13"/>
  <c r="L194" i="13"/>
  <c r="M193" i="13"/>
  <c r="N193" i="13" s="1"/>
  <c r="BV192" i="13"/>
  <c r="BW191" i="13"/>
  <c r="BA190" i="13" l="1"/>
  <c r="AZ191" i="13"/>
  <c r="AM191" i="13"/>
  <c r="AL192" i="13"/>
  <c r="AS192" i="13"/>
  <c r="AT191" i="13"/>
  <c r="AD191" i="13"/>
  <c r="AE190" i="13"/>
  <c r="BH192" i="13"/>
  <c r="BG193" i="13"/>
  <c r="M194" i="13"/>
  <c r="N194" i="13" s="1"/>
  <c r="L195" i="13"/>
  <c r="BO192" i="13"/>
  <c r="BP191" i="13"/>
  <c r="V191" i="13"/>
  <c r="W190" i="13"/>
  <c r="BW192" i="13"/>
  <c r="BV193" i="13"/>
  <c r="BA191" i="13" l="1"/>
  <c r="AZ192" i="13"/>
  <c r="BG194" i="13"/>
  <c r="BH193" i="13"/>
  <c r="V192" i="13"/>
  <c r="W191" i="13"/>
  <c r="AE191" i="13"/>
  <c r="AD192" i="13"/>
  <c r="BV194" i="13"/>
  <c r="BW193" i="13"/>
  <c r="BO193" i="13"/>
  <c r="BP192" i="13"/>
  <c r="AT192" i="13"/>
  <c r="AS193" i="13"/>
  <c r="M195" i="13"/>
  <c r="N195" i="13" s="1"/>
  <c r="L196" i="13"/>
  <c r="AL193" i="13"/>
  <c r="AM192" i="13"/>
  <c r="AZ193" i="13" l="1"/>
  <c r="BA192" i="13"/>
  <c r="AL194" i="13"/>
  <c r="AM193" i="13"/>
  <c r="BV195" i="13"/>
  <c r="BW194" i="13"/>
  <c r="L197" i="13"/>
  <c r="M196" i="13"/>
  <c r="N196" i="13" s="1"/>
  <c r="AE192" i="13"/>
  <c r="AD193" i="13"/>
  <c r="AT193" i="13"/>
  <c r="AS194" i="13"/>
  <c r="AT194" i="13" s="1"/>
  <c r="V193" i="13"/>
  <c r="W192" i="13"/>
  <c r="BP193" i="13"/>
  <c r="BO194" i="13"/>
  <c r="BG195" i="13"/>
  <c r="BH194" i="13"/>
  <c r="AZ194" i="13" l="1"/>
  <c r="BA194" i="13" s="1"/>
  <c r="BA193" i="13"/>
  <c r="AE193" i="13"/>
  <c r="AD194" i="13"/>
  <c r="BH195" i="13"/>
  <c r="BG196" i="13"/>
  <c r="BP194" i="13"/>
  <c r="BO195" i="13"/>
  <c r="M197" i="13"/>
  <c r="N197" i="13" s="1"/>
  <c r="L198" i="13"/>
  <c r="W193" i="13"/>
  <c r="V194" i="13"/>
  <c r="BW195" i="13"/>
  <c r="BV196" i="13"/>
  <c r="AM194" i="13"/>
  <c r="AL195" i="13"/>
  <c r="AM195" i="13" l="1"/>
  <c r="AL196" i="13"/>
  <c r="BP195" i="13"/>
  <c r="BO196" i="13"/>
  <c r="BW196" i="13"/>
  <c r="BV197" i="13"/>
  <c r="BH196" i="13"/>
  <c r="BG197" i="13"/>
  <c r="M198" i="13"/>
  <c r="N198" i="13" s="1"/>
  <c r="L199" i="13"/>
  <c r="AD195" i="13"/>
  <c r="AE194" i="13"/>
  <c r="W194" i="13"/>
  <c r="V195" i="13"/>
  <c r="BH197" i="13" l="1"/>
  <c r="BG198" i="13"/>
  <c r="V196" i="13"/>
  <c r="W195" i="13"/>
  <c r="BW197" i="13"/>
  <c r="BV198" i="13"/>
  <c r="BO197" i="13"/>
  <c r="BP196" i="13"/>
  <c r="AE195" i="13"/>
  <c r="AD196" i="13"/>
  <c r="M199" i="13"/>
  <c r="N199" i="13" s="1"/>
  <c r="L200" i="13"/>
  <c r="AL197" i="13"/>
  <c r="AM196" i="13"/>
  <c r="BP197" i="13" l="1"/>
  <c r="BO198" i="13"/>
  <c r="BV199" i="13"/>
  <c r="BW198" i="13"/>
  <c r="AM197" i="13"/>
  <c r="AL198" i="13"/>
  <c r="L201" i="13"/>
  <c r="M200" i="13"/>
  <c r="N200" i="13" s="1"/>
  <c r="W196" i="13"/>
  <c r="V197" i="13"/>
  <c r="AE196" i="13"/>
  <c r="AD197" i="13"/>
  <c r="BG199" i="13"/>
  <c r="BH198" i="13"/>
  <c r="L202" i="13" l="1"/>
  <c r="M201" i="13"/>
  <c r="N201" i="13" s="1"/>
  <c r="AM198" i="13"/>
  <c r="AL199" i="13"/>
  <c r="BG200" i="13"/>
  <c r="BH199" i="13"/>
  <c r="AD198" i="13"/>
  <c r="AE197" i="13"/>
  <c r="BV200" i="13"/>
  <c r="BW199" i="13"/>
  <c r="W197" i="13"/>
  <c r="V198" i="13"/>
  <c r="BP198" i="13"/>
  <c r="BO199" i="13"/>
  <c r="AD199" i="13" l="1"/>
  <c r="AE198" i="13"/>
  <c r="BO200" i="13"/>
  <c r="BP199" i="13"/>
  <c r="BG201" i="13"/>
  <c r="BH200" i="13"/>
  <c r="W198" i="13"/>
  <c r="V199" i="13"/>
  <c r="AL200" i="13"/>
  <c r="AM199" i="13"/>
  <c r="BV201" i="13"/>
  <c r="BW200" i="13"/>
  <c r="L203" i="13"/>
  <c r="M202" i="13"/>
  <c r="N202" i="13" s="1"/>
  <c r="M203" i="13" l="1"/>
  <c r="N203" i="13" s="1"/>
  <c r="L204" i="13"/>
  <c r="BH201" i="13"/>
  <c r="BG202" i="13"/>
  <c r="BW201" i="13"/>
  <c r="BV202" i="13"/>
  <c r="BO201" i="13"/>
  <c r="BP200" i="13"/>
  <c r="V200" i="13"/>
  <c r="W199" i="13"/>
  <c r="AL201" i="13"/>
  <c r="AM200" i="13"/>
  <c r="AD200" i="13"/>
  <c r="AE199" i="13"/>
  <c r="BO202" i="13" l="1"/>
  <c r="BP201" i="13"/>
  <c r="BV203" i="13"/>
  <c r="BW202" i="13"/>
  <c r="AE200" i="13"/>
  <c r="AD201" i="13"/>
  <c r="BG203" i="13"/>
  <c r="BH202" i="13"/>
  <c r="AL202" i="13"/>
  <c r="AM201" i="13"/>
  <c r="L205" i="13"/>
  <c r="M204" i="13"/>
  <c r="N204" i="13" s="1"/>
  <c r="V201" i="13"/>
  <c r="W200" i="13"/>
  <c r="BG204" i="13" l="1"/>
  <c r="BH203" i="13"/>
  <c r="AE201" i="13"/>
  <c r="AD202" i="13"/>
  <c r="V202" i="13"/>
  <c r="W201" i="13"/>
  <c r="L206" i="13"/>
  <c r="M205" i="13"/>
  <c r="N205" i="13" s="1"/>
  <c r="BV204" i="13"/>
  <c r="BW203" i="13"/>
  <c r="AL203" i="13"/>
  <c r="AM202" i="13"/>
  <c r="BO203" i="13"/>
  <c r="BP202" i="13"/>
  <c r="L207" i="13" l="1"/>
  <c r="M206" i="13"/>
  <c r="N206" i="13" s="1"/>
  <c r="BP203" i="13"/>
  <c r="BO204" i="13"/>
  <c r="W202" i="13"/>
  <c r="V203" i="13"/>
  <c r="AE202" i="13"/>
  <c r="AD203" i="13"/>
  <c r="AM203" i="13"/>
  <c r="AL204" i="13"/>
  <c r="BV205" i="13"/>
  <c r="BW204" i="13"/>
  <c r="BG205" i="13"/>
  <c r="BH204" i="13"/>
  <c r="AD204" i="13" l="1"/>
  <c r="AE203" i="13"/>
  <c r="V204" i="13"/>
  <c r="W203" i="13"/>
  <c r="BH205" i="13"/>
  <c r="BG206" i="13"/>
  <c r="BO205" i="13"/>
  <c r="BP204" i="13"/>
  <c r="BW205" i="13"/>
  <c r="BV206" i="13"/>
  <c r="AL205" i="13"/>
  <c r="AM204" i="13"/>
  <c r="M207" i="13"/>
  <c r="N207" i="13" s="1"/>
  <c r="L208" i="13"/>
  <c r="BO206" i="13" l="1"/>
  <c r="BP205" i="13"/>
  <c r="L209" i="13"/>
  <c r="M208" i="13"/>
  <c r="N208" i="13" s="1"/>
  <c r="BG207" i="13"/>
  <c r="BH206" i="13"/>
  <c r="AL206" i="13"/>
  <c r="AM205" i="13"/>
  <c r="V205" i="13"/>
  <c r="W204" i="13"/>
  <c r="BV207" i="13"/>
  <c r="BW206" i="13"/>
  <c r="AE204" i="13"/>
  <c r="AD205" i="13"/>
  <c r="AL207" i="13" l="1"/>
  <c r="AM206" i="13"/>
  <c r="AE205" i="13"/>
  <c r="AD206" i="13"/>
  <c r="BG208" i="13"/>
  <c r="BH207" i="13"/>
  <c r="BV208" i="13"/>
  <c r="BW207" i="13"/>
  <c r="L210" i="13"/>
  <c r="M209" i="13"/>
  <c r="N209" i="13" s="1"/>
  <c r="V206" i="13"/>
  <c r="W205" i="13"/>
  <c r="BO207" i="13"/>
  <c r="BP206" i="13"/>
  <c r="BV209" i="13" l="1"/>
  <c r="BW208" i="13"/>
  <c r="BP207" i="13"/>
  <c r="BO208" i="13"/>
  <c r="BG209" i="13"/>
  <c r="BH208" i="13"/>
  <c r="AE206" i="13"/>
  <c r="AD207" i="13"/>
  <c r="W206" i="13"/>
  <c r="V207" i="13"/>
  <c r="L211" i="13"/>
  <c r="M210" i="13"/>
  <c r="N210" i="13" s="1"/>
  <c r="AM207" i="13"/>
  <c r="AL208" i="13"/>
  <c r="AL209" i="13" l="1"/>
  <c r="AM208" i="13"/>
  <c r="BH209" i="13"/>
  <c r="BG210" i="13"/>
  <c r="BP208" i="13"/>
  <c r="BO209" i="13"/>
  <c r="M211" i="13"/>
  <c r="N211" i="13" s="1"/>
  <c r="L212" i="13"/>
  <c r="AD208" i="13"/>
  <c r="AE207" i="13"/>
  <c r="V208" i="13"/>
  <c r="W207" i="13"/>
  <c r="BW209" i="13"/>
  <c r="BV210" i="13"/>
  <c r="BW210" i="13" l="1"/>
  <c r="BV211" i="13"/>
  <c r="BO210" i="13"/>
  <c r="BP209" i="13"/>
  <c r="BH210" i="13"/>
  <c r="BG211" i="13"/>
  <c r="V209" i="13"/>
  <c r="W208" i="13"/>
  <c r="M212" i="13"/>
  <c r="N212" i="13" s="1"/>
  <c r="L213" i="13"/>
  <c r="AE208" i="13"/>
  <c r="AD209" i="13"/>
  <c r="AL210" i="13"/>
  <c r="AM209" i="13"/>
  <c r="V210" i="13" l="1"/>
  <c r="W209" i="13"/>
  <c r="BG212" i="13"/>
  <c r="BH211" i="13"/>
  <c r="AL211" i="13"/>
  <c r="AM210" i="13"/>
  <c r="AE209" i="13"/>
  <c r="AD210" i="13"/>
  <c r="BO211" i="13"/>
  <c r="BP210" i="13"/>
  <c r="L214" i="13"/>
  <c r="M213" i="13"/>
  <c r="N213" i="13" s="1"/>
  <c r="BV212" i="13"/>
  <c r="BW211" i="13"/>
  <c r="AM211" i="13" l="1"/>
  <c r="AL212" i="13"/>
  <c r="BV213" i="13"/>
  <c r="BW212" i="13"/>
  <c r="L215" i="13"/>
  <c r="M214" i="13"/>
  <c r="N214" i="13" s="1"/>
  <c r="BG213" i="13"/>
  <c r="BH212" i="13"/>
  <c r="AE210" i="13"/>
  <c r="AD211" i="13"/>
  <c r="BP211" i="13"/>
  <c r="BO212" i="13"/>
  <c r="W210" i="13"/>
  <c r="V211" i="13"/>
  <c r="BH213" i="13" l="1"/>
  <c r="BG214" i="13"/>
  <c r="M215" i="13"/>
  <c r="N215" i="13" s="1"/>
  <c r="L216" i="13"/>
  <c r="W211" i="13"/>
  <c r="V212" i="13"/>
  <c r="BW213" i="13"/>
  <c r="BV214" i="13"/>
  <c r="AD212" i="13"/>
  <c r="AE211" i="13"/>
  <c r="AM212" i="13"/>
  <c r="AL213" i="13"/>
  <c r="BP212" i="13"/>
  <c r="BO213" i="13"/>
  <c r="BO214" i="13" l="1"/>
  <c r="BP213" i="13"/>
  <c r="V213" i="13"/>
  <c r="W212" i="13"/>
  <c r="BW214" i="13"/>
  <c r="BV215" i="13"/>
  <c r="M216" i="13"/>
  <c r="N216" i="13" s="1"/>
  <c r="L217" i="13"/>
  <c r="M217" i="13" s="1"/>
  <c r="N217" i="13" s="1"/>
  <c r="AL214" i="13"/>
  <c r="AM213" i="13"/>
  <c r="BH214" i="13"/>
  <c r="BG215" i="13"/>
  <c r="AE212" i="13"/>
  <c r="AD213" i="13"/>
  <c r="AE213" i="13" l="1"/>
  <c r="AD214" i="13"/>
  <c r="BV216" i="13"/>
  <c r="BW215" i="13"/>
  <c r="V214" i="13"/>
  <c r="W213" i="13"/>
  <c r="BG216" i="13"/>
  <c r="BH215" i="13"/>
  <c r="AL215" i="13"/>
  <c r="AM214" i="13"/>
  <c r="BO215" i="13"/>
  <c r="BP214" i="13"/>
  <c r="BG217" i="13" l="1"/>
  <c r="BH216" i="13"/>
  <c r="W214" i="13"/>
  <c r="V215" i="13"/>
  <c r="BP215" i="13"/>
  <c r="BO216" i="13"/>
  <c r="BV217" i="13"/>
  <c r="BW216" i="13"/>
  <c r="AE214" i="13"/>
  <c r="AD215" i="13"/>
  <c r="AM215" i="13"/>
  <c r="AL216" i="13"/>
  <c r="BW217" i="13" l="1"/>
  <c r="BV218" i="13"/>
  <c r="BP216" i="13"/>
  <c r="BO217" i="13"/>
  <c r="AM216" i="13"/>
  <c r="AL217" i="13"/>
  <c r="W215" i="13"/>
  <c r="V216" i="13"/>
  <c r="AD216" i="13"/>
  <c r="AE215" i="13"/>
  <c r="BH217" i="13"/>
  <c r="BG218" i="13"/>
  <c r="AL218" i="13" l="1"/>
  <c r="AM217" i="13"/>
  <c r="BO218" i="13"/>
  <c r="BP217" i="13"/>
  <c r="V217" i="13"/>
  <c r="W216" i="13"/>
  <c r="BW218" i="13"/>
  <c r="BV219" i="13"/>
  <c r="BG219" i="13"/>
  <c r="BH218" i="13"/>
  <c r="AE216" i="13"/>
  <c r="AD217" i="13"/>
  <c r="V218" i="13" l="1"/>
  <c r="W217" i="13"/>
  <c r="BV220" i="13"/>
  <c r="BW219" i="13"/>
  <c r="AE217" i="13"/>
  <c r="AD218" i="13"/>
  <c r="BP218" i="13"/>
  <c r="BO219" i="13"/>
  <c r="BG220" i="13"/>
  <c r="BH219" i="13"/>
  <c r="AL219" i="13"/>
  <c r="AM218" i="13"/>
  <c r="AE218" i="13" l="1"/>
  <c r="AD219" i="13"/>
  <c r="AM219" i="13"/>
  <c r="AL220" i="13"/>
  <c r="BW220" i="13"/>
  <c r="BV221" i="13"/>
  <c r="BP219" i="13"/>
  <c r="BO220" i="13"/>
  <c r="BH220" i="13"/>
  <c r="BG221" i="13"/>
  <c r="W218" i="13"/>
  <c r="V219" i="13"/>
  <c r="BO221" i="13" l="1"/>
  <c r="BP220" i="13"/>
  <c r="BW221" i="13"/>
  <c r="BV222" i="13"/>
  <c r="W219" i="13"/>
  <c r="V220" i="13"/>
  <c r="AL221" i="13"/>
  <c r="AM220" i="13"/>
  <c r="BH221" i="13"/>
  <c r="BG222" i="13"/>
  <c r="AD220" i="13"/>
  <c r="AE219" i="13"/>
  <c r="AL222" i="13" l="1"/>
  <c r="AM221" i="13"/>
  <c r="V221" i="13"/>
  <c r="W220" i="13"/>
  <c r="BV223" i="13"/>
  <c r="BW222" i="13"/>
  <c r="AE220" i="13"/>
  <c r="AD221" i="13"/>
  <c r="BG223" i="13"/>
  <c r="BH222" i="13"/>
  <c r="BO222" i="13"/>
  <c r="BP221" i="13"/>
  <c r="AE221" i="13" l="1"/>
  <c r="AD222" i="13"/>
  <c r="BW223" i="13"/>
  <c r="BV224" i="13"/>
  <c r="BP222" i="13"/>
  <c r="BO223" i="13"/>
  <c r="W221" i="13"/>
  <c r="V222" i="13"/>
  <c r="BH223" i="13"/>
  <c r="BG224" i="13"/>
  <c r="AM222" i="13"/>
  <c r="AL223" i="13"/>
  <c r="BO224" i="13" l="1"/>
  <c r="BP223" i="13"/>
  <c r="AL224" i="13"/>
  <c r="AM224" i="13" s="1"/>
  <c r="AM223" i="13"/>
  <c r="BV225" i="13"/>
  <c r="BW225" i="13" s="1"/>
  <c r="BW224" i="13"/>
  <c r="W222" i="13"/>
  <c r="V223" i="13"/>
  <c r="BG225" i="13"/>
  <c r="BH225" i="13" s="1"/>
  <c r="BH224" i="13"/>
  <c r="AD223" i="13"/>
  <c r="AE222" i="13"/>
  <c r="V224" i="13" l="1"/>
  <c r="W223" i="13"/>
  <c r="AE223" i="13"/>
  <c r="AD224" i="13"/>
  <c r="BO225" i="13"/>
  <c r="BP225" i="13" s="1"/>
  <c r="BP224" i="13"/>
  <c r="AD225" i="13" l="1"/>
  <c r="AE225" i="13" s="1"/>
  <c r="AE224" i="13"/>
  <c r="W224" i="13"/>
  <c r="V225" i="13"/>
  <c r="W225" i="13" s="1"/>
  <c r="U9" i="7" l="1"/>
  <c r="U10" i="7"/>
  <c r="U11" i="7"/>
  <c r="U12" i="7"/>
  <c r="U13" i="7"/>
  <c r="U14" i="7"/>
  <c r="U15" i="7"/>
  <c r="U8" i="7"/>
  <c r="U16" i="7" s="1"/>
  <c r="T16" i="7"/>
  <c r="AG9" i="7"/>
  <c r="AG10" i="7"/>
  <c r="AG11" i="7"/>
  <c r="AG12" i="7"/>
  <c r="AG13" i="7"/>
  <c r="AG14" i="7"/>
  <c r="AG15" i="7"/>
  <c r="AG8" i="7"/>
  <c r="AG16" i="7" s="1"/>
  <c r="AF16" i="7"/>
  <c r="L30" i="12" l="1"/>
  <c r="M30" i="12" s="1"/>
  <c r="L29" i="12"/>
  <c r="M29" i="12" s="1"/>
  <c r="L28" i="12"/>
  <c r="M28" i="12" s="1"/>
  <c r="L27" i="12"/>
  <c r="M27" i="12" s="1"/>
  <c r="L26" i="12"/>
  <c r="M26" i="12" s="1"/>
  <c r="L25" i="12"/>
  <c r="M25" i="12" s="1"/>
  <c r="L24" i="12"/>
  <c r="M24" i="12" s="1"/>
  <c r="L23" i="12"/>
  <c r="M23" i="12" s="1"/>
  <c r="L22" i="12"/>
  <c r="M22" i="12" s="1"/>
  <c r="L21" i="12"/>
  <c r="M21" i="12" s="1"/>
  <c r="L20" i="12"/>
  <c r="M20" i="12" s="1"/>
  <c r="L19" i="12"/>
  <c r="M19" i="12" s="1"/>
  <c r="L18" i="12"/>
  <c r="M18" i="12" s="1"/>
  <c r="L17" i="12"/>
  <c r="M17" i="12" s="1"/>
  <c r="L16" i="12"/>
  <c r="M16" i="12" s="1"/>
  <c r="L15" i="12"/>
  <c r="M15" i="12" s="1"/>
  <c r="L14" i="12"/>
  <c r="M14" i="12" s="1"/>
  <c r="L13" i="12"/>
  <c r="M13" i="12" s="1"/>
  <c r="L12" i="12"/>
  <c r="M12" i="12" s="1"/>
  <c r="L11" i="12"/>
  <c r="M11" i="12" s="1"/>
  <c r="M33" i="12" l="1"/>
  <c r="L10" i="12"/>
  <c r="M10" i="12" s="1"/>
  <c r="L9" i="12"/>
  <c r="M9" i="12" s="1"/>
  <c r="L8" i="12"/>
  <c r="M8" i="12" s="1"/>
  <c r="K25" i="12"/>
  <c r="K24" i="12"/>
  <c r="K23" i="12"/>
  <c r="K22" i="12"/>
  <c r="K21" i="12"/>
  <c r="K20" i="12"/>
  <c r="J21" i="12"/>
  <c r="J22" i="12"/>
  <c r="J23" i="12"/>
  <c r="J24" i="12"/>
  <c r="J25" i="12"/>
  <c r="J20" i="12"/>
  <c r="I31" i="12"/>
  <c r="G33" i="12"/>
  <c r="H33" i="12" s="1"/>
  <c r="J33" i="12" s="1"/>
  <c r="G32" i="12"/>
  <c r="H32" i="12" s="1"/>
  <c r="G31" i="12"/>
  <c r="H31" i="12" s="1"/>
  <c r="H30" i="12"/>
  <c r="K30" i="12" s="1"/>
  <c r="H28" i="12"/>
  <c r="J28" i="12" s="1"/>
  <c r="H27" i="12"/>
  <c r="J27" i="12" s="1"/>
  <c r="H26" i="12"/>
  <c r="J26" i="12" s="1"/>
  <c r="H29" i="12"/>
  <c r="H19" i="12"/>
  <c r="H18" i="12"/>
  <c r="H17" i="12"/>
  <c r="H16" i="12"/>
  <c r="H15" i="12"/>
  <c r="J15" i="12" s="1"/>
  <c r="H14" i="12"/>
  <c r="J14" i="12" s="1"/>
  <c r="H13" i="12"/>
  <c r="H12" i="12"/>
  <c r="H11" i="12"/>
  <c r="H10" i="12"/>
  <c r="H9" i="12"/>
  <c r="H8" i="12"/>
  <c r="K26" i="12" l="1"/>
  <c r="K28" i="12"/>
  <c r="J32" i="12"/>
  <c r="K32" i="12"/>
  <c r="J31" i="12"/>
  <c r="K31" i="12"/>
  <c r="J4" i="12"/>
  <c r="N8" i="12" s="1"/>
  <c r="M31" i="12"/>
  <c r="K15" i="12"/>
  <c r="K27" i="12"/>
  <c r="K14" i="12"/>
  <c r="K33" i="12"/>
  <c r="M32" i="12"/>
  <c r="J30" i="12"/>
  <c r="BV201" i="11"/>
  <c r="H203" i="11"/>
  <c r="I203" i="11"/>
  <c r="J203" i="11" s="1"/>
  <c r="P203" i="11"/>
  <c r="Q203" i="11" s="1"/>
  <c r="U203" i="11"/>
  <c r="V203" i="11"/>
  <c r="AB203" i="11"/>
  <c r="AC203" i="11" s="1"/>
  <c r="AG203" i="11"/>
  <c r="AH203" i="11" s="1"/>
  <c r="AN203" i="11"/>
  <c r="AO203" i="11" s="1"/>
  <c r="AU203" i="11"/>
  <c r="AV203" i="11" s="1"/>
  <c r="AW203" i="11" s="1"/>
  <c r="BD203" i="11"/>
  <c r="BE203" i="11"/>
  <c r="BF203" i="11" s="1"/>
  <c r="BN203" i="11"/>
  <c r="BO203" i="11"/>
  <c r="BP203" i="11" s="1"/>
  <c r="BV203" i="11"/>
  <c r="BW203" i="11" s="1"/>
  <c r="BX203" i="11" s="1"/>
  <c r="CD203" i="11"/>
  <c r="CE203" i="11"/>
  <c r="CL203" i="11"/>
  <c r="CM203" i="11" s="1"/>
  <c r="CQ203" i="11"/>
  <c r="CR203" i="11" s="1"/>
  <c r="CY203" i="11"/>
  <c r="CZ203" i="11" s="1"/>
  <c r="DA203" i="11" s="1"/>
  <c r="DG203" i="11"/>
  <c r="DH203" i="11" s="1"/>
  <c r="DO203" i="11"/>
  <c r="DP203" i="11" s="1"/>
  <c r="DQ203" i="11" s="1"/>
  <c r="DW203" i="11"/>
  <c r="DX203" i="11"/>
  <c r="DY203" i="11" s="1"/>
  <c r="EE203" i="11"/>
  <c r="EF203" i="11" s="1"/>
  <c r="EM203" i="11"/>
  <c r="EN203" i="11" s="1"/>
  <c r="ER203" i="11"/>
  <c r="ES203" i="11" s="1"/>
  <c r="EW203" i="11"/>
  <c r="EX203" i="11" s="1"/>
  <c r="FB203" i="11"/>
  <c r="FC203" i="11" s="1"/>
  <c r="FG203" i="11"/>
  <c r="FH203" i="11" s="1"/>
  <c r="FL203" i="11"/>
  <c r="FM203" i="11" s="1"/>
  <c r="HE203" i="11"/>
  <c r="HF203" i="11"/>
  <c r="H204" i="11"/>
  <c r="I204" i="11" s="1"/>
  <c r="J204" i="11" s="1"/>
  <c r="P204" i="11"/>
  <c r="Q204" i="11" s="1"/>
  <c r="U204" i="11"/>
  <c r="V204" i="11" s="1"/>
  <c r="AB204" i="11"/>
  <c r="AC204" i="11" s="1"/>
  <c r="AG204" i="11"/>
  <c r="AH204" i="11"/>
  <c r="AN204" i="11"/>
  <c r="AO204" i="11"/>
  <c r="AU204" i="11"/>
  <c r="AV204" i="11"/>
  <c r="AW204" i="11" s="1"/>
  <c r="BD204" i="11"/>
  <c r="BE204" i="11" s="1"/>
  <c r="BF204" i="11" s="1"/>
  <c r="BN204" i="11"/>
  <c r="BO204" i="11" s="1"/>
  <c r="BP204" i="11" s="1"/>
  <c r="BV204" i="11"/>
  <c r="BW204" i="11" s="1"/>
  <c r="BX204" i="11" s="1"/>
  <c r="CD204" i="11"/>
  <c r="CE204" i="11" s="1"/>
  <c r="CL204" i="11"/>
  <c r="CM204" i="11" s="1"/>
  <c r="CQ204" i="11"/>
  <c r="CR204" i="11" s="1"/>
  <c r="CY204" i="11"/>
  <c r="CZ204" i="11" s="1"/>
  <c r="DA204" i="11" s="1"/>
  <c r="DG204" i="11"/>
  <c r="DH204" i="11" s="1"/>
  <c r="DO204" i="11"/>
  <c r="DP204" i="11" s="1"/>
  <c r="DQ204" i="11" s="1"/>
  <c r="DW204" i="11"/>
  <c r="DX204" i="11" s="1"/>
  <c r="DY204" i="11" s="1"/>
  <c r="EE204" i="11"/>
  <c r="EF204" i="11" s="1"/>
  <c r="EM204" i="11"/>
  <c r="EN204" i="11" s="1"/>
  <c r="ER204" i="11"/>
  <c r="ES204" i="11" s="1"/>
  <c r="EW204" i="11"/>
  <c r="EX204" i="11" s="1"/>
  <c r="FB204" i="11"/>
  <c r="FC204" i="11" s="1"/>
  <c r="FG204" i="11"/>
  <c r="FH204" i="11" s="1"/>
  <c r="FL204" i="11"/>
  <c r="FM204" i="11" s="1"/>
  <c r="HE204" i="11"/>
  <c r="HF204" i="11" s="1"/>
  <c r="H205" i="11"/>
  <c r="I205" i="11" s="1"/>
  <c r="J205" i="11" s="1"/>
  <c r="P205" i="11"/>
  <c r="Q205" i="11" s="1"/>
  <c r="U205" i="11"/>
  <c r="V205" i="11"/>
  <c r="AB205" i="11"/>
  <c r="AC205" i="11" s="1"/>
  <c r="AG205" i="11"/>
  <c r="AH205" i="11" s="1"/>
  <c r="AN205" i="11"/>
  <c r="AO205" i="11" s="1"/>
  <c r="AU205" i="11"/>
  <c r="AV205" i="11"/>
  <c r="AW205" i="11" s="1"/>
  <c r="BD205" i="11"/>
  <c r="BE205" i="11" s="1"/>
  <c r="BF205" i="11" s="1"/>
  <c r="BN205" i="11"/>
  <c r="BO205" i="11" s="1"/>
  <c r="BP205" i="11" s="1"/>
  <c r="BV205" i="11"/>
  <c r="BW205" i="11"/>
  <c r="BX205" i="11" s="1"/>
  <c r="CD205" i="11"/>
  <c r="CE205" i="11" s="1"/>
  <c r="CL205" i="11"/>
  <c r="CM205" i="11" s="1"/>
  <c r="CQ205" i="11"/>
  <c r="CR205" i="11" s="1"/>
  <c r="CY205" i="11"/>
  <c r="CZ205" i="11" s="1"/>
  <c r="DG205" i="11"/>
  <c r="DH205" i="11" s="1"/>
  <c r="DI205" i="11" s="1"/>
  <c r="DO205" i="11"/>
  <c r="DP205" i="11" s="1"/>
  <c r="DQ205" i="11" s="1"/>
  <c r="DW205" i="11"/>
  <c r="DX205" i="11"/>
  <c r="DY205" i="11" s="1"/>
  <c r="EE205" i="11"/>
  <c r="EF205" i="11" s="1"/>
  <c r="EM205" i="11"/>
  <c r="EN205" i="11" s="1"/>
  <c r="ER205" i="11"/>
  <c r="ES205" i="11" s="1"/>
  <c r="EW205" i="11"/>
  <c r="EX205" i="11"/>
  <c r="FB205" i="11"/>
  <c r="FC205" i="11" s="1"/>
  <c r="FG205" i="11"/>
  <c r="FH205" i="11" s="1"/>
  <c r="FL205" i="11"/>
  <c r="FM205" i="11" s="1"/>
  <c r="HE205" i="11"/>
  <c r="HF205" i="11" s="1"/>
  <c r="H206" i="11"/>
  <c r="I206" i="11" s="1"/>
  <c r="J206" i="11" s="1"/>
  <c r="P206" i="11"/>
  <c r="Q206" i="11" s="1"/>
  <c r="U206" i="11"/>
  <c r="V206" i="11" s="1"/>
  <c r="AB206" i="11"/>
  <c r="AC206" i="11" s="1"/>
  <c r="AG206" i="11"/>
  <c r="AH206" i="11"/>
  <c r="AN206" i="11"/>
  <c r="AO206" i="11" s="1"/>
  <c r="AU206" i="11"/>
  <c r="AV206" i="11"/>
  <c r="AW206" i="11" s="1"/>
  <c r="BD206" i="11"/>
  <c r="BE206" i="11" s="1"/>
  <c r="BF206" i="11" s="1"/>
  <c r="BN206" i="11"/>
  <c r="BO206" i="11" s="1"/>
  <c r="BP206" i="11" s="1"/>
  <c r="BV206" i="11"/>
  <c r="BW206" i="11"/>
  <c r="BX206" i="11" s="1"/>
  <c r="CD206" i="11"/>
  <c r="CE206" i="11" s="1"/>
  <c r="CL206" i="11"/>
  <c r="CM206" i="11" s="1"/>
  <c r="CQ206" i="11"/>
  <c r="CR206" i="11" s="1"/>
  <c r="CY206" i="11"/>
  <c r="CZ206" i="11"/>
  <c r="DG206" i="11"/>
  <c r="DH206" i="11"/>
  <c r="DI206" i="11"/>
  <c r="DO206" i="11"/>
  <c r="DP206" i="11" s="1"/>
  <c r="DQ206" i="11" s="1"/>
  <c r="DW206" i="11"/>
  <c r="DX206" i="11" s="1"/>
  <c r="DY206" i="11" s="1"/>
  <c r="EE206" i="11"/>
  <c r="EF206" i="11" s="1"/>
  <c r="EG206" i="11" s="1"/>
  <c r="EM206" i="11"/>
  <c r="EN206" i="11" s="1"/>
  <c r="ER206" i="11"/>
  <c r="ES206" i="11"/>
  <c r="EW206" i="11"/>
  <c r="EX206" i="11" s="1"/>
  <c r="FB206" i="11"/>
  <c r="FC206" i="11" s="1"/>
  <c r="FG206" i="11"/>
  <c r="FH206" i="11" s="1"/>
  <c r="FL206" i="11"/>
  <c r="FM206" i="11" s="1"/>
  <c r="HE206" i="11"/>
  <c r="HF206" i="11" s="1"/>
  <c r="H207" i="11"/>
  <c r="I207" i="11" s="1"/>
  <c r="J207" i="11" s="1"/>
  <c r="P207" i="11"/>
  <c r="Q207" i="11"/>
  <c r="U207" i="11"/>
  <c r="V207" i="11"/>
  <c r="AB207" i="11"/>
  <c r="AC207" i="11"/>
  <c r="AG207" i="11"/>
  <c r="AH207" i="11" s="1"/>
  <c r="AN207" i="11"/>
  <c r="AO207" i="11" s="1"/>
  <c r="AU207" i="11"/>
  <c r="AV207" i="11" s="1"/>
  <c r="AW207" i="11" s="1"/>
  <c r="BD207" i="11"/>
  <c r="BE207" i="11" s="1"/>
  <c r="BF207" i="11" s="1"/>
  <c r="BN207" i="11"/>
  <c r="BO207" i="11" s="1"/>
  <c r="BP207" i="11" s="1"/>
  <c r="BV207" i="11"/>
  <c r="BW207" i="11" s="1"/>
  <c r="BX207" i="11" s="1"/>
  <c r="CD207" i="11"/>
  <c r="CE207" i="11" s="1"/>
  <c r="CF207" i="11" s="1"/>
  <c r="CL207" i="11"/>
  <c r="CM207" i="11" s="1"/>
  <c r="CQ207" i="11"/>
  <c r="CR207" i="11"/>
  <c r="CS207" i="11" s="1"/>
  <c r="CY207" i="11"/>
  <c r="CZ207" i="11" s="1"/>
  <c r="DG207" i="11"/>
  <c r="DH207" i="11" s="1"/>
  <c r="DO207" i="11"/>
  <c r="DP207" i="11" s="1"/>
  <c r="DQ207" i="11" s="1"/>
  <c r="DW207" i="11"/>
  <c r="DX207" i="11" s="1"/>
  <c r="DY207" i="11" s="1"/>
  <c r="EE207" i="11"/>
  <c r="EF207" i="11" s="1"/>
  <c r="EM207" i="11"/>
  <c r="EN207" i="11" s="1"/>
  <c r="ER207" i="11"/>
  <c r="ES207" i="11" s="1"/>
  <c r="EW207" i="11"/>
  <c r="EX207" i="11"/>
  <c r="FB207" i="11"/>
  <c r="FC207" i="11" s="1"/>
  <c r="FG207" i="11"/>
  <c r="FH207" i="11" s="1"/>
  <c r="FL207" i="11"/>
  <c r="FM207" i="11" s="1"/>
  <c r="HE207" i="11"/>
  <c r="HF207" i="11"/>
  <c r="H208" i="11"/>
  <c r="I208" i="11" s="1"/>
  <c r="J208" i="11" s="1"/>
  <c r="P208" i="11"/>
  <c r="Q208" i="11" s="1"/>
  <c r="U208" i="11"/>
  <c r="AB208" i="11"/>
  <c r="AC208" i="11"/>
  <c r="AG208" i="11"/>
  <c r="AH208" i="11"/>
  <c r="AN208" i="11"/>
  <c r="AO208" i="11" s="1"/>
  <c r="AU208" i="11"/>
  <c r="AV208" i="11"/>
  <c r="AW208" i="11" s="1"/>
  <c r="BD208" i="11"/>
  <c r="BE208" i="11" s="1"/>
  <c r="BF208" i="11" s="1"/>
  <c r="BN208" i="11"/>
  <c r="BO208" i="11" s="1"/>
  <c r="BP208" i="11" s="1"/>
  <c r="BV208" i="11"/>
  <c r="BW208" i="11" s="1"/>
  <c r="BX208" i="11" s="1"/>
  <c r="CD208" i="11"/>
  <c r="CE208" i="11"/>
  <c r="CF208" i="11" s="1"/>
  <c r="CL208" i="11"/>
  <c r="CM208" i="11" s="1"/>
  <c r="CQ208" i="11"/>
  <c r="CR208" i="11" s="1"/>
  <c r="CS208" i="11" s="1"/>
  <c r="CY208" i="11"/>
  <c r="CZ208" i="11" s="1"/>
  <c r="DG208" i="11"/>
  <c r="DH208" i="11" s="1"/>
  <c r="DI208" i="11" s="1"/>
  <c r="DO208" i="11"/>
  <c r="DP208" i="11"/>
  <c r="DQ208" i="11" s="1"/>
  <c r="DW208" i="11"/>
  <c r="DX208" i="11" s="1"/>
  <c r="DY208" i="11" s="1"/>
  <c r="EE208" i="11"/>
  <c r="EF208" i="11" s="1"/>
  <c r="EM208" i="11"/>
  <c r="EN208" i="11" s="1"/>
  <c r="ER208" i="11"/>
  <c r="ES208" i="11" s="1"/>
  <c r="EW208" i="11"/>
  <c r="EX208" i="11"/>
  <c r="FB208" i="11"/>
  <c r="FC208" i="11"/>
  <c r="FG208" i="11"/>
  <c r="FH208" i="11" s="1"/>
  <c r="FL208" i="11"/>
  <c r="FM208" i="11" s="1"/>
  <c r="HE208" i="11"/>
  <c r="HF208" i="11" s="1"/>
  <c r="H209" i="11"/>
  <c r="I209" i="11" s="1"/>
  <c r="J209" i="11" s="1"/>
  <c r="P209" i="11"/>
  <c r="Q209" i="11" s="1"/>
  <c r="U209" i="11"/>
  <c r="AB209" i="11"/>
  <c r="AC209" i="11" s="1"/>
  <c r="AG209" i="11"/>
  <c r="AH209" i="11" s="1"/>
  <c r="AN209" i="11"/>
  <c r="AO209" i="11"/>
  <c r="AU209" i="11"/>
  <c r="AV209" i="11"/>
  <c r="AW209" i="11" s="1"/>
  <c r="BD209" i="11"/>
  <c r="BE209" i="11" s="1"/>
  <c r="BF209" i="11" s="1"/>
  <c r="BN209" i="11"/>
  <c r="BO209" i="11" s="1"/>
  <c r="BP209" i="11" s="1"/>
  <c r="BV209" i="11"/>
  <c r="BW209" i="11" s="1"/>
  <c r="BX209" i="11" s="1"/>
  <c r="CD209" i="11"/>
  <c r="CE209" i="11" s="1"/>
  <c r="CL209" i="11"/>
  <c r="CM209" i="11" s="1"/>
  <c r="CQ209" i="11"/>
  <c r="CR209" i="11" s="1"/>
  <c r="CY209" i="11"/>
  <c r="CZ209" i="11" s="1"/>
  <c r="DA209" i="11" s="1"/>
  <c r="DG209" i="11"/>
  <c r="DH209" i="11"/>
  <c r="DO209" i="11"/>
  <c r="DP209" i="11" s="1"/>
  <c r="DQ209" i="11" s="1"/>
  <c r="DW209" i="11"/>
  <c r="DX209" i="11" s="1"/>
  <c r="DY209" i="11" s="1"/>
  <c r="EE209" i="11"/>
  <c r="EF209" i="11" s="1"/>
  <c r="EM209" i="11"/>
  <c r="EN209" i="11" s="1"/>
  <c r="ER209" i="11"/>
  <c r="ES209" i="11" s="1"/>
  <c r="EW209" i="11"/>
  <c r="EX209" i="11" s="1"/>
  <c r="FB209" i="11"/>
  <c r="FC209" i="11"/>
  <c r="FG209" i="11"/>
  <c r="FH209" i="11" s="1"/>
  <c r="FL209" i="11"/>
  <c r="FM209" i="11" s="1"/>
  <c r="HE209" i="11"/>
  <c r="HF209" i="11" s="1"/>
  <c r="H210" i="11"/>
  <c r="I210" i="11" s="1"/>
  <c r="J210" i="11" s="1"/>
  <c r="P210" i="11"/>
  <c r="Q210" i="11" s="1"/>
  <c r="U210" i="11"/>
  <c r="V210" i="11" s="1"/>
  <c r="AB210" i="11"/>
  <c r="AC210" i="11" s="1"/>
  <c r="AG210" i="11"/>
  <c r="AN210" i="11"/>
  <c r="AO210" i="11" s="1"/>
  <c r="AU210" i="11"/>
  <c r="AV210" i="11" s="1"/>
  <c r="AW210" i="11" s="1"/>
  <c r="BD210" i="11"/>
  <c r="BE210" i="11" s="1"/>
  <c r="BF210" i="11" s="1"/>
  <c r="BN210" i="11"/>
  <c r="BO210" i="11" s="1"/>
  <c r="BP210" i="11" s="1"/>
  <c r="BV210" i="11"/>
  <c r="BW210" i="11" s="1"/>
  <c r="BX210" i="11" s="1"/>
  <c r="CD210" i="11"/>
  <c r="CE210" i="11" s="1"/>
  <c r="CL210" i="11"/>
  <c r="CM210" i="11"/>
  <c r="CQ210" i="11"/>
  <c r="CR210" i="11" s="1"/>
  <c r="CS210" i="11"/>
  <c r="CY210" i="11"/>
  <c r="CZ210" i="11" s="1"/>
  <c r="DA210" i="11" s="1"/>
  <c r="DG210" i="11"/>
  <c r="DH210" i="11" s="1"/>
  <c r="DO210" i="11"/>
  <c r="DP210" i="11" s="1"/>
  <c r="DQ210" i="11" s="1"/>
  <c r="DW210" i="11"/>
  <c r="DX210" i="11" s="1"/>
  <c r="DY210" i="11" s="1"/>
  <c r="EE210" i="11"/>
  <c r="EF210" i="11"/>
  <c r="EG210" i="11"/>
  <c r="EM210" i="11"/>
  <c r="EN210" i="11"/>
  <c r="ER210" i="11"/>
  <c r="ES210" i="11"/>
  <c r="EW210" i="11"/>
  <c r="EX210" i="11" s="1"/>
  <c r="FB210" i="11"/>
  <c r="FC210" i="11"/>
  <c r="FG210" i="11"/>
  <c r="FH210" i="11" s="1"/>
  <c r="FL210" i="11"/>
  <c r="FM210" i="11" s="1"/>
  <c r="HE210" i="11"/>
  <c r="HF210" i="11" s="1"/>
  <c r="H211" i="11"/>
  <c r="I211" i="11" s="1"/>
  <c r="J211" i="11" s="1"/>
  <c r="P211" i="11"/>
  <c r="Q211" i="11" s="1"/>
  <c r="U211" i="11"/>
  <c r="V211" i="11" s="1"/>
  <c r="AB211" i="11"/>
  <c r="AC211" i="11" s="1"/>
  <c r="AG211" i="11"/>
  <c r="AH211" i="11" s="1"/>
  <c r="AN211" i="11"/>
  <c r="AO211" i="11" s="1"/>
  <c r="AU211" i="11"/>
  <c r="AV211" i="11" s="1"/>
  <c r="AW211" i="11" s="1"/>
  <c r="BD211" i="11"/>
  <c r="BE211" i="11" s="1"/>
  <c r="BF211" i="11" s="1"/>
  <c r="BN211" i="11"/>
  <c r="BO211" i="11" s="1"/>
  <c r="BP211" i="11" s="1"/>
  <c r="BV211" i="11"/>
  <c r="BW211" i="11" s="1"/>
  <c r="BX211" i="11" s="1"/>
  <c r="CD211" i="11"/>
  <c r="CE211" i="11"/>
  <c r="CF211" i="11" s="1"/>
  <c r="CL211" i="11"/>
  <c r="CM211" i="11" s="1"/>
  <c r="CQ211" i="11"/>
  <c r="CR211" i="11" s="1"/>
  <c r="CY211" i="11"/>
  <c r="CZ211" i="11" s="1"/>
  <c r="DA211" i="11" s="1"/>
  <c r="DG211" i="11"/>
  <c r="DH211" i="11" s="1"/>
  <c r="DO211" i="11"/>
  <c r="DP211" i="11" s="1"/>
  <c r="DQ211" i="11" s="1"/>
  <c r="DW211" i="11"/>
  <c r="DX211" i="11"/>
  <c r="DY211" i="11" s="1"/>
  <c r="EE211" i="11"/>
  <c r="EF211" i="11"/>
  <c r="EG211" i="11" s="1"/>
  <c r="EM211" i="11"/>
  <c r="EN211" i="11"/>
  <c r="ER211" i="11"/>
  <c r="ES211" i="11" s="1"/>
  <c r="EW211" i="11"/>
  <c r="EX211" i="11"/>
  <c r="FB211" i="11"/>
  <c r="FC211" i="11"/>
  <c r="FG211" i="11"/>
  <c r="FH211" i="11" s="1"/>
  <c r="FL211" i="11"/>
  <c r="FM211" i="11" s="1"/>
  <c r="HE211" i="11"/>
  <c r="HF211" i="11" s="1"/>
  <c r="H212" i="11"/>
  <c r="I212" i="11" s="1"/>
  <c r="J212" i="11" s="1"/>
  <c r="P212" i="11"/>
  <c r="Q212" i="11" s="1"/>
  <c r="U212" i="11"/>
  <c r="V212" i="11" s="1"/>
  <c r="AB212" i="11"/>
  <c r="AC212" i="11"/>
  <c r="AG212" i="11"/>
  <c r="AH212" i="11"/>
  <c r="AN212" i="11"/>
  <c r="AO212" i="11" s="1"/>
  <c r="AU212" i="11"/>
  <c r="AV212" i="11" s="1"/>
  <c r="AW212" i="11" s="1"/>
  <c r="BD212" i="11"/>
  <c r="BE212" i="11" s="1"/>
  <c r="BF212" i="11" s="1"/>
  <c r="BN212" i="11"/>
  <c r="BO212" i="11" s="1"/>
  <c r="BP212" i="11" s="1"/>
  <c r="BV212" i="11"/>
  <c r="BW212" i="11" s="1"/>
  <c r="BX212" i="11" s="1"/>
  <c r="CD212" i="11"/>
  <c r="CE212" i="11" s="1"/>
  <c r="CF212" i="11" s="1"/>
  <c r="CL212" i="11"/>
  <c r="CM212" i="11" s="1"/>
  <c r="CQ212" i="11"/>
  <c r="CR212" i="11" s="1"/>
  <c r="CS212" i="11" s="1"/>
  <c r="CY212" i="11"/>
  <c r="CZ212" i="11" s="1"/>
  <c r="DA212" i="11" s="1"/>
  <c r="DG212" i="11"/>
  <c r="DH212" i="11" s="1"/>
  <c r="DO212" i="11"/>
  <c r="DP212" i="11" s="1"/>
  <c r="DQ212" i="11" s="1"/>
  <c r="DW212" i="11"/>
  <c r="DX212" i="11" s="1"/>
  <c r="DY212" i="11" s="1"/>
  <c r="EE212" i="11"/>
  <c r="EF212" i="11" s="1"/>
  <c r="EM212" i="11"/>
  <c r="EN212" i="11"/>
  <c r="ER212" i="11"/>
  <c r="ES212" i="11" s="1"/>
  <c r="EW212" i="11"/>
  <c r="EX212" i="11" s="1"/>
  <c r="FB212" i="11"/>
  <c r="FC212" i="11" s="1"/>
  <c r="FG212" i="11"/>
  <c r="FH212" i="11" s="1"/>
  <c r="FL212" i="11"/>
  <c r="FM212" i="11" s="1"/>
  <c r="HE212" i="11"/>
  <c r="HF212" i="11" s="1"/>
  <c r="H213" i="11"/>
  <c r="I213" i="11" s="1"/>
  <c r="J213" i="11" s="1"/>
  <c r="P213" i="11"/>
  <c r="Q213" i="11" s="1"/>
  <c r="U213" i="11"/>
  <c r="V213" i="11" s="1"/>
  <c r="AB213" i="11"/>
  <c r="AC213" i="11" s="1"/>
  <c r="AG213" i="11"/>
  <c r="AH213" i="11" s="1"/>
  <c r="AN213" i="11"/>
  <c r="AO213" i="11" s="1"/>
  <c r="AU213" i="11"/>
  <c r="AV213" i="11" s="1"/>
  <c r="AW213" i="11" s="1"/>
  <c r="BD213" i="11"/>
  <c r="BE213" i="11" s="1"/>
  <c r="BF213" i="11" s="1"/>
  <c r="BN213" i="11"/>
  <c r="BO213" i="11" s="1"/>
  <c r="BP213" i="11" s="1"/>
  <c r="BV213" i="11"/>
  <c r="BW213" i="11" s="1"/>
  <c r="BX213" i="11" s="1"/>
  <c r="CD213" i="11"/>
  <c r="CE213" i="11" s="1"/>
  <c r="CL213" i="11"/>
  <c r="CM213" i="11"/>
  <c r="CQ213" i="11"/>
  <c r="CR213" i="11" s="1"/>
  <c r="CY213" i="11"/>
  <c r="CZ213" i="11" s="1"/>
  <c r="DG213" i="11"/>
  <c r="DH213" i="11" s="1"/>
  <c r="DI213" i="11" s="1"/>
  <c r="DO213" i="11"/>
  <c r="DP213" i="11" s="1"/>
  <c r="DQ213" i="11" s="1"/>
  <c r="DW213" i="11"/>
  <c r="DX213" i="11" s="1"/>
  <c r="DY213" i="11" s="1"/>
  <c r="EE213" i="11"/>
  <c r="EF213" i="11" s="1"/>
  <c r="EM213" i="11"/>
  <c r="EN213" i="11" s="1"/>
  <c r="ER213" i="11"/>
  <c r="ES213" i="11" s="1"/>
  <c r="EW213" i="11"/>
  <c r="EX213" i="11" s="1"/>
  <c r="FB213" i="11"/>
  <c r="FC213" i="11"/>
  <c r="FG213" i="11"/>
  <c r="FH213" i="11"/>
  <c r="FL213" i="11"/>
  <c r="FM213" i="11"/>
  <c r="HE213" i="11"/>
  <c r="HF213" i="11" s="1"/>
  <c r="H214" i="11"/>
  <c r="I214" i="11" s="1"/>
  <c r="J214" i="11" s="1"/>
  <c r="P214" i="11"/>
  <c r="Q214" i="11" s="1"/>
  <c r="U214" i="11"/>
  <c r="V214" i="11" s="1"/>
  <c r="AB214" i="11"/>
  <c r="AC214" i="11" s="1"/>
  <c r="AG214" i="11"/>
  <c r="AH214" i="11" s="1"/>
  <c r="AN214" i="11"/>
  <c r="AO214" i="11" s="1"/>
  <c r="AU214" i="11"/>
  <c r="AV214" i="11" s="1"/>
  <c r="AW214" i="11" s="1"/>
  <c r="BD214" i="11"/>
  <c r="BE214" i="11"/>
  <c r="BF214" i="11" s="1"/>
  <c r="BN214" i="11"/>
  <c r="BO214" i="11" s="1"/>
  <c r="BP214" i="11" s="1"/>
  <c r="BV214" i="11"/>
  <c r="BW214" i="11" s="1"/>
  <c r="BX214" i="11" s="1"/>
  <c r="CD214" i="11"/>
  <c r="CE214" i="11" s="1"/>
  <c r="CL214" i="11"/>
  <c r="CM214" i="11" s="1"/>
  <c r="CQ214" i="11"/>
  <c r="CR214" i="11" s="1"/>
  <c r="CY214" i="11"/>
  <c r="CZ214" i="11" s="1"/>
  <c r="DG214" i="11"/>
  <c r="DH214" i="11" s="1"/>
  <c r="DI214" i="11" s="1"/>
  <c r="DO214" i="11"/>
  <c r="DP214" i="11"/>
  <c r="DQ214" i="11" s="1"/>
  <c r="DW214" i="11"/>
  <c r="DX214" i="11"/>
  <c r="DY214" i="11" s="1"/>
  <c r="EE214" i="11"/>
  <c r="EF214" i="11" s="1"/>
  <c r="EM214" i="11"/>
  <c r="EN214" i="11" s="1"/>
  <c r="ER214" i="11"/>
  <c r="ES214" i="11" s="1"/>
  <c r="EW214" i="11"/>
  <c r="EX214" i="11" s="1"/>
  <c r="FB214" i="11"/>
  <c r="FC214" i="11" s="1"/>
  <c r="FG214" i="11"/>
  <c r="FH214" i="11" s="1"/>
  <c r="FL214" i="11"/>
  <c r="FM214" i="11" s="1"/>
  <c r="HE214" i="11"/>
  <c r="HF214" i="11" s="1"/>
  <c r="H215" i="11"/>
  <c r="I215" i="11" s="1"/>
  <c r="J215" i="11" s="1"/>
  <c r="P215" i="11"/>
  <c r="Q215" i="11" s="1"/>
  <c r="U215" i="11"/>
  <c r="AB215" i="11"/>
  <c r="AC215" i="11" s="1"/>
  <c r="AG215" i="11"/>
  <c r="AH215" i="11" s="1"/>
  <c r="AN215" i="11"/>
  <c r="AO215" i="11" s="1"/>
  <c r="AU215" i="11"/>
  <c r="AV215" i="11" s="1"/>
  <c r="AW215" i="11" s="1"/>
  <c r="BD215" i="11"/>
  <c r="BE215" i="11" s="1"/>
  <c r="BF215" i="11" s="1"/>
  <c r="BN215" i="11"/>
  <c r="BO215" i="11"/>
  <c r="BP215" i="11" s="1"/>
  <c r="BV215" i="11"/>
  <c r="BW215" i="11" s="1"/>
  <c r="BX215" i="11" s="1"/>
  <c r="CD215" i="11"/>
  <c r="CE215" i="11" s="1"/>
  <c r="CL215" i="11"/>
  <c r="CM215" i="11" s="1"/>
  <c r="CQ215" i="11"/>
  <c r="CR215" i="11" s="1"/>
  <c r="CY215" i="11"/>
  <c r="CZ215" i="11"/>
  <c r="DA215" i="11" s="1"/>
  <c r="DG215" i="11"/>
  <c r="DH215" i="11" s="1"/>
  <c r="DI215" i="11" s="1"/>
  <c r="DO215" i="11"/>
  <c r="DP215" i="11" s="1"/>
  <c r="DQ215" i="11" s="1"/>
  <c r="DW215" i="11"/>
  <c r="DX215" i="11" s="1"/>
  <c r="DY215" i="11" s="1"/>
  <c r="EE215" i="11"/>
  <c r="EF215" i="11" s="1"/>
  <c r="EM215" i="11"/>
  <c r="EN215" i="11" s="1"/>
  <c r="ER215" i="11"/>
  <c r="ES215" i="11" s="1"/>
  <c r="EW215" i="11"/>
  <c r="EX215" i="11" s="1"/>
  <c r="FB215" i="11"/>
  <c r="FC215" i="11"/>
  <c r="FG215" i="11"/>
  <c r="FH215" i="11" s="1"/>
  <c r="FL215" i="11"/>
  <c r="FM215" i="11" s="1"/>
  <c r="HE215" i="11"/>
  <c r="HF215" i="11" s="1"/>
  <c r="H216" i="11"/>
  <c r="I216" i="11" s="1"/>
  <c r="J216" i="11" s="1"/>
  <c r="P216" i="11"/>
  <c r="Q216" i="11" s="1"/>
  <c r="U216" i="11"/>
  <c r="V216" i="11" s="1"/>
  <c r="AB216" i="11"/>
  <c r="AC216" i="11" s="1"/>
  <c r="AG216" i="11"/>
  <c r="AH216" i="11" s="1"/>
  <c r="AN216" i="11"/>
  <c r="AO216" i="11"/>
  <c r="AU216" i="11"/>
  <c r="AV216" i="11" s="1"/>
  <c r="AW216" i="11" s="1"/>
  <c r="BD216" i="11"/>
  <c r="BE216" i="11" s="1"/>
  <c r="BF216" i="11" s="1"/>
  <c r="BN216" i="11"/>
  <c r="BO216" i="11" s="1"/>
  <c r="BP216" i="11"/>
  <c r="BV216" i="11"/>
  <c r="BW216" i="11" s="1"/>
  <c r="BX216" i="11" s="1"/>
  <c r="CD216" i="11"/>
  <c r="CE216" i="11" s="1"/>
  <c r="CL216" i="11"/>
  <c r="CM216" i="11"/>
  <c r="CQ216" i="11"/>
  <c r="CR216" i="11" s="1"/>
  <c r="CY216" i="11"/>
  <c r="CZ216" i="11" s="1"/>
  <c r="DA216" i="11" s="1"/>
  <c r="DG216" i="11"/>
  <c r="DH216" i="11" s="1"/>
  <c r="DI216" i="11" s="1"/>
  <c r="DO216" i="11"/>
  <c r="DP216" i="11" s="1"/>
  <c r="DQ216" i="11" s="1"/>
  <c r="DW216" i="11"/>
  <c r="DX216" i="11" s="1"/>
  <c r="DY216" i="11" s="1"/>
  <c r="EE216" i="11"/>
  <c r="EF216" i="11"/>
  <c r="EG216" i="11" s="1"/>
  <c r="EM216" i="11"/>
  <c r="EN216" i="11" s="1"/>
  <c r="ER216" i="11"/>
  <c r="ES216" i="11" s="1"/>
  <c r="EW216" i="11"/>
  <c r="EX216" i="11" s="1"/>
  <c r="FB216" i="11"/>
  <c r="FC216" i="11" s="1"/>
  <c r="FG216" i="11"/>
  <c r="FH216" i="11" s="1"/>
  <c r="FL216" i="11"/>
  <c r="FM216" i="11" s="1"/>
  <c r="HE216" i="11"/>
  <c r="HF216" i="11" s="1"/>
  <c r="H217" i="11"/>
  <c r="I217" i="11"/>
  <c r="J217" i="11" s="1"/>
  <c r="P217" i="11"/>
  <c r="Q217" i="11"/>
  <c r="U217" i="11"/>
  <c r="V217" i="11"/>
  <c r="AB217" i="11"/>
  <c r="AC217" i="11" s="1"/>
  <c r="AG217" i="11"/>
  <c r="AH217" i="11" s="1"/>
  <c r="AN217" i="11"/>
  <c r="AO217" i="11" s="1"/>
  <c r="AU217" i="11"/>
  <c r="AV217" i="11" s="1"/>
  <c r="AW217" i="11" s="1"/>
  <c r="BD217" i="11"/>
  <c r="BE217" i="11" s="1"/>
  <c r="BF217" i="11" s="1"/>
  <c r="BN217" i="11"/>
  <c r="BO217" i="11" s="1"/>
  <c r="BP217" i="11" s="1"/>
  <c r="BV217" i="11"/>
  <c r="BW217" i="11" s="1"/>
  <c r="BX217" i="11" s="1"/>
  <c r="CD217" i="11"/>
  <c r="CE217" i="11"/>
  <c r="CL217" i="11"/>
  <c r="CM217" i="11" s="1"/>
  <c r="CQ217" i="11"/>
  <c r="CR217" i="11" s="1"/>
  <c r="CY217" i="11"/>
  <c r="CZ217" i="11" s="1"/>
  <c r="DA217" i="11" s="1"/>
  <c r="DG217" i="11"/>
  <c r="DH217" i="11" s="1"/>
  <c r="DI217" i="11" s="1"/>
  <c r="DO217" i="11"/>
  <c r="DP217" i="11"/>
  <c r="DQ217" i="11" s="1"/>
  <c r="DW217" i="11"/>
  <c r="DX217" i="11"/>
  <c r="DY217" i="11" s="1"/>
  <c r="EE217" i="11"/>
  <c r="EF217" i="11"/>
  <c r="EM217" i="11"/>
  <c r="EN217" i="11"/>
  <c r="ER217" i="11"/>
  <c r="ES217" i="11" s="1"/>
  <c r="EW217" i="11"/>
  <c r="EX217" i="11" s="1"/>
  <c r="FB217" i="11"/>
  <c r="FC217" i="11" s="1"/>
  <c r="FG217" i="11"/>
  <c r="FH217" i="11" s="1"/>
  <c r="FL217" i="11"/>
  <c r="FM217" i="11" s="1"/>
  <c r="HE217" i="11"/>
  <c r="HF217" i="11"/>
  <c r="H218" i="11"/>
  <c r="I218" i="11" s="1"/>
  <c r="J218" i="11" s="1"/>
  <c r="P218" i="11"/>
  <c r="Q218" i="11" s="1"/>
  <c r="U218" i="11"/>
  <c r="V218" i="11" s="1"/>
  <c r="AB218" i="11"/>
  <c r="AC218" i="11"/>
  <c r="AG218" i="11"/>
  <c r="AH218" i="11"/>
  <c r="AN218" i="11"/>
  <c r="AO218" i="11" s="1"/>
  <c r="AU218" i="11"/>
  <c r="AV218" i="11"/>
  <c r="AW218" i="11" s="1"/>
  <c r="BD218" i="11"/>
  <c r="BE218" i="11" s="1"/>
  <c r="BF218" i="11" s="1"/>
  <c r="BN218" i="11"/>
  <c r="BO218" i="11" s="1"/>
  <c r="BP218" i="11" s="1"/>
  <c r="BV218" i="11"/>
  <c r="BW218" i="11"/>
  <c r="BX218" i="11" s="1"/>
  <c r="CD218" i="11"/>
  <c r="CE218" i="11" s="1"/>
  <c r="CL218" i="11"/>
  <c r="CM218" i="11" s="1"/>
  <c r="CQ218" i="11"/>
  <c r="CR218" i="11" s="1"/>
  <c r="CY218" i="11"/>
  <c r="CZ218" i="11" s="1"/>
  <c r="DA218" i="11" s="1"/>
  <c r="DG218" i="11"/>
  <c r="DH218" i="11" s="1"/>
  <c r="DI218" i="11" s="1"/>
  <c r="DO218" i="11"/>
  <c r="DP218" i="11"/>
  <c r="DQ218" i="11" s="1"/>
  <c r="DW218" i="11"/>
  <c r="DX218" i="11" s="1"/>
  <c r="DY218" i="11" s="1"/>
  <c r="EE218" i="11"/>
  <c r="EF218" i="11" s="1"/>
  <c r="EG218" i="11" s="1"/>
  <c r="EM218" i="11"/>
  <c r="EN218" i="11" s="1"/>
  <c r="ER218" i="11"/>
  <c r="ES218" i="11" s="1"/>
  <c r="EW218" i="11"/>
  <c r="EX218" i="11" s="1"/>
  <c r="FB218" i="11"/>
  <c r="FC218" i="11" s="1"/>
  <c r="FG218" i="11"/>
  <c r="FH218" i="11" s="1"/>
  <c r="FL218" i="11"/>
  <c r="FM218" i="11" s="1"/>
  <c r="HE218" i="11"/>
  <c r="HF218" i="11" s="1"/>
  <c r="H219" i="11"/>
  <c r="I219" i="11" s="1"/>
  <c r="J219" i="11" s="1"/>
  <c r="P219" i="11"/>
  <c r="Q219" i="11" s="1"/>
  <c r="U219" i="11"/>
  <c r="V219" i="11" s="1"/>
  <c r="AB219" i="11"/>
  <c r="AC219" i="11" s="1"/>
  <c r="AG219" i="11"/>
  <c r="AH219" i="11" s="1"/>
  <c r="AN219" i="11"/>
  <c r="AO219" i="11" s="1"/>
  <c r="AU219" i="11"/>
  <c r="AV219" i="11" s="1"/>
  <c r="AW219" i="11" s="1"/>
  <c r="BD219" i="11"/>
  <c r="BE219" i="11" s="1"/>
  <c r="BF219" i="11" s="1"/>
  <c r="BN219" i="11"/>
  <c r="BO219" i="11" s="1"/>
  <c r="BP219" i="11" s="1"/>
  <c r="BV219" i="11"/>
  <c r="BW219" i="11" s="1"/>
  <c r="BX219" i="11" s="1"/>
  <c r="CD219" i="11"/>
  <c r="CE219" i="11" s="1"/>
  <c r="CF219" i="11" s="1"/>
  <c r="CL219" i="11"/>
  <c r="CM219" i="11" s="1"/>
  <c r="CQ219" i="11"/>
  <c r="CR219" i="11" s="1"/>
  <c r="CY219" i="11"/>
  <c r="CZ219" i="11" s="1"/>
  <c r="DG219" i="11"/>
  <c r="DH219" i="11" s="1"/>
  <c r="DI219" i="11" s="1"/>
  <c r="DO219" i="11"/>
  <c r="DP219" i="11" s="1"/>
  <c r="DQ219" i="11" s="1"/>
  <c r="DW219" i="11"/>
  <c r="DX219" i="11"/>
  <c r="DY219" i="11" s="1"/>
  <c r="EE219" i="11"/>
  <c r="EF219" i="11" s="1"/>
  <c r="EG219" i="11"/>
  <c r="EM219" i="11"/>
  <c r="EN219" i="11" s="1"/>
  <c r="ER219" i="11"/>
  <c r="ES219" i="11" s="1"/>
  <c r="EW219" i="11"/>
  <c r="EX219" i="11"/>
  <c r="FB219" i="11"/>
  <c r="FC219" i="11" s="1"/>
  <c r="FG219" i="11"/>
  <c r="FH219" i="11" s="1"/>
  <c r="FL219" i="11"/>
  <c r="FM219" i="11" s="1"/>
  <c r="HE219" i="11"/>
  <c r="HF219" i="11" s="1"/>
  <c r="H220" i="11"/>
  <c r="I220" i="11" s="1"/>
  <c r="J220" i="11" s="1"/>
  <c r="P220" i="11"/>
  <c r="Q220" i="11" s="1"/>
  <c r="U220" i="11"/>
  <c r="V220" i="11" s="1"/>
  <c r="AB220" i="11"/>
  <c r="AC220" i="11" s="1"/>
  <c r="AG220" i="11"/>
  <c r="AH220" i="11"/>
  <c r="AN220" i="11"/>
  <c r="AO220" i="11" s="1"/>
  <c r="AU220" i="11"/>
  <c r="AV220" i="11" s="1"/>
  <c r="AW220" i="11" s="1"/>
  <c r="BD220" i="11"/>
  <c r="BE220" i="11" s="1"/>
  <c r="BF220" i="11" s="1"/>
  <c r="BN220" i="11"/>
  <c r="BO220" i="11" s="1"/>
  <c r="BP220" i="11" s="1"/>
  <c r="BV220" i="11"/>
  <c r="BW220" i="11" s="1"/>
  <c r="BX220" i="11" s="1"/>
  <c r="CD220" i="11"/>
  <c r="CE220" i="11" s="1"/>
  <c r="CL220" i="11"/>
  <c r="CM220" i="11" s="1"/>
  <c r="CQ220" i="11"/>
  <c r="CR220" i="11" s="1"/>
  <c r="CS220" i="11" s="1"/>
  <c r="CY220" i="11"/>
  <c r="CZ220" i="11" s="1"/>
  <c r="DA220" i="11" s="1"/>
  <c r="DG220" i="11"/>
  <c r="DH220" i="11" s="1"/>
  <c r="DI220" i="11" s="1"/>
  <c r="DO220" i="11"/>
  <c r="DP220" i="11" s="1"/>
  <c r="DQ220" i="11" s="1"/>
  <c r="DW220" i="11"/>
  <c r="DX220" i="11" s="1"/>
  <c r="DY220" i="11" s="1"/>
  <c r="EE220" i="11"/>
  <c r="EF220" i="11"/>
  <c r="EG220" i="11" s="1"/>
  <c r="EM220" i="11"/>
  <c r="EN220" i="11"/>
  <c r="ER220" i="11"/>
  <c r="ES220" i="11" s="1"/>
  <c r="EW220" i="11"/>
  <c r="EX220" i="11" s="1"/>
  <c r="FB220" i="11"/>
  <c r="FC220" i="11" s="1"/>
  <c r="FG220" i="11"/>
  <c r="FH220" i="11" s="1"/>
  <c r="FL220" i="11"/>
  <c r="FM220" i="11"/>
  <c r="HE220" i="11"/>
  <c r="HF220" i="11" s="1"/>
  <c r="H221" i="11"/>
  <c r="I221" i="11" s="1"/>
  <c r="J221" i="11" s="1"/>
  <c r="P221" i="11"/>
  <c r="Q221" i="11" s="1"/>
  <c r="U221" i="11"/>
  <c r="V221" i="11"/>
  <c r="AB221" i="11"/>
  <c r="AC221" i="11"/>
  <c r="AG221" i="11"/>
  <c r="AH221" i="11" s="1"/>
  <c r="AN221" i="11"/>
  <c r="AO221" i="11" s="1"/>
  <c r="AU221" i="11"/>
  <c r="AV221" i="11"/>
  <c r="AW221" i="11" s="1"/>
  <c r="BD221" i="11"/>
  <c r="BE221" i="11"/>
  <c r="BF221" i="11" s="1"/>
  <c r="BN221" i="11"/>
  <c r="BO221" i="11" s="1"/>
  <c r="BP221" i="11" s="1"/>
  <c r="BV221" i="11"/>
  <c r="BW221" i="11" s="1"/>
  <c r="BX221" i="11" s="1"/>
  <c r="CD221" i="11"/>
  <c r="CE221" i="11" s="1"/>
  <c r="CF221" i="11" s="1"/>
  <c r="CL221" i="11"/>
  <c r="CM221" i="11"/>
  <c r="CQ221" i="11"/>
  <c r="CR221" i="11"/>
  <c r="CS221" i="11" s="1"/>
  <c r="CY221" i="11"/>
  <c r="CZ221" i="11" s="1"/>
  <c r="DG221" i="11"/>
  <c r="DH221" i="11" s="1"/>
  <c r="DI221" i="11" s="1"/>
  <c r="DO221" i="11"/>
  <c r="DP221" i="11" s="1"/>
  <c r="DQ221" i="11" s="1"/>
  <c r="DW221" i="11"/>
  <c r="DX221" i="11" s="1"/>
  <c r="DY221" i="11" s="1"/>
  <c r="EE221" i="11"/>
  <c r="EF221" i="11" s="1"/>
  <c r="EG221" i="11" s="1"/>
  <c r="EM221" i="11"/>
  <c r="EN221" i="11" s="1"/>
  <c r="ER221" i="11"/>
  <c r="ES221" i="11" s="1"/>
  <c r="EW221" i="11"/>
  <c r="EX221" i="11" s="1"/>
  <c r="FB221" i="11"/>
  <c r="FC221" i="11" s="1"/>
  <c r="FG221" i="11"/>
  <c r="FH221" i="11" s="1"/>
  <c r="FL221" i="11"/>
  <c r="FM221" i="11" s="1"/>
  <c r="HE221" i="11"/>
  <c r="HF221" i="11" s="1"/>
  <c r="H222" i="11"/>
  <c r="I222" i="11" s="1"/>
  <c r="J222" i="11" s="1"/>
  <c r="P222" i="11"/>
  <c r="Q222" i="11" s="1"/>
  <c r="U222" i="11"/>
  <c r="V222" i="11" s="1"/>
  <c r="AB222" i="11"/>
  <c r="AC222" i="11" s="1"/>
  <c r="AG222" i="11"/>
  <c r="AH222" i="11"/>
  <c r="AN222" i="11"/>
  <c r="AO222" i="11"/>
  <c r="AU222" i="11"/>
  <c r="AV222" i="11" s="1"/>
  <c r="AW222" i="11" s="1"/>
  <c r="BD222" i="11"/>
  <c r="BE222" i="11" s="1"/>
  <c r="BF222" i="11" s="1"/>
  <c r="BN222" i="11"/>
  <c r="BO222" i="11" s="1"/>
  <c r="BP222" i="11" s="1"/>
  <c r="BV222" i="11"/>
  <c r="BW222" i="11" s="1"/>
  <c r="BX222" i="11" s="1"/>
  <c r="CD222" i="11"/>
  <c r="CE222" i="11" s="1"/>
  <c r="CF222" i="11" s="1"/>
  <c r="CL222" i="11"/>
  <c r="CM222" i="11" s="1"/>
  <c r="CQ222" i="11"/>
  <c r="CR222" i="11" s="1"/>
  <c r="CY222" i="11"/>
  <c r="CZ222" i="11" s="1"/>
  <c r="DG222" i="11"/>
  <c r="DH222" i="11" s="1"/>
  <c r="DO222" i="11"/>
  <c r="DP222" i="11" s="1"/>
  <c r="DQ222" i="11" s="1"/>
  <c r="DW222" i="11"/>
  <c r="DX222" i="11" s="1"/>
  <c r="DY222" i="11" s="1"/>
  <c r="EE222" i="11"/>
  <c r="EF222" i="11"/>
  <c r="EG222" i="11" s="1"/>
  <c r="EM222" i="11"/>
  <c r="EN222" i="11" s="1"/>
  <c r="ER222" i="11"/>
  <c r="ES222" i="11" s="1"/>
  <c r="EW222" i="11"/>
  <c r="EX222" i="11" s="1"/>
  <c r="FB222" i="11"/>
  <c r="FC222" i="11" s="1"/>
  <c r="FG222" i="11"/>
  <c r="FH222" i="11" s="1"/>
  <c r="FL222" i="11"/>
  <c r="FM222" i="11" s="1"/>
  <c r="HE222" i="11"/>
  <c r="HF222" i="11" s="1"/>
  <c r="H223" i="11"/>
  <c r="I223" i="11" s="1"/>
  <c r="J223" i="11" s="1"/>
  <c r="P223" i="11"/>
  <c r="Q223" i="11" s="1"/>
  <c r="U223" i="11"/>
  <c r="V223" i="11" s="1"/>
  <c r="AB223" i="11"/>
  <c r="AC223" i="11" s="1"/>
  <c r="AG223" i="11"/>
  <c r="AH223" i="11" s="1"/>
  <c r="AN223" i="11"/>
  <c r="AO223" i="11" s="1"/>
  <c r="AU223" i="11"/>
  <c r="AV223" i="11"/>
  <c r="AW223" i="11" s="1"/>
  <c r="BD223" i="11"/>
  <c r="BE223" i="11" s="1"/>
  <c r="BF223" i="11" s="1"/>
  <c r="BN223" i="11"/>
  <c r="BO223" i="11" s="1"/>
  <c r="BP223" i="11" s="1"/>
  <c r="BV223" i="11"/>
  <c r="BW223" i="11" s="1"/>
  <c r="BX223" i="11" s="1"/>
  <c r="CD223" i="11"/>
  <c r="CE223" i="11" s="1"/>
  <c r="CF223" i="11" s="1"/>
  <c r="CL223" i="11"/>
  <c r="CM223" i="11" s="1"/>
  <c r="CQ223" i="11"/>
  <c r="CR223" i="11" s="1"/>
  <c r="CS223" i="11" s="1"/>
  <c r="CY223" i="11"/>
  <c r="CZ223" i="11" s="1"/>
  <c r="DG223" i="11"/>
  <c r="DH223" i="11" s="1"/>
  <c r="DO223" i="11"/>
  <c r="DP223" i="11"/>
  <c r="DQ223" i="11" s="1"/>
  <c r="DW223" i="11"/>
  <c r="DX223" i="11"/>
  <c r="DY223" i="11" s="1"/>
  <c r="EE223" i="11"/>
  <c r="EF223" i="11" s="1"/>
  <c r="EM223" i="11"/>
  <c r="EN223" i="11" s="1"/>
  <c r="ER223" i="11"/>
  <c r="ES223" i="11"/>
  <c r="EW223" i="11"/>
  <c r="EX223" i="11"/>
  <c r="FB223" i="11"/>
  <c r="FC223" i="11"/>
  <c r="FG223" i="11"/>
  <c r="FH223" i="11" s="1"/>
  <c r="FL223" i="11"/>
  <c r="FM223" i="11" s="1"/>
  <c r="HE223" i="11"/>
  <c r="HF223" i="11" s="1"/>
  <c r="H224" i="11"/>
  <c r="I224" i="11"/>
  <c r="J224" i="11" s="1"/>
  <c r="P224" i="11"/>
  <c r="Q224" i="11" s="1"/>
  <c r="U224" i="11"/>
  <c r="V224" i="11" s="1"/>
  <c r="AB224" i="11"/>
  <c r="AC224" i="11" s="1"/>
  <c r="AG224" i="11"/>
  <c r="AH224" i="11" s="1"/>
  <c r="AN224" i="11"/>
  <c r="AO224" i="11" s="1"/>
  <c r="AU224" i="11"/>
  <c r="AV224" i="11"/>
  <c r="AW224" i="11" s="1"/>
  <c r="BD224" i="11"/>
  <c r="BE224" i="11" s="1"/>
  <c r="BF224" i="11" s="1"/>
  <c r="BN224" i="11"/>
  <c r="BO224" i="11" s="1"/>
  <c r="BP224" i="11" s="1"/>
  <c r="BV224" i="11"/>
  <c r="BW224" i="11" s="1"/>
  <c r="BX224" i="11" s="1"/>
  <c r="CD224" i="11"/>
  <c r="CE224" i="11"/>
  <c r="CL224" i="11"/>
  <c r="CM224" i="11" s="1"/>
  <c r="CQ224" i="11"/>
  <c r="CR224" i="11" s="1"/>
  <c r="CY224" i="11"/>
  <c r="CZ224" i="11" s="1"/>
  <c r="DG224" i="11"/>
  <c r="DH224" i="11"/>
  <c r="DI224" i="11" s="1"/>
  <c r="DO224" i="11"/>
  <c r="DP224" i="11" s="1"/>
  <c r="DQ224" i="11" s="1"/>
  <c r="DW224" i="11"/>
  <c r="DX224" i="11"/>
  <c r="DY224" i="11" s="1"/>
  <c r="EE224" i="11"/>
  <c r="EF224" i="11" s="1"/>
  <c r="EM224" i="11"/>
  <c r="EN224" i="11" s="1"/>
  <c r="ER224" i="11"/>
  <c r="ES224" i="11" s="1"/>
  <c r="EW224" i="11"/>
  <c r="EX224" i="11" s="1"/>
  <c r="FB224" i="11"/>
  <c r="FC224" i="11" s="1"/>
  <c r="FG224" i="11"/>
  <c r="FH224" i="11" s="1"/>
  <c r="FL224" i="11"/>
  <c r="FM224" i="11" s="1"/>
  <c r="HE224" i="11"/>
  <c r="HF224" i="11"/>
  <c r="H225" i="11"/>
  <c r="I225" i="11" s="1"/>
  <c r="J225" i="11" s="1"/>
  <c r="P225" i="11"/>
  <c r="Q225" i="11" s="1"/>
  <c r="U225" i="11"/>
  <c r="AB225" i="11"/>
  <c r="AC225" i="11" s="1"/>
  <c r="AG225" i="11"/>
  <c r="AH225" i="11"/>
  <c r="AN225" i="11"/>
  <c r="AO225" i="11"/>
  <c r="AU225" i="11"/>
  <c r="AV225" i="11"/>
  <c r="AW225" i="11" s="1"/>
  <c r="BD225" i="11"/>
  <c r="BE225" i="11" s="1"/>
  <c r="BF225" i="11" s="1"/>
  <c r="BN225" i="11"/>
  <c r="BO225" i="11" s="1"/>
  <c r="BP225" i="11" s="1"/>
  <c r="BV225" i="11"/>
  <c r="BW225" i="11"/>
  <c r="BX225" i="11" s="1"/>
  <c r="CD225" i="11"/>
  <c r="CE225" i="11" s="1"/>
  <c r="CL225" i="11"/>
  <c r="CM225" i="11" s="1"/>
  <c r="CQ225" i="11"/>
  <c r="CR225" i="11" s="1"/>
  <c r="CY225" i="11"/>
  <c r="CZ225" i="11"/>
  <c r="DA225" i="11" s="1"/>
  <c r="DG225" i="11"/>
  <c r="DH225" i="11"/>
  <c r="DI225" i="11" s="1"/>
  <c r="DO225" i="11"/>
  <c r="DP225" i="11" s="1"/>
  <c r="DQ225" i="11" s="1"/>
  <c r="DW225" i="11"/>
  <c r="DX225" i="11" s="1"/>
  <c r="DY225" i="11" s="1"/>
  <c r="EE225" i="11"/>
  <c r="EF225" i="11" s="1"/>
  <c r="EG225" i="11" s="1"/>
  <c r="EM225" i="11"/>
  <c r="EN225" i="11" s="1"/>
  <c r="ER225" i="11"/>
  <c r="ES225" i="11" s="1"/>
  <c r="EW225" i="11"/>
  <c r="EX225" i="11" s="1"/>
  <c r="FB225" i="11"/>
  <c r="FC225" i="11"/>
  <c r="FG225" i="11"/>
  <c r="FH225" i="11"/>
  <c r="FL225" i="11"/>
  <c r="FM225" i="11"/>
  <c r="HE225" i="11"/>
  <c r="HF225" i="11" s="1"/>
  <c r="H226" i="11"/>
  <c r="I226" i="11" s="1"/>
  <c r="J226" i="11" s="1"/>
  <c r="P226" i="11"/>
  <c r="Q226" i="11" s="1"/>
  <c r="U226" i="11"/>
  <c r="V226" i="11" s="1"/>
  <c r="AB226" i="11"/>
  <c r="AC226" i="11" s="1"/>
  <c r="AG226" i="11"/>
  <c r="AN226" i="11"/>
  <c r="AO226" i="11" s="1"/>
  <c r="AU226" i="11"/>
  <c r="AV226" i="11" s="1"/>
  <c r="AW226" i="11" s="1"/>
  <c r="BD226" i="11"/>
  <c r="BE226" i="11" s="1"/>
  <c r="BF226" i="11" s="1"/>
  <c r="BN226" i="11"/>
  <c r="BO226" i="11" s="1"/>
  <c r="BP226" i="11" s="1"/>
  <c r="BV226" i="11"/>
  <c r="BW226" i="11" s="1"/>
  <c r="BX226" i="11" s="1"/>
  <c r="CD226" i="11"/>
  <c r="CE226" i="11"/>
  <c r="CF226" i="11" s="1"/>
  <c r="CL226" i="11"/>
  <c r="CM226" i="11" s="1"/>
  <c r="CQ226" i="11"/>
  <c r="CR226" i="11" s="1"/>
  <c r="CS226" i="11" s="1"/>
  <c r="CY226" i="11"/>
  <c r="CZ226" i="11" s="1"/>
  <c r="DA226" i="11" s="1"/>
  <c r="DG226" i="11"/>
  <c r="DH226" i="11"/>
  <c r="DO226" i="11"/>
  <c r="DP226" i="11" s="1"/>
  <c r="DQ226" i="11" s="1"/>
  <c r="DW226" i="11"/>
  <c r="DX226" i="11" s="1"/>
  <c r="DY226" i="11" s="1"/>
  <c r="EE226" i="11"/>
  <c r="EF226" i="11"/>
  <c r="EG226" i="11" s="1"/>
  <c r="EM226" i="11"/>
  <c r="EN226" i="11" s="1"/>
  <c r="ER226" i="11"/>
  <c r="ES226" i="11" s="1"/>
  <c r="EW226" i="11"/>
  <c r="EX226" i="11" s="1"/>
  <c r="FB226" i="11"/>
  <c r="FC226" i="11" s="1"/>
  <c r="FG226" i="11"/>
  <c r="FH226" i="11" s="1"/>
  <c r="FL226" i="11"/>
  <c r="FM226" i="11" s="1"/>
  <c r="HE226" i="11"/>
  <c r="HF226" i="11" s="1"/>
  <c r="H227" i="11"/>
  <c r="I227" i="11" s="1"/>
  <c r="J227" i="11" s="1"/>
  <c r="P227" i="11"/>
  <c r="Q227" i="11" s="1"/>
  <c r="U227" i="11"/>
  <c r="V227" i="11" s="1"/>
  <c r="AB227" i="11"/>
  <c r="AC227" i="11"/>
  <c r="AG227" i="11"/>
  <c r="AH227" i="11"/>
  <c r="AN227" i="11"/>
  <c r="AO227" i="11" s="1"/>
  <c r="AU227" i="11"/>
  <c r="AV227" i="11" s="1"/>
  <c r="AW227" i="11" s="1"/>
  <c r="BD227" i="11"/>
  <c r="BE227" i="11" s="1"/>
  <c r="BF227" i="11" s="1"/>
  <c r="BN227" i="11"/>
  <c r="BO227" i="11" s="1"/>
  <c r="BP227" i="11" s="1"/>
  <c r="BV227" i="11"/>
  <c r="BW227" i="11" s="1"/>
  <c r="BX227" i="11" s="1"/>
  <c r="CD227" i="11"/>
  <c r="CE227" i="11" s="1"/>
  <c r="CF227" i="11" s="1"/>
  <c r="CL227" i="11"/>
  <c r="CM227" i="11" s="1"/>
  <c r="CQ227" i="11"/>
  <c r="CR227" i="11" s="1"/>
  <c r="CS227" i="11"/>
  <c r="CY227" i="11"/>
  <c r="CZ227" i="11" s="1"/>
  <c r="DG227" i="11"/>
  <c r="DH227" i="11" s="1"/>
  <c r="DO227" i="11"/>
  <c r="DP227" i="11" s="1"/>
  <c r="DQ227" i="11" s="1"/>
  <c r="DW227" i="11"/>
  <c r="DX227" i="11" s="1"/>
  <c r="DY227" i="11" s="1"/>
  <c r="EE227" i="11"/>
  <c r="EF227" i="11" s="1"/>
  <c r="EM227" i="11"/>
  <c r="EN227" i="11" s="1"/>
  <c r="ER227" i="11"/>
  <c r="ES227" i="11" s="1"/>
  <c r="EW227" i="11"/>
  <c r="EX227" i="11" s="1"/>
  <c r="FB227" i="11"/>
  <c r="FC227" i="11" s="1"/>
  <c r="FG227" i="11"/>
  <c r="FH227" i="11" s="1"/>
  <c r="FL227" i="11"/>
  <c r="FM227" i="11" s="1"/>
  <c r="HE227" i="11"/>
  <c r="HF227" i="11" s="1"/>
  <c r="H228" i="11"/>
  <c r="I228" i="11" s="1"/>
  <c r="J228" i="11" s="1"/>
  <c r="P228" i="11"/>
  <c r="Q228" i="11" s="1"/>
  <c r="U228" i="11"/>
  <c r="V228" i="11" s="1"/>
  <c r="AB228" i="11"/>
  <c r="AC228" i="11"/>
  <c r="AG228" i="11"/>
  <c r="AH228" i="11"/>
  <c r="AN228" i="11"/>
  <c r="AO228" i="11" s="1"/>
  <c r="AU228" i="11"/>
  <c r="AV228" i="11" s="1"/>
  <c r="AW228" i="11" s="1"/>
  <c r="BD228" i="11"/>
  <c r="BE228" i="11" s="1"/>
  <c r="BF228" i="11" s="1"/>
  <c r="BN228" i="11"/>
  <c r="BO228" i="11" s="1"/>
  <c r="BP228" i="11" s="1"/>
  <c r="BV228" i="11"/>
  <c r="BW228" i="11"/>
  <c r="BX228" i="11" s="1"/>
  <c r="CD228" i="11"/>
  <c r="CE228" i="11"/>
  <c r="CL228" i="11"/>
  <c r="CM228" i="11"/>
  <c r="CQ228" i="11"/>
  <c r="CR228" i="11"/>
  <c r="CY228" i="11"/>
  <c r="CZ228" i="11"/>
  <c r="DA228" i="11" s="1"/>
  <c r="DG228" i="11"/>
  <c r="DH228" i="11"/>
  <c r="DI228" i="11" s="1"/>
  <c r="DO228" i="11"/>
  <c r="DP228" i="11" s="1"/>
  <c r="DQ228" i="11"/>
  <c r="DW228" i="11"/>
  <c r="DX228" i="11" s="1"/>
  <c r="DY228" i="11" s="1"/>
  <c r="EE228" i="11"/>
  <c r="EF228" i="11" s="1"/>
  <c r="EM228" i="11"/>
  <c r="EN228" i="11" s="1"/>
  <c r="ER228" i="11"/>
  <c r="ES228" i="11" s="1"/>
  <c r="EW228" i="11"/>
  <c r="EX228" i="11" s="1"/>
  <c r="FB228" i="11"/>
  <c r="FC228" i="11" s="1"/>
  <c r="FG228" i="11"/>
  <c r="FH228" i="11"/>
  <c r="FL228" i="11"/>
  <c r="FM228" i="11"/>
  <c r="HE228" i="11"/>
  <c r="HF228" i="11"/>
  <c r="H229" i="11"/>
  <c r="I229" i="11"/>
  <c r="J229" i="11" s="1"/>
  <c r="P229" i="11"/>
  <c r="Q229" i="11"/>
  <c r="U229" i="11"/>
  <c r="V229" i="11"/>
  <c r="AB229" i="11"/>
  <c r="AC229" i="11" s="1"/>
  <c r="AG229" i="11"/>
  <c r="AH229" i="11" s="1"/>
  <c r="AN229" i="11"/>
  <c r="AO229" i="11"/>
  <c r="AU229" i="11"/>
  <c r="AV229" i="11" s="1"/>
  <c r="AW229" i="11" s="1"/>
  <c r="BD229" i="11"/>
  <c r="BE229" i="11" s="1"/>
  <c r="BF229" i="11" s="1"/>
  <c r="BN229" i="11"/>
  <c r="BO229" i="11" s="1"/>
  <c r="BP229" i="11" s="1"/>
  <c r="BV229" i="11"/>
  <c r="BW229" i="11" s="1"/>
  <c r="BX229" i="11" s="1"/>
  <c r="CD229" i="11"/>
  <c r="CE229" i="11" s="1"/>
  <c r="CL229" i="11"/>
  <c r="CM229" i="11" s="1"/>
  <c r="CQ229" i="11"/>
  <c r="CR229" i="11" s="1"/>
  <c r="CY229" i="11"/>
  <c r="CZ229" i="11" s="1"/>
  <c r="DA229" i="11" s="1"/>
  <c r="DG229" i="11"/>
  <c r="DH229" i="11" s="1"/>
  <c r="DO229" i="11"/>
  <c r="DP229" i="11" s="1"/>
  <c r="DQ229" i="11" s="1"/>
  <c r="DW229" i="11"/>
  <c r="DX229" i="11" s="1"/>
  <c r="DY229" i="11" s="1"/>
  <c r="EE229" i="11"/>
  <c r="EF229" i="11" s="1"/>
  <c r="EG229" i="11" s="1"/>
  <c r="EM229" i="11"/>
  <c r="EN229" i="11" s="1"/>
  <c r="ER229" i="11"/>
  <c r="ES229" i="11" s="1"/>
  <c r="EW229" i="11"/>
  <c r="EX229" i="11" s="1"/>
  <c r="FB229" i="11"/>
  <c r="FC229" i="11" s="1"/>
  <c r="FG229" i="11"/>
  <c r="FH229" i="11" s="1"/>
  <c r="FL229" i="11"/>
  <c r="FM229" i="11" s="1"/>
  <c r="HE229" i="11"/>
  <c r="HF229" i="11" s="1"/>
  <c r="H230" i="11"/>
  <c r="I230" i="11" s="1"/>
  <c r="J230" i="11" s="1"/>
  <c r="P230" i="11"/>
  <c r="Q230" i="11" s="1"/>
  <c r="U230" i="11"/>
  <c r="V230" i="11" s="1"/>
  <c r="AB230" i="11"/>
  <c r="AC230" i="11" s="1"/>
  <c r="AG230" i="11"/>
  <c r="AH230" i="11" s="1"/>
  <c r="AN230" i="11"/>
  <c r="AO230" i="11" s="1"/>
  <c r="AU230" i="11"/>
  <c r="AV230" i="11"/>
  <c r="AW230" i="11" s="1"/>
  <c r="BD230" i="11"/>
  <c r="BE230" i="11"/>
  <c r="BF230" i="11" s="1"/>
  <c r="BN230" i="11"/>
  <c r="BO230" i="11"/>
  <c r="BP230" i="11" s="1"/>
  <c r="BV230" i="11"/>
  <c r="BW230" i="11"/>
  <c r="BX230" i="11" s="1"/>
  <c r="CD230" i="11"/>
  <c r="CE230" i="11"/>
  <c r="CF230" i="11" s="1"/>
  <c r="CL230" i="11"/>
  <c r="CM230" i="11" s="1"/>
  <c r="CQ230" i="11"/>
  <c r="CR230" i="11" s="1"/>
  <c r="CS230" i="11" s="1"/>
  <c r="CY230" i="11"/>
  <c r="CZ230" i="11" s="1"/>
  <c r="DA230" i="11" s="1"/>
  <c r="DG230" i="11"/>
  <c r="DH230" i="11" s="1"/>
  <c r="DO230" i="11"/>
  <c r="DP230" i="11" s="1"/>
  <c r="DQ230" i="11" s="1"/>
  <c r="DW230" i="11"/>
  <c r="DX230" i="11" s="1"/>
  <c r="DY230" i="11" s="1"/>
  <c r="EE230" i="11"/>
  <c r="EF230" i="11" s="1"/>
  <c r="EM230" i="11"/>
  <c r="EN230" i="11" s="1"/>
  <c r="ER230" i="11"/>
  <c r="ES230" i="11" s="1"/>
  <c r="EW230" i="11"/>
  <c r="EX230" i="11" s="1"/>
  <c r="FB230" i="11"/>
  <c r="FC230" i="11" s="1"/>
  <c r="FG230" i="11"/>
  <c r="FH230" i="11" s="1"/>
  <c r="FL230" i="11"/>
  <c r="FM230" i="11" s="1"/>
  <c r="HE230" i="11"/>
  <c r="HF230" i="11" s="1"/>
  <c r="H231" i="11"/>
  <c r="I231" i="11" s="1"/>
  <c r="J231" i="11" s="1"/>
  <c r="P231" i="11"/>
  <c r="Q231" i="11" s="1"/>
  <c r="U231" i="11"/>
  <c r="V231" i="11" s="1"/>
  <c r="AB231" i="11"/>
  <c r="AC231" i="11"/>
  <c r="AG231" i="11"/>
  <c r="AH231" i="11" s="1"/>
  <c r="AN231" i="11"/>
  <c r="AO231" i="11" s="1"/>
  <c r="AU231" i="11"/>
  <c r="AV231" i="11" s="1"/>
  <c r="AW231" i="11" s="1"/>
  <c r="BD231" i="11"/>
  <c r="BE231" i="11"/>
  <c r="BF231" i="11" s="1"/>
  <c r="BN231" i="11"/>
  <c r="BO231" i="11" s="1"/>
  <c r="BP231" i="11"/>
  <c r="BV231" i="11"/>
  <c r="BW231" i="11" s="1"/>
  <c r="BX231" i="11" s="1"/>
  <c r="CD231" i="11"/>
  <c r="CE231" i="11" s="1"/>
  <c r="CL231" i="11"/>
  <c r="CM231" i="11" s="1"/>
  <c r="CQ231" i="11"/>
  <c r="CR231" i="11" s="1"/>
  <c r="CY231" i="11"/>
  <c r="CZ231" i="11"/>
  <c r="DA231" i="11" s="1"/>
  <c r="DG231" i="11"/>
  <c r="DH231" i="11"/>
  <c r="DI231" i="11" s="1"/>
  <c r="DO231" i="11"/>
  <c r="DP231" i="11"/>
  <c r="DQ231" i="11" s="1"/>
  <c r="DW231" i="11"/>
  <c r="DX231" i="11" s="1"/>
  <c r="DY231" i="11" s="1"/>
  <c r="EE231" i="11"/>
  <c r="EF231" i="11" s="1"/>
  <c r="EM231" i="11"/>
  <c r="EN231" i="11" s="1"/>
  <c r="ER231" i="11"/>
  <c r="ES231" i="11" s="1"/>
  <c r="EW231" i="11"/>
  <c r="EX231" i="11" s="1"/>
  <c r="FB231" i="11"/>
  <c r="FC231" i="11" s="1"/>
  <c r="FG231" i="11"/>
  <c r="FH231" i="11" s="1"/>
  <c r="FL231" i="11"/>
  <c r="FM231" i="11" s="1"/>
  <c r="HE231" i="11"/>
  <c r="HF231" i="11" s="1"/>
  <c r="H232" i="11"/>
  <c r="I232" i="11" s="1"/>
  <c r="J232" i="11" s="1"/>
  <c r="P232" i="11"/>
  <c r="Q232" i="11" s="1"/>
  <c r="U232" i="11"/>
  <c r="V232" i="11" s="1"/>
  <c r="AB232" i="11"/>
  <c r="AC232" i="11" s="1"/>
  <c r="AG232" i="11"/>
  <c r="AH232" i="11" s="1"/>
  <c r="AN232" i="11"/>
  <c r="AO232" i="11" s="1"/>
  <c r="AU232" i="11"/>
  <c r="AV232" i="11" s="1"/>
  <c r="AW232" i="11" s="1"/>
  <c r="BD232" i="11"/>
  <c r="BE232" i="11" s="1"/>
  <c r="BF232" i="11" s="1"/>
  <c r="BN232" i="11"/>
  <c r="BO232" i="11"/>
  <c r="BP232" i="11" s="1"/>
  <c r="BV232" i="11"/>
  <c r="BW232" i="11" s="1"/>
  <c r="BX232" i="11" s="1"/>
  <c r="CD232" i="11"/>
  <c r="CE232" i="11" s="1"/>
  <c r="CL232" i="11"/>
  <c r="CM232" i="11" s="1"/>
  <c r="CQ232" i="11"/>
  <c r="CR232" i="11" s="1"/>
  <c r="CY232" i="11"/>
  <c r="CZ232" i="11" s="1"/>
  <c r="DA232" i="11" s="1"/>
  <c r="DG232" i="11"/>
  <c r="DH232" i="11" s="1"/>
  <c r="DI232" i="11" s="1"/>
  <c r="DO232" i="11"/>
  <c r="DP232" i="11" s="1"/>
  <c r="DQ232" i="11" s="1"/>
  <c r="DW232" i="11"/>
  <c r="DX232" i="11" s="1"/>
  <c r="DY232" i="11" s="1"/>
  <c r="EE232" i="11"/>
  <c r="EF232" i="11" s="1"/>
  <c r="EG232" i="11" s="1"/>
  <c r="EM232" i="11"/>
  <c r="EN232" i="11" s="1"/>
  <c r="ER232" i="11"/>
  <c r="ES232" i="11" s="1"/>
  <c r="EW232" i="11"/>
  <c r="EX232" i="11" s="1"/>
  <c r="FB232" i="11"/>
  <c r="FC232" i="11" s="1"/>
  <c r="FG232" i="11"/>
  <c r="FH232" i="11" s="1"/>
  <c r="FL232" i="11"/>
  <c r="FM232" i="11" s="1"/>
  <c r="HE232" i="11"/>
  <c r="HF232" i="11" s="1"/>
  <c r="H233" i="11"/>
  <c r="I233" i="11" s="1"/>
  <c r="J233" i="11" s="1"/>
  <c r="P233" i="11"/>
  <c r="Q233" i="11" s="1"/>
  <c r="U233" i="11"/>
  <c r="V233" i="11" s="1"/>
  <c r="AB233" i="11"/>
  <c r="AC233" i="11" s="1"/>
  <c r="AG233" i="11"/>
  <c r="AH233" i="11"/>
  <c r="AN233" i="11"/>
  <c r="AO233" i="11" s="1"/>
  <c r="AU233" i="11"/>
  <c r="AV233" i="11"/>
  <c r="AW233" i="11" s="1"/>
  <c r="BD233" i="11"/>
  <c r="BE233" i="11"/>
  <c r="BF233" i="11" s="1"/>
  <c r="BN233" i="11"/>
  <c r="BO233" i="11"/>
  <c r="BP233" i="11" s="1"/>
  <c r="BV233" i="11"/>
  <c r="BW233" i="11"/>
  <c r="BX233" i="11" s="1"/>
  <c r="CD233" i="11"/>
  <c r="CE233" i="11"/>
  <c r="CF233" i="11" s="1"/>
  <c r="CL233" i="11"/>
  <c r="CM233" i="11"/>
  <c r="CQ233" i="11"/>
  <c r="CR233" i="11"/>
  <c r="CS233" i="11" s="1"/>
  <c r="CY233" i="11"/>
  <c r="CZ233" i="11"/>
  <c r="DA233" i="11" s="1"/>
  <c r="DG233" i="11"/>
  <c r="DH233" i="11" s="1"/>
  <c r="DI233" i="11" s="1"/>
  <c r="DO233" i="11"/>
  <c r="DP233" i="11" s="1"/>
  <c r="DQ233" i="11" s="1"/>
  <c r="DW233" i="11"/>
  <c r="DX233" i="11" s="1"/>
  <c r="DY233" i="11" s="1"/>
  <c r="EE233" i="11"/>
  <c r="EF233" i="11" s="1"/>
  <c r="EG233" i="11" s="1"/>
  <c r="EM233" i="11"/>
  <c r="EN233" i="11" s="1"/>
  <c r="ER233" i="11"/>
  <c r="ES233" i="11" s="1"/>
  <c r="EW233" i="11"/>
  <c r="EX233" i="11" s="1"/>
  <c r="FB233" i="11"/>
  <c r="FC233" i="11"/>
  <c r="FG233" i="11"/>
  <c r="FH233" i="11"/>
  <c r="FL233" i="11"/>
  <c r="FM233" i="11" s="1"/>
  <c r="HE233" i="11"/>
  <c r="HF233" i="11" s="1"/>
  <c r="H234" i="11"/>
  <c r="I234" i="11" s="1"/>
  <c r="J234" i="11" s="1"/>
  <c r="P234" i="11"/>
  <c r="Q234" i="11" s="1"/>
  <c r="U234" i="11"/>
  <c r="AB234" i="11"/>
  <c r="AC234" i="11"/>
  <c r="AG234" i="11"/>
  <c r="AH234" i="11"/>
  <c r="AN234" i="11"/>
  <c r="AO234" i="11"/>
  <c r="AU234" i="11"/>
  <c r="AV234" i="11"/>
  <c r="AW234" i="11" s="1"/>
  <c r="BD234" i="11"/>
  <c r="BE234" i="11"/>
  <c r="BF234" i="11" s="1"/>
  <c r="BN234" i="11"/>
  <c r="BO234" i="11"/>
  <c r="BP234" i="11" s="1"/>
  <c r="BV234" i="11"/>
  <c r="BW234" i="11" s="1"/>
  <c r="BX234" i="11" s="1"/>
  <c r="CD234" i="11"/>
  <c r="CE234" i="11" s="1"/>
  <c r="CF234" i="11" s="1"/>
  <c r="CL234" i="11"/>
  <c r="CM234" i="11"/>
  <c r="CQ234" i="11"/>
  <c r="CR234" i="11"/>
  <c r="CS234" i="11" s="1"/>
  <c r="CY234" i="11"/>
  <c r="CZ234" i="11" s="1"/>
  <c r="DA234" i="11" s="1"/>
  <c r="DG234" i="11"/>
  <c r="DH234" i="11" s="1"/>
  <c r="DI234" i="11" s="1"/>
  <c r="DO234" i="11"/>
  <c r="DP234" i="11" s="1"/>
  <c r="DQ234" i="11" s="1"/>
  <c r="DW234" i="11"/>
  <c r="DX234" i="11" s="1"/>
  <c r="DY234" i="11" s="1"/>
  <c r="EE234" i="11"/>
  <c r="EF234" i="11" s="1"/>
  <c r="EM234" i="11"/>
  <c r="EN234" i="11"/>
  <c r="ER234" i="11"/>
  <c r="ES234" i="11"/>
  <c r="EW234" i="11"/>
  <c r="EX234" i="11" s="1"/>
  <c r="FB234" i="11"/>
  <c r="FC234" i="11" s="1"/>
  <c r="FG234" i="11"/>
  <c r="FH234" i="11" s="1"/>
  <c r="FL234" i="11"/>
  <c r="FM234" i="11"/>
  <c r="HE234" i="11"/>
  <c r="HF234" i="11"/>
  <c r="H235" i="11"/>
  <c r="I235" i="11"/>
  <c r="J235" i="11" s="1"/>
  <c r="P235" i="11"/>
  <c r="Q235" i="11" s="1"/>
  <c r="U235" i="11"/>
  <c r="V235" i="11"/>
  <c r="AB235" i="11"/>
  <c r="AC235" i="11" s="1"/>
  <c r="AG235" i="11"/>
  <c r="AN235" i="11"/>
  <c r="AO235" i="11"/>
  <c r="AU235" i="11"/>
  <c r="AV235" i="11" s="1"/>
  <c r="AW235" i="11" s="1"/>
  <c r="BD235" i="11"/>
  <c r="BE235" i="11" s="1"/>
  <c r="BF235" i="11" s="1"/>
  <c r="BN235" i="11"/>
  <c r="BO235" i="11"/>
  <c r="BP235" i="11"/>
  <c r="BV235" i="11"/>
  <c r="BW235" i="11" s="1"/>
  <c r="BX235" i="11" s="1"/>
  <c r="CD235" i="11"/>
  <c r="CE235" i="11" s="1"/>
  <c r="CF235" i="11" s="1"/>
  <c r="CL235" i="11"/>
  <c r="CM235" i="11" s="1"/>
  <c r="CQ235" i="11"/>
  <c r="CR235" i="11"/>
  <c r="CS235" i="11" s="1"/>
  <c r="CY235" i="11"/>
  <c r="CZ235" i="11" s="1"/>
  <c r="DA235" i="11" s="1"/>
  <c r="DG235" i="11"/>
  <c r="DH235" i="11"/>
  <c r="DO235" i="11"/>
  <c r="DP235" i="11"/>
  <c r="DQ235" i="11"/>
  <c r="DW235" i="11"/>
  <c r="DX235" i="11" s="1"/>
  <c r="DY235" i="11" s="1"/>
  <c r="EE235" i="11"/>
  <c r="EF235" i="11" s="1"/>
  <c r="EM235" i="11"/>
  <c r="EN235" i="11"/>
  <c r="ER235" i="11"/>
  <c r="ES235" i="11" s="1"/>
  <c r="EW235" i="11"/>
  <c r="EX235" i="11"/>
  <c r="FB235" i="11"/>
  <c r="FC235" i="11" s="1"/>
  <c r="FG235" i="11"/>
  <c r="FH235" i="11" s="1"/>
  <c r="FL235" i="11"/>
  <c r="FM235" i="11" s="1"/>
  <c r="HE235" i="11"/>
  <c r="HF235" i="11"/>
  <c r="H236" i="11"/>
  <c r="I236" i="11" s="1"/>
  <c r="J236" i="11" s="1"/>
  <c r="P236" i="11"/>
  <c r="Q236" i="11"/>
  <c r="U236" i="11"/>
  <c r="V236" i="11"/>
  <c r="AB236" i="11"/>
  <c r="AC236" i="11" s="1"/>
  <c r="AG236" i="11"/>
  <c r="AH236" i="11" s="1"/>
  <c r="AN236" i="11"/>
  <c r="AO236" i="11" s="1"/>
  <c r="AU236" i="11"/>
  <c r="AV236" i="11"/>
  <c r="AW236" i="11" s="1"/>
  <c r="BD236" i="11"/>
  <c r="BE236" i="11" s="1"/>
  <c r="BF236" i="11"/>
  <c r="BN236" i="11"/>
  <c r="BO236" i="11"/>
  <c r="BP236" i="11" s="1"/>
  <c r="BV236" i="11"/>
  <c r="BW236" i="11" s="1"/>
  <c r="BX236" i="11" s="1"/>
  <c r="CD236" i="11"/>
  <c r="CE236" i="11" s="1"/>
  <c r="CF236" i="11" s="1"/>
  <c r="CL236" i="11"/>
  <c r="CM236" i="11" s="1"/>
  <c r="CQ236" i="11"/>
  <c r="CR236" i="11" s="1"/>
  <c r="CS236" i="11"/>
  <c r="CY236" i="11"/>
  <c r="CZ236" i="11" s="1"/>
  <c r="DA236" i="11" s="1"/>
  <c r="DG236" i="11"/>
  <c r="DH236" i="11" s="1"/>
  <c r="DO236" i="11"/>
  <c r="DP236" i="11"/>
  <c r="DQ236" i="11" s="1"/>
  <c r="DW236" i="11"/>
  <c r="DX236" i="11"/>
  <c r="DY236" i="11" s="1"/>
  <c r="EE236" i="11"/>
  <c r="EF236" i="11"/>
  <c r="EM236" i="11"/>
  <c r="EN236" i="11"/>
  <c r="ER236" i="11"/>
  <c r="ES236" i="11"/>
  <c r="EW236" i="11"/>
  <c r="EX236" i="11"/>
  <c r="FB236" i="11"/>
  <c r="FC236" i="11"/>
  <c r="FG236" i="11"/>
  <c r="FH236" i="11" s="1"/>
  <c r="FL236" i="11"/>
  <c r="FM236" i="11" s="1"/>
  <c r="HE236" i="11"/>
  <c r="HF236" i="11" s="1"/>
  <c r="H237" i="11"/>
  <c r="I237" i="11" s="1"/>
  <c r="J237" i="11" s="1"/>
  <c r="P237" i="11"/>
  <c r="Q237" i="11" s="1"/>
  <c r="U237" i="11"/>
  <c r="V237" i="11" s="1"/>
  <c r="AB237" i="11"/>
  <c r="AC237" i="11"/>
  <c r="AG237" i="11"/>
  <c r="AH237" i="11"/>
  <c r="AN237" i="11"/>
  <c r="AO237" i="11" s="1"/>
  <c r="AU237" i="11"/>
  <c r="AV237" i="11" s="1"/>
  <c r="AW237" i="11" s="1"/>
  <c r="BD237" i="11"/>
  <c r="BE237" i="11"/>
  <c r="BF237" i="11" s="1"/>
  <c r="BN237" i="11"/>
  <c r="BO237" i="11" s="1"/>
  <c r="BP237" i="11" s="1"/>
  <c r="BV237" i="11"/>
  <c r="BW237" i="11" s="1"/>
  <c r="BX237" i="11" s="1"/>
  <c r="CD237" i="11"/>
  <c r="CE237" i="11" s="1"/>
  <c r="CL237" i="11"/>
  <c r="CM237" i="11"/>
  <c r="CQ237" i="11"/>
  <c r="CR237" i="11" s="1"/>
  <c r="CY237" i="11"/>
  <c r="CZ237" i="11" s="1"/>
  <c r="DA237" i="11" s="1"/>
  <c r="DG237" i="11"/>
  <c r="DH237" i="11"/>
  <c r="DI237" i="11"/>
  <c r="DO237" i="11"/>
  <c r="DP237" i="11" s="1"/>
  <c r="DQ237" i="11" s="1"/>
  <c r="DW237" i="11"/>
  <c r="DX237" i="11" s="1"/>
  <c r="DY237" i="11"/>
  <c r="EE237" i="11"/>
  <c r="EF237" i="11" s="1"/>
  <c r="EM237" i="11"/>
  <c r="EN237" i="11" s="1"/>
  <c r="ER237" i="11"/>
  <c r="ES237" i="11" s="1"/>
  <c r="EW237" i="11"/>
  <c r="EX237" i="11" s="1"/>
  <c r="FB237" i="11"/>
  <c r="FC237" i="11" s="1"/>
  <c r="FG237" i="11"/>
  <c r="FH237" i="11" s="1"/>
  <c r="FL237" i="11"/>
  <c r="FM237" i="11" s="1"/>
  <c r="HE237" i="11"/>
  <c r="HF237" i="11" s="1"/>
  <c r="H238" i="11"/>
  <c r="I238" i="11"/>
  <c r="J238" i="11"/>
  <c r="P238" i="11"/>
  <c r="Q238" i="11"/>
  <c r="U238" i="11"/>
  <c r="V238" i="11"/>
  <c r="AB238" i="11"/>
  <c r="AC238" i="11" s="1"/>
  <c r="AG238" i="11"/>
  <c r="AH238" i="11" s="1"/>
  <c r="AN238" i="11"/>
  <c r="AO238" i="11"/>
  <c r="AU238" i="11"/>
  <c r="AV238" i="11" s="1"/>
  <c r="AW238" i="11" s="1"/>
  <c r="BD238" i="11"/>
  <c r="BE238" i="11" s="1"/>
  <c r="BF238" i="11" s="1"/>
  <c r="BN238" i="11"/>
  <c r="BO238" i="11" s="1"/>
  <c r="BP238" i="11" s="1"/>
  <c r="BV238" i="11"/>
  <c r="BW238" i="11" s="1"/>
  <c r="BX238" i="11" s="1"/>
  <c r="CD238" i="11"/>
  <c r="CE238" i="11" s="1"/>
  <c r="CL238" i="11"/>
  <c r="CM238" i="11" s="1"/>
  <c r="CQ238" i="11"/>
  <c r="CR238" i="11" s="1"/>
  <c r="CY238" i="11"/>
  <c r="CZ238" i="11"/>
  <c r="DA238" i="11" s="1"/>
  <c r="DG238" i="11"/>
  <c r="DH238" i="11"/>
  <c r="DI238" i="11" s="1"/>
  <c r="DO238" i="11"/>
  <c r="DP238" i="11"/>
  <c r="DQ238" i="11" s="1"/>
  <c r="DW238" i="11"/>
  <c r="DX238" i="11"/>
  <c r="DY238" i="11" s="1"/>
  <c r="EE238" i="11"/>
  <c r="EF238" i="11" s="1"/>
  <c r="EM238" i="11"/>
  <c r="EN238" i="11" s="1"/>
  <c r="ER238" i="11"/>
  <c r="ES238" i="11" s="1"/>
  <c r="EW238" i="11"/>
  <c r="EX238" i="11" s="1"/>
  <c r="FB238" i="11"/>
  <c r="FC238" i="11"/>
  <c r="FG238" i="11"/>
  <c r="FH238" i="11" s="1"/>
  <c r="FL238" i="11"/>
  <c r="FM238" i="11" s="1"/>
  <c r="HE238" i="11"/>
  <c r="HF238" i="11" s="1"/>
  <c r="H239" i="11"/>
  <c r="I239" i="11"/>
  <c r="J239" i="11" s="1"/>
  <c r="P239" i="11"/>
  <c r="Q239" i="11"/>
  <c r="U239" i="11"/>
  <c r="V239" i="11"/>
  <c r="AB239" i="11"/>
  <c r="AC239" i="11"/>
  <c r="AG239" i="11"/>
  <c r="AH239" i="11"/>
  <c r="AN239" i="11"/>
  <c r="AO239" i="11" s="1"/>
  <c r="AU239" i="11"/>
  <c r="AV239" i="11" s="1"/>
  <c r="AW239" i="11" s="1"/>
  <c r="BD239" i="11"/>
  <c r="BE239" i="11"/>
  <c r="BF239" i="11" s="1"/>
  <c r="BN239" i="11"/>
  <c r="BO239" i="11" s="1"/>
  <c r="BP239" i="11" s="1"/>
  <c r="BV239" i="11"/>
  <c r="BW239" i="11" s="1"/>
  <c r="BX239" i="11" s="1"/>
  <c r="CD239" i="11"/>
  <c r="CE239" i="11" s="1"/>
  <c r="CL239" i="11"/>
  <c r="CM239" i="11" s="1"/>
  <c r="CQ239" i="11"/>
  <c r="CR239" i="11" s="1"/>
  <c r="CY239" i="11"/>
  <c r="CZ239" i="11" s="1"/>
  <c r="DA239" i="11" s="1"/>
  <c r="DG239" i="11"/>
  <c r="DH239" i="11" s="1"/>
  <c r="DI239" i="11"/>
  <c r="DO239" i="11"/>
  <c r="DP239" i="11" s="1"/>
  <c r="DQ239" i="11" s="1"/>
  <c r="DW239" i="11"/>
  <c r="DX239" i="11" s="1"/>
  <c r="DY239" i="11" s="1"/>
  <c r="EE239" i="11"/>
  <c r="EF239" i="11"/>
  <c r="EG239" i="11" s="1"/>
  <c r="EM239" i="11"/>
  <c r="EN239" i="11"/>
  <c r="ER239" i="11"/>
  <c r="ES239" i="11"/>
  <c r="EW239" i="11"/>
  <c r="EX239" i="11"/>
  <c r="FB239" i="11"/>
  <c r="FC239" i="11" s="1"/>
  <c r="FG239" i="11"/>
  <c r="FH239" i="11" s="1"/>
  <c r="FL239" i="11"/>
  <c r="FM239" i="11" s="1"/>
  <c r="HE239" i="11"/>
  <c r="HF239" i="11" s="1"/>
  <c r="H240" i="11"/>
  <c r="I240" i="11" s="1"/>
  <c r="J240" i="11"/>
  <c r="P240" i="11"/>
  <c r="Q240" i="11" s="1"/>
  <c r="U240" i="11"/>
  <c r="V240" i="11" s="1"/>
  <c r="AB240" i="11"/>
  <c r="AC240" i="11" s="1"/>
  <c r="AG240" i="11"/>
  <c r="AH240" i="11" s="1"/>
  <c r="AN240" i="11"/>
  <c r="AO240" i="11"/>
  <c r="AU240" i="11"/>
  <c r="AV240" i="11" s="1"/>
  <c r="AW240" i="11" s="1"/>
  <c r="BD240" i="11"/>
  <c r="BE240" i="11" s="1"/>
  <c r="BF240" i="11" s="1"/>
  <c r="BN240" i="11"/>
  <c r="BO240" i="11" s="1"/>
  <c r="BP240" i="11" s="1"/>
  <c r="BV240" i="11"/>
  <c r="BW240" i="11"/>
  <c r="BX240" i="11" s="1"/>
  <c r="CD240" i="11"/>
  <c r="CE240" i="11" s="1"/>
  <c r="CF240" i="11" s="1"/>
  <c r="CL240" i="11"/>
  <c r="CM240" i="11" s="1"/>
  <c r="CQ240" i="11"/>
  <c r="CR240" i="11" s="1"/>
  <c r="CS240" i="11" s="1"/>
  <c r="CY240" i="11"/>
  <c r="CZ240" i="11" s="1"/>
  <c r="DG240" i="11"/>
  <c r="DH240" i="11" s="1"/>
  <c r="DO240" i="11"/>
  <c r="DP240" i="11" s="1"/>
  <c r="DQ240" i="11" s="1"/>
  <c r="DW240" i="11"/>
  <c r="DX240" i="11" s="1"/>
  <c r="DY240" i="11" s="1"/>
  <c r="EE240" i="11"/>
  <c r="EF240" i="11"/>
  <c r="EG240" i="11" s="1"/>
  <c r="EM240" i="11"/>
  <c r="EN240" i="11" s="1"/>
  <c r="ER240" i="11"/>
  <c r="ES240" i="11" s="1"/>
  <c r="EW240" i="11"/>
  <c r="EX240" i="11" s="1"/>
  <c r="FB240" i="11"/>
  <c r="FC240" i="11"/>
  <c r="FG240" i="11"/>
  <c r="FH240" i="11" s="1"/>
  <c r="FL240" i="11"/>
  <c r="FM240" i="11" s="1"/>
  <c r="HE240" i="11"/>
  <c r="HF240" i="11" s="1"/>
  <c r="BB165" i="11"/>
  <c r="N31" i="12" l="1"/>
  <c r="U9" i="12" s="1"/>
  <c r="V9" i="12" s="1"/>
  <c r="N10" i="12"/>
  <c r="N32" i="12"/>
  <c r="U8" i="12" s="1"/>
  <c r="V8" i="12" s="1"/>
  <c r="J5" i="12"/>
  <c r="N28" i="12"/>
  <c r="U14" i="12" s="1"/>
  <c r="V14" i="12" s="1"/>
  <c r="N17" i="12"/>
  <c r="N11" i="12"/>
  <c r="N18" i="12"/>
  <c r="U19" i="12" s="1"/>
  <c r="V19" i="12" s="1"/>
  <c r="N12" i="12"/>
  <c r="N25" i="12"/>
  <c r="N19" i="12"/>
  <c r="U18" i="12" s="1"/>
  <c r="V18" i="12" s="1"/>
  <c r="N30" i="12"/>
  <c r="U16" i="12" s="1"/>
  <c r="V16" i="12" s="1"/>
  <c r="N21" i="12"/>
  <c r="N27" i="12"/>
  <c r="U17" i="12" s="1"/>
  <c r="V17" i="12" s="1"/>
  <c r="N23" i="12"/>
  <c r="N14" i="12"/>
  <c r="U11" i="12" s="1"/>
  <c r="V11" i="12" s="1"/>
  <c r="N13" i="12"/>
  <c r="N29" i="12"/>
  <c r="U20" i="12" s="1"/>
  <c r="V20" i="12" s="1"/>
  <c r="N22" i="12"/>
  <c r="N24" i="12"/>
  <c r="N20" i="12"/>
  <c r="N26" i="12"/>
  <c r="U15" i="12" s="1"/>
  <c r="V15" i="12" s="1"/>
  <c r="N15" i="12"/>
  <c r="U13" i="12" s="1"/>
  <c r="V13" i="12" s="1"/>
  <c r="N16" i="12"/>
  <c r="N33" i="12"/>
  <c r="U12" i="12" s="1"/>
  <c r="V12" i="12" s="1"/>
  <c r="N9" i="12"/>
  <c r="EG234" i="11"/>
  <c r="DI240" i="11"/>
  <c r="DA240" i="11"/>
  <c r="CF238" i="11"/>
  <c r="EG237" i="11"/>
  <c r="V234" i="11"/>
  <c r="CS231" i="11"/>
  <c r="DI235" i="11"/>
  <c r="CF239" i="11"/>
  <c r="CF237" i="11"/>
  <c r="AH235" i="11"/>
  <c r="CS219" i="11"/>
  <c r="CS217" i="11"/>
  <c r="EG228" i="11"/>
  <c r="CS238" i="11"/>
  <c r="CS239" i="11"/>
  <c r="CS237" i="11"/>
  <c r="EG236" i="11"/>
  <c r="EG238" i="11"/>
  <c r="DI236" i="11"/>
  <c r="EG235" i="11"/>
  <c r="DI226" i="11"/>
  <c r="CF232" i="11"/>
  <c r="EG231" i="11"/>
  <c r="EG230" i="11"/>
  <c r="CS228" i="11"/>
  <c r="DI227" i="11"/>
  <c r="DA222" i="11"/>
  <c r="CS229" i="11"/>
  <c r="DA227" i="11"/>
  <c r="CF231" i="11"/>
  <c r="EG227" i="11"/>
  <c r="CF229" i="11"/>
  <c r="CF228" i="11"/>
  <c r="CS232" i="11"/>
  <c r="DI230" i="11"/>
  <c r="DI229" i="11"/>
  <c r="EG223" i="11"/>
  <c r="CS222" i="11"/>
  <c r="CF224" i="11"/>
  <c r="DI223" i="11"/>
  <c r="CS225" i="11"/>
  <c r="DA223" i="11"/>
  <c r="EG224" i="11"/>
  <c r="AH226" i="11"/>
  <c r="V225" i="11"/>
  <c r="CF218" i="11"/>
  <c r="DA224" i="11"/>
  <c r="DI222" i="11"/>
  <c r="CF225" i="11"/>
  <c r="CS224" i="11"/>
  <c r="DA221" i="11"/>
  <c r="DA219" i="11"/>
  <c r="CS216" i="11"/>
  <c r="CS213" i="11"/>
  <c r="CF217" i="11"/>
  <c r="CF216" i="11"/>
  <c r="EG215" i="11"/>
  <c r="CS218" i="11"/>
  <c r="EG217" i="11"/>
  <c r="CF220" i="11"/>
  <c r="CS215" i="11"/>
  <c r="EG214" i="11"/>
  <c r="DA214" i="11"/>
  <c r="DI209" i="11"/>
  <c r="DA205" i="11"/>
  <c r="CS214" i="11"/>
  <c r="DI212" i="11"/>
  <c r="EG208" i="11"/>
  <c r="DI207" i="11"/>
  <c r="V215" i="11"/>
  <c r="CF213" i="11"/>
  <c r="DI210" i="11"/>
  <c r="CF215" i="11"/>
  <c r="CF214" i="11"/>
  <c r="DI211" i="11"/>
  <c r="CF210" i="11"/>
  <c r="EG209" i="11"/>
  <c r="CS209" i="11"/>
  <c r="EG207" i="11"/>
  <c r="CF203" i="11"/>
  <c r="EG213" i="11"/>
  <c r="DA213" i="11"/>
  <c r="EG212" i="11"/>
  <c r="CF209" i="11"/>
  <c r="CF204" i="11"/>
  <c r="CS211" i="11"/>
  <c r="V209" i="11"/>
  <c r="CS206" i="11"/>
  <c r="CS205" i="11"/>
  <c r="EG204" i="11"/>
  <c r="DI204" i="11"/>
  <c r="AH210" i="11"/>
  <c r="DA207" i="11"/>
  <c r="DA208" i="11"/>
  <c r="CS203" i="11"/>
  <c r="V208" i="11"/>
  <c r="CF205" i="11"/>
  <c r="CF206" i="11"/>
  <c r="CS204" i="11"/>
  <c r="DA206" i="11"/>
  <c r="EG205" i="11"/>
  <c r="DI203" i="11"/>
  <c r="EG203" i="11"/>
  <c r="CO96" i="11"/>
  <c r="CL92" i="11"/>
  <c r="CM92" i="11" s="1"/>
  <c r="CL94" i="11"/>
  <c r="CM94" i="11" s="1"/>
  <c r="CL95" i="11"/>
  <c r="CO92" i="11"/>
  <c r="CL82" i="11"/>
  <c r="CM82" i="11" s="1"/>
  <c r="CL83" i="11"/>
  <c r="CM83" i="11" s="1"/>
  <c r="CL84" i="11"/>
  <c r="CM84" i="11" s="1"/>
  <c r="CL85" i="11"/>
  <c r="CM85" i="11" s="1"/>
  <c r="CL86" i="11"/>
  <c r="CM86" i="11" s="1"/>
  <c r="CL87" i="11"/>
  <c r="CM87" i="11" s="1"/>
  <c r="CL88" i="11"/>
  <c r="CM88" i="11" s="1"/>
  <c r="CL89" i="11"/>
  <c r="CM89" i="11" s="1"/>
  <c r="CL90" i="11"/>
  <c r="CM90" i="11" s="1"/>
  <c r="CL91" i="11"/>
  <c r="CM91" i="11" s="1"/>
  <c r="CL93" i="11"/>
  <c r="CM93" i="11" s="1"/>
  <c r="CL96" i="11"/>
  <c r="CL97" i="11"/>
  <c r="CM97" i="11" s="1"/>
  <c r="CL98" i="11"/>
  <c r="CM98" i="11" s="1"/>
  <c r="CL99" i="11"/>
  <c r="CM99" i="11" s="1"/>
  <c r="CL100" i="11"/>
  <c r="CM100" i="11" s="1"/>
  <c r="CL101" i="11"/>
  <c r="CM101" i="11" s="1"/>
  <c r="CL102" i="11"/>
  <c r="CM102" i="11" s="1"/>
  <c r="CL103" i="11"/>
  <c r="CM103" i="11" s="1"/>
  <c r="CL104" i="11"/>
  <c r="CM104" i="11" s="1"/>
  <c r="CL105" i="11"/>
  <c r="CM105" i="11" s="1"/>
  <c r="CL106" i="11"/>
  <c r="CM106" i="11" s="1"/>
  <c r="CL107" i="11"/>
  <c r="CM107" i="11" s="1"/>
  <c r="CL108" i="11"/>
  <c r="CM108" i="11" s="1"/>
  <c r="CL109" i="11"/>
  <c r="CM109" i="11" s="1"/>
  <c r="CL110" i="11"/>
  <c r="CM110" i="11" s="1"/>
  <c r="CL111" i="11"/>
  <c r="CM111" i="11" s="1"/>
  <c r="CL112" i="11"/>
  <c r="CM112" i="11" s="1"/>
  <c r="CL113" i="11"/>
  <c r="CM113" i="11" s="1"/>
  <c r="CL114" i="11"/>
  <c r="CM114" i="11" s="1"/>
  <c r="CL115" i="11"/>
  <c r="CM115" i="11" s="1"/>
  <c r="CL116" i="11"/>
  <c r="CM116" i="11" s="1"/>
  <c r="CL117" i="11"/>
  <c r="CM117" i="11" s="1"/>
  <c r="CL118" i="11"/>
  <c r="CM118" i="11" s="1"/>
  <c r="CL119" i="11"/>
  <c r="CM119" i="11" s="1"/>
  <c r="CL120" i="11"/>
  <c r="CM120" i="11" s="1"/>
  <c r="CL121" i="11"/>
  <c r="CM121" i="11" s="1"/>
  <c r="CL122" i="11"/>
  <c r="CM122" i="11" s="1"/>
  <c r="CL123" i="11"/>
  <c r="CM123" i="11" s="1"/>
  <c r="CL124" i="11"/>
  <c r="CM124" i="11" s="1"/>
  <c r="CL125" i="11"/>
  <c r="CM125" i="11" s="1"/>
  <c r="CL126" i="11"/>
  <c r="CM126" i="11" s="1"/>
  <c r="CL127" i="11"/>
  <c r="CM127" i="11" s="1"/>
  <c r="CL128" i="11"/>
  <c r="CM128" i="11" s="1"/>
  <c r="CL129" i="11"/>
  <c r="CM129" i="11" s="1"/>
  <c r="CL130" i="11"/>
  <c r="CM130" i="11" s="1"/>
  <c r="CL131" i="11"/>
  <c r="CM131" i="11" s="1"/>
  <c r="CL132" i="11"/>
  <c r="CM132" i="11" s="1"/>
  <c r="CL133" i="11"/>
  <c r="CM133" i="11" s="1"/>
  <c r="CL134" i="11"/>
  <c r="CM134" i="11" s="1"/>
  <c r="CL135" i="11"/>
  <c r="CM135" i="11" s="1"/>
  <c r="CL136" i="11"/>
  <c r="CM136" i="11" s="1"/>
  <c r="CL137" i="11"/>
  <c r="CM137" i="11" s="1"/>
  <c r="CL138" i="11"/>
  <c r="CM138" i="11" s="1"/>
  <c r="CL139" i="11"/>
  <c r="CM139" i="11" s="1"/>
  <c r="CL140" i="11"/>
  <c r="CM140" i="11" s="1"/>
  <c r="CL141" i="11"/>
  <c r="CM141" i="11" s="1"/>
  <c r="CL142" i="11"/>
  <c r="CM142" i="11" s="1"/>
  <c r="CL143" i="11"/>
  <c r="CM143" i="11" s="1"/>
  <c r="CL144" i="11"/>
  <c r="CM144" i="11" s="1"/>
  <c r="CL145" i="11"/>
  <c r="CM145" i="11" s="1"/>
  <c r="CL146" i="11"/>
  <c r="CM146" i="11" s="1"/>
  <c r="CL147" i="11"/>
  <c r="CM147" i="11" s="1"/>
  <c r="CL148" i="11"/>
  <c r="CM148" i="11" s="1"/>
  <c r="CL149" i="11"/>
  <c r="CM149" i="11" s="1"/>
  <c r="CL150" i="11"/>
  <c r="CM150" i="11" s="1"/>
  <c r="CL151" i="11"/>
  <c r="CM151" i="11" s="1"/>
  <c r="CL152" i="11"/>
  <c r="CM152" i="11" s="1"/>
  <c r="CL153" i="11"/>
  <c r="CM153" i="11" s="1"/>
  <c r="CL154" i="11"/>
  <c r="CM154" i="11" s="1"/>
  <c r="CL155" i="11"/>
  <c r="CM155" i="11" s="1"/>
  <c r="CL156" i="11"/>
  <c r="CM156" i="11" s="1"/>
  <c r="CL157" i="11"/>
  <c r="CM157" i="11" s="1"/>
  <c r="CL158" i="11"/>
  <c r="CM158" i="11" s="1"/>
  <c r="CL159" i="11"/>
  <c r="CM159" i="11" s="1"/>
  <c r="CL160" i="11"/>
  <c r="CM160" i="11" s="1"/>
  <c r="CL161" i="11"/>
  <c r="CM161" i="11" s="1"/>
  <c r="CL162" i="11"/>
  <c r="CM162" i="11" s="1"/>
  <c r="CL163" i="11"/>
  <c r="CM163" i="11" s="1"/>
  <c r="CL164" i="11"/>
  <c r="CM164" i="11" s="1"/>
  <c r="CL165" i="11"/>
  <c r="CM165" i="11" s="1"/>
  <c r="CL166" i="11"/>
  <c r="CM166" i="11" s="1"/>
  <c r="CL167" i="11"/>
  <c r="CM167" i="11" s="1"/>
  <c r="CL168" i="11"/>
  <c r="CM168" i="11" s="1"/>
  <c r="CL169" i="11"/>
  <c r="CM169" i="11" s="1"/>
  <c r="CL170" i="11"/>
  <c r="CM170" i="11" s="1"/>
  <c r="CL171" i="11"/>
  <c r="CM171" i="11" s="1"/>
  <c r="CL172" i="11"/>
  <c r="CM172" i="11" s="1"/>
  <c r="CL173" i="11"/>
  <c r="CM173" i="11" s="1"/>
  <c r="CL174" i="11"/>
  <c r="CM174" i="11" s="1"/>
  <c r="CL175" i="11"/>
  <c r="CM175" i="11" s="1"/>
  <c r="CL176" i="11"/>
  <c r="CM176" i="11" s="1"/>
  <c r="CL177" i="11"/>
  <c r="CM177" i="11" s="1"/>
  <c r="CL178" i="11"/>
  <c r="CM178" i="11" s="1"/>
  <c r="CL179" i="11"/>
  <c r="CM179" i="11" s="1"/>
  <c r="CL180" i="11"/>
  <c r="CM180" i="11" s="1"/>
  <c r="CL181" i="11"/>
  <c r="CM181" i="11" s="1"/>
  <c r="CL182" i="11"/>
  <c r="CM182" i="11" s="1"/>
  <c r="CL183" i="11"/>
  <c r="CM183" i="11" s="1"/>
  <c r="CL184" i="11"/>
  <c r="CM184" i="11" s="1"/>
  <c r="CL185" i="11"/>
  <c r="CM185" i="11" s="1"/>
  <c r="CL186" i="11"/>
  <c r="CM186" i="11" s="1"/>
  <c r="CL187" i="11"/>
  <c r="CM187" i="11" s="1"/>
  <c r="CL188" i="11"/>
  <c r="CM188" i="11" s="1"/>
  <c r="CL189" i="11"/>
  <c r="CM189" i="11" s="1"/>
  <c r="CL190" i="11"/>
  <c r="CM190" i="11" s="1"/>
  <c r="CL191" i="11"/>
  <c r="CM191" i="11" s="1"/>
  <c r="CL192" i="11"/>
  <c r="CM192" i="11" s="1"/>
  <c r="CL193" i="11"/>
  <c r="CM193" i="11" s="1"/>
  <c r="CL194" i="11"/>
  <c r="CM194" i="11" s="1"/>
  <c r="CL195" i="11"/>
  <c r="CM195" i="11" s="1"/>
  <c r="CL196" i="11"/>
  <c r="CM196" i="11" s="1"/>
  <c r="CL197" i="11"/>
  <c r="CM197" i="11" s="1"/>
  <c r="CL198" i="11"/>
  <c r="CM198" i="11" s="1"/>
  <c r="CL199" i="11"/>
  <c r="CM199" i="11" s="1"/>
  <c r="CL200" i="11"/>
  <c r="CM200" i="11" s="1"/>
  <c r="CL201" i="11"/>
  <c r="CM201" i="11" s="1"/>
  <c r="CL202" i="11"/>
  <c r="CM202" i="11" s="1"/>
  <c r="CL81" i="11"/>
  <c r="CM81" i="11" s="1"/>
  <c r="CL80" i="11"/>
  <c r="CM80" i="11" s="1"/>
  <c r="CN80" i="11" s="1"/>
  <c r="U10" i="12" l="1"/>
  <c r="CN81" i="11"/>
  <c r="CN82" i="11" s="1"/>
  <c r="CN83" i="11" s="1"/>
  <c r="CN84" i="11" s="1"/>
  <c r="CN85" i="11" s="1"/>
  <c r="CN86" i="11" s="1"/>
  <c r="CN87" i="11" s="1"/>
  <c r="CN88" i="11" s="1"/>
  <c r="CN89" i="11" s="1"/>
  <c r="CN90" i="11" s="1"/>
  <c r="CN91" i="11" s="1"/>
  <c r="CN92" i="11" s="1"/>
  <c r="CN93" i="11" s="1"/>
  <c r="CN94" i="11" s="1"/>
  <c r="CM95" i="11"/>
  <c r="CM96" i="11"/>
  <c r="EK73" i="11"/>
  <c r="V10" i="12" l="1"/>
  <c r="V21" i="12" s="1"/>
  <c r="U21" i="12"/>
  <c r="CN95" i="11"/>
  <c r="CN96" i="11" s="1"/>
  <c r="CN97" i="11" s="1"/>
  <c r="CN98" i="11" s="1"/>
  <c r="CN99" i="11" s="1"/>
  <c r="CN100" i="11" s="1"/>
  <c r="CN101" i="11" s="1"/>
  <c r="CN102" i="11" s="1"/>
  <c r="CN103" i="11" s="1"/>
  <c r="CN104" i="11" s="1"/>
  <c r="CN105" i="11" s="1"/>
  <c r="CN106" i="11" s="1"/>
  <c r="CN107" i="11" s="1"/>
  <c r="CN108" i="11" s="1"/>
  <c r="CN109" i="11" s="1"/>
  <c r="CN110" i="11" s="1"/>
  <c r="CN111" i="11" s="1"/>
  <c r="CN112" i="11" s="1"/>
  <c r="CN113" i="11" s="1"/>
  <c r="CN114" i="11" s="1"/>
  <c r="CN115" i="11" s="1"/>
  <c r="CN116" i="11" s="1"/>
  <c r="CN117" i="11" s="1"/>
  <c r="CN118" i="11" s="1"/>
  <c r="CN119" i="11" s="1"/>
  <c r="CN120" i="11" s="1"/>
  <c r="CN121" i="11" s="1"/>
  <c r="CN122" i="11" s="1"/>
  <c r="CN123" i="11" s="1"/>
  <c r="CN124" i="11" s="1"/>
  <c r="CN125" i="11" s="1"/>
  <c r="CN126" i="11" s="1"/>
  <c r="CN127" i="11" s="1"/>
  <c r="CN128" i="11" s="1"/>
  <c r="CN129" i="11" s="1"/>
  <c r="CN130" i="11" s="1"/>
  <c r="CN131" i="11" s="1"/>
  <c r="CN132" i="11" s="1"/>
  <c r="CN133" i="11" s="1"/>
  <c r="CN134" i="11" s="1"/>
  <c r="CN135" i="11" s="1"/>
  <c r="CN136" i="11" s="1"/>
  <c r="CN137" i="11" s="1"/>
  <c r="CN138" i="11" s="1"/>
  <c r="CN139" i="11" s="1"/>
  <c r="CN140" i="11" s="1"/>
  <c r="CN141" i="11" s="1"/>
  <c r="CN142" i="11" s="1"/>
  <c r="CN143" i="11" s="1"/>
  <c r="CN144" i="11" s="1"/>
  <c r="CN145" i="11" s="1"/>
  <c r="CN146" i="11" s="1"/>
  <c r="CN147" i="11" s="1"/>
  <c r="CN148" i="11" s="1"/>
  <c r="CN149" i="11" s="1"/>
  <c r="CN150" i="11" s="1"/>
  <c r="CN151" i="11" s="1"/>
  <c r="CN152" i="11" s="1"/>
  <c r="CN153" i="11" s="1"/>
  <c r="CN154" i="11" s="1"/>
  <c r="CN155" i="11" s="1"/>
  <c r="CN156" i="11" s="1"/>
  <c r="CN157" i="11" s="1"/>
  <c r="CN158" i="11" s="1"/>
  <c r="CN159" i="11" s="1"/>
  <c r="CN160" i="11" s="1"/>
  <c r="CN161" i="11" s="1"/>
  <c r="CN162" i="11" s="1"/>
  <c r="CN163" i="11" s="1"/>
  <c r="CN164" i="11" s="1"/>
  <c r="CN165" i="11" s="1"/>
  <c r="CN166" i="11" s="1"/>
  <c r="CN167" i="11" s="1"/>
  <c r="CN168" i="11" s="1"/>
  <c r="CN169" i="11" s="1"/>
  <c r="CN170" i="11" s="1"/>
  <c r="CN171" i="11" s="1"/>
  <c r="CN172" i="11" s="1"/>
  <c r="CN173" i="11" s="1"/>
  <c r="CN174" i="11" s="1"/>
  <c r="CN175" i="11" s="1"/>
  <c r="CN176" i="11" s="1"/>
  <c r="CN177" i="11" s="1"/>
  <c r="CN178" i="11" s="1"/>
  <c r="CN179" i="11" s="1"/>
  <c r="CN180" i="11" s="1"/>
  <c r="CN181" i="11" s="1"/>
  <c r="CN182" i="11" s="1"/>
  <c r="CN183" i="11" s="1"/>
  <c r="CN184" i="11" s="1"/>
  <c r="CN185" i="11" s="1"/>
  <c r="CN186" i="11" s="1"/>
  <c r="CN187" i="11" s="1"/>
  <c r="CN188" i="11" s="1"/>
  <c r="CN189" i="11" s="1"/>
  <c r="CN190" i="11" s="1"/>
  <c r="CN191" i="11" s="1"/>
  <c r="CN192" i="11" s="1"/>
  <c r="CN193" i="11" s="1"/>
  <c r="CN194" i="11" s="1"/>
  <c r="CN195" i="11" s="1"/>
  <c r="CN196" i="11" s="1"/>
  <c r="CN197" i="11" s="1"/>
  <c r="CN198" i="11" s="1"/>
  <c r="CN199" i="11" s="1"/>
  <c r="CN200" i="11" s="1"/>
  <c r="CN201" i="11" s="1"/>
  <c r="CN202" i="11" s="1"/>
  <c r="CN203" i="11" s="1"/>
  <c r="CN204" i="11" s="1"/>
  <c r="CN205" i="11" s="1"/>
  <c r="CN206" i="11" s="1"/>
  <c r="CN207" i="11" s="1"/>
  <c r="CN208" i="11" s="1"/>
  <c r="CN209" i="11" s="1"/>
  <c r="CN210" i="11" s="1"/>
  <c r="CN211" i="11" s="1"/>
  <c r="CN212" i="11" s="1"/>
  <c r="CN213" i="11" s="1"/>
  <c r="CN214" i="11" s="1"/>
  <c r="CN215" i="11" s="1"/>
  <c r="CN216" i="11" s="1"/>
  <c r="CN217" i="11" s="1"/>
  <c r="CN218" i="11" s="1"/>
  <c r="CN219" i="11" s="1"/>
  <c r="CN220" i="11" s="1"/>
  <c r="CN221" i="11" s="1"/>
  <c r="CN222" i="11" s="1"/>
  <c r="CN223" i="11" s="1"/>
  <c r="CN224" i="11" s="1"/>
  <c r="CN225" i="11" s="1"/>
  <c r="CN226" i="11" s="1"/>
  <c r="CN227" i="11" s="1"/>
  <c r="CN228" i="11" s="1"/>
  <c r="CN229" i="11" s="1"/>
  <c r="CN230" i="11" s="1"/>
  <c r="CN231" i="11" s="1"/>
  <c r="CN232" i="11" s="1"/>
  <c r="CN233" i="11" s="1"/>
  <c r="CN234" i="11" s="1"/>
  <c r="CN235" i="11" s="1"/>
  <c r="CN236" i="11" s="1"/>
  <c r="CN237" i="11" s="1"/>
  <c r="CN238" i="11" s="1"/>
  <c r="CN239" i="11" s="1"/>
  <c r="CN240" i="11" s="1"/>
  <c r="CO65" i="11"/>
  <c r="M14" i="4" l="1"/>
  <c r="M12" i="4"/>
  <c r="CY6" i="11" l="1"/>
  <c r="CZ6" i="11" s="1"/>
  <c r="DA6" i="11" s="1"/>
  <c r="CY7" i="11"/>
  <c r="CZ7" i="11" s="1"/>
  <c r="DA7" i="11" s="1"/>
  <c r="CY8" i="11"/>
  <c r="CZ8" i="11" s="1"/>
  <c r="DA8" i="11" s="1"/>
  <c r="CY9" i="11"/>
  <c r="CZ9" i="11" s="1"/>
  <c r="DA9" i="11" s="1"/>
  <c r="CY10" i="11"/>
  <c r="CZ10" i="11" s="1"/>
  <c r="DA10" i="11" s="1"/>
  <c r="CY11" i="11"/>
  <c r="CZ11" i="11" s="1"/>
  <c r="DA11" i="11" s="1"/>
  <c r="CY12" i="11"/>
  <c r="CZ12" i="11" s="1"/>
  <c r="DA12" i="11" s="1"/>
  <c r="CY13" i="11"/>
  <c r="CZ13" i="11" s="1"/>
  <c r="DA13" i="11" s="1"/>
  <c r="CY14" i="11"/>
  <c r="CZ14" i="11" s="1"/>
  <c r="DA14" i="11" s="1"/>
  <c r="CY15" i="11"/>
  <c r="CZ15" i="11" s="1"/>
  <c r="DA15" i="11" s="1"/>
  <c r="CY16" i="11"/>
  <c r="CZ16" i="11" s="1"/>
  <c r="DA16" i="11" s="1"/>
  <c r="CY17" i="11"/>
  <c r="CZ17" i="11" s="1"/>
  <c r="DA17" i="11" s="1"/>
  <c r="CY18" i="11"/>
  <c r="CZ18" i="11" s="1"/>
  <c r="DA18" i="11" s="1"/>
  <c r="CY19" i="11"/>
  <c r="CZ19" i="11" s="1"/>
  <c r="DA19" i="11" s="1"/>
  <c r="CY20" i="11"/>
  <c r="CZ20" i="11" s="1"/>
  <c r="DA20" i="11" s="1"/>
  <c r="CY21" i="11"/>
  <c r="CZ21" i="11" s="1"/>
  <c r="DA21" i="11" s="1"/>
  <c r="CY22" i="11"/>
  <c r="CZ22" i="11" s="1"/>
  <c r="DA22" i="11" s="1"/>
  <c r="CY23" i="11"/>
  <c r="CZ23" i="11" s="1"/>
  <c r="DA23" i="11" s="1"/>
  <c r="CY24" i="11"/>
  <c r="CZ24" i="11" s="1"/>
  <c r="DA24" i="11" s="1"/>
  <c r="CY25" i="11"/>
  <c r="CZ25" i="11" s="1"/>
  <c r="DA25" i="11" s="1"/>
  <c r="CY26" i="11"/>
  <c r="CZ26" i="11" s="1"/>
  <c r="DA26" i="11" s="1"/>
  <c r="CY27" i="11"/>
  <c r="CZ27" i="11" s="1"/>
  <c r="DA27" i="11" s="1"/>
  <c r="CY28" i="11"/>
  <c r="CZ28" i="11" s="1"/>
  <c r="DA28" i="11" s="1"/>
  <c r="CY29" i="11"/>
  <c r="CZ29" i="11" s="1"/>
  <c r="DA29" i="11" s="1"/>
  <c r="CY30" i="11"/>
  <c r="CZ30" i="11" s="1"/>
  <c r="DA30" i="11" s="1"/>
  <c r="CY31" i="11"/>
  <c r="CZ31" i="11" s="1"/>
  <c r="DA31" i="11" s="1"/>
  <c r="CY32" i="11"/>
  <c r="CZ32" i="11" s="1"/>
  <c r="DA32" i="11" s="1"/>
  <c r="CY33" i="11"/>
  <c r="CZ33" i="11" s="1"/>
  <c r="DA33" i="11" s="1"/>
  <c r="CY34" i="11"/>
  <c r="CZ34" i="11" s="1"/>
  <c r="DA34" i="11" s="1"/>
  <c r="CY35" i="11"/>
  <c r="CZ35" i="11" s="1"/>
  <c r="DA35" i="11" s="1"/>
  <c r="CY36" i="11"/>
  <c r="CZ36" i="11" s="1"/>
  <c r="DA36" i="11" s="1"/>
  <c r="CY37" i="11"/>
  <c r="CZ37" i="11" s="1"/>
  <c r="DA37" i="11" s="1"/>
  <c r="CY38" i="11"/>
  <c r="CZ38" i="11" s="1"/>
  <c r="DA38" i="11" s="1"/>
  <c r="CY39" i="11"/>
  <c r="CZ39" i="11" s="1"/>
  <c r="DA39" i="11" s="1"/>
  <c r="CY40" i="11"/>
  <c r="CZ40" i="11" s="1"/>
  <c r="DA40" i="11" s="1"/>
  <c r="CY41" i="11"/>
  <c r="CZ41" i="11" s="1"/>
  <c r="DA41" i="11" s="1"/>
  <c r="CY42" i="11"/>
  <c r="CZ42" i="11" s="1"/>
  <c r="DA42" i="11" s="1"/>
  <c r="CY43" i="11"/>
  <c r="CZ43" i="11" s="1"/>
  <c r="DA43" i="11" s="1"/>
  <c r="CY44" i="11"/>
  <c r="CZ44" i="11" s="1"/>
  <c r="DA44" i="11" s="1"/>
  <c r="CY45" i="11"/>
  <c r="CZ45" i="11" s="1"/>
  <c r="DA45" i="11" s="1"/>
  <c r="CY46" i="11"/>
  <c r="CZ46" i="11" s="1"/>
  <c r="DA46" i="11" s="1"/>
  <c r="CY47" i="11"/>
  <c r="CZ47" i="11" s="1"/>
  <c r="DA47" i="11" s="1"/>
  <c r="CY48" i="11"/>
  <c r="CZ48" i="11" s="1"/>
  <c r="DA48" i="11" s="1"/>
  <c r="CY49" i="11"/>
  <c r="CZ49" i="11" s="1"/>
  <c r="CY50" i="11"/>
  <c r="CZ50" i="11" s="1"/>
  <c r="CY51" i="11"/>
  <c r="CZ51" i="11" s="1"/>
  <c r="DA51" i="11" s="1"/>
  <c r="CY52" i="11"/>
  <c r="CZ52" i="11" s="1"/>
  <c r="DA52" i="11" s="1"/>
  <c r="CY53" i="11"/>
  <c r="CZ53" i="11" s="1"/>
  <c r="DA53" i="11" s="1"/>
  <c r="CY54" i="11"/>
  <c r="CZ54" i="11" s="1"/>
  <c r="DA54" i="11" s="1"/>
  <c r="CY55" i="11"/>
  <c r="CZ55" i="11" s="1"/>
  <c r="DA55" i="11" s="1"/>
  <c r="CY56" i="11"/>
  <c r="CZ56" i="11" s="1"/>
  <c r="DA56" i="11" s="1"/>
  <c r="CY57" i="11"/>
  <c r="CZ57" i="11" s="1"/>
  <c r="DA57" i="11" s="1"/>
  <c r="CY58" i="11"/>
  <c r="CZ58" i="11" s="1"/>
  <c r="CY59" i="11"/>
  <c r="CZ59" i="11" s="1"/>
  <c r="CY60" i="11"/>
  <c r="CZ60" i="11" s="1"/>
  <c r="DA60" i="11" s="1"/>
  <c r="CY61" i="11"/>
  <c r="CZ61" i="11" s="1"/>
  <c r="CY62" i="11"/>
  <c r="CZ62" i="11" s="1"/>
  <c r="DA62" i="11" s="1"/>
  <c r="CY63" i="11"/>
  <c r="CZ63" i="11" s="1"/>
  <c r="DA63" i="11" s="1"/>
  <c r="CY64" i="11"/>
  <c r="CZ64" i="11" s="1"/>
  <c r="DA64" i="11" s="1"/>
  <c r="CY65" i="11"/>
  <c r="CZ65" i="11" s="1"/>
  <c r="DA65" i="11" s="1"/>
  <c r="CY66" i="11"/>
  <c r="CZ66" i="11" s="1"/>
  <c r="DA66" i="11" s="1"/>
  <c r="CY67" i="11"/>
  <c r="CZ67" i="11" s="1"/>
  <c r="DA67" i="11" s="1"/>
  <c r="CY68" i="11"/>
  <c r="CZ68" i="11" s="1"/>
  <c r="DA68" i="11" s="1"/>
  <c r="CY69" i="11"/>
  <c r="CZ69" i="11" s="1"/>
  <c r="DA69" i="11" s="1"/>
  <c r="CY70" i="11"/>
  <c r="CZ70" i="11" s="1"/>
  <c r="DA70" i="11" s="1"/>
  <c r="CY71" i="11"/>
  <c r="CZ71" i="11" s="1"/>
  <c r="DA71" i="11" s="1"/>
  <c r="CY72" i="11"/>
  <c r="CZ72" i="11" s="1"/>
  <c r="DA72" i="11" s="1"/>
  <c r="CY73" i="11"/>
  <c r="CZ73" i="11" s="1"/>
  <c r="DA73" i="11" s="1"/>
  <c r="CY74" i="11"/>
  <c r="CZ74" i="11" s="1"/>
  <c r="DA74" i="11" s="1"/>
  <c r="CY75" i="11"/>
  <c r="CZ75" i="11" s="1"/>
  <c r="DA75" i="11" s="1"/>
  <c r="CY76" i="11"/>
  <c r="CZ76" i="11" s="1"/>
  <c r="DA76" i="11" s="1"/>
  <c r="CY77" i="11"/>
  <c r="CZ77" i="11" s="1"/>
  <c r="DA77" i="11" s="1"/>
  <c r="CY78" i="11"/>
  <c r="CZ78" i="11" s="1"/>
  <c r="DA78" i="11" s="1"/>
  <c r="CY79" i="11"/>
  <c r="CZ79" i="11" s="1"/>
  <c r="DA79" i="11" s="1"/>
  <c r="CY80" i="11"/>
  <c r="CZ80" i="11" s="1"/>
  <c r="DA80" i="11" s="1"/>
  <c r="CY81" i="11"/>
  <c r="CZ81" i="11" s="1"/>
  <c r="DA81" i="11" s="1"/>
  <c r="CY82" i="11"/>
  <c r="CZ82" i="11" s="1"/>
  <c r="DA82" i="11" s="1"/>
  <c r="CY83" i="11"/>
  <c r="CZ83" i="11" s="1"/>
  <c r="DA83" i="11" s="1"/>
  <c r="CY84" i="11"/>
  <c r="CZ84" i="11" s="1"/>
  <c r="DA84" i="11" s="1"/>
  <c r="CY85" i="11"/>
  <c r="CZ85" i="11" s="1"/>
  <c r="DA85" i="11" s="1"/>
  <c r="CY86" i="11"/>
  <c r="CZ86" i="11" s="1"/>
  <c r="DA86" i="11" s="1"/>
  <c r="CY87" i="11"/>
  <c r="CZ87" i="11" s="1"/>
  <c r="DA87" i="11" s="1"/>
  <c r="CY88" i="11"/>
  <c r="CZ88" i="11" s="1"/>
  <c r="DA88" i="11" s="1"/>
  <c r="CY89" i="11"/>
  <c r="CZ89" i="11" s="1"/>
  <c r="DA89" i="11" s="1"/>
  <c r="CY90" i="11"/>
  <c r="CZ90" i="11" s="1"/>
  <c r="DA90" i="11" s="1"/>
  <c r="CY91" i="11"/>
  <c r="CZ91" i="11" s="1"/>
  <c r="DA91" i="11" s="1"/>
  <c r="CY92" i="11"/>
  <c r="CZ92" i="11" s="1"/>
  <c r="DA92" i="11" s="1"/>
  <c r="CY93" i="11"/>
  <c r="CZ93" i="11" s="1"/>
  <c r="DA93" i="11" s="1"/>
  <c r="CY94" i="11"/>
  <c r="CZ94" i="11" s="1"/>
  <c r="DA94" i="11" s="1"/>
  <c r="CY95" i="11"/>
  <c r="CZ95" i="11" s="1"/>
  <c r="DA95" i="11" s="1"/>
  <c r="CY96" i="11"/>
  <c r="CZ96" i="11" s="1"/>
  <c r="DA96" i="11" s="1"/>
  <c r="CY97" i="11"/>
  <c r="CZ97" i="11" s="1"/>
  <c r="DA97" i="11" s="1"/>
  <c r="CY98" i="11"/>
  <c r="CZ98" i="11" s="1"/>
  <c r="DA98" i="11" s="1"/>
  <c r="CY99" i="11"/>
  <c r="CZ99" i="11" s="1"/>
  <c r="DA99" i="11" s="1"/>
  <c r="CY100" i="11"/>
  <c r="CZ100" i="11" s="1"/>
  <c r="DA100" i="11" s="1"/>
  <c r="CY101" i="11"/>
  <c r="CZ101" i="11" s="1"/>
  <c r="DA101" i="11" s="1"/>
  <c r="CY102" i="11"/>
  <c r="CZ102" i="11" s="1"/>
  <c r="DA102" i="11" s="1"/>
  <c r="CY103" i="11"/>
  <c r="CZ103" i="11" s="1"/>
  <c r="DA103" i="11" s="1"/>
  <c r="CY104" i="11"/>
  <c r="CZ104" i="11" s="1"/>
  <c r="DA104" i="11" s="1"/>
  <c r="CY105" i="11"/>
  <c r="CZ105" i="11" s="1"/>
  <c r="DA105" i="11" s="1"/>
  <c r="CY106" i="11"/>
  <c r="CZ106" i="11" s="1"/>
  <c r="DA106" i="11" s="1"/>
  <c r="CY107" i="11"/>
  <c r="CZ107" i="11" s="1"/>
  <c r="DA107" i="11" s="1"/>
  <c r="CY108" i="11"/>
  <c r="CZ108" i="11" s="1"/>
  <c r="DA108" i="11" s="1"/>
  <c r="CY109" i="11"/>
  <c r="CZ109" i="11" s="1"/>
  <c r="DA109" i="11" s="1"/>
  <c r="CY110" i="11"/>
  <c r="CZ110" i="11" s="1"/>
  <c r="DA110" i="11" s="1"/>
  <c r="CY111" i="11"/>
  <c r="CZ111" i="11" s="1"/>
  <c r="DA111" i="11" s="1"/>
  <c r="CY112" i="11"/>
  <c r="CZ112" i="11" s="1"/>
  <c r="DA112" i="11" s="1"/>
  <c r="CY113" i="11"/>
  <c r="CZ113" i="11" s="1"/>
  <c r="DA113" i="11" s="1"/>
  <c r="CY114" i="11"/>
  <c r="CZ114" i="11" s="1"/>
  <c r="DA114" i="11" s="1"/>
  <c r="CY115" i="11"/>
  <c r="CZ115" i="11" s="1"/>
  <c r="DA115" i="11" s="1"/>
  <c r="CY116" i="11"/>
  <c r="CZ116" i="11" s="1"/>
  <c r="DA116" i="11" s="1"/>
  <c r="CY117" i="11"/>
  <c r="CZ117" i="11" s="1"/>
  <c r="DA117" i="11" s="1"/>
  <c r="CY118" i="11"/>
  <c r="CZ118" i="11" s="1"/>
  <c r="DA118" i="11" s="1"/>
  <c r="CY119" i="11"/>
  <c r="CZ119" i="11" s="1"/>
  <c r="DA119" i="11" s="1"/>
  <c r="CY120" i="11"/>
  <c r="CZ120" i="11" s="1"/>
  <c r="DA120" i="11" s="1"/>
  <c r="CY121" i="11"/>
  <c r="CZ121" i="11" s="1"/>
  <c r="DA121" i="11" s="1"/>
  <c r="CY122" i="11"/>
  <c r="CZ122" i="11" s="1"/>
  <c r="DA122" i="11" s="1"/>
  <c r="CY123" i="11"/>
  <c r="CZ123" i="11" s="1"/>
  <c r="DA123" i="11" s="1"/>
  <c r="CY124" i="11"/>
  <c r="CZ124" i="11" s="1"/>
  <c r="DA124" i="11" s="1"/>
  <c r="CY125" i="11"/>
  <c r="CZ125" i="11" s="1"/>
  <c r="DA125" i="11" s="1"/>
  <c r="CY126" i="11"/>
  <c r="CZ126" i="11" s="1"/>
  <c r="DA126" i="11" s="1"/>
  <c r="CY127" i="11"/>
  <c r="CZ127" i="11" s="1"/>
  <c r="DA127" i="11" s="1"/>
  <c r="CY128" i="11"/>
  <c r="CZ128" i="11" s="1"/>
  <c r="DA128" i="11" s="1"/>
  <c r="CY129" i="11"/>
  <c r="CZ129" i="11" s="1"/>
  <c r="DA129" i="11" s="1"/>
  <c r="CY130" i="11"/>
  <c r="CZ130" i="11" s="1"/>
  <c r="DA130" i="11" s="1"/>
  <c r="CY131" i="11"/>
  <c r="CZ131" i="11" s="1"/>
  <c r="DA131" i="11" s="1"/>
  <c r="CY132" i="11"/>
  <c r="CZ132" i="11" s="1"/>
  <c r="DA132" i="11" s="1"/>
  <c r="CY133" i="11"/>
  <c r="CZ133" i="11" s="1"/>
  <c r="DA133" i="11" s="1"/>
  <c r="CY134" i="11"/>
  <c r="CZ134" i="11" s="1"/>
  <c r="DA134" i="11" s="1"/>
  <c r="CY135" i="11"/>
  <c r="CZ135" i="11" s="1"/>
  <c r="DA135" i="11" s="1"/>
  <c r="CY136" i="11"/>
  <c r="CZ136" i="11" s="1"/>
  <c r="DA136" i="11" s="1"/>
  <c r="CY137" i="11"/>
  <c r="CZ137" i="11" s="1"/>
  <c r="DA137" i="11" s="1"/>
  <c r="CY138" i="11"/>
  <c r="CZ138" i="11" s="1"/>
  <c r="DA138" i="11" s="1"/>
  <c r="CY139" i="11"/>
  <c r="CZ139" i="11" s="1"/>
  <c r="DA139" i="11" s="1"/>
  <c r="CY140" i="11"/>
  <c r="CZ140" i="11" s="1"/>
  <c r="DA140" i="11" s="1"/>
  <c r="CY141" i="11"/>
  <c r="CZ141" i="11" s="1"/>
  <c r="DA141" i="11" s="1"/>
  <c r="CY142" i="11"/>
  <c r="CZ142" i="11" s="1"/>
  <c r="DA142" i="11" s="1"/>
  <c r="CY143" i="11"/>
  <c r="CZ143" i="11" s="1"/>
  <c r="DA143" i="11" s="1"/>
  <c r="CY144" i="11"/>
  <c r="CZ144" i="11" s="1"/>
  <c r="DA144" i="11" s="1"/>
  <c r="CY145" i="11"/>
  <c r="CZ145" i="11" s="1"/>
  <c r="DA145" i="11" s="1"/>
  <c r="CY146" i="11"/>
  <c r="CZ146" i="11" s="1"/>
  <c r="DA146" i="11" s="1"/>
  <c r="CY147" i="11"/>
  <c r="CZ147" i="11" s="1"/>
  <c r="DA147" i="11" s="1"/>
  <c r="CY148" i="11"/>
  <c r="CZ148" i="11" s="1"/>
  <c r="DA148" i="11" s="1"/>
  <c r="CY149" i="11"/>
  <c r="CZ149" i="11" s="1"/>
  <c r="DA149" i="11" s="1"/>
  <c r="CY150" i="11"/>
  <c r="CZ150" i="11" s="1"/>
  <c r="DA150" i="11" s="1"/>
  <c r="CY151" i="11"/>
  <c r="CZ151" i="11" s="1"/>
  <c r="DA151" i="11" s="1"/>
  <c r="CY152" i="11"/>
  <c r="CZ152" i="11" s="1"/>
  <c r="DA152" i="11" s="1"/>
  <c r="CY153" i="11"/>
  <c r="CZ153" i="11" s="1"/>
  <c r="DA153" i="11" s="1"/>
  <c r="CY154" i="11"/>
  <c r="CZ154" i="11" s="1"/>
  <c r="DA154" i="11" s="1"/>
  <c r="CY155" i="11"/>
  <c r="CZ155" i="11" s="1"/>
  <c r="DA155" i="11" s="1"/>
  <c r="CY156" i="11"/>
  <c r="CZ156" i="11" s="1"/>
  <c r="DA156" i="11" s="1"/>
  <c r="CY157" i="11"/>
  <c r="CZ157" i="11" s="1"/>
  <c r="DA157" i="11" s="1"/>
  <c r="CY158" i="11"/>
  <c r="CZ158" i="11" s="1"/>
  <c r="DA158" i="11" s="1"/>
  <c r="CY159" i="11"/>
  <c r="CZ159" i="11" s="1"/>
  <c r="DA159" i="11" s="1"/>
  <c r="CY160" i="11"/>
  <c r="CZ160" i="11" s="1"/>
  <c r="DA160" i="11" s="1"/>
  <c r="CY161" i="11"/>
  <c r="CZ161" i="11" s="1"/>
  <c r="DA161" i="11" s="1"/>
  <c r="CY162" i="11"/>
  <c r="CZ162" i="11" s="1"/>
  <c r="DA162" i="11" s="1"/>
  <c r="CY163" i="11"/>
  <c r="CZ163" i="11" s="1"/>
  <c r="DA163" i="11" s="1"/>
  <c r="CY164" i="11"/>
  <c r="CZ164" i="11" s="1"/>
  <c r="DA164" i="11" s="1"/>
  <c r="CY165" i="11"/>
  <c r="CZ165" i="11" s="1"/>
  <c r="DA165" i="11" s="1"/>
  <c r="CY166" i="11"/>
  <c r="CZ166" i="11" s="1"/>
  <c r="DA166" i="11" s="1"/>
  <c r="CY167" i="11"/>
  <c r="CZ167" i="11" s="1"/>
  <c r="DA167" i="11" s="1"/>
  <c r="CY168" i="11"/>
  <c r="CZ168" i="11" s="1"/>
  <c r="DA168" i="11" s="1"/>
  <c r="CY169" i="11"/>
  <c r="CZ169" i="11" s="1"/>
  <c r="DA169" i="11" s="1"/>
  <c r="CY170" i="11"/>
  <c r="CZ170" i="11" s="1"/>
  <c r="DA170" i="11" s="1"/>
  <c r="CY171" i="11"/>
  <c r="CZ171" i="11" s="1"/>
  <c r="DA171" i="11" s="1"/>
  <c r="CY172" i="11"/>
  <c r="CZ172" i="11" s="1"/>
  <c r="DA172" i="11" s="1"/>
  <c r="CY173" i="11"/>
  <c r="CZ173" i="11" s="1"/>
  <c r="DA173" i="11" s="1"/>
  <c r="CY174" i="11"/>
  <c r="CZ174" i="11" s="1"/>
  <c r="DA174" i="11" s="1"/>
  <c r="CY175" i="11"/>
  <c r="CZ175" i="11" s="1"/>
  <c r="DA175" i="11" s="1"/>
  <c r="CY176" i="11"/>
  <c r="CZ176" i="11" s="1"/>
  <c r="DA176" i="11" s="1"/>
  <c r="CY177" i="11"/>
  <c r="CZ177" i="11" s="1"/>
  <c r="DA177" i="11" s="1"/>
  <c r="CY178" i="11"/>
  <c r="CZ178" i="11" s="1"/>
  <c r="DA178" i="11" s="1"/>
  <c r="CY179" i="11"/>
  <c r="CZ179" i="11" s="1"/>
  <c r="DA179" i="11" s="1"/>
  <c r="CY180" i="11"/>
  <c r="CZ180" i="11" s="1"/>
  <c r="DA180" i="11" s="1"/>
  <c r="CY181" i="11"/>
  <c r="CZ181" i="11" s="1"/>
  <c r="DA181" i="11" s="1"/>
  <c r="CY182" i="11"/>
  <c r="CZ182" i="11" s="1"/>
  <c r="DA182" i="11" s="1"/>
  <c r="CY183" i="11"/>
  <c r="CZ183" i="11" s="1"/>
  <c r="DA183" i="11" s="1"/>
  <c r="CY184" i="11"/>
  <c r="CZ184" i="11" s="1"/>
  <c r="DA184" i="11" s="1"/>
  <c r="CY185" i="11"/>
  <c r="CZ185" i="11" s="1"/>
  <c r="DA185" i="11" s="1"/>
  <c r="CY186" i="11"/>
  <c r="CZ186" i="11" s="1"/>
  <c r="DA186" i="11" s="1"/>
  <c r="CY187" i="11"/>
  <c r="CZ187" i="11" s="1"/>
  <c r="DA187" i="11" s="1"/>
  <c r="CY188" i="11"/>
  <c r="CZ188" i="11" s="1"/>
  <c r="DA188" i="11" s="1"/>
  <c r="CY189" i="11"/>
  <c r="CZ189" i="11" s="1"/>
  <c r="DA189" i="11" s="1"/>
  <c r="CY190" i="11"/>
  <c r="CZ190" i="11" s="1"/>
  <c r="DA190" i="11" s="1"/>
  <c r="CY191" i="11"/>
  <c r="CZ191" i="11" s="1"/>
  <c r="DA191" i="11" s="1"/>
  <c r="CY192" i="11"/>
  <c r="CZ192" i="11" s="1"/>
  <c r="DA192" i="11" s="1"/>
  <c r="CY193" i="11"/>
  <c r="CZ193" i="11" s="1"/>
  <c r="DA193" i="11" s="1"/>
  <c r="CY194" i="11"/>
  <c r="CZ194" i="11" s="1"/>
  <c r="DA194" i="11" s="1"/>
  <c r="CY195" i="11"/>
  <c r="CZ195" i="11" s="1"/>
  <c r="DA195" i="11" s="1"/>
  <c r="CY196" i="11"/>
  <c r="CZ196" i="11" s="1"/>
  <c r="DA196" i="11" s="1"/>
  <c r="CY197" i="11"/>
  <c r="CZ197" i="11" s="1"/>
  <c r="DA197" i="11" s="1"/>
  <c r="CY198" i="11"/>
  <c r="CZ198" i="11" s="1"/>
  <c r="DA198" i="11" s="1"/>
  <c r="CY199" i="11"/>
  <c r="CZ199" i="11" s="1"/>
  <c r="DA199" i="11" s="1"/>
  <c r="CY200" i="11"/>
  <c r="CZ200" i="11" s="1"/>
  <c r="DA200" i="11" s="1"/>
  <c r="CY201" i="11"/>
  <c r="CZ201" i="11" s="1"/>
  <c r="DA201" i="11" s="1"/>
  <c r="CY202" i="11"/>
  <c r="CZ202" i="11" s="1"/>
  <c r="CY5" i="11"/>
  <c r="CZ5" i="11" s="1"/>
  <c r="CY4" i="11"/>
  <c r="CZ4" i="11" s="1"/>
  <c r="DA50" i="11" l="1"/>
  <c r="DD50" i="11"/>
  <c r="DA58" i="11"/>
  <c r="DA61" i="11"/>
  <c r="DB4" i="11"/>
  <c r="DB5" i="11" s="1"/>
  <c r="DD4" i="11"/>
  <c r="DW5" i="11"/>
  <c r="DX5" i="11" s="1"/>
  <c r="DW6" i="11"/>
  <c r="DX6" i="11" s="1"/>
  <c r="DY6" i="11" s="1"/>
  <c r="DW7" i="11"/>
  <c r="DX7" i="11" s="1"/>
  <c r="DY7" i="11" s="1"/>
  <c r="DW8" i="11"/>
  <c r="DX8" i="11" s="1"/>
  <c r="DY8" i="11" s="1"/>
  <c r="DW9" i="11"/>
  <c r="DX9" i="11" s="1"/>
  <c r="DY9" i="11" s="1"/>
  <c r="DW10" i="11"/>
  <c r="DX10" i="11" s="1"/>
  <c r="DY10" i="11" s="1"/>
  <c r="DW11" i="11"/>
  <c r="DX11" i="11" s="1"/>
  <c r="DY11" i="11" s="1"/>
  <c r="DW12" i="11"/>
  <c r="DX12" i="11" s="1"/>
  <c r="DY12" i="11" s="1"/>
  <c r="DW13" i="11"/>
  <c r="DX13" i="11" s="1"/>
  <c r="DY13" i="11" s="1"/>
  <c r="DW14" i="11"/>
  <c r="DX14" i="11" s="1"/>
  <c r="DY14" i="11" s="1"/>
  <c r="DW15" i="11"/>
  <c r="DX15" i="11" s="1"/>
  <c r="DY15" i="11" s="1"/>
  <c r="DW16" i="11"/>
  <c r="DX16" i="11" s="1"/>
  <c r="DY16" i="11" s="1"/>
  <c r="DW17" i="11"/>
  <c r="DX17" i="11" s="1"/>
  <c r="DY17" i="11" s="1"/>
  <c r="DW18" i="11"/>
  <c r="DX18" i="11" s="1"/>
  <c r="DY18" i="11" s="1"/>
  <c r="DW19" i="11"/>
  <c r="DX19" i="11" s="1"/>
  <c r="DY19" i="11" s="1"/>
  <c r="DW20" i="11"/>
  <c r="DX20" i="11" s="1"/>
  <c r="DY20" i="11" s="1"/>
  <c r="DW21" i="11"/>
  <c r="DX21" i="11" s="1"/>
  <c r="DY21" i="11" s="1"/>
  <c r="DW22" i="11"/>
  <c r="DX22" i="11" s="1"/>
  <c r="DY22" i="11" s="1"/>
  <c r="DW23" i="11"/>
  <c r="DX23" i="11" s="1"/>
  <c r="DY23" i="11" s="1"/>
  <c r="DW24" i="11"/>
  <c r="DX24" i="11" s="1"/>
  <c r="DY24" i="11" s="1"/>
  <c r="DW25" i="11"/>
  <c r="DX25" i="11" s="1"/>
  <c r="DY25" i="11" s="1"/>
  <c r="DW26" i="11"/>
  <c r="DX26" i="11" s="1"/>
  <c r="DY26" i="11" s="1"/>
  <c r="DW27" i="11"/>
  <c r="DX27" i="11" s="1"/>
  <c r="DY27" i="11" s="1"/>
  <c r="DW28" i="11"/>
  <c r="DX28" i="11" s="1"/>
  <c r="DY28" i="11" s="1"/>
  <c r="DW29" i="11"/>
  <c r="DX29" i="11" s="1"/>
  <c r="DY29" i="11" s="1"/>
  <c r="DW30" i="11"/>
  <c r="DX30" i="11" s="1"/>
  <c r="DY30" i="11" s="1"/>
  <c r="DW31" i="11"/>
  <c r="DX31" i="11" s="1"/>
  <c r="DY31" i="11" s="1"/>
  <c r="DW32" i="11"/>
  <c r="DX32" i="11" s="1"/>
  <c r="DY32" i="11" s="1"/>
  <c r="DW33" i="11"/>
  <c r="DX33" i="11" s="1"/>
  <c r="DY33" i="11" s="1"/>
  <c r="DW34" i="11"/>
  <c r="DX34" i="11" s="1"/>
  <c r="DY34" i="11" s="1"/>
  <c r="DW35" i="11"/>
  <c r="DX35" i="11" s="1"/>
  <c r="DY35" i="11" s="1"/>
  <c r="DW36" i="11"/>
  <c r="DX36" i="11" s="1"/>
  <c r="DY36" i="11" s="1"/>
  <c r="DW37" i="11"/>
  <c r="DX37" i="11" s="1"/>
  <c r="DY37" i="11" s="1"/>
  <c r="DW38" i="11"/>
  <c r="DX38" i="11" s="1"/>
  <c r="DY38" i="11" s="1"/>
  <c r="DW39" i="11"/>
  <c r="DX39" i="11" s="1"/>
  <c r="DY39" i="11" s="1"/>
  <c r="DW40" i="11"/>
  <c r="DX40" i="11" s="1"/>
  <c r="DY40" i="11" s="1"/>
  <c r="DW41" i="11"/>
  <c r="DX41" i="11" s="1"/>
  <c r="DY41" i="11" s="1"/>
  <c r="DW42" i="11"/>
  <c r="DX42" i="11" s="1"/>
  <c r="DY42" i="11" s="1"/>
  <c r="DW43" i="11"/>
  <c r="DX43" i="11" s="1"/>
  <c r="DW44" i="11"/>
  <c r="DX44" i="11" s="1"/>
  <c r="DY44" i="11" s="1"/>
  <c r="DW45" i="11"/>
  <c r="DX45" i="11" s="1"/>
  <c r="DY45" i="11" s="1"/>
  <c r="DW46" i="11"/>
  <c r="DX46" i="11" s="1"/>
  <c r="DY46" i="11" s="1"/>
  <c r="DW47" i="11"/>
  <c r="DX47" i="11" s="1"/>
  <c r="DY47" i="11" s="1"/>
  <c r="DW48" i="11"/>
  <c r="DX48" i="11" s="1"/>
  <c r="DY48" i="11" s="1"/>
  <c r="DW49" i="11"/>
  <c r="DX49" i="11" s="1"/>
  <c r="DW50" i="11"/>
  <c r="DX50" i="11" s="1"/>
  <c r="DW51" i="11"/>
  <c r="DX51" i="11" s="1"/>
  <c r="DY51" i="11" s="1"/>
  <c r="DW52" i="11"/>
  <c r="DX52" i="11" s="1"/>
  <c r="DY52" i="11" s="1"/>
  <c r="DW53" i="11"/>
  <c r="DX53" i="11" s="1"/>
  <c r="DY53" i="11" s="1"/>
  <c r="DW54" i="11"/>
  <c r="DX54" i="11" s="1"/>
  <c r="DY54" i="11" s="1"/>
  <c r="DW55" i="11"/>
  <c r="DX55" i="11" s="1"/>
  <c r="DY55" i="11" s="1"/>
  <c r="DW56" i="11"/>
  <c r="DX56" i="11" s="1"/>
  <c r="DW57" i="11"/>
  <c r="DX57" i="11" s="1"/>
  <c r="DY57" i="11" s="1"/>
  <c r="DW58" i="11"/>
  <c r="DX58" i="11" s="1"/>
  <c r="DY58" i="11" s="1"/>
  <c r="DW59" i="11"/>
  <c r="DX59" i="11" s="1"/>
  <c r="DW60" i="11"/>
  <c r="DX60" i="11" s="1"/>
  <c r="DY60" i="11" s="1"/>
  <c r="DW61" i="11"/>
  <c r="DX61" i="11" s="1"/>
  <c r="DY61" i="11" s="1"/>
  <c r="DW62" i="11"/>
  <c r="DX62" i="11" s="1"/>
  <c r="DY62" i="11" s="1"/>
  <c r="DW63" i="11"/>
  <c r="DX63" i="11" s="1"/>
  <c r="DY63" i="11" s="1"/>
  <c r="DW64" i="11"/>
  <c r="DX64" i="11" s="1"/>
  <c r="DY64" i="11" s="1"/>
  <c r="DW65" i="11"/>
  <c r="DX65" i="11" s="1"/>
  <c r="DY65" i="11" s="1"/>
  <c r="DW66" i="11"/>
  <c r="DX66" i="11" s="1"/>
  <c r="DY66" i="11" s="1"/>
  <c r="DW67" i="11"/>
  <c r="DX67" i="11" s="1"/>
  <c r="DY67" i="11" s="1"/>
  <c r="DW68" i="11"/>
  <c r="DX68" i="11" s="1"/>
  <c r="DY68" i="11" s="1"/>
  <c r="DW69" i="11"/>
  <c r="DX69" i="11" s="1"/>
  <c r="DY69" i="11" s="1"/>
  <c r="DW70" i="11"/>
  <c r="DX70" i="11" s="1"/>
  <c r="DY70" i="11" s="1"/>
  <c r="DW71" i="11"/>
  <c r="DX71" i="11" s="1"/>
  <c r="DY71" i="11" s="1"/>
  <c r="DW72" i="11"/>
  <c r="DX72" i="11" s="1"/>
  <c r="DY72" i="11" s="1"/>
  <c r="DW73" i="11"/>
  <c r="DX73" i="11" s="1"/>
  <c r="DY73" i="11" s="1"/>
  <c r="DW74" i="11"/>
  <c r="DX74" i="11" s="1"/>
  <c r="DY74" i="11" s="1"/>
  <c r="DW75" i="11"/>
  <c r="DX75" i="11" s="1"/>
  <c r="DY75" i="11" s="1"/>
  <c r="DW76" i="11"/>
  <c r="DX76" i="11" s="1"/>
  <c r="DY76" i="11" s="1"/>
  <c r="DW77" i="11"/>
  <c r="DX77" i="11" s="1"/>
  <c r="DY77" i="11" s="1"/>
  <c r="DW78" i="11"/>
  <c r="DX78" i="11" s="1"/>
  <c r="DY78" i="11" s="1"/>
  <c r="DW79" i="11"/>
  <c r="DX79" i="11" s="1"/>
  <c r="DY79" i="11" s="1"/>
  <c r="DW80" i="11"/>
  <c r="DX80" i="11" s="1"/>
  <c r="DY80" i="11" s="1"/>
  <c r="DW81" i="11"/>
  <c r="DX81" i="11" s="1"/>
  <c r="DY81" i="11" s="1"/>
  <c r="DW82" i="11"/>
  <c r="DX82" i="11" s="1"/>
  <c r="DY82" i="11" s="1"/>
  <c r="DW83" i="11"/>
  <c r="DX83" i="11" s="1"/>
  <c r="DY83" i="11" s="1"/>
  <c r="DW84" i="11"/>
  <c r="DX84" i="11" s="1"/>
  <c r="DY84" i="11" s="1"/>
  <c r="DW85" i="11"/>
  <c r="DX85" i="11" s="1"/>
  <c r="DY85" i="11" s="1"/>
  <c r="DW86" i="11"/>
  <c r="DX86" i="11" s="1"/>
  <c r="DY86" i="11" s="1"/>
  <c r="DW87" i="11"/>
  <c r="DX87" i="11" s="1"/>
  <c r="DY87" i="11" s="1"/>
  <c r="DW88" i="11"/>
  <c r="DX88" i="11" s="1"/>
  <c r="DY88" i="11" s="1"/>
  <c r="DW89" i="11"/>
  <c r="DX89" i="11" s="1"/>
  <c r="DY89" i="11" s="1"/>
  <c r="DW90" i="11"/>
  <c r="DX90" i="11" s="1"/>
  <c r="DY90" i="11" s="1"/>
  <c r="DW91" i="11"/>
  <c r="DX91" i="11" s="1"/>
  <c r="DY91" i="11" s="1"/>
  <c r="DW92" i="11"/>
  <c r="DX92" i="11" s="1"/>
  <c r="DY92" i="11" s="1"/>
  <c r="DW93" i="11"/>
  <c r="DX93" i="11" s="1"/>
  <c r="DY93" i="11" s="1"/>
  <c r="DW94" i="11"/>
  <c r="DX94" i="11" s="1"/>
  <c r="DY94" i="11" s="1"/>
  <c r="DW95" i="11"/>
  <c r="DX95" i="11" s="1"/>
  <c r="DY95" i="11" s="1"/>
  <c r="DW96" i="11"/>
  <c r="DX96" i="11" s="1"/>
  <c r="DY96" i="11" s="1"/>
  <c r="DW97" i="11"/>
  <c r="DX97" i="11" s="1"/>
  <c r="DY97" i="11" s="1"/>
  <c r="DW98" i="11"/>
  <c r="DX98" i="11" s="1"/>
  <c r="DY98" i="11" s="1"/>
  <c r="DW99" i="11"/>
  <c r="DX99" i="11" s="1"/>
  <c r="DY99" i="11" s="1"/>
  <c r="DW100" i="11"/>
  <c r="DX100" i="11" s="1"/>
  <c r="DY100" i="11" s="1"/>
  <c r="DW101" i="11"/>
  <c r="DX101" i="11" s="1"/>
  <c r="DY101" i="11" s="1"/>
  <c r="DW102" i="11"/>
  <c r="DX102" i="11" s="1"/>
  <c r="DY102" i="11" s="1"/>
  <c r="DW103" i="11"/>
  <c r="DX103" i="11" s="1"/>
  <c r="DY103" i="11" s="1"/>
  <c r="DW104" i="11"/>
  <c r="DX104" i="11" s="1"/>
  <c r="DY104" i="11" s="1"/>
  <c r="DW105" i="11"/>
  <c r="DX105" i="11" s="1"/>
  <c r="DY105" i="11" s="1"/>
  <c r="DW106" i="11"/>
  <c r="DX106" i="11" s="1"/>
  <c r="DY106" i="11" s="1"/>
  <c r="DW107" i="11"/>
  <c r="DX107" i="11" s="1"/>
  <c r="DY107" i="11" s="1"/>
  <c r="DW108" i="11"/>
  <c r="DX108" i="11" s="1"/>
  <c r="DY108" i="11" s="1"/>
  <c r="DW109" i="11"/>
  <c r="DX109" i="11" s="1"/>
  <c r="DY109" i="11" s="1"/>
  <c r="DW110" i="11"/>
  <c r="DX110" i="11" s="1"/>
  <c r="DY110" i="11" s="1"/>
  <c r="DW111" i="11"/>
  <c r="DX111" i="11" s="1"/>
  <c r="DY111" i="11" s="1"/>
  <c r="DW112" i="11"/>
  <c r="DX112" i="11" s="1"/>
  <c r="DY112" i="11" s="1"/>
  <c r="DW113" i="11"/>
  <c r="DX113" i="11" s="1"/>
  <c r="DY113" i="11" s="1"/>
  <c r="DW114" i="11"/>
  <c r="DX114" i="11" s="1"/>
  <c r="DY114" i="11" s="1"/>
  <c r="DW115" i="11"/>
  <c r="DX115" i="11" s="1"/>
  <c r="DY115" i="11" s="1"/>
  <c r="DW116" i="11"/>
  <c r="DX116" i="11" s="1"/>
  <c r="DY116" i="11" s="1"/>
  <c r="DW117" i="11"/>
  <c r="DX117" i="11" s="1"/>
  <c r="DY117" i="11" s="1"/>
  <c r="DW118" i="11"/>
  <c r="DX118" i="11" s="1"/>
  <c r="DY118" i="11" s="1"/>
  <c r="DW119" i="11"/>
  <c r="DX119" i="11" s="1"/>
  <c r="DY119" i="11" s="1"/>
  <c r="DW120" i="11"/>
  <c r="DX120" i="11" s="1"/>
  <c r="DY120" i="11" s="1"/>
  <c r="DW121" i="11"/>
  <c r="DX121" i="11" s="1"/>
  <c r="DY121" i="11" s="1"/>
  <c r="DW122" i="11"/>
  <c r="DX122" i="11" s="1"/>
  <c r="DY122" i="11" s="1"/>
  <c r="DW123" i="11"/>
  <c r="DX123" i="11" s="1"/>
  <c r="DY123" i="11" s="1"/>
  <c r="DW124" i="11"/>
  <c r="DX124" i="11" s="1"/>
  <c r="DY124" i="11" s="1"/>
  <c r="DW125" i="11"/>
  <c r="DX125" i="11" s="1"/>
  <c r="DY125" i="11" s="1"/>
  <c r="DW126" i="11"/>
  <c r="DX126" i="11" s="1"/>
  <c r="DY126" i="11" s="1"/>
  <c r="DW127" i="11"/>
  <c r="DX127" i="11" s="1"/>
  <c r="DY127" i="11" s="1"/>
  <c r="DW128" i="11"/>
  <c r="DX128" i="11" s="1"/>
  <c r="DY128" i="11" s="1"/>
  <c r="DW129" i="11"/>
  <c r="DX129" i="11" s="1"/>
  <c r="DY129" i="11" s="1"/>
  <c r="DW130" i="11"/>
  <c r="DX130" i="11" s="1"/>
  <c r="DY130" i="11" s="1"/>
  <c r="DW131" i="11"/>
  <c r="DX131" i="11" s="1"/>
  <c r="DY131" i="11" s="1"/>
  <c r="DW132" i="11"/>
  <c r="DX132" i="11" s="1"/>
  <c r="DY132" i="11" s="1"/>
  <c r="DW133" i="11"/>
  <c r="DX133" i="11" s="1"/>
  <c r="DY133" i="11" s="1"/>
  <c r="DW134" i="11"/>
  <c r="DX134" i="11" s="1"/>
  <c r="DY134" i="11" s="1"/>
  <c r="DW135" i="11"/>
  <c r="DX135" i="11" s="1"/>
  <c r="DY135" i="11" s="1"/>
  <c r="DW136" i="11"/>
  <c r="DX136" i="11" s="1"/>
  <c r="DY136" i="11" s="1"/>
  <c r="DW137" i="11"/>
  <c r="DX137" i="11" s="1"/>
  <c r="DY137" i="11" s="1"/>
  <c r="DW138" i="11"/>
  <c r="DX138" i="11" s="1"/>
  <c r="DY138" i="11" s="1"/>
  <c r="DW139" i="11"/>
  <c r="DX139" i="11" s="1"/>
  <c r="DY139" i="11" s="1"/>
  <c r="DW140" i="11"/>
  <c r="DX140" i="11" s="1"/>
  <c r="DY140" i="11" s="1"/>
  <c r="DW141" i="11"/>
  <c r="DX141" i="11" s="1"/>
  <c r="DY141" i="11" s="1"/>
  <c r="DW142" i="11"/>
  <c r="DX142" i="11" s="1"/>
  <c r="DY142" i="11" s="1"/>
  <c r="DW143" i="11"/>
  <c r="DX143" i="11" s="1"/>
  <c r="DY143" i="11" s="1"/>
  <c r="DW144" i="11"/>
  <c r="DX144" i="11" s="1"/>
  <c r="DY144" i="11" s="1"/>
  <c r="DW145" i="11"/>
  <c r="DX145" i="11" s="1"/>
  <c r="DY145" i="11" s="1"/>
  <c r="DW146" i="11"/>
  <c r="DX146" i="11" s="1"/>
  <c r="DY146" i="11" s="1"/>
  <c r="DW147" i="11"/>
  <c r="DX147" i="11" s="1"/>
  <c r="DY147" i="11" s="1"/>
  <c r="DW148" i="11"/>
  <c r="DX148" i="11" s="1"/>
  <c r="DY148" i="11" s="1"/>
  <c r="DW149" i="11"/>
  <c r="DX149" i="11" s="1"/>
  <c r="DY149" i="11" s="1"/>
  <c r="DW150" i="11"/>
  <c r="DX150" i="11" s="1"/>
  <c r="DY150" i="11" s="1"/>
  <c r="DW151" i="11"/>
  <c r="DX151" i="11" s="1"/>
  <c r="DY151" i="11" s="1"/>
  <c r="DW152" i="11"/>
  <c r="DX152" i="11" s="1"/>
  <c r="DY152" i="11" s="1"/>
  <c r="DW153" i="11"/>
  <c r="DX153" i="11" s="1"/>
  <c r="DY153" i="11" s="1"/>
  <c r="DW154" i="11"/>
  <c r="DX154" i="11" s="1"/>
  <c r="DY154" i="11" s="1"/>
  <c r="DW155" i="11"/>
  <c r="DX155" i="11" s="1"/>
  <c r="DY155" i="11" s="1"/>
  <c r="DW156" i="11"/>
  <c r="DX156" i="11" s="1"/>
  <c r="DY156" i="11" s="1"/>
  <c r="DW157" i="11"/>
  <c r="DX157" i="11" s="1"/>
  <c r="DY157" i="11" s="1"/>
  <c r="DW158" i="11"/>
  <c r="DX158" i="11" s="1"/>
  <c r="DY158" i="11" s="1"/>
  <c r="DW159" i="11"/>
  <c r="DX159" i="11" s="1"/>
  <c r="DY159" i="11" s="1"/>
  <c r="DW160" i="11"/>
  <c r="DX160" i="11" s="1"/>
  <c r="DY160" i="11" s="1"/>
  <c r="DW161" i="11"/>
  <c r="DX161" i="11" s="1"/>
  <c r="DY161" i="11" s="1"/>
  <c r="DW162" i="11"/>
  <c r="DX162" i="11" s="1"/>
  <c r="DY162" i="11" s="1"/>
  <c r="DW163" i="11"/>
  <c r="DX163" i="11" s="1"/>
  <c r="DY163" i="11" s="1"/>
  <c r="DW164" i="11"/>
  <c r="DX164" i="11" s="1"/>
  <c r="DY164" i="11" s="1"/>
  <c r="DW165" i="11"/>
  <c r="DX165" i="11" s="1"/>
  <c r="DY165" i="11" s="1"/>
  <c r="DW166" i="11"/>
  <c r="DX166" i="11" s="1"/>
  <c r="DY166" i="11" s="1"/>
  <c r="DW167" i="11"/>
  <c r="DX167" i="11" s="1"/>
  <c r="DY167" i="11" s="1"/>
  <c r="DW168" i="11"/>
  <c r="DX168" i="11" s="1"/>
  <c r="DY168" i="11" s="1"/>
  <c r="DW169" i="11"/>
  <c r="DX169" i="11" s="1"/>
  <c r="DY169" i="11" s="1"/>
  <c r="DW170" i="11"/>
  <c r="DX170" i="11" s="1"/>
  <c r="DY170" i="11" s="1"/>
  <c r="DW171" i="11"/>
  <c r="DX171" i="11" s="1"/>
  <c r="DY171" i="11" s="1"/>
  <c r="DW172" i="11"/>
  <c r="DX172" i="11" s="1"/>
  <c r="DY172" i="11" s="1"/>
  <c r="DW173" i="11"/>
  <c r="DX173" i="11" s="1"/>
  <c r="DY173" i="11" s="1"/>
  <c r="DW174" i="11"/>
  <c r="DX174" i="11" s="1"/>
  <c r="DY174" i="11" s="1"/>
  <c r="DW175" i="11"/>
  <c r="DX175" i="11" s="1"/>
  <c r="DY175" i="11" s="1"/>
  <c r="DW176" i="11"/>
  <c r="DX176" i="11" s="1"/>
  <c r="DY176" i="11" s="1"/>
  <c r="DW177" i="11"/>
  <c r="DX177" i="11" s="1"/>
  <c r="DY177" i="11" s="1"/>
  <c r="DW178" i="11"/>
  <c r="DX178" i="11" s="1"/>
  <c r="DY178" i="11" s="1"/>
  <c r="DW179" i="11"/>
  <c r="DX179" i="11" s="1"/>
  <c r="DY179" i="11" s="1"/>
  <c r="DW180" i="11"/>
  <c r="DX180" i="11" s="1"/>
  <c r="DY180" i="11" s="1"/>
  <c r="DW181" i="11"/>
  <c r="DX181" i="11" s="1"/>
  <c r="DY181" i="11" s="1"/>
  <c r="DW182" i="11"/>
  <c r="DX182" i="11" s="1"/>
  <c r="DY182" i="11" s="1"/>
  <c r="DW183" i="11"/>
  <c r="DX183" i="11" s="1"/>
  <c r="DY183" i="11" s="1"/>
  <c r="DW184" i="11"/>
  <c r="DX184" i="11" s="1"/>
  <c r="DY184" i="11" s="1"/>
  <c r="DW185" i="11"/>
  <c r="DX185" i="11" s="1"/>
  <c r="DY185" i="11" s="1"/>
  <c r="DW186" i="11"/>
  <c r="DX186" i="11" s="1"/>
  <c r="DY186" i="11" s="1"/>
  <c r="DW187" i="11"/>
  <c r="DX187" i="11" s="1"/>
  <c r="DY187" i="11" s="1"/>
  <c r="DW188" i="11"/>
  <c r="DX188" i="11" s="1"/>
  <c r="DY188" i="11" s="1"/>
  <c r="DW189" i="11"/>
  <c r="DX189" i="11" s="1"/>
  <c r="DY189" i="11" s="1"/>
  <c r="DW190" i="11"/>
  <c r="DX190" i="11" s="1"/>
  <c r="DY190" i="11" s="1"/>
  <c r="DW191" i="11"/>
  <c r="DX191" i="11" s="1"/>
  <c r="DY191" i="11" s="1"/>
  <c r="DW192" i="11"/>
  <c r="DX192" i="11" s="1"/>
  <c r="DY192" i="11" s="1"/>
  <c r="DW193" i="11"/>
  <c r="DX193" i="11" s="1"/>
  <c r="DY193" i="11" s="1"/>
  <c r="DW194" i="11"/>
  <c r="DX194" i="11" s="1"/>
  <c r="DY194" i="11" s="1"/>
  <c r="DW195" i="11"/>
  <c r="DX195" i="11" s="1"/>
  <c r="DY195" i="11" s="1"/>
  <c r="DW196" i="11"/>
  <c r="DX196" i="11" s="1"/>
  <c r="DY196" i="11" s="1"/>
  <c r="DW197" i="11"/>
  <c r="DX197" i="11" s="1"/>
  <c r="DY197" i="11" s="1"/>
  <c r="DW198" i="11"/>
  <c r="DX198" i="11" s="1"/>
  <c r="DY198" i="11" s="1"/>
  <c r="DW199" i="11"/>
  <c r="DX199" i="11" s="1"/>
  <c r="DY199" i="11" s="1"/>
  <c r="DW200" i="11"/>
  <c r="DX200" i="11" s="1"/>
  <c r="DY200" i="11" s="1"/>
  <c r="DW201" i="11"/>
  <c r="DX201" i="11" s="1"/>
  <c r="DY201" i="11" s="1"/>
  <c r="DW202" i="11"/>
  <c r="DX202" i="11" s="1"/>
  <c r="DW4" i="11"/>
  <c r="DX4" i="11" s="1"/>
  <c r="DY50" i="11" l="1"/>
  <c r="EB50" i="11"/>
  <c r="EB19" i="11"/>
  <c r="DB6" i="11"/>
  <c r="DZ4" i="11"/>
  <c r="DZ5" i="11" s="1"/>
  <c r="DZ6" i="11" s="1"/>
  <c r="EB4" i="11"/>
  <c r="DB7" i="11" l="1"/>
  <c r="DZ7" i="11"/>
  <c r="BD15" i="11"/>
  <c r="BD16" i="11"/>
  <c r="BD17" i="11"/>
  <c r="BD18" i="11"/>
  <c r="BD19" i="11"/>
  <c r="BD20" i="11"/>
  <c r="BD21" i="11"/>
  <c r="BD22" i="11"/>
  <c r="BD23" i="11"/>
  <c r="BD24" i="11"/>
  <c r="BD25" i="11"/>
  <c r="BD26" i="11"/>
  <c r="BD27" i="11"/>
  <c r="BD28" i="11"/>
  <c r="BD29" i="11"/>
  <c r="BD30" i="11"/>
  <c r="BD31" i="11"/>
  <c r="BD32" i="11"/>
  <c r="BD33" i="11"/>
  <c r="BD34" i="11"/>
  <c r="BD35" i="11"/>
  <c r="BD36" i="11"/>
  <c r="BD37" i="11"/>
  <c r="BD38" i="11"/>
  <c r="BD39" i="11"/>
  <c r="BD40" i="11"/>
  <c r="BD41" i="11"/>
  <c r="BD42" i="11"/>
  <c r="BD43" i="11"/>
  <c r="BD44" i="11"/>
  <c r="BD45" i="11"/>
  <c r="BD46" i="11"/>
  <c r="BD47" i="11"/>
  <c r="BD48" i="11"/>
  <c r="BD49" i="11"/>
  <c r="BD50" i="11"/>
  <c r="BD51" i="11"/>
  <c r="BD52" i="11"/>
  <c r="BD53" i="11"/>
  <c r="BD54" i="11"/>
  <c r="BD55" i="11"/>
  <c r="BD56" i="11"/>
  <c r="BD57" i="11"/>
  <c r="BD58" i="11"/>
  <c r="BD59" i="11"/>
  <c r="BD60" i="11"/>
  <c r="BD61" i="11"/>
  <c r="BD62" i="11"/>
  <c r="BD63" i="11"/>
  <c r="BD64" i="11"/>
  <c r="BD65" i="11"/>
  <c r="BD66" i="11"/>
  <c r="BD67" i="11"/>
  <c r="BD68" i="11"/>
  <c r="BD69" i="11"/>
  <c r="BD70" i="11"/>
  <c r="BD71" i="11"/>
  <c r="BD72" i="11"/>
  <c r="BD73" i="11"/>
  <c r="BD74" i="11"/>
  <c r="BD75" i="11"/>
  <c r="BD76" i="11"/>
  <c r="BD77" i="11"/>
  <c r="BD78" i="11"/>
  <c r="BD79" i="11"/>
  <c r="BD80" i="11"/>
  <c r="BD81" i="11"/>
  <c r="BD82" i="11"/>
  <c r="BD83" i="11"/>
  <c r="BD84" i="11"/>
  <c r="BD85" i="11"/>
  <c r="BD86" i="11"/>
  <c r="BD87" i="11"/>
  <c r="BD88" i="11"/>
  <c r="BD89" i="11"/>
  <c r="BD90" i="11"/>
  <c r="BD91" i="11"/>
  <c r="BD92" i="11"/>
  <c r="BD93" i="11"/>
  <c r="BD94" i="11"/>
  <c r="BD95" i="11"/>
  <c r="BD96" i="11"/>
  <c r="BD97" i="11"/>
  <c r="BD98" i="11"/>
  <c r="BD99" i="11"/>
  <c r="BD100" i="11"/>
  <c r="BD101" i="11"/>
  <c r="BD102" i="11"/>
  <c r="BD103" i="11"/>
  <c r="BD104" i="11"/>
  <c r="BD105" i="11"/>
  <c r="BD106" i="11"/>
  <c r="BD107" i="11"/>
  <c r="BD108" i="11"/>
  <c r="BD109" i="11"/>
  <c r="BD110" i="11"/>
  <c r="BD111" i="11"/>
  <c r="BD112" i="11"/>
  <c r="BD113" i="11"/>
  <c r="BD114" i="11"/>
  <c r="BD115" i="11"/>
  <c r="BD116" i="11"/>
  <c r="BD117" i="11"/>
  <c r="BD118" i="11"/>
  <c r="BD119" i="11"/>
  <c r="BD120" i="11"/>
  <c r="BD121" i="11"/>
  <c r="BD122" i="11"/>
  <c r="BD123" i="11"/>
  <c r="BD124" i="11"/>
  <c r="BD125" i="11"/>
  <c r="BD126" i="11"/>
  <c r="BD127" i="11"/>
  <c r="BD128" i="11"/>
  <c r="BD129" i="11"/>
  <c r="BD130" i="11"/>
  <c r="BD131" i="11"/>
  <c r="BD132" i="11"/>
  <c r="BD133" i="11"/>
  <c r="BD134" i="11"/>
  <c r="BD135" i="11"/>
  <c r="BD136" i="11"/>
  <c r="BD137" i="11"/>
  <c r="BD138" i="11"/>
  <c r="BD139" i="11"/>
  <c r="BD140" i="11"/>
  <c r="BD141" i="11"/>
  <c r="BD142" i="11"/>
  <c r="BD143" i="11"/>
  <c r="BD144" i="11"/>
  <c r="BD145" i="11"/>
  <c r="BD146" i="11"/>
  <c r="BD147" i="11"/>
  <c r="BD148" i="11"/>
  <c r="BD149" i="11"/>
  <c r="BD150" i="11"/>
  <c r="BD151" i="11"/>
  <c r="BD152" i="11"/>
  <c r="BD153" i="11"/>
  <c r="BD154" i="11"/>
  <c r="BD155" i="11"/>
  <c r="BD156" i="11"/>
  <c r="BD157" i="11"/>
  <c r="BD158" i="11"/>
  <c r="BD159" i="11"/>
  <c r="BD160" i="11"/>
  <c r="BD161" i="11"/>
  <c r="BD162" i="11"/>
  <c r="BD163" i="11"/>
  <c r="BD164" i="11"/>
  <c r="BD165" i="11"/>
  <c r="BD166" i="11"/>
  <c r="BD167" i="11"/>
  <c r="BD168" i="11"/>
  <c r="BD169" i="11"/>
  <c r="BD170" i="11"/>
  <c r="BD171" i="11"/>
  <c r="BD172" i="11"/>
  <c r="BD173" i="11"/>
  <c r="BD174" i="11"/>
  <c r="BD175" i="11"/>
  <c r="BD176" i="11"/>
  <c r="BD177" i="11"/>
  <c r="BD178" i="11"/>
  <c r="BD179" i="11"/>
  <c r="BD180" i="11"/>
  <c r="BD181" i="11"/>
  <c r="BD182" i="11"/>
  <c r="BD183" i="11"/>
  <c r="BD184" i="11"/>
  <c r="BD185" i="11"/>
  <c r="BD186" i="11"/>
  <c r="BD187" i="11"/>
  <c r="BD188" i="11"/>
  <c r="BD189" i="11"/>
  <c r="BD190" i="11"/>
  <c r="BD191" i="11"/>
  <c r="BD192" i="11"/>
  <c r="BD193" i="11"/>
  <c r="BD194" i="11"/>
  <c r="BD195" i="11"/>
  <c r="BD196" i="11"/>
  <c r="BD197" i="11"/>
  <c r="BD198" i="11"/>
  <c r="BD199" i="11"/>
  <c r="BD200" i="11"/>
  <c r="BD201" i="11"/>
  <c r="BD202" i="11"/>
  <c r="DB8" i="11" l="1"/>
  <c r="DZ8" i="11"/>
  <c r="DG202" i="11"/>
  <c r="DH202" i="11" s="1"/>
  <c r="DG201" i="11"/>
  <c r="DH201" i="11" s="1"/>
  <c r="DI201" i="11" s="1"/>
  <c r="DG200" i="11"/>
  <c r="DH200" i="11" s="1"/>
  <c r="DI200" i="11" s="1"/>
  <c r="DG199" i="11"/>
  <c r="DH199" i="11" s="1"/>
  <c r="DI199" i="11" s="1"/>
  <c r="DG198" i="11"/>
  <c r="DH198" i="11" s="1"/>
  <c r="DI198" i="11" s="1"/>
  <c r="DG197" i="11"/>
  <c r="DH197" i="11" s="1"/>
  <c r="DI197" i="11" s="1"/>
  <c r="DG196" i="11"/>
  <c r="DH196" i="11" s="1"/>
  <c r="DI196" i="11" s="1"/>
  <c r="DG195" i="11"/>
  <c r="DH195" i="11" s="1"/>
  <c r="DI195" i="11" s="1"/>
  <c r="DG194" i="11"/>
  <c r="DH194" i="11" s="1"/>
  <c r="DI194" i="11" s="1"/>
  <c r="DG193" i="11"/>
  <c r="DH193" i="11" s="1"/>
  <c r="DI193" i="11" s="1"/>
  <c r="DG192" i="11"/>
  <c r="DH192" i="11" s="1"/>
  <c r="DI192" i="11" s="1"/>
  <c r="DG191" i="11"/>
  <c r="DH191" i="11" s="1"/>
  <c r="DI191" i="11" s="1"/>
  <c r="DG190" i="11"/>
  <c r="DH190" i="11" s="1"/>
  <c r="DI190" i="11" s="1"/>
  <c r="DG189" i="11"/>
  <c r="DH189" i="11" s="1"/>
  <c r="DI189" i="11" s="1"/>
  <c r="DG188" i="11"/>
  <c r="DH188" i="11" s="1"/>
  <c r="DI188" i="11" s="1"/>
  <c r="DG187" i="11"/>
  <c r="DH187" i="11" s="1"/>
  <c r="DI187" i="11" s="1"/>
  <c r="DG186" i="11"/>
  <c r="DH186" i="11" s="1"/>
  <c r="DI186" i="11" s="1"/>
  <c r="DG185" i="11"/>
  <c r="DH185" i="11" s="1"/>
  <c r="DI185" i="11" s="1"/>
  <c r="DG184" i="11"/>
  <c r="DH184" i="11" s="1"/>
  <c r="DI184" i="11" s="1"/>
  <c r="DG183" i="11"/>
  <c r="DH183" i="11" s="1"/>
  <c r="DI183" i="11" s="1"/>
  <c r="DG182" i="11"/>
  <c r="DH182" i="11" s="1"/>
  <c r="DI182" i="11" s="1"/>
  <c r="DG181" i="11"/>
  <c r="DH181" i="11" s="1"/>
  <c r="DI181" i="11" s="1"/>
  <c r="DG180" i="11"/>
  <c r="DH180" i="11" s="1"/>
  <c r="DI180" i="11" s="1"/>
  <c r="DG179" i="11"/>
  <c r="DH179" i="11" s="1"/>
  <c r="DI179" i="11" s="1"/>
  <c r="DG178" i="11"/>
  <c r="DH178" i="11" s="1"/>
  <c r="DI178" i="11" s="1"/>
  <c r="DG177" i="11"/>
  <c r="DH177" i="11" s="1"/>
  <c r="DI177" i="11" s="1"/>
  <c r="DG176" i="11"/>
  <c r="DH176" i="11" s="1"/>
  <c r="DI176" i="11" s="1"/>
  <c r="DG175" i="11"/>
  <c r="DH175" i="11" s="1"/>
  <c r="DI175" i="11" s="1"/>
  <c r="DG174" i="11"/>
  <c r="DH174" i="11" s="1"/>
  <c r="DI174" i="11" s="1"/>
  <c r="DG173" i="11"/>
  <c r="DH173" i="11" s="1"/>
  <c r="DI173" i="11" s="1"/>
  <c r="DG172" i="11"/>
  <c r="DH172" i="11" s="1"/>
  <c r="DI172" i="11" s="1"/>
  <c r="DG171" i="11"/>
  <c r="DH171" i="11" s="1"/>
  <c r="DI171" i="11" s="1"/>
  <c r="DG170" i="11"/>
  <c r="DH170" i="11" s="1"/>
  <c r="DI170" i="11" s="1"/>
  <c r="DG169" i="11"/>
  <c r="DH169" i="11" s="1"/>
  <c r="DI169" i="11" s="1"/>
  <c r="DG168" i="11"/>
  <c r="DH168" i="11" s="1"/>
  <c r="DI168" i="11" s="1"/>
  <c r="DG167" i="11"/>
  <c r="DH167" i="11" s="1"/>
  <c r="DI167" i="11" s="1"/>
  <c r="DG166" i="11"/>
  <c r="DH166" i="11" s="1"/>
  <c r="DI166" i="11" s="1"/>
  <c r="DG165" i="11"/>
  <c r="DH165" i="11" s="1"/>
  <c r="DI165" i="11" s="1"/>
  <c r="DG164" i="11"/>
  <c r="DH164" i="11" s="1"/>
  <c r="DI164" i="11" s="1"/>
  <c r="DG163" i="11"/>
  <c r="DH163" i="11" s="1"/>
  <c r="DI163" i="11" s="1"/>
  <c r="DG162" i="11"/>
  <c r="DH162" i="11" s="1"/>
  <c r="DI162" i="11" s="1"/>
  <c r="DG161" i="11"/>
  <c r="DH161" i="11" s="1"/>
  <c r="DI161" i="11" s="1"/>
  <c r="DG160" i="11"/>
  <c r="DH160" i="11" s="1"/>
  <c r="DI160" i="11" s="1"/>
  <c r="DG159" i="11"/>
  <c r="DH159" i="11" s="1"/>
  <c r="DI159" i="11" s="1"/>
  <c r="DG158" i="11"/>
  <c r="DH158" i="11" s="1"/>
  <c r="DI158" i="11" s="1"/>
  <c r="DG157" i="11"/>
  <c r="DH157" i="11" s="1"/>
  <c r="DI157" i="11" s="1"/>
  <c r="DG156" i="11"/>
  <c r="DH156" i="11" s="1"/>
  <c r="DI156" i="11" s="1"/>
  <c r="DG155" i="11"/>
  <c r="DH155" i="11" s="1"/>
  <c r="DI155" i="11" s="1"/>
  <c r="DG154" i="11"/>
  <c r="DH154" i="11" s="1"/>
  <c r="DI154" i="11" s="1"/>
  <c r="DG153" i="11"/>
  <c r="DH153" i="11" s="1"/>
  <c r="DI153" i="11" s="1"/>
  <c r="DG152" i="11"/>
  <c r="DH152" i="11" s="1"/>
  <c r="DI152" i="11" s="1"/>
  <c r="DG151" i="11"/>
  <c r="DH151" i="11" s="1"/>
  <c r="DI151" i="11" s="1"/>
  <c r="DG150" i="11"/>
  <c r="DH150" i="11" s="1"/>
  <c r="DI150" i="11" s="1"/>
  <c r="DG149" i="11"/>
  <c r="DH149" i="11" s="1"/>
  <c r="DI149" i="11" s="1"/>
  <c r="DG148" i="11"/>
  <c r="DH148" i="11" s="1"/>
  <c r="DI148" i="11" s="1"/>
  <c r="DG147" i="11"/>
  <c r="DH147" i="11" s="1"/>
  <c r="DI147" i="11" s="1"/>
  <c r="DG146" i="11"/>
  <c r="DH146" i="11" s="1"/>
  <c r="DI146" i="11" s="1"/>
  <c r="DG145" i="11"/>
  <c r="DH145" i="11" s="1"/>
  <c r="DI145" i="11" s="1"/>
  <c r="DG144" i="11"/>
  <c r="DH144" i="11" s="1"/>
  <c r="DI144" i="11" s="1"/>
  <c r="DG143" i="11"/>
  <c r="DH143" i="11" s="1"/>
  <c r="DI143" i="11" s="1"/>
  <c r="DG142" i="11"/>
  <c r="DH142" i="11" s="1"/>
  <c r="DI142" i="11" s="1"/>
  <c r="DG141" i="11"/>
  <c r="DH141" i="11" s="1"/>
  <c r="DI141" i="11" s="1"/>
  <c r="DG140" i="11"/>
  <c r="DH140" i="11" s="1"/>
  <c r="DI140" i="11" s="1"/>
  <c r="DG139" i="11"/>
  <c r="DH139" i="11" s="1"/>
  <c r="DI139" i="11" s="1"/>
  <c r="DG138" i="11"/>
  <c r="DH138" i="11" s="1"/>
  <c r="DI138" i="11" s="1"/>
  <c r="DG137" i="11"/>
  <c r="DH137" i="11" s="1"/>
  <c r="DI137" i="11" s="1"/>
  <c r="DG136" i="11"/>
  <c r="DH136" i="11" s="1"/>
  <c r="DI136" i="11" s="1"/>
  <c r="DG135" i="11"/>
  <c r="DH135" i="11" s="1"/>
  <c r="DI135" i="11" s="1"/>
  <c r="DG134" i="11"/>
  <c r="DH134" i="11" s="1"/>
  <c r="DI134" i="11" s="1"/>
  <c r="DG133" i="11"/>
  <c r="DH133" i="11" s="1"/>
  <c r="DI133" i="11" s="1"/>
  <c r="DG132" i="11"/>
  <c r="DH132" i="11" s="1"/>
  <c r="DI132" i="11" s="1"/>
  <c r="DG131" i="11"/>
  <c r="DH131" i="11" s="1"/>
  <c r="DI131" i="11" s="1"/>
  <c r="DG130" i="11"/>
  <c r="DH130" i="11" s="1"/>
  <c r="DI130" i="11" s="1"/>
  <c r="DG129" i="11"/>
  <c r="DH129" i="11" s="1"/>
  <c r="DI129" i="11" s="1"/>
  <c r="DG128" i="11"/>
  <c r="DH128" i="11" s="1"/>
  <c r="DI128" i="11" s="1"/>
  <c r="DG127" i="11"/>
  <c r="DH127" i="11" s="1"/>
  <c r="DI127" i="11" s="1"/>
  <c r="DG126" i="11"/>
  <c r="DH126" i="11" s="1"/>
  <c r="DI126" i="11" s="1"/>
  <c r="DG125" i="11"/>
  <c r="DH125" i="11" s="1"/>
  <c r="DI125" i="11" s="1"/>
  <c r="DG124" i="11"/>
  <c r="DH124" i="11" s="1"/>
  <c r="DI124" i="11" s="1"/>
  <c r="DG123" i="11"/>
  <c r="DH123" i="11" s="1"/>
  <c r="DI123" i="11" s="1"/>
  <c r="DG122" i="11"/>
  <c r="DH122" i="11" s="1"/>
  <c r="DI122" i="11" s="1"/>
  <c r="DG121" i="11"/>
  <c r="DH121" i="11" s="1"/>
  <c r="DI121" i="11" s="1"/>
  <c r="DG120" i="11"/>
  <c r="DH120" i="11" s="1"/>
  <c r="DI120" i="11" s="1"/>
  <c r="DG119" i="11"/>
  <c r="DH119" i="11" s="1"/>
  <c r="DI119" i="11" s="1"/>
  <c r="DG118" i="11"/>
  <c r="DH118" i="11" s="1"/>
  <c r="DI118" i="11" s="1"/>
  <c r="DG117" i="11"/>
  <c r="DH117" i="11" s="1"/>
  <c r="DI117" i="11" s="1"/>
  <c r="DG116" i="11"/>
  <c r="DH116" i="11" s="1"/>
  <c r="DI116" i="11" s="1"/>
  <c r="DG115" i="11"/>
  <c r="DH115" i="11" s="1"/>
  <c r="DI115" i="11" s="1"/>
  <c r="DG114" i="11"/>
  <c r="DH114" i="11" s="1"/>
  <c r="DI114" i="11" s="1"/>
  <c r="DG113" i="11"/>
  <c r="DH113" i="11" s="1"/>
  <c r="DI113" i="11" s="1"/>
  <c r="DG112" i="11"/>
  <c r="DH112" i="11" s="1"/>
  <c r="DI112" i="11" s="1"/>
  <c r="DG111" i="11"/>
  <c r="DH111" i="11" s="1"/>
  <c r="DI111" i="11" s="1"/>
  <c r="DG110" i="11"/>
  <c r="DH110" i="11" s="1"/>
  <c r="DI110" i="11" s="1"/>
  <c r="DG109" i="11"/>
  <c r="DH109" i="11" s="1"/>
  <c r="DI109" i="11" s="1"/>
  <c r="DG108" i="11"/>
  <c r="DH108" i="11" s="1"/>
  <c r="DI108" i="11" s="1"/>
  <c r="DG107" i="11"/>
  <c r="DH107" i="11" s="1"/>
  <c r="DI107" i="11" s="1"/>
  <c r="DG106" i="11"/>
  <c r="DH106" i="11" s="1"/>
  <c r="DI106" i="11" s="1"/>
  <c r="DG105" i="11"/>
  <c r="DH105" i="11" s="1"/>
  <c r="DI105" i="11" s="1"/>
  <c r="DG104" i="11"/>
  <c r="DH104" i="11" s="1"/>
  <c r="DI104" i="11" s="1"/>
  <c r="DG103" i="11"/>
  <c r="DH103" i="11" s="1"/>
  <c r="DI103" i="11" s="1"/>
  <c r="DG102" i="11"/>
  <c r="DH102" i="11" s="1"/>
  <c r="DI102" i="11" s="1"/>
  <c r="DG101" i="11"/>
  <c r="DH101" i="11" s="1"/>
  <c r="DI101" i="11" s="1"/>
  <c r="DG100" i="11"/>
  <c r="DH100" i="11" s="1"/>
  <c r="DI100" i="11" s="1"/>
  <c r="DG99" i="11"/>
  <c r="DH99" i="11" s="1"/>
  <c r="DI99" i="11" s="1"/>
  <c r="DG98" i="11"/>
  <c r="DH98" i="11" s="1"/>
  <c r="DI98" i="11" s="1"/>
  <c r="DG97" i="11"/>
  <c r="DH97" i="11" s="1"/>
  <c r="DI97" i="11" s="1"/>
  <c r="DG96" i="11"/>
  <c r="DH96" i="11" s="1"/>
  <c r="DI96" i="11" s="1"/>
  <c r="DG95" i="11"/>
  <c r="DH95" i="11" s="1"/>
  <c r="DI95" i="11" s="1"/>
  <c r="DG94" i="11"/>
  <c r="DH94" i="11" s="1"/>
  <c r="DI94" i="11" s="1"/>
  <c r="DG93" i="11"/>
  <c r="DH93" i="11" s="1"/>
  <c r="DI93" i="11" s="1"/>
  <c r="DG92" i="11"/>
  <c r="DH92" i="11" s="1"/>
  <c r="DI92" i="11" s="1"/>
  <c r="DG91" i="11"/>
  <c r="DH91" i="11" s="1"/>
  <c r="DI91" i="11" s="1"/>
  <c r="DG90" i="11"/>
  <c r="DH90" i="11" s="1"/>
  <c r="DI90" i="11" s="1"/>
  <c r="DG89" i="11"/>
  <c r="DH89" i="11" s="1"/>
  <c r="DI89" i="11" s="1"/>
  <c r="DG88" i="11"/>
  <c r="DH88" i="11" s="1"/>
  <c r="DI88" i="11" s="1"/>
  <c r="DG87" i="11"/>
  <c r="DH87" i="11" s="1"/>
  <c r="DI87" i="11" s="1"/>
  <c r="DG86" i="11"/>
  <c r="DH86" i="11" s="1"/>
  <c r="DI86" i="11" s="1"/>
  <c r="DG85" i="11"/>
  <c r="DH85" i="11" s="1"/>
  <c r="DI85" i="11" s="1"/>
  <c r="DG84" i="11"/>
  <c r="DH84" i="11" s="1"/>
  <c r="DI84" i="11" s="1"/>
  <c r="DG83" i="11"/>
  <c r="DH83" i="11" s="1"/>
  <c r="DI83" i="11" s="1"/>
  <c r="DG82" i="11"/>
  <c r="DH82" i="11" s="1"/>
  <c r="DI82" i="11" s="1"/>
  <c r="DG81" i="11"/>
  <c r="DH81" i="11" s="1"/>
  <c r="DI81" i="11" s="1"/>
  <c r="DG80" i="11"/>
  <c r="DH80" i="11" s="1"/>
  <c r="DI80" i="11" s="1"/>
  <c r="DG79" i="11"/>
  <c r="DH79" i="11" s="1"/>
  <c r="DI79" i="11" s="1"/>
  <c r="DG78" i="11"/>
  <c r="DH78" i="11" s="1"/>
  <c r="DI78" i="11" s="1"/>
  <c r="DG77" i="11"/>
  <c r="DH77" i="11" s="1"/>
  <c r="DI77" i="11" s="1"/>
  <c r="DG76" i="11"/>
  <c r="DH76" i="11" s="1"/>
  <c r="DI76" i="11" s="1"/>
  <c r="DG75" i="11"/>
  <c r="DH75" i="11" s="1"/>
  <c r="DI75" i="11" s="1"/>
  <c r="DG74" i="11"/>
  <c r="DH74" i="11" s="1"/>
  <c r="DI74" i="11" s="1"/>
  <c r="DG73" i="11"/>
  <c r="DH73" i="11" s="1"/>
  <c r="DI73" i="11" s="1"/>
  <c r="DG72" i="11"/>
  <c r="DH72" i="11" s="1"/>
  <c r="DI72" i="11" s="1"/>
  <c r="DG71" i="11"/>
  <c r="DH71" i="11" s="1"/>
  <c r="DI71" i="11" s="1"/>
  <c r="DG70" i="11"/>
  <c r="DH70" i="11" s="1"/>
  <c r="DI70" i="11" s="1"/>
  <c r="DG69" i="11"/>
  <c r="DH69" i="11" s="1"/>
  <c r="DI69" i="11" s="1"/>
  <c r="DG68" i="11"/>
  <c r="DH68" i="11" s="1"/>
  <c r="DI68" i="11" s="1"/>
  <c r="DG67" i="11"/>
  <c r="DH67" i="11" s="1"/>
  <c r="DI67" i="11" s="1"/>
  <c r="DG66" i="11"/>
  <c r="DH66" i="11" s="1"/>
  <c r="DI66" i="11" s="1"/>
  <c r="DG65" i="11"/>
  <c r="DH65" i="11" s="1"/>
  <c r="DI65" i="11" s="1"/>
  <c r="DG64" i="11"/>
  <c r="DH64" i="11" s="1"/>
  <c r="DI64" i="11" s="1"/>
  <c r="DG63" i="11"/>
  <c r="DH63" i="11" s="1"/>
  <c r="DI63" i="11" s="1"/>
  <c r="DG62" i="11"/>
  <c r="DH62" i="11" s="1"/>
  <c r="DI62" i="11" s="1"/>
  <c r="DG61" i="11"/>
  <c r="DH61" i="11" s="1"/>
  <c r="DI61" i="11" s="1"/>
  <c r="DG60" i="11"/>
  <c r="DH60" i="11" s="1"/>
  <c r="DI60" i="11" s="1"/>
  <c r="DG59" i="11"/>
  <c r="DH59" i="11" s="1"/>
  <c r="DG58" i="11"/>
  <c r="DH58" i="11" s="1"/>
  <c r="DI58" i="11" s="1"/>
  <c r="DG57" i="11"/>
  <c r="DH57" i="11" s="1"/>
  <c r="DI57" i="11" s="1"/>
  <c r="DG56" i="11"/>
  <c r="DH56" i="11" s="1"/>
  <c r="DG55" i="11"/>
  <c r="DH55" i="11" s="1"/>
  <c r="DI55" i="11" s="1"/>
  <c r="DG54" i="11"/>
  <c r="DH54" i="11" s="1"/>
  <c r="DI54" i="11" s="1"/>
  <c r="DG53" i="11"/>
  <c r="DH53" i="11" s="1"/>
  <c r="DI53" i="11" s="1"/>
  <c r="DG52" i="11"/>
  <c r="DH52" i="11" s="1"/>
  <c r="DI52" i="11" s="1"/>
  <c r="DG51" i="11"/>
  <c r="DH51" i="11" s="1"/>
  <c r="DI51" i="11" s="1"/>
  <c r="DG50" i="11"/>
  <c r="DH50" i="11" s="1"/>
  <c r="DG49" i="11"/>
  <c r="DH49" i="11" s="1"/>
  <c r="DG48" i="11"/>
  <c r="DH48" i="11" s="1"/>
  <c r="DI48" i="11" s="1"/>
  <c r="DG47" i="11"/>
  <c r="DH47" i="11" s="1"/>
  <c r="DI47" i="11" s="1"/>
  <c r="DG46" i="11"/>
  <c r="DH46" i="11" s="1"/>
  <c r="DI46" i="11" s="1"/>
  <c r="DG45" i="11"/>
  <c r="DH45" i="11" s="1"/>
  <c r="DI45" i="11" s="1"/>
  <c r="DG44" i="11"/>
  <c r="DH44" i="11" s="1"/>
  <c r="DI44" i="11" s="1"/>
  <c r="DG43" i="11"/>
  <c r="DH43" i="11" s="1"/>
  <c r="DG42" i="11"/>
  <c r="DH42" i="11" s="1"/>
  <c r="DI42" i="11" s="1"/>
  <c r="DG41" i="11"/>
  <c r="DH41" i="11" s="1"/>
  <c r="DI41" i="11" s="1"/>
  <c r="DG40" i="11"/>
  <c r="DH40" i="11" s="1"/>
  <c r="DI40" i="11" s="1"/>
  <c r="DG39" i="11"/>
  <c r="DH39" i="11" s="1"/>
  <c r="DI39" i="11" s="1"/>
  <c r="DG38" i="11"/>
  <c r="DH38" i="11" s="1"/>
  <c r="DI38" i="11" s="1"/>
  <c r="DG37" i="11"/>
  <c r="DH37" i="11" s="1"/>
  <c r="DG36" i="11"/>
  <c r="DH36" i="11" s="1"/>
  <c r="DI36" i="11" s="1"/>
  <c r="DG35" i="11"/>
  <c r="DH35" i="11" s="1"/>
  <c r="DI35" i="11" s="1"/>
  <c r="DG34" i="11"/>
  <c r="DH34" i="11" s="1"/>
  <c r="DI34" i="11" s="1"/>
  <c r="DG33" i="11"/>
  <c r="DH33" i="11" s="1"/>
  <c r="DI33" i="11" s="1"/>
  <c r="DG32" i="11"/>
  <c r="DH32" i="11" s="1"/>
  <c r="DI32" i="11" s="1"/>
  <c r="DG31" i="11"/>
  <c r="DH31" i="11" s="1"/>
  <c r="DG30" i="11"/>
  <c r="DH30" i="11" s="1"/>
  <c r="DG29" i="11"/>
  <c r="DH29" i="11" s="1"/>
  <c r="DG28" i="11"/>
  <c r="DH28" i="11" s="1"/>
  <c r="DI28" i="11" s="1"/>
  <c r="DG27" i="11"/>
  <c r="DH27" i="11" s="1"/>
  <c r="DI27" i="11" s="1"/>
  <c r="DG26" i="11"/>
  <c r="DH26" i="11" s="1"/>
  <c r="DI26" i="11" s="1"/>
  <c r="DG25" i="11"/>
  <c r="DH25" i="11" s="1"/>
  <c r="DI25" i="11" s="1"/>
  <c r="DG24" i="11"/>
  <c r="DH24" i="11" s="1"/>
  <c r="DI24" i="11" s="1"/>
  <c r="DG23" i="11"/>
  <c r="DH23" i="11" s="1"/>
  <c r="DI23" i="11" s="1"/>
  <c r="DG22" i="11"/>
  <c r="DH22" i="11" s="1"/>
  <c r="DI22" i="11" s="1"/>
  <c r="DG21" i="11"/>
  <c r="DH21" i="11" s="1"/>
  <c r="DI21" i="11" s="1"/>
  <c r="DG20" i="11"/>
  <c r="DH20" i="11" s="1"/>
  <c r="DI20" i="11" s="1"/>
  <c r="DG19" i="11"/>
  <c r="DH19" i="11" s="1"/>
  <c r="DG18" i="11"/>
  <c r="DH18" i="11" s="1"/>
  <c r="DI18" i="11" s="1"/>
  <c r="DG17" i="11"/>
  <c r="DH17" i="11" s="1"/>
  <c r="DI17" i="11" s="1"/>
  <c r="DG16" i="11"/>
  <c r="DH16" i="11" s="1"/>
  <c r="DI16" i="11" s="1"/>
  <c r="DG15" i="11"/>
  <c r="DH15" i="11" s="1"/>
  <c r="DI15" i="11" s="1"/>
  <c r="DG14" i="11"/>
  <c r="DH14" i="11" s="1"/>
  <c r="DI14" i="11" s="1"/>
  <c r="DG13" i="11"/>
  <c r="DH13" i="11" s="1"/>
  <c r="DI13" i="11" s="1"/>
  <c r="DG12" i="11"/>
  <c r="DH12" i="11" s="1"/>
  <c r="DI12" i="11" s="1"/>
  <c r="DG11" i="11"/>
  <c r="DH11" i="11" s="1"/>
  <c r="DI11" i="11" s="1"/>
  <c r="DG10" i="11"/>
  <c r="DH10" i="11" s="1"/>
  <c r="DI10" i="11" s="1"/>
  <c r="DG9" i="11"/>
  <c r="DH9" i="11" s="1"/>
  <c r="DI9" i="11" s="1"/>
  <c r="DG8" i="11"/>
  <c r="DH8" i="11" s="1"/>
  <c r="DI8" i="11" s="1"/>
  <c r="DG7" i="11"/>
  <c r="DH7" i="11" s="1"/>
  <c r="DI7" i="11" s="1"/>
  <c r="DG6" i="11"/>
  <c r="DH6" i="11" s="1"/>
  <c r="DI6" i="11" s="1"/>
  <c r="DG5" i="11"/>
  <c r="DH5" i="11" s="1"/>
  <c r="DG4" i="11"/>
  <c r="DH4" i="11" s="1"/>
  <c r="DI50" i="11" l="1"/>
  <c r="DL50" i="11"/>
  <c r="DB9" i="11"/>
  <c r="DI19" i="11"/>
  <c r="DL19" i="11"/>
  <c r="DZ9" i="11"/>
  <c r="DJ4" i="11"/>
  <c r="DJ5" i="11" s="1"/>
  <c r="DJ6" i="11" s="1"/>
  <c r="DL4" i="11"/>
  <c r="DB10" i="11" l="1"/>
  <c r="DZ10" i="11"/>
  <c r="DJ7" i="11"/>
  <c r="CQ202" i="11"/>
  <c r="CR202" i="11" s="1"/>
  <c r="CQ201" i="11"/>
  <c r="CR201" i="11" s="1"/>
  <c r="CS201" i="11" s="1"/>
  <c r="CQ200" i="11"/>
  <c r="CR200" i="11" s="1"/>
  <c r="CS200" i="11" s="1"/>
  <c r="CQ199" i="11"/>
  <c r="CR199" i="11" s="1"/>
  <c r="CS199" i="11" s="1"/>
  <c r="CQ198" i="11"/>
  <c r="CR198" i="11" s="1"/>
  <c r="CS198" i="11" s="1"/>
  <c r="CQ197" i="11"/>
  <c r="CR197" i="11" s="1"/>
  <c r="CS197" i="11" s="1"/>
  <c r="CQ196" i="11"/>
  <c r="CR196" i="11" s="1"/>
  <c r="CS196" i="11" s="1"/>
  <c r="CQ195" i="11"/>
  <c r="CR195" i="11" s="1"/>
  <c r="CS195" i="11" s="1"/>
  <c r="CQ194" i="11"/>
  <c r="CR194" i="11" s="1"/>
  <c r="CS194" i="11" s="1"/>
  <c r="CQ193" i="11"/>
  <c r="CR193" i="11" s="1"/>
  <c r="CS193" i="11" s="1"/>
  <c r="CQ192" i="11"/>
  <c r="CR192" i="11" s="1"/>
  <c r="CS192" i="11" s="1"/>
  <c r="CQ191" i="11"/>
  <c r="CR191" i="11" s="1"/>
  <c r="CS191" i="11" s="1"/>
  <c r="CQ190" i="11"/>
  <c r="CR190" i="11" s="1"/>
  <c r="CS190" i="11" s="1"/>
  <c r="CQ189" i="11"/>
  <c r="CR189" i="11" s="1"/>
  <c r="CS189" i="11" s="1"/>
  <c r="CQ188" i="11"/>
  <c r="CR188" i="11" s="1"/>
  <c r="CS188" i="11" s="1"/>
  <c r="CQ187" i="11"/>
  <c r="CR187" i="11" s="1"/>
  <c r="CS187" i="11" s="1"/>
  <c r="CQ186" i="11"/>
  <c r="CR186" i="11" s="1"/>
  <c r="CS186" i="11" s="1"/>
  <c r="CQ185" i="11"/>
  <c r="CR185" i="11" s="1"/>
  <c r="CS185" i="11" s="1"/>
  <c r="CQ184" i="11"/>
  <c r="CR184" i="11" s="1"/>
  <c r="CS184" i="11" s="1"/>
  <c r="CQ183" i="11"/>
  <c r="CR183" i="11" s="1"/>
  <c r="CS183" i="11" s="1"/>
  <c r="CQ182" i="11"/>
  <c r="CR182" i="11" s="1"/>
  <c r="CS182" i="11" s="1"/>
  <c r="CQ181" i="11"/>
  <c r="CR181" i="11" s="1"/>
  <c r="CS181" i="11" s="1"/>
  <c r="CQ180" i="11"/>
  <c r="CR180" i="11" s="1"/>
  <c r="CS180" i="11" s="1"/>
  <c r="CQ179" i="11"/>
  <c r="CR179" i="11" s="1"/>
  <c r="CS179" i="11" s="1"/>
  <c r="CQ178" i="11"/>
  <c r="CR178" i="11" s="1"/>
  <c r="CS178" i="11" s="1"/>
  <c r="CQ177" i="11"/>
  <c r="CR177" i="11" s="1"/>
  <c r="CS177" i="11" s="1"/>
  <c r="CQ176" i="11"/>
  <c r="CR176" i="11" s="1"/>
  <c r="CS176" i="11" s="1"/>
  <c r="CQ175" i="11"/>
  <c r="CR175" i="11" s="1"/>
  <c r="CS175" i="11" s="1"/>
  <c r="CQ174" i="11"/>
  <c r="CR174" i="11" s="1"/>
  <c r="CS174" i="11" s="1"/>
  <c r="CQ173" i="11"/>
  <c r="CR173" i="11" s="1"/>
  <c r="CS173" i="11" s="1"/>
  <c r="CQ172" i="11"/>
  <c r="CR172" i="11" s="1"/>
  <c r="CS172" i="11" s="1"/>
  <c r="CQ171" i="11"/>
  <c r="CR171" i="11" s="1"/>
  <c r="CS171" i="11" s="1"/>
  <c r="CQ170" i="11"/>
  <c r="CR170" i="11" s="1"/>
  <c r="CS170" i="11" s="1"/>
  <c r="CQ169" i="11"/>
  <c r="CR169" i="11" s="1"/>
  <c r="CS169" i="11" s="1"/>
  <c r="CQ168" i="11"/>
  <c r="CR168" i="11" s="1"/>
  <c r="CS168" i="11" s="1"/>
  <c r="CQ167" i="11"/>
  <c r="CR167" i="11" s="1"/>
  <c r="CS167" i="11" s="1"/>
  <c r="CQ166" i="11"/>
  <c r="CR166" i="11" s="1"/>
  <c r="CS166" i="11" s="1"/>
  <c r="CQ165" i="11"/>
  <c r="CR165" i="11" s="1"/>
  <c r="CS165" i="11" s="1"/>
  <c r="CQ164" i="11"/>
  <c r="CR164" i="11" s="1"/>
  <c r="CS164" i="11" s="1"/>
  <c r="CQ163" i="11"/>
  <c r="CR163" i="11" s="1"/>
  <c r="CS163" i="11" s="1"/>
  <c r="CQ162" i="11"/>
  <c r="CR162" i="11" s="1"/>
  <c r="CS162" i="11" s="1"/>
  <c r="CQ161" i="11"/>
  <c r="CR161" i="11" s="1"/>
  <c r="CS161" i="11" s="1"/>
  <c r="CQ160" i="11"/>
  <c r="CR160" i="11" s="1"/>
  <c r="CS160" i="11" s="1"/>
  <c r="CQ159" i="11"/>
  <c r="CR159" i="11" s="1"/>
  <c r="CS159" i="11" s="1"/>
  <c r="CQ158" i="11"/>
  <c r="CR158" i="11" s="1"/>
  <c r="CS158" i="11" s="1"/>
  <c r="CQ157" i="11"/>
  <c r="CR157" i="11" s="1"/>
  <c r="CS157" i="11" s="1"/>
  <c r="CQ156" i="11"/>
  <c r="CR156" i="11" s="1"/>
  <c r="CS156" i="11" s="1"/>
  <c r="CQ155" i="11"/>
  <c r="CR155" i="11" s="1"/>
  <c r="CS155" i="11" s="1"/>
  <c r="CQ154" i="11"/>
  <c r="CR154" i="11" s="1"/>
  <c r="CS154" i="11" s="1"/>
  <c r="CQ153" i="11"/>
  <c r="CR153" i="11" s="1"/>
  <c r="CS153" i="11" s="1"/>
  <c r="CQ152" i="11"/>
  <c r="CR152" i="11" s="1"/>
  <c r="CS152" i="11" s="1"/>
  <c r="CQ151" i="11"/>
  <c r="CR151" i="11" s="1"/>
  <c r="CS151" i="11" s="1"/>
  <c r="CQ150" i="11"/>
  <c r="CR150" i="11" s="1"/>
  <c r="CS150" i="11" s="1"/>
  <c r="CQ149" i="11"/>
  <c r="CR149" i="11" s="1"/>
  <c r="CS149" i="11" s="1"/>
  <c r="CQ148" i="11"/>
  <c r="CR148" i="11" s="1"/>
  <c r="CS148" i="11" s="1"/>
  <c r="CQ147" i="11"/>
  <c r="CR147" i="11" s="1"/>
  <c r="CS147" i="11" s="1"/>
  <c r="CQ146" i="11"/>
  <c r="CR146" i="11" s="1"/>
  <c r="CS146" i="11" s="1"/>
  <c r="CQ145" i="11"/>
  <c r="CR145" i="11" s="1"/>
  <c r="CS145" i="11" s="1"/>
  <c r="CQ144" i="11"/>
  <c r="CR144" i="11" s="1"/>
  <c r="CS144" i="11" s="1"/>
  <c r="CQ143" i="11"/>
  <c r="CR143" i="11" s="1"/>
  <c r="CS143" i="11" s="1"/>
  <c r="CQ142" i="11"/>
  <c r="CR142" i="11" s="1"/>
  <c r="CS142" i="11" s="1"/>
  <c r="CQ141" i="11"/>
  <c r="CR141" i="11" s="1"/>
  <c r="CS141" i="11" s="1"/>
  <c r="CQ140" i="11"/>
  <c r="CR140" i="11" s="1"/>
  <c r="CS140" i="11" s="1"/>
  <c r="CQ139" i="11"/>
  <c r="CR139" i="11" s="1"/>
  <c r="CS139" i="11" s="1"/>
  <c r="CQ138" i="11"/>
  <c r="CR138" i="11" s="1"/>
  <c r="CS138" i="11" s="1"/>
  <c r="CQ137" i="11"/>
  <c r="CR137" i="11" s="1"/>
  <c r="CS137" i="11" s="1"/>
  <c r="CQ136" i="11"/>
  <c r="CR136" i="11" s="1"/>
  <c r="CS136" i="11" s="1"/>
  <c r="CQ135" i="11"/>
  <c r="CR135" i="11" s="1"/>
  <c r="CS135" i="11" s="1"/>
  <c r="CQ134" i="11"/>
  <c r="CR134" i="11" s="1"/>
  <c r="CS134" i="11" s="1"/>
  <c r="CQ133" i="11"/>
  <c r="CR133" i="11" s="1"/>
  <c r="CS133" i="11" s="1"/>
  <c r="CQ132" i="11"/>
  <c r="CR132" i="11" s="1"/>
  <c r="CS132" i="11" s="1"/>
  <c r="CQ131" i="11"/>
  <c r="CR131" i="11" s="1"/>
  <c r="CS131" i="11" s="1"/>
  <c r="CQ130" i="11"/>
  <c r="CR130" i="11" s="1"/>
  <c r="CS130" i="11" s="1"/>
  <c r="CQ129" i="11"/>
  <c r="CR129" i="11" s="1"/>
  <c r="CS129" i="11" s="1"/>
  <c r="CQ128" i="11"/>
  <c r="CR128" i="11" s="1"/>
  <c r="CS128" i="11" s="1"/>
  <c r="CQ127" i="11"/>
  <c r="CR127" i="11" s="1"/>
  <c r="CS127" i="11" s="1"/>
  <c r="CQ126" i="11"/>
  <c r="CR126" i="11" s="1"/>
  <c r="CS126" i="11" s="1"/>
  <c r="CQ125" i="11"/>
  <c r="CR125" i="11" s="1"/>
  <c r="CS125" i="11" s="1"/>
  <c r="CQ124" i="11"/>
  <c r="CR124" i="11" s="1"/>
  <c r="CS124" i="11" s="1"/>
  <c r="CQ123" i="11"/>
  <c r="CR123" i="11" s="1"/>
  <c r="CS123" i="11" s="1"/>
  <c r="CQ122" i="11"/>
  <c r="CR122" i="11" s="1"/>
  <c r="CS122" i="11" s="1"/>
  <c r="CQ121" i="11"/>
  <c r="CR121" i="11" s="1"/>
  <c r="CS121" i="11" s="1"/>
  <c r="CQ120" i="11"/>
  <c r="CR120" i="11" s="1"/>
  <c r="CS120" i="11" s="1"/>
  <c r="CQ119" i="11"/>
  <c r="CR119" i="11" s="1"/>
  <c r="CS119" i="11" s="1"/>
  <c r="CQ118" i="11"/>
  <c r="CR118" i="11" s="1"/>
  <c r="CS118" i="11" s="1"/>
  <c r="CQ117" i="11"/>
  <c r="CR117" i="11" s="1"/>
  <c r="CS117" i="11" s="1"/>
  <c r="CQ116" i="11"/>
  <c r="CR116" i="11" s="1"/>
  <c r="CS116" i="11" s="1"/>
  <c r="CQ115" i="11"/>
  <c r="CR115" i="11" s="1"/>
  <c r="CS115" i="11" s="1"/>
  <c r="CQ114" i="11"/>
  <c r="CR114" i="11" s="1"/>
  <c r="CS114" i="11" s="1"/>
  <c r="CQ113" i="11"/>
  <c r="CR113" i="11" s="1"/>
  <c r="CS113" i="11" s="1"/>
  <c r="CQ112" i="11"/>
  <c r="CR112" i="11" s="1"/>
  <c r="CS112" i="11" s="1"/>
  <c r="CQ111" i="11"/>
  <c r="CR111" i="11" s="1"/>
  <c r="CS111" i="11" s="1"/>
  <c r="CQ110" i="11"/>
  <c r="CR110" i="11" s="1"/>
  <c r="CS110" i="11" s="1"/>
  <c r="CQ109" i="11"/>
  <c r="CR109" i="11" s="1"/>
  <c r="CS109" i="11" s="1"/>
  <c r="CQ108" i="11"/>
  <c r="CR108" i="11" s="1"/>
  <c r="CS108" i="11" s="1"/>
  <c r="CQ107" i="11"/>
  <c r="CR107" i="11" s="1"/>
  <c r="CS107" i="11" s="1"/>
  <c r="CQ106" i="11"/>
  <c r="CR106" i="11" s="1"/>
  <c r="CS106" i="11" s="1"/>
  <c r="CQ105" i="11"/>
  <c r="CR105" i="11" s="1"/>
  <c r="CS105" i="11" s="1"/>
  <c r="CQ104" i="11"/>
  <c r="CR104" i="11" s="1"/>
  <c r="CS104" i="11" s="1"/>
  <c r="CQ103" i="11"/>
  <c r="CR103" i="11" s="1"/>
  <c r="CS103" i="11" s="1"/>
  <c r="CQ102" i="11"/>
  <c r="CR102" i="11" s="1"/>
  <c r="CS102" i="11" s="1"/>
  <c r="CQ101" i="11"/>
  <c r="CR101" i="11" s="1"/>
  <c r="CS101" i="11" s="1"/>
  <c r="CQ100" i="11"/>
  <c r="CR100" i="11" s="1"/>
  <c r="CS100" i="11" s="1"/>
  <c r="CQ99" i="11"/>
  <c r="CR99" i="11" s="1"/>
  <c r="CS99" i="11" s="1"/>
  <c r="CQ98" i="11"/>
  <c r="CR98" i="11" s="1"/>
  <c r="CS98" i="11" s="1"/>
  <c r="CQ97" i="11"/>
  <c r="CR97" i="11" s="1"/>
  <c r="CS97" i="11" s="1"/>
  <c r="CQ96" i="11"/>
  <c r="CR96" i="11" s="1"/>
  <c r="CS96" i="11" s="1"/>
  <c r="CQ95" i="11"/>
  <c r="CR95" i="11" s="1"/>
  <c r="CS95" i="11" s="1"/>
  <c r="CQ94" i="11"/>
  <c r="CR94" i="11" s="1"/>
  <c r="CS94" i="11" s="1"/>
  <c r="CQ93" i="11"/>
  <c r="CR93" i="11" s="1"/>
  <c r="CS93" i="11" s="1"/>
  <c r="CQ92" i="11"/>
  <c r="CR92" i="11" s="1"/>
  <c r="CS92" i="11" s="1"/>
  <c r="CQ91" i="11"/>
  <c r="CR91" i="11" s="1"/>
  <c r="CS91" i="11" s="1"/>
  <c r="CQ90" i="11"/>
  <c r="CR90" i="11" s="1"/>
  <c r="CS90" i="11" s="1"/>
  <c r="CQ89" i="11"/>
  <c r="CR89" i="11" s="1"/>
  <c r="CS89" i="11" s="1"/>
  <c r="CQ88" i="11"/>
  <c r="CR88" i="11" s="1"/>
  <c r="CS88" i="11" s="1"/>
  <c r="CQ87" i="11"/>
  <c r="CR87" i="11" s="1"/>
  <c r="CS87" i="11" s="1"/>
  <c r="CQ86" i="11"/>
  <c r="CR86" i="11" s="1"/>
  <c r="CS86" i="11" s="1"/>
  <c r="CQ85" i="11"/>
  <c r="CR85" i="11" s="1"/>
  <c r="CS85" i="11" s="1"/>
  <c r="CQ84" i="11"/>
  <c r="CR84" i="11" s="1"/>
  <c r="CS84" i="11" s="1"/>
  <c r="CQ83" i="11"/>
  <c r="CR83" i="11" s="1"/>
  <c r="CS83" i="11" s="1"/>
  <c r="CQ82" i="11"/>
  <c r="CR82" i="11" s="1"/>
  <c r="CS82" i="11" s="1"/>
  <c r="CQ81" i="11"/>
  <c r="CR81" i="11" s="1"/>
  <c r="CS81" i="11" s="1"/>
  <c r="CQ80" i="11"/>
  <c r="CR80" i="11" s="1"/>
  <c r="CS80" i="11" s="1"/>
  <c r="CQ79" i="11"/>
  <c r="CR79" i="11" s="1"/>
  <c r="CS79" i="11" s="1"/>
  <c r="CQ78" i="11"/>
  <c r="CR78" i="11" s="1"/>
  <c r="CS78" i="11" s="1"/>
  <c r="CQ77" i="11"/>
  <c r="CR77" i="11" s="1"/>
  <c r="CS77" i="11" s="1"/>
  <c r="CQ76" i="11"/>
  <c r="CR76" i="11" s="1"/>
  <c r="CS76" i="11" s="1"/>
  <c r="CQ75" i="11"/>
  <c r="CR75" i="11" s="1"/>
  <c r="CS75" i="11" s="1"/>
  <c r="CQ74" i="11"/>
  <c r="CR74" i="11" s="1"/>
  <c r="CS74" i="11" s="1"/>
  <c r="CQ73" i="11"/>
  <c r="CR73" i="11" s="1"/>
  <c r="CS73" i="11" s="1"/>
  <c r="CQ72" i="11"/>
  <c r="CR72" i="11" s="1"/>
  <c r="CS72" i="11" s="1"/>
  <c r="CQ71" i="11"/>
  <c r="CR71" i="11" s="1"/>
  <c r="CS71" i="11" s="1"/>
  <c r="CQ70" i="11"/>
  <c r="CR70" i="11" s="1"/>
  <c r="CS70" i="11" s="1"/>
  <c r="CQ69" i="11"/>
  <c r="CR69" i="11" s="1"/>
  <c r="CS69" i="11" s="1"/>
  <c r="CQ68" i="11"/>
  <c r="CR68" i="11" s="1"/>
  <c r="CS68" i="11" s="1"/>
  <c r="CQ67" i="11"/>
  <c r="CR67" i="11" s="1"/>
  <c r="CS67" i="11" s="1"/>
  <c r="CQ66" i="11"/>
  <c r="CR66" i="11" s="1"/>
  <c r="CS66" i="11" s="1"/>
  <c r="CQ65" i="11"/>
  <c r="CR65" i="11" s="1"/>
  <c r="CS65" i="11" s="1"/>
  <c r="CQ64" i="11"/>
  <c r="CR64" i="11" s="1"/>
  <c r="CS64" i="11" s="1"/>
  <c r="CQ63" i="11"/>
  <c r="CR63" i="11" s="1"/>
  <c r="CS63" i="11" s="1"/>
  <c r="CQ62" i="11"/>
  <c r="CR62" i="11" s="1"/>
  <c r="CS62" i="11" s="1"/>
  <c r="CQ61" i="11"/>
  <c r="CR61" i="11" s="1"/>
  <c r="CS61" i="11" s="1"/>
  <c r="CQ60" i="11"/>
  <c r="CR60" i="11" s="1"/>
  <c r="CS60" i="11" s="1"/>
  <c r="CQ59" i="11"/>
  <c r="CR59" i="11" s="1"/>
  <c r="CQ58" i="11"/>
  <c r="CR58" i="11" s="1"/>
  <c r="CS58" i="11" s="1"/>
  <c r="CQ57" i="11"/>
  <c r="CR57" i="11" s="1"/>
  <c r="CS57" i="11" s="1"/>
  <c r="CQ56" i="11"/>
  <c r="CR56" i="11" s="1"/>
  <c r="CQ55" i="11"/>
  <c r="CR55" i="11" s="1"/>
  <c r="CS55" i="11" s="1"/>
  <c r="CQ54" i="11"/>
  <c r="CR54" i="11" s="1"/>
  <c r="CS54" i="11" s="1"/>
  <c r="CQ53" i="11"/>
  <c r="CR53" i="11" s="1"/>
  <c r="CS53" i="11" s="1"/>
  <c r="CQ52" i="11"/>
  <c r="CR52" i="11" s="1"/>
  <c r="CS52" i="11" s="1"/>
  <c r="CQ51" i="11"/>
  <c r="CR51" i="11" s="1"/>
  <c r="CS51" i="11" s="1"/>
  <c r="CQ50" i="11"/>
  <c r="CR50" i="11" s="1"/>
  <c r="CQ49" i="11"/>
  <c r="CR49" i="11" s="1"/>
  <c r="CQ48" i="11"/>
  <c r="CR48" i="11" s="1"/>
  <c r="CS48" i="11" s="1"/>
  <c r="CQ47" i="11"/>
  <c r="CR47" i="11" s="1"/>
  <c r="CS47" i="11" s="1"/>
  <c r="CQ46" i="11"/>
  <c r="CR46" i="11" s="1"/>
  <c r="CS46" i="11" s="1"/>
  <c r="CQ45" i="11"/>
  <c r="CR45" i="11" s="1"/>
  <c r="CS45" i="11" s="1"/>
  <c r="CQ44" i="11"/>
  <c r="CR44" i="11" s="1"/>
  <c r="CS44" i="11" s="1"/>
  <c r="CQ43" i="11"/>
  <c r="CR43" i="11" s="1"/>
  <c r="CQ42" i="11"/>
  <c r="CR42" i="11" s="1"/>
  <c r="CS42" i="11" s="1"/>
  <c r="CQ41" i="11"/>
  <c r="CR41" i="11" s="1"/>
  <c r="CS41" i="11" s="1"/>
  <c r="CQ40" i="11"/>
  <c r="CR40" i="11" s="1"/>
  <c r="CS40" i="11" s="1"/>
  <c r="CQ39" i="11"/>
  <c r="CR39" i="11" s="1"/>
  <c r="CS39" i="11" s="1"/>
  <c r="CQ38" i="11"/>
  <c r="CR38" i="11" s="1"/>
  <c r="CS38" i="11" s="1"/>
  <c r="CQ37" i="11"/>
  <c r="CR37" i="11" s="1"/>
  <c r="CQ36" i="11"/>
  <c r="CR36" i="11" s="1"/>
  <c r="CS36" i="11" s="1"/>
  <c r="CQ35" i="11"/>
  <c r="CR35" i="11" s="1"/>
  <c r="CS35" i="11" s="1"/>
  <c r="CQ34" i="11"/>
  <c r="CR34" i="11" s="1"/>
  <c r="CS34" i="11" s="1"/>
  <c r="CQ33" i="11"/>
  <c r="CR33" i="11" s="1"/>
  <c r="CS33" i="11" s="1"/>
  <c r="CQ32" i="11"/>
  <c r="CR32" i="11" s="1"/>
  <c r="CS32" i="11" s="1"/>
  <c r="CQ31" i="11"/>
  <c r="CR31" i="11" s="1"/>
  <c r="CQ30" i="11"/>
  <c r="CR30" i="11" s="1"/>
  <c r="CQ29" i="11"/>
  <c r="CR29" i="11" s="1"/>
  <c r="CQ28" i="11"/>
  <c r="CR28" i="11" s="1"/>
  <c r="CS28" i="11" s="1"/>
  <c r="CQ27" i="11"/>
  <c r="CR27" i="11" s="1"/>
  <c r="CS27" i="11" s="1"/>
  <c r="CQ26" i="11"/>
  <c r="CR26" i="11" s="1"/>
  <c r="CS26" i="11" s="1"/>
  <c r="CQ25" i="11"/>
  <c r="CR25" i="11" s="1"/>
  <c r="CS25" i="11" s="1"/>
  <c r="CQ24" i="11"/>
  <c r="CR24" i="11" s="1"/>
  <c r="CS24" i="11" s="1"/>
  <c r="CQ23" i="11"/>
  <c r="CR23" i="11" s="1"/>
  <c r="CS23" i="11" s="1"/>
  <c r="CQ22" i="11"/>
  <c r="CR22" i="11" s="1"/>
  <c r="CS22" i="11" s="1"/>
  <c r="CQ21" i="11"/>
  <c r="CR21" i="11" s="1"/>
  <c r="CS21" i="11" s="1"/>
  <c r="CQ20" i="11"/>
  <c r="CR20" i="11" s="1"/>
  <c r="CS20" i="11" s="1"/>
  <c r="CQ19" i="11"/>
  <c r="CR19" i="11" s="1"/>
  <c r="CQ18" i="11"/>
  <c r="CR18" i="11" s="1"/>
  <c r="CS18" i="11" s="1"/>
  <c r="CQ17" i="11"/>
  <c r="CR17" i="11" s="1"/>
  <c r="CS17" i="11" s="1"/>
  <c r="CQ16" i="11"/>
  <c r="CR16" i="11" s="1"/>
  <c r="CS16" i="11" s="1"/>
  <c r="CQ15" i="11"/>
  <c r="CR15" i="11" s="1"/>
  <c r="CS15" i="11" s="1"/>
  <c r="CQ14" i="11"/>
  <c r="CR14" i="11" s="1"/>
  <c r="CS14" i="11" s="1"/>
  <c r="CQ13" i="11"/>
  <c r="CR13" i="11" s="1"/>
  <c r="CS13" i="11" s="1"/>
  <c r="CQ12" i="11"/>
  <c r="CR12" i="11" s="1"/>
  <c r="CS12" i="11" s="1"/>
  <c r="CQ11" i="11"/>
  <c r="CR11" i="11" s="1"/>
  <c r="CS11" i="11" s="1"/>
  <c r="CQ10" i="11"/>
  <c r="CR10" i="11" s="1"/>
  <c r="CS10" i="11" s="1"/>
  <c r="CQ9" i="11"/>
  <c r="CR9" i="11" s="1"/>
  <c r="CS9" i="11" s="1"/>
  <c r="CQ8" i="11"/>
  <c r="CR8" i="11" s="1"/>
  <c r="CS8" i="11" s="1"/>
  <c r="CQ7" i="11"/>
  <c r="CR7" i="11" s="1"/>
  <c r="CS7" i="11" s="1"/>
  <c r="CQ6" i="11"/>
  <c r="CR6" i="11" s="1"/>
  <c r="CS6" i="11" s="1"/>
  <c r="CQ5" i="11"/>
  <c r="CR5" i="11" s="1"/>
  <c r="CQ4" i="11"/>
  <c r="CR4" i="11" s="1"/>
  <c r="ER202" i="11"/>
  <c r="ES202" i="11" s="1"/>
  <c r="ER201" i="11"/>
  <c r="ES201" i="11" s="1"/>
  <c r="ER200" i="11"/>
  <c r="ES200" i="11" s="1"/>
  <c r="ER199" i="11"/>
  <c r="ES199" i="11" s="1"/>
  <c r="ER198" i="11"/>
  <c r="ES198" i="11" s="1"/>
  <c r="ER197" i="11"/>
  <c r="ES197" i="11" s="1"/>
  <c r="ER196" i="11"/>
  <c r="ES196" i="11" s="1"/>
  <c r="ER195" i="11"/>
  <c r="ES195" i="11" s="1"/>
  <c r="ER194" i="11"/>
  <c r="ES194" i="11" s="1"/>
  <c r="ER193" i="11"/>
  <c r="ES193" i="11" s="1"/>
  <c r="ER192" i="11"/>
  <c r="ES192" i="11" s="1"/>
  <c r="ER191" i="11"/>
  <c r="ES191" i="11" s="1"/>
  <c r="ER190" i="11"/>
  <c r="ES190" i="11" s="1"/>
  <c r="ER189" i="11"/>
  <c r="ES189" i="11" s="1"/>
  <c r="ER188" i="11"/>
  <c r="ES188" i="11" s="1"/>
  <c r="ER187" i="11"/>
  <c r="ES187" i="11" s="1"/>
  <c r="ER186" i="11"/>
  <c r="ES186" i="11" s="1"/>
  <c r="ER185" i="11"/>
  <c r="ES185" i="11" s="1"/>
  <c r="ER184" i="11"/>
  <c r="ES184" i="11" s="1"/>
  <c r="ER183" i="11"/>
  <c r="ES183" i="11" s="1"/>
  <c r="ER182" i="11"/>
  <c r="ES182" i="11" s="1"/>
  <c r="ER181" i="11"/>
  <c r="ES181" i="11" s="1"/>
  <c r="ER180" i="11"/>
  <c r="ES180" i="11" s="1"/>
  <c r="ER179" i="11"/>
  <c r="ES179" i="11" s="1"/>
  <c r="ER178" i="11"/>
  <c r="ES178" i="11" s="1"/>
  <c r="ER177" i="11"/>
  <c r="ES177" i="11" s="1"/>
  <c r="ER176" i="11"/>
  <c r="ES176" i="11" s="1"/>
  <c r="ER175" i="11"/>
  <c r="ES175" i="11" s="1"/>
  <c r="ER174" i="11"/>
  <c r="ES174" i="11" s="1"/>
  <c r="ER173" i="11"/>
  <c r="ES173" i="11" s="1"/>
  <c r="ER172" i="11"/>
  <c r="ES172" i="11" s="1"/>
  <c r="ER171" i="11"/>
  <c r="ES171" i="11" s="1"/>
  <c r="ER170" i="11"/>
  <c r="ES170" i="11" s="1"/>
  <c r="ER169" i="11"/>
  <c r="ES169" i="11" s="1"/>
  <c r="ER168" i="11"/>
  <c r="ES168" i="11" s="1"/>
  <c r="ER167" i="11"/>
  <c r="ES167" i="11" s="1"/>
  <c r="ER166" i="11"/>
  <c r="ES166" i="11" s="1"/>
  <c r="ER165" i="11"/>
  <c r="ES165" i="11" s="1"/>
  <c r="ER164" i="11"/>
  <c r="ES164" i="11" s="1"/>
  <c r="ER163" i="11"/>
  <c r="ES163" i="11" s="1"/>
  <c r="ER162" i="11"/>
  <c r="ES162" i="11" s="1"/>
  <c r="ER161" i="11"/>
  <c r="ES161" i="11" s="1"/>
  <c r="ER160" i="11"/>
  <c r="ES160" i="11" s="1"/>
  <c r="ER159" i="11"/>
  <c r="ES159" i="11" s="1"/>
  <c r="ER158" i="11"/>
  <c r="ES158" i="11" s="1"/>
  <c r="ER157" i="11"/>
  <c r="ES157" i="11" s="1"/>
  <c r="ER156" i="11"/>
  <c r="ES156" i="11" s="1"/>
  <c r="ER155" i="11"/>
  <c r="ES155" i="11" s="1"/>
  <c r="ER154" i="11"/>
  <c r="ES154" i="11" s="1"/>
  <c r="ER153" i="11"/>
  <c r="ES153" i="11" s="1"/>
  <c r="ER152" i="11"/>
  <c r="ES152" i="11" s="1"/>
  <c r="ER151" i="11"/>
  <c r="ES151" i="11" s="1"/>
  <c r="ER150" i="11"/>
  <c r="ES150" i="11" s="1"/>
  <c r="ER149" i="11"/>
  <c r="ES149" i="11" s="1"/>
  <c r="ER148" i="11"/>
  <c r="ES148" i="11" s="1"/>
  <c r="ER147" i="11"/>
  <c r="ES147" i="11" s="1"/>
  <c r="ER146" i="11"/>
  <c r="ES146" i="11" s="1"/>
  <c r="ER145" i="11"/>
  <c r="ES145" i="11" s="1"/>
  <c r="ER144" i="11"/>
  <c r="ES144" i="11" s="1"/>
  <c r="ER143" i="11"/>
  <c r="ES143" i="11" s="1"/>
  <c r="ER142" i="11"/>
  <c r="ES142" i="11" s="1"/>
  <c r="ER141" i="11"/>
  <c r="ES141" i="11" s="1"/>
  <c r="ER140" i="11"/>
  <c r="ES140" i="11" s="1"/>
  <c r="ER139" i="11"/>
  <c r="ES139" i="11" s="1"/>
  <c r="ER138" i="11"/>
  <c r="ES138" i="11" s="1"/>
  <c r="ER137" i="11"/>
  <c r="ES137" i="11" s="1"/>
  <c r="ER136" i="11"/>
  <c r="ES136" i="11" s="1"/>
  <c r="ER135" i="11"/>
  <c r="ES135" i="11" s="1"/>
  <c r="ER134" i="11"/>
  <c r="ES134" i="11" s="1"/>
  <c r="ER133" i="11"/>
  <c r="ES133" i="11" s="1"/>
  <c r="ER132" i="11"/>
  <c r="ES132" i="11" s="1"/>
  <c r="ER131" i="11"/>
  <c r="ES131" i="11" s="1"/>
  <c r="ER130" i="11"/>
  <c r="ES130" i="11" s="1"/>
  <c r="ER129" i="11"/>
  <c r="ES129" i="11" s="1"/>
  <c r="ER128" i="11"/>
  <c r="ES128" i="11" s="1"/>
  <c r="ER127" i="11"/>
  <c r="ES127" i="11" s="1"/>
  <c r="ER126" i="11"/>
  <c r="ES126" i="11" s="1"/>
  <c r="ER125" i="11"/>
  <c r="ES125" i="11" s="1"/>
  <c r="ER124" i="11"/>
  <c r="ES124" i="11" s="1"/>
  <c r="ER123" i="11"/>
  <c r="ES123" i="11" s="1"/>
  <c r="ER122" i="11"/>
  <c r="ES122" i="11" s="1"/>
  <c r="ER121" i="11"/>
  <c r="ES121" i="11" s="1"/>
  <c r="ER120" i="11"/>
  <c r="ES120" i="11" s="1"/>
  <c r="ER119" i="11"/>
  <c r="ES119" i="11" s="1"/>
  <c r="ER118" i="11"/>
  <c r="ES118" i="11" s="1"/>
  <c r="ER117" i="11"/>
  <c r="ES117" i="11" s="1"/>
  <c r="ER116" i="11"/>
  <c r="ES116" i="11" s="1"/>
  <c r="ER115" i="11"/>
  <c r="ES115" i="11" s="1"/>
  <c r="ER114" i="11"/>
  <c r="ES114" i="11" s="1"/>
  <c r="ER113" i="11"/>
  <c r="ES113" i="11" s="1"/>
  <c r="ER112" i="11"/>
  <c r="ES112" i="11" s="1"/>
  <c r="ER111" i="11"/>
  <c r="ES111" i="11" s="1"/>
  <c r="ER110" i="11"/>
  <c r="ES110" i="11" s="1"/>
  <c r="ER109" i="11"/>
  <c r="ES109" i="11" s="1"/>
  <c r="ER108" i="11"/>
  <c r="ES108" i="11" s="1"/>
  <c r="ER107" i="11"/>
  <c r="ES107" i="11" s="1"/>
  <c r="ER106" i="11"/>
  <c r="ES106" i="11" s="1"/>
  <c r="ER105" i="11"/>
  <c r="ES105" i="11" s="1"/>
  <c r="ER104" i="11"/>
  <c r="ES104" i="11" s="1"/>
  <c r="ER103" i="11"/>
  <c r="ES103" i="11" s="1"/>
  <c r="ER102" i="11"/>
  <c r="ES102" i="11" s="1"/>
  <c r="ER101" i="11"/>
  <c r="ES101" i="11" s="1"/>
  <c r="ER100" i="11"/>
  <c r="ES100" i="11" s="1"/>
  <c r="ER99" i="11"/>
  <c r="ES99" i="11" s="1"/>
  <c r="ER98" i="11"/>
  <c r="ES98" i="11" s="1"/>
  <c r="ER97" i="11"/>
  <c r="ES97" i="11" s="1"/>
  <c r="ER96" i="11"/>
  <c r="ES96" i="11" s="1"/>
  <c r="ER95" i="11"/>
  <c r="ES95" i="11" s="1"/>
  <c r="ER94" i="11"/>
  <c r="ES94" i="11" s="1"/>
  <c r="ER93" i="11"/>
  <c r="ES93" i="11" s="1"/>
  <c r="ER92" i="11"/>
  <c r="ES92" i="11" s="1"/>
  <c r="ER91" i="11"/>
  <c r="ES91" i="11" s="1"/>
  <c r="ER90" i="11"/>
  <c r="ES90" i="11" s="1"/>
  <c r="ER89" i="11"/>
  <c r="ES89" i="11" s="1"/>
  <c r="ER88" i="11"/>
  <c r="ES88" i="11" s="1"/>
  <c r="ER87" i="11"/>
  <c r="ES87" i="11" s="1"/>
  <c r="ER86" i="11"/>
  <c r="ES86" i="11" s="1"/>
  <c r="ER85" i="11"/>
  <c r="ES85" i="11" s="1"/>
  <c r="ER84" i="11"/>
  <c r="ES84" i="11" s="1"/>
  <c r="ER83" i="11"/>
  <c r="ES83" i="11" s="1"/>
  <c r="ER82" i="11"/>
  <c r="ES82" i="11" s="1"/>
  <c r="ER81" i="11"/>
  <c r="ES81" i="11" s="1"/>
  <c r="ER80" i="11"/>
  <c r="ES80" i="11" s="1"/>
  <c r="ER79" i="11"/>
  <c r="ES79" i="11" s="1"/>
  <c r="ER78" i="11"/>
  <c r="ES78" i="11" s="1"/>
  <c r="ER77" i="11"/>
  <c r="ES77" i="11" s="1"/>
  <c r="ER76" i="11"/>
  <c r="ES76" i="11" s="1"/>
  <c r="ER75" i="11"/>
  <c r="ES75" i="11" s="1"/>
  <c r="ER74" i="11"/>
  <c r="ES74" i="11" s="1"/>
  <c r="ER73" i="11"/>
  <c r="ES73" i="11" s="1"/>
  <c r="ER72" i="11"/>
  <c r="ES72" i="11" s="1"/>
  <c r="ER71" i="11"/>
  <c r="ES71" i="11" s="1"/>
  <c r="ER70" i="11"/>
  <c r="ES70" i="11" s="1"/>
  <c r="ER69" i="11"/>
  <c r="ES69" i="11" s="1"/>
  <c r="ER68" i="11"/>
  <c r="ES68" i="11" s="1"/>
  <c r="ER67" i="11"/>
  <c r="ES67" i="11" s="1"/>
  <c r="ER66" i="11"/>
  <c r="ES66" i="11" s="1"/>
  <c r="ER65" i="11"/>
  <c r="ES65" i="11" s="1"/>
  <c r="ER64" i="11"/>
  <c r="ES64" i="11" s="1"/>
  <c r="ER63" i="11"/>
  <c r="ES63" i="11" s="1"/>
  <c r="ER62" i="11"/>
  <c r="ES62" i="11" s="1"/>
  <c r="ER61" i="11"/>
  <c r="ES61" i="11" s="1"/>
  <c r="ER60" i="11"/>
  <c r="ES60" i="11" s="1"/>
  <c r="ER59" i="11"/>
  <c r="ES59" i="11" s="1"/>
  <c r="ER58" i="11"/>
  <c r="ES58" i="11" s="1"/>
  <c r="ER57" i="11"/>
  <c r="ES57" i="11" s="1"/>
  <c r="ER56" i="11"/>
  <c r="ES56" i="11" s="1"/>
  <c r="ER55" i="11"/>
  <c r="ES55" i="11" s="1"/>
  <c r="ER54" i="11"/>
  <c r="ES54" i="11" s="1"/>
  <c r="ER53" i="11"/>
  <c r="ES53" i="11" s="1"/>
  <c r="ER52" i="11"/>
  <c r="ES52" i="11" s="1"/>
  <c r="ER51" i="11"/>
  <c r="ES51" i="11" s="1"/>
  <c r="ER50" i="11"/>
  <c r="ES50" i="11" s="1"/>
  <c r="ER49" i="11"/>
  <c r="ES49" i="11" s="1"/>
  <c r="ER48" i="11"/>
  <c r="ES48" i="11" s="1"/>
  <c r="ER47" i="11"/>
  <c r="ES47" i="11" s="1"/>
  <c r="ER46" i="11"/>
  <c r="ES46" i="11" s="1"/>
  <c r="ER45" i="11"/>
  <c r="ES45" i="11" s="1"/>
  <c r="ER44" i="11"/>
  <c r="ES44" i="11" s="1"/>
  <c r="ER43" i="11"/>
  <c r="ES43" i="11" s="1"/>
  <c r="ER42" i="11"/>
  <c r="ES42" i="11" s="1"/>
  <c r="ER41" i="11"/>
  <c r="ES41" i="11" s="1"/>
  <c r="ER40" i="11"/>
  <c r="ES40" i="11" s="1"/>
  <c r="ER39" i="11"/>
  <c r="ES39" i="11" s="1"/>
  <c r="ER38" i="11"/>
  <c r="ES38" i="11" s="1"/>
  <c r="ER37" i="11"/>
  <c r="ES37" i="11" s="1"/>
  <c r="ER36" i="11"/>
  <c r="ES36" i="11" s="1"/>
  <c r="ER35" i="11"/>
  <c r="ES35" i="11" s="1"/>
  <c r="ER34" i="11"/>
  <c r="ES34" i="11" s="1"/>
  <c r="ER33" i="11"/>
  <c r="ES33" i="11" s="1"/>
  <c r="ER32" i="11"/>
  <c r="ES32" i="11" s="1"/>
  <c r="ER31" i="11"/>
  <c r="ES31" i="11" s="1"/>
  <c r="ER30" i="11"/>
  <c r="ES30" i="11" s="1"/>
  <c r="ER29" i="11"/>
  <c r="ES29" i="11" s="1"/>
  <c r="ER28" i="11"/>
  <c r="ES28" i="11" s="1"/>
  <c r="ER27" i="11"/>
  <c r="ES27" i="11" s="1"/>
  <c r="ER26" i="11"/>
  <c r="ES26" i="11" s="1"/>
  <c r="ER25" i="11"/>
  <c r="ES25" i="11" s="1"/>
  <c r="ER24" i="11"/>
  <c r="ES24" i="11" s="1"/>
  <c r="ER23" i="11"/>
  <c r="ES23" i="11" s="1"/>
  <c r="ER22" i="11"/>
  <c r="ES22" i="11" s="1"/>
  <c r="ER21" i="11"/>
  <c r="ES21" i="11" s="1"/>
  <c r="ER20" i="11"/>
  <c r="ES20" i="11" s="1"/>
  <c r="ER19" i="11"/>
  <c r="ES19" i="11" s="1"/>
  <c r="ER18" i="11"/>
  <c r="ES18" i="11" s="1"/>
  <c r="ER17" i="11"/>
  <c r="ES17" i="11" s="1"/>
  <c r="ER16" i="11"/>
  <c r="ES16" i="11" s="1"/>
  <c r="ER15" i="11"/>
  <c r="ES15" i="11" s="1"/>
  <c r="ER14" i="11"/>
  <c r="ES14" i="11" s="1"/>
  <c r="ER13" i="11"/>
  <c r="ES13" i="11" s="1"/>
  <c r="ER12" i="11"/>
  <c r="ES12" i="11" s="1"/>
  <c r="ER11" i="11"/>
  <c r="ES11" i="11" s="1"/>
  <c r="ER10" i="11"/>
  <c r="ES10" i="11" s="1"/>
  <c r="ER9" i="11"/>
  <c r="ES9" i="11" s="1"/>
  <c r="ER8" i="11"/>
  <c r="ES8" i="11" s="1"/>
  <c r="ER7" i="11"/>
  <c r="ES7" i="11" s="1"/>
  <c r="ER6" i="11"/>
  <c r="ES6" i="11" s="1"/>
  <c r="ER5" i="11"/>
  <c r="ER4" i="11"/>
  <c r="FL10" i="11"/>
  <c r="FM10" i="11" s="1"/>
  <c r="HE202" i="11"/>
  <c r="HF202" i="11" s="1"/>
  <c r="HE201" i="11"/>
  <c r="HF201" i="11" s="1"/>
  <c r="HE200" i="11"/>
  <c r="HF200" i="11" s="1"/>
  <c r="HE199" i="11"/>
  <c r="HF199" i="11" s="1"/>
  <c r="HE198" i="11"/>
  <c r="HF198" i="11" s="1"/>
  <c r="HE197" i="11"/>
  <c r="HF197" i="11" s="1"/>
  <c r="HE196" i="11"/>
  <c r="HF196" i="11" s="1"/>
  <c r="HE195" i="11"/>
  <c r="HF195" i="11" s="1"/>
  <c r="HE194" i="11"/>
  <c r="HF194" i="11" s="1"/>
  <c r="HE193" i="11"/>
  <c r="HF193" i="11" s="1"/>
  <c r="HE192" i="11"/>
  <c r="HF192" i="11" s="1"/>
  <c r="HE191" i="11"/>
  <c r="HF191" i="11" s="1"/>
  <c r="HE190" i="11"/>
  <c r="HF190" i="11" s="1"/>
  <c r="HE189" i="11"/>
  <c r="HF189" i="11" s="1"/>
  <c r="HE188" i="11"/>
  <c r="HF188" i="11" s="1"/>
  <c r="HE187" i="11"/>
  <c r="HF187" i="11" s="1"/>
  <c r="HE186" i="11"/>
  <c r="HF186" i="11" s="1"/>
  <c r="HE185" i="11"/>
  <c r="HF185" i="11" s="1"/>
  <c r="HE184" i="11"/>
  <c r="HF184" i="11" s="1"/>
  <c r="HE183" i="11"/>
  <c r="HF183" i="11" s="1"/>
  <c r="HE182" i="11"/>
  <c r="HF182" i="11" s="1"/>
  <c r="HE181" i="11"/>
  <c r="HF181" i="11" s="1"/>
  <c r="HE180" i="11"/>
  <c r="HF180" i="11" s="1"/>
  <c r="HE179" i="11"/>
  <c r="HF179" i="11" s="1"/>
  <c r="HE178" i="11"/>
  <c r="HF178" i="11" s="1"/>
  <c r="HE177" i="11"/>
  <c r="HF177" i="11" s="1"/>
  <c r="HE176" i="11"/>
  <c r="HF176" i="11" s="1"/>
  <c r="HE175" i="11"/>
  <c r="HF175" i="11" s="1"/>
  <c r="HE174" i="11"/>
  <c r="HF174" i="11" s="1"/>
  <c r="HE173" i="11"/>
  <c r="HF173" i="11" s="1"/>
  <c r="HE172" i="11"/>
  <c r="HF172" i="11" s="1"/>
  <c r="HE171" i="11"/>
  <c r="HF171" i="11" s="1"/>
  <c r="HE170" i="11"/>
  <c r="HF170" i="11" s="1"/>
  <c r="HE169" i="11"/>
  <c r="HF169" i="11" s="1"/>
  <c r="HE168" i="11"/>
  <c r="HF168" i="11" s="1"/>
  <c r="HE167" i="11"/>
  <c r="HF167" i="11" s="1"/>
  <c r="HE166" i="11"/>
  <c r="HF166" i="11" s="1"/>
  <c r="HE165" i="11"/>
  <c r="HF165" i="11" s="1"/>
  <c r="HE164" i="11"/>
  <c r="HF164" i="11" s="1"/>
  <c r="HE163" i="11"/>
  <c r="HF163" i="11" s="1"/>
  <c r="HE162" i="11"/>
  <c r="HF162" i="11" s="1"/>
  <c r="HE161" i="11"/>
  <c r="HF161" i="11" s="1"/>
  <c r="HE160" i="11"/>
  <c r="HF160" i="11" s="1"/>
  <c r="HE159" i="11"/>
  <c r="HF159" i="11" s="1"/>
  <c r="HE158" i="11"/>
  <c r="HF158" i="11" s="1"/>
  <c r="HE157" i="11"/>
  <c r="HF157" i="11" s="1"/>
  <c r="HE156" i="11"/>
  <c r="HF156" i="11" s="1"/>
  <c r="HE155" i="11"/>
  <c r="HF155" i="11" s="1"/>
  <c r="HE154" i="11"/>
  <c r="HF154" i="11" s="1"/>
  <c r="HE153" i="11"/>
  <c r="HF153" i="11" s="1"/>
  <c r="HE152" i="11"/>
  <c r="HF152" i="11" s="1"/>
  <c r="HE151" i="11"/>
  <c r="HF151" i="11" s="1"/>
  <c r="HE150" i="11"/>
  <c r="HF150" i="11" s="1"/>
  <c r="HE149" i="11"/>
  <c r="HF149" i="11" s="1"/>
  <c r="HE148" i="11"/>
  <c r="HF148" i="11" s="1"/>
  <c r="HE147" i="11"/>
  <c r="HF147" i="11" s="1"/>
  <c r="HE146" i="11"/>
  <c r="HF146" i="11" s="1"/>
  <c r="HE145" i="11"/>
  <c r="HF145" i="11" s="1"/>
  <c r="HE144" i="11"/>
  <c r="HF144" i="11" s="1"/>
  <c r="HE143" i="11"/>
  <c r="HF143" i="11" s="1"/>
  <c r="HE142" i="11"/>
  <c r="HF142" i="11" s="1"/>
  <c r="HE141" i="11"/>
  <c r="HF141" i="11" s="1"/>
  <c r="HE140" i="11"/>
  <c r="HF140" i="11" s="1"/>
  <c r="HE139" i="11"/>
  <c r="HF139" i="11" s="1"/>
  <c r="HE138" i="11"/>
  <c r="HF138" i="11" s="1"/>
  <c r="HE137" i="11"/>
  <c r="HF137" i="11" s="1"/>
  <c r="HE136" i="11"/>
  <c r="HF136" i="11" s="1"/>
  <c r="HE135" i="11"/>
  <c r="HF135" i="11" s="1"/>
  <c r="HE134" i="11"/>
  <c r="HF134" i="11" s="1"/>
  <c r="HE133" i="11"/>
  <c r="HF133" i="11" s="1"/>
  <c r="HE132" i="11"/>
  <c r="HF132" i="11" s="1"/>
  <c r="HE131" i="11"/>
  <c r="HF131" i="11" s="1"/>
  <c r="HE130" i="11"/>
  <c r="HF130" i="11" s="1"/>
  <c r="HE129" i="11"/>
  <c r="HF129" i="11" s="1"/>
  <c r="HE128" i="11"/>
  <c r="HF128" i="11" s="1"/>
  <c r="HE127" i="11"/>
  <c r="HF127" i="11" s="1"/>
  <c r="HE126" i="11"/>
  <c r="HF126" i="11" s="1"/>
  <c r="HE125" i="11"/>
  <c r="HF125" i="11" s="1"/>
  <c r="HE124" i="11"/>
  <c r="HF124" i="11" s="1"/>
  <c r="HE123" i="11"/>
  <c r="HF123" i="11" s="1"/>
  <c r="HE122" i="11"/>
  <c r="HF122" i="11" s="1"/>
  <c r="HE121" i="11"/>
  <c r="HF121" i="11" s="1"/>
  <c r="HE120" i="11"/>
  <c r="HF120" i="11" s="1"/>
  <c r="HE119" i="11"/>
  <c r="HF119" i="11" s="1"/>
  <c r="HE118" i="11"/>
  <c r="HF118" i="11" s="1"/>
  <c r="HE117" i="11"/>
  <c r="HF117" i="11" s="1"/>
  <c r="HE116" i="11"/>
  <c r="HF116" i="11" s="1"/>
  <c r="HE115" i="11"/>
  <c r="HF115" i="11" s="1"/>
  <c r="HE114" i="11"/>
  <c r="HF114" i="11" s="1"/>
  <c r="HE113" i="11"/>
  <c r="HF113" i="11" s="1"/>
  <c r="HE112" i="11"/>
  <c r="HF112" i="11" s="1"/>
  <c r="HE111" i="11"/>
  <c r="HF111" i="11" s="1"/>
  <c r="HE110" i="11"/>
  <c r="HF110" i="11" s="1"/>
  <c r="HE109" i="11"/>
  <c r="HF109" i="11" s="1"/>
  <c r="HE108" i="11"/>
  <c r="HF108" i="11" s="1"/>
  <c r="HE107" i="11"/>
  <c r="HF107" i="11" s="1"/>
  <c r="HE106" i="11"/>
  <c r="HF106" i="11" s="1"/>
  <c r="HE105" i="11"/>
  <c r="HF105" i="11" s="1"/>
  <c r="HE104" i="11"/>
  <c r="HF104" i="11" s="1"/>
  <c r="HE103" i="11"/>
  <c r="HF103" i="11" s="1"/>
  <c r="HE102" i="11"/>
  <c r="HF102" i="11" s="1"/>
  <c r="HE101" i="11"/>
  <c r="HF101" i="11" s="1"/>
  <c r="HE100" i="11"/>
  <c r="HF100" i="11" s="1"/>
  <c r="HE99" i="11"/>
  <c r="HF99" i="11" s="1"/>
  <c r="HE98" i="11"/>
  <c r="HF98" i="11" s="1"/>
  <c r="HE97" i="11"/>
  <c r="HF97" i="11" s="1"/>
  <c r="HE96" i="11"/>
  <c r="HF96" i="11" s="1"/>
  <c r="HE95" i="11"/>
  <c r="HF95" i="11" s="1"/>
  <c r="HE94" i="11"/>
  <c r="HF94" i="11" s="1"/>
  <c r="HE93" i="11"/>
  <c r="HF93" i="11" s="1"/>
  <c r="HE92" i="11"/>
  <c r="HF92" i="11" s="1"/>
  <c r="HE91" i="11"/>
  <c r="HF91" i="11" s="1"/>
  <c r="HE90" i="11"/>
  <c r="HF90" i="11" s="1"/>
  <c r="HE89" i="11"/>
  <c r="HF89" i="11" s="1"/>
  <c r="HE88" i="11"/>
  <c r="HF88" i="11" s="1"/>
  <c r="HE87" i="11"/>
  <c r="HF87" i="11" s="1"/>
  <c r="HE86" i="11"/>
  <c r="HF86" i="11" s="1"/>
  <c r="HE85" i="11"/>
  <c r="HF85" i="11" s="1"/>
  <c r="HE84" i="11"/>
  <c r="HF84" i="11" s="1"/>
  <c r="HE83" i="11"/>
  <c r="HF83" i="11" s="1"/>
  <c r="HE82" i="11"/>
  <c r="HF82" i="11" s="1"/>
  <c r="HE81" i="11"/>
  <c r="HF81" i="11" s="1"/>
  <c r="HE80" i="11"/>
  <c r="HF80" i="11" s="1"/>
  <c r="HE79" i="11"/>
  <c r="HF79" i="11" s="1"/>
  <c r="HE78" i="11"/>
  <c r="HF78" i="11" s="1"/>
  <c r="HE77" i="11"/>
  <c r="HF77" i="11" s="1"/>
  <c r="HE76" i="11"/>
  <c r="HF76" i="11" s="1"/>
  <c r="HE75" i="11"/>
  <c r="HF75" i="11" s="1"/>
  <c r="HE74" i="11"/>
  <c r="HF74" i="11" s="1"/>
  <c r="HE73" i="11"/>
  <c r="HF73" i="11" s="1"/>
  <c r="HE72" i="11"/>
  <c r="HF72" i="11" s="1"/>
  <c r="HE71" i="11"/>
  <c r="HF71" i="11" s="1"/>
  <c r="HE70" i="11"/>
  <c r="HF70" i="11" s="1"/>
  <c r="HE69" i="11"/>
  <c r="HF69" i="11" s="1"/>
  <c r="HE68" i="11"/>
  <c r="HF68" i="11" s="1"/>
  <c r="HE67" i="11"/>
  <c r="HF67" i="11" s="1"/>
  <c r="HE66" i="11"/>
  <c r="HF66" i="11" s="1"/>
  <c r="HE65" i="11"/>
  <c r="HF65" i="11" s="1"/>
  <c r="HE64" i="11"/>
  <c r="HF64" i="11" s="1"/>
  <c r="HE63" i="11"/>
  <c r="HF63" i="11" s="1"/>
  <c r="HE62" i="11"/>
  <c r="HF62" i="11" s="1"/>
  <c r="HE61" i="11"/>
  <c r="HF61" i="11" s="1"/>
  <c r="HE60" i="11"/>
  <c r="HF60" i="11" s="1"/>
  <c r="HE59" i="11"/>
  <c r="HF59" i="11" s="1"/>
  <c r="HE58" i="11"/>
  <c r="HF58" i="11" s="1"/>
  <c r="HE57" i="11"/>
  <c r="HF57" i="11" s="1"/>
  <c r="HE56" i="11"/>
  <c r="HF56" i="11" s="1"/>
  <c r="HE55" i="11"/>
  <c r="HF55" i="11" s="1"/>
  <c r="HE54" i="11"/>
  <c r="HF54" i="11" s="1"/>
  <c r="HE53" i="11"/>
  <c r="HF53" i="11" s="1"/>
  <c r="HE52" i="11"/>
  <c r="HF52" i="11" s="1"/>
  <c r="HE51" i="11"/>
  <c r="HF51" i="11" s="1"/>
  <c r="HE50" i="11"/>
  <c r="HF50" i="11" s="1"/>
  <c r="HE49" i="11"/>
  <c r="HF49" i="11" s="1"/>
  <c r="HE48" i="11"/>
  <c r="HF48" i="11" s="1"/>
  <c r="HE47" i="11"/>
  <c r="HF47" i="11" s="1"/>
  <c r="HE46" i="11"/>
  <c r="HF46" i="11" s="1"/>
  <c r="HE45" i="11"/>
  <c r="HF45" i="11" s="1"/>
  <c r="HE44" i="11"/>
  <c r="HF44" i="11" s="1"/>
  <c r="HE43" i="11"/>
  <c r="HF43" i="11" s="1"/>
  <c r="HE42" i="11"/>
  <c r="HF42" i="11" s="1"/>
  <c r="HE41" i="11"/>
  <c r="HF41" i="11" s="1"/>
  <c r="HE40" i="11"/>
  <c r="HF40" i="11" s="1"/>
  <c r="HE39" i="11"/>
  <c r="HF39" i="11" s="1"/>
  <c r="HE38" i="11"/>
  <c r="HF38" i="11" s="1"/>
  <c r="HE37" i="11"/>
  <c r="HF37" i="11" s="1"/>
  <c r="HE36" i="11"/>
  <c r="HF36" i="11" s="1"/>
  <c r="HE35" i="11"/>
  <c r="HF35" i="11" s="1"/>
  <c r="HE34" i="11"/>
  <c r="HF34" i="11" s="1"/>
  <c r="HE33" i="11"/>
  <c r="HF33" i="11" s="1"/>
  <c r="HE32" i="11"/>
  <c r="HF32" i="11" s="1"/>
  <c r="HE31" i="11"/>
  <c r="HF31" i="11" s="1"/>
  <c r="HE30" i="11"/>
  <c r="HF30" i="11" s="1"/>
  <c r="HE29" i="11"/>
  <c r="HF29" i="11" s="1"/>
  <c r="HE28" i="11"/>
  <c r="HF28" i="11" s="1"/>
  <c r="HE27" i="11"/>
  <c r="HF27" i="11" s="1"/>
  <c r="HE26" i="11"/>
  <c r="HF26" i="11" s="1"/>
  <c r="HE25" i="11"/>
  <c r="HF25" i="11" s="1"/>
  <c r="HE24" i="11"/>
  <c r="HF24" i="11" s="1"/>
  <c r="HE23" i="11"/>
  <c r="HF23" i="11" s="1"/>
  <c r="HE22" i="11"/>
  <c r="HF22" i="11" s="1"/>
  <c r="HE21" i="11"/>
  <c r="HF21" i="11" s="1"/>
  <c r="HE20" i="11"/>
  <c r="HF20" i="11" s="1"/>
  <c r="HE19" i="11"/>
  <c r="HF19" i="11" s="1"/>
  <c r="HE18" i="11"/>
  <c r="HF18" i="11" s="1"/>
  <c r="HE17" i="11"/>
  <c r="HF17" i="11" s="1"/>
  <c r="HE16" i="11"/>
  <c r="HF16" i="11" s="1"/>
  <c r="HE15" i="11"/>
  <c r="HF15" i="11" s="1"/>
  <c r="HE14" i="11"/>
  <c r="HF14" i="11" s="1"/>
  <c r="HE13" i="11"/>
  <c r="HF13" i="11" s="1"/>
  <c r="HE12" i="11"/>
  <c r="HF12" i="11" s="1"/>
  <c r="HE11" i="11"/>
  <c r="HF11" i="11" s="1"/>
  <c r="HE10" i="11"/>
  <c r="HF10" i="11" s="1"/>
  <c r="HE9" i="11"/>
  <c r="HF9" i="11" s="1"/>
  <c r="HE8" i="11"/>
  <c r="HF8" i="11" s="1"/>
  <c r="HE7" i="11"/>
  <c r="HF7" i="11" s="1"/>
  <c r="HE6" i="11"/>
  <c r="HF6" i="11" s="1"/>
  <c r="HE5" i="11"/>
  <c r="HF5" i="11" s="1"/>
  <c r="HE4" i="11"/>
  <c r="HF4" i="11" s="1"/>
  <c r="EE202" i="11"/>
  <c r="EF202" i="11" s="1"/>
  <c r="EE201" i="11"/>
  <c r="EF201" i="11" s="1"/>
  <c r="EG201" i="11" s="1"/>
  <c r="EE200" i="11"/>
  <c r="EF200" i="11" s="1"/>
  <c r="EG200" i="11" s="1"/>
  <c r="EE199" i="11"/>
  <c r="EF199" i="11" s="1"/>
  <c r="EG199" i="11" s="1"/>
  <c r="EE198" i="11"/>
  <c r="EF198" i="11" s="1"/>
  <c r="EG198" i="11" s="1"/>
  <c r="EE197" i="11"/>
  <c r="EF197" i="11" s="1"/>
  <c r="EG197" i="11" s="1"/>
  <c r="EE196" i="11"/>
  <c r="EF196" i="11" s="1"/>
  <c r="EG196" i="11" s="1"/>
  <c r="EE195" i="11"/>
  <c r="EF195" i="11" s="1"/>
  <c r="EG195" i="11" s="1"/>
  <c r="EE194" i="11"/>
  <c r="EF194" i="11" s="1"/>
  <c r="EG194" i="11" s="1"/>
  <c r="EE193" i="11"/>
  <c r="EF193" i="11" s="1"/>
  <c r="EG193" i="11" s="1"/>
  <c r="EE192" i="11"/>
  <c r="EF192" i="11" s="1"/>
  <c r="EG192" i="11" s="1"/>
  <c r="EE191" i="11"/>
  <c r="EF191" i="11" s="1"/>
  <c r="EG191" i="11" s="1"/>
  <c r="EE190" i="11"/>
  <c r="EF190" i="11" s="1"/>
  <c r="EG190" i="11" s="1"/>
  <c r="EE189" i="11"/>
  <c r="EF189" i="11" s="1"/>
  <c r="EG189" i="11" s="1"/>
  <c r="EE188" i="11"/>
  <c r="EF188" i="11" s="1"/>
  <c r="EG188" i="11" s="1"/>
  <c r="EE187" i="11"/>
  <c r="EF187" i="11" s="1"/>
  <c r="EG187" i="11" s="1"/>
  <c r="EE186" i="11"/>
  <c r="EF186" i="11" s="1"/>
  <c r="EG186" i="11" s="1"/>
  <c r="EE185" i="11"/>
  <c r="EF185" i="11" s="1"/>
  <c r="EG185" i="11" s="1"/>
  <c r="EE184" i="11"/>
  <c r="EF184" i="11" s="1"/>
  <c r="EG184" i="11" s="1"/>
  <c r="EE183" i="11"/>
  <c r="EF183" i="11" s="1"/>
  <c r="EG183" i="11" s="1"/>
  <c r="EE182" i="11"/>
  <c r="EF182" i="11" s="1"/>
  <c r="EG182" i="11" s="1"/>
  <c r="EE181" i="11"/>
  <c r="EF181" i="11" s="1"/>
  <c r="EG181" i="11" s="1"/>
  <c r="EE180" i="11"/>
  <c r="EF180" i="11" s="1"/>
  <c r="EG180" i="11" s="1"/>
  <c r="EE179" i="11"/>
  <c r="EF179" i="11" s="1"/>
  <c r="EG179" i="11" s="1"/>
  <c r="EE178" i="11"/>
  <c r="EF178" i="11" s="1"/>
  <c r="EG178" i="11" s="1"/>
  <c r="EE177" i="11"/>
  <c r="EF177" i="11" s="1"/>
  <c r="EG177" i="11" s="1"/>
  <c r="EE176" i="11"/>
  <c r="EF176" i="11" s="1"/>
  <c r="EG176" i="11" s="1"/>
  <c r="EE175" i="11"/>
  <c r="EF175" i="11" s="1"/>
  <c r="EG175" i="11" s="1"/>
  <c r="EE174" i="11"/>
  <c r="EF174" i="11" s="1"/>
  <c r="EG174" i="11" s="1"/>
  <c r="EE173" i="11"/>
  <c r="EF173" i="11" s="1"/>
  <c r="EG173" i="11" s="1"/>
  <c r="EE172" i="11"/>
  <c r="EF172" i="11" s="1"/>
  <c r="EG172" i="11" s="1"/>
  <c r="EE171" i="11"/>
  <c r="EF171" i="11" s="1"/>
  <c r="EG171" i="11" s="1"/>
  <c r="EE170" i="11"/>
  <c r="EF170" i="11" s="1"/>
  <c r="EG170" i="11" s="1"/>
  <c r="EE169" i="11"/>
  <c r="EF169" i="11" s="1"/>
  <c r="EG169" i="11" s="1"/>
  <c r="EE168" i="11"/>
  <c r="EF168" i="11" s="1"/>
  <c r="EG168" i="11" s="1"/>
  <c r="EE167" i="11"/>
  <c r="EF167" i="11" s="1"/>
  <c r="EG167" i="11" s="1"/>
  <c r="EE166" i="11"/>
  <c r="EF166" i="11" s="1"/>
  <c r="EG166" i="11" s="1"/>
  <c r="EE165" i="11"/>
  <c r="EF165" i="11" s="1"/>
  <c r="EG165" i="11" s="1"/>
  <c r="EE164" i="11"/>
  <c r="EF164" i="11" s="1"/>
  <c r="EG164" i="11" s="1"/>
  <c r="EE163" i="11"/>
  <c r="EF163" i="11" s="1"/>
  <c r="EG163" i="11" s="1"/>
  <c r="EE162" i="11"/>
  <c r="EF162" i="11" s="1"/>
  <c r="EG162" i="11" s="1"/>
  <c r="EE161" i="11"/>
  <c r="EF161" i="11" s="1"/>
  <c r="EG161" i="11" s="1"/>
  <c r="EE160" i="11"/>
  <c r="EF160" i="11" s="1"/>
  <c r="EG160" i="11" s="1"/>
  <c r="EE159" i="11"/>
  <c r="EF159" i="11" s="1"/>
  <c r="EG159" i="11" s="1"/>
  <c r="EE158" i="11"/>
  <c r="EF158" i="11" s="1"/>
  <c r="EG158" i="11" s="1"/>
  <c r="EE157" i="11"/>
  <c r="EF157" i="11" s="1"/>
  <c r="EG157" i="11" s="1"/>
  <c r="EE156" i="11"/>
  <c r="EF156" i="11" s="1"/>
  <c r="EG156" i="11" s="1"/>
  <c r="EE155" i="11"/>
  <c r="EF155" i="11" s="1"/>
  <c r="EG155" i="11" s="1"/>
  <c r="EE154" i="11"/>
  <c r="EF154" i="11" s="1"/>
  <c r="EG154" i="11" s="1"/>
  <c r="EE153" i="11"/>
  <c r="EF153" i="11" s="1"/>
  <c r="EG153" i="11" s="1"/>
  <c r="EE152" i="11"/>
  <c r="EF152" i="11" s="1"/>
  <c r="EG152" i="11" s="1"/>
  <c r="EE151" i="11"/>
  <c r="EF151" i="11" s="1"/>
  <c r="EG151" i="11" s="1"/>
  <c r="EE150" i="11"/>
  <c r="EF150" i="11" s="1"/>
  <c r="EG150" i="11" s="1"/>
  <c r="EE149" i="11"/>
  <c r="EF149" i="11" s="1"/>
  <c r="EG149" i="11" s="1"/>
  <c r="EE148" i="11"/>
  <c r="EF148" i="11" s="1"/>
  <c r="EG148" i="11" s="1"/>
  <c r="EE147" i="11"/>
  <c r="EF147" i="11" s="1"/>
  <c r="EG147" i="11" s="1"/>
  <c r="EE146" i="11"/>
  <c r="EF146" i="11" s="1"/>
  <c r="EG146" i="11" s="1"/>
  <c r="EE145" i="11"/>
  <c r="EF145" i="11" s="1"/>
  <c r="EG145" i="11" s="1"/>
  <c r="EE144" i="11"/>
  <c r="EF144" i="11" s="1"/>
  <c r="EG144" i="11" s="1"/>
  <c r="EE143" i="11"/>
  <c r="EF143" i="11" s="1"/>
  <c r="EG143" i="11" s="1"/>
  <c r="EE142" i="11"/>
  <c r="EF142" i="11" s="1"/>
  <c r="EG142" i="11" s="1"/>
  <c r="EE141" i="11"/>
  <c r="EF141" i="11" s="1"/>
  <c r="EG141" i="11" s="1"/>
  <c r="EE140" i="11"/>
  <c r="EF140" i="11" s="1"/>
  <c r="EG140" i="11" s="1"/>
  <c r="EE139" i="11"/>
  <c r="EF139" i="11" s="1"/>
  <c r="EG139" i="11" s="1"/>
  <c r="EE138" i="11"/>
  <c r="EF138" i="11" s="1"/>
  <c r="EG138" i="11" s="1"/>
  <c r="EE137" i="11"/>
  <c r="EF137" i="11" s="1"/>
  <c r="EG137" i="11" s="1"/>
  <c r="EE136" i="11"/>
  <c r="EF136" i="11" s="1"/>
  <c r="EG136" i="11" s="1"/>
  <c r="EE135" i="11"/>
  <c r="EF135" i="11" s="1"/>
  <c r="EG135" i="11" s="1"/>
  <c r="EE134" i="11"/>
  <c r="EF134" i="11" s="1"/>
  <c r="EG134" i="11" s="1"/>
  <c r="EE133" i="11"/>
  <c r="EF133" i="11" s="1"/>
  <c r="EG133" i="11" s="1"/>
  <c r="EE132" i="11"/>
  <c r="EF132" i="11" s="1"/>
  <c r="EG132" i="11" s="1"/>
  <c r="EE131" i="11"/>
  <c r="EF131" i="11" s="1"/>
  <c r="EG131" i="11" s="1"/>
  <c r="EE130" i="11"/>
  <c r="EF130" i="11" s="1"/>
  <c r="EG130" i="11" s="1"/>
  <c r="EE129" i="11"/>
  <c r="EF129" i="11" s="1"/>
  <c r="EG129" i="11" s="1"/>
  <c r="EE128" i="11"/>
  <c r="EF128" i="11" s="1"/>
  <c r="EG128" i="11" s="1"/>
  <c r="EE127" i="11"/>
  <c r="EF127" i="11" s="1"/>
  <c r="EG127" i="11" s="1"/>
  <c r="EE126" i="11"/>
  <c r="EF126" i="11" s="1"/>
  <c r="EG126" i="11" s="1"/>
  <c r="EE125" i="11"/>
  <c r="EF125" i="11" s="1"/>
  <c r="EG125" i="11" s="1"/>
  <c r="EE124" i="11"/>
  <c r="EF124" i="11" s="1"/>
  <c r="EG124" i="11" s="1"/>
  <c r="EE123" i="11"/>
  <c r="EF123" i="11" s="1"/>
  <c r="EG123" i="11" s="1"/>
  <c r="EE122" i="11"/>
  <c r="EF122" i="11" s="1"/>
  <c r="EG122" i="11" s="1"/>
  <c r="EE121" i="11"/>
  <c r="EF121" i="11" s="1"/>
  <c r="EG121" i="11" s="1"/>
  <c r="EE120" i="11"/>
  <c r="EF120" i="11" s="1"/>
  <c r="EG120" i="11" s="1"/>
  <c r="EE119" i="11"/>
  <c r="EF119" i="11" s="1"/>
  <c r="EG119" i="11" s="1"/>
  <c r="EE118" i="11"/>
  <c r="EF118" i="11" s="1"/>
  <c r="EG118" i="11" s="1"/>
  <c r="EE117" i="11"/>
  <c r="EF117" i="11" s="1"/>
  <c r="EG117" i="11" s="1"/>
  <c r="EE116" i="11"/>
  <c r="EF116" i="11" s="1"/>
  <c r="EG116" i="11" s="1"/>
  <c r="EE115" i="11"/>
  <c r="EF115" i="11" s="1"/>
  <c r="EG115" i="11" s="1"/>
  <c r="EE114" i="11"/>
  <c r="EF114" i="11" s="1"/>
  <c r="EG114" i="11" s="1"/>
  <c r="EE113" i="11"/>
  <c r="EF113" i="11" s="1"/>
  <c r="EG113" i="11" s="1"/>
  <c r="EE112" i="11"/>
  <c r="EF112" i="11" s="1"/>
  <c r="EG112" i="11" s="1"/>
  <c r="EE111" i="11"/>
  <c r="EF111" i="11" s="1"/>
  <c r="EG111" i="11" s="1"/>
  <c r="EE110" i="11"/>
  <c r="EF110" i="11" s="1"/>
  <c r="EG110" i="11" s="1"/>
  <c r="EE109" i="11"/>
  <c r="EF109" i="11" s="1"/>
  <c r="EG109" i="11" s="1"/>
  <c r="EE108" i="11"/>
  <c r="EF108" i="11" s="1"/>
  <c r="EG108" i="11" s="1"/>
  <c r="EE107" i="11"/>
  <c r="EF107" i="11" s="1"/>
  <c r="EG107" i="11" s="1"/>
  <c r="EE106" i="11"/>
  <c r="EF106" i="11" s="1"/>
  <c r="EG106" i="11" s="1"/>
  <c r="EE105" i="11"/>
  <c r="EF105" i="11" s="1"/>
  <c r="EG105" i="11" s="1"/>
  <c r="EE104" i="11"/>
  <c r="EF104" i="11" s="1"/>
  <c r="EG104" i="11" s="1"/>
  <c r="EE103" i="11"/>
  <c r="EF103" i="11" s="1"/>
  <c r="EG103" i="11" s="1"/>
  <c r="EE102" i="11"/>
  <c r="EF102" i="11" s="1"/>
  <c r="EG102" i="11" s="1"/>
  <c r="EE101" i="11"/>
  <c r="EF101" i="11" s="1"/>
  <c r="EG101" i="11" s="1"/>
  <c r="EE100" i="11"/>
  <c r="EF100" i="11" s="1"/>
  <c r="EG100" i="11" s="1"/>
  <c r="EE99" i="11"/>
  <c r="EF99" i="11" s="1"/>
  <c r="EG99" i="11" s="1"/>
  <c r="EE98" i="11"/>
  <c r="EF98" i="11" s="1"/>
  <c r="EG98" i="11" s="1"/>
  <c r="EE97" i="11"/>
  <c r="EF97" i="11" s="1"/>
  <c r="EG97" i="11" s="1"/>
  <c r="EE96" i="11"/>
  <c r="EF96" i="11" s="1"/>
  <c r="EG96" i="11" s="1"/>
  <c r="EE95" i="11"/>
  <c r="EF95" i="11" s="1"/>
  <c r="EG95" i="11" s="1"/>
  <c r="EE94" i="11"/>
  <c r="EF94" i="11" s="1"/>
  <c r="EG94" i="11" s="1"/>
  <c r="EE93" i="11"/>
  <c r="EF93" i="11" s="1"/>
  <c r="EG93" i="11" s="1"/>
  <c r="EE92" i="11"/>
  <c r="EF92" i="11" s="1"/>
  <c r="EG92" i="11" s="1"/>
  <c r="EE91" i="11"/>
  <c r="EF91" i="11" s="1"/>
  <c r="EG91" i="11" s="1"/>
  <c r="EE90" i="11"/>
  <c r="EF90" i="11" s="1"/>
  <c r="EG90" i="11" s="1"/>
  <c r="EE89" i="11"/>
  <c r="EF89" i="11" s="1"/>
  <c r="EG89" i="11" s="1"/>
  <c r="EE88" i="11"/>
  <c r="EF88" i="11" s="1"/>
  <c r="EG88" i="11" s="1"/>
  <c r="EE87" i="11"/>
  <c r="EF87" i="11" s="1"/>
  <c r="EG87" i="11" s="1"/>
  <c r="EE86" i="11"/>
  <c r="EF86" i="11" s="1"/>
  <c r="EG86" i="11" s="1"/>
  <c r="EE85" i="11"/>
  <c r="EF85" i="11" s="1"/>
  <c r="EG85" i="11" s="1"/>
  <c r="EE84" i="11"/>
  <c r="EF84" i="11" s="1"/>
  <c r="EG84" i="11" s="1"/>
  <c r="EE83" i="11"/>
  <c r="EF83" i="11" s="1"/>
  <c r="EG83" i="11" s="1"/>
  <c r="EE82" i="11"/>
  <c r="EF82" i="11" s="1"/>
  <c r="EG82" i="11" s="1"/>
  <c r="EE81" i="11"/>
  <c r="EF81" i="11" s="1"/>
  <c r="EG81" i="11" s="1"/>
  <c r="EE80" i="11"/>
  <c r="EF80" i="11" s="1"/>
  <c r="EG80" i="11" s="1"/>
  <c r="EE79" i="11"/>
  <c r="EF79" i="11" s="1"/>
  <c r="EG79" i="11" s="1"/>
  <c r="EE78" i="11"/>
  <c r="EF78" i="11" s="1"/>
  <c r="EG78" i="11" s="1"/>
  <c r="EE77" i="11"/>
  <c r="EF77" i="11" s="1"/>
  <c r="EG77" i="11" s="1"/>
  <c r="EE76" i="11"/>
  <c r="EF76" i="11" s="1"/>
  <c r="EG76" i="11" s="1"/>
  <c r="EE75" i="11"/>
  <c r="EF75" i="11" s="1"/>
  <c r="EG75" i="11" s="1"/>
  <c r="EE74" i="11"/>
  <c r="EF74" i="11" s="1"/>
  <c r="EG74" i="11" s="1"/>
  <c r="EE73" i="11"/>
  <c r="EF73" i="11" s="1"/>
  <c r="EG73" i="11" s="1"/>
  <c r="EE72" i="11"/>
  <c r="EF72" i="11" s="1"/>
  <c r="EG72" i="11" s="1"/>
  <c r="EE71" i="11"/>
  <c r="EF71" i="11" s="1"/>
  <c r="EG71" i="11" s="1"/>
  <c r="EE70" i="11"/>
  <c r="EF70" i="11" s="1"/>
  <c r="EG70" i="11" s="1"/>
  <c r="EE69" i="11"/>
  <c r="EF69" i="11" s="1"/>
  <c r="EG69" i="11" s="1"/>
  <c r="EE68" i="11"/>
  <c r="EF68" i="11" s="1"/>
  <c r="EG68" i="11" s="1"/>
  <c r="EE67" i="11"/>
  <c r="EF67" i="11" s="1"/>
  <c r="EG67" i="11" s="1"/>
  <c r="EE66" i="11"/>
  <c r="EF66" i="11" s="1"/>
  <c r="EG66" i="11" s="1"/>
  <c r="EE65" i="11"/>
  <c r="EF65" i="11" s="1"/>
  <c r="EG65" i="11" s="1"/>
  <c r="EE64" i="11"/>
  <c r="EF64" i="11" s="1"/>
  <c r="EG64" i="11" s="1"/>
  <c r="EE63" i="11"/>
  <c r="EF63" i="11" s="1"/>
  <c r="EG63" i="11" s="1"/>
  <c r="EE62" i="11"/>
  <c r="EF62" i="11" s="1"/>
  <c r="EG62" i="11" s="1"/>
  <c r="EE61" i="11"/>
  <c r="EF61" i="11" s="1"/>
  <c r="EG61" i="11" s="1"/>
  <c r="EE60" i="11"/>
  <c r="EF60" i="11" s="1"/>
  <c r="EG60" i="11" s="1"/>
  <c r="EE59" i="11"/>
  <c r="EF59" i="11" s="1"/>
  <c r="EE58" i="11"/>
  <c r="EF58" i="11" s="1"/>
  <c r="EG58" i="11" s="1"/>
  <c r="EE57" i="11"/>
  <c r="EF57" i="11" s="1"/>
  <c r="EG57" i="11" s="1"/>
  <c r="EE56" i="11"/>
  <c r="EF56" i="11" s="1"/>
  <c r="EE55" i="11"/>
  <c r="EF55" i="11" s="1"/>
  <c r="EG55" i="11" s="1"/>
  <c r="EE54" i="11"/>
  <c r="EF54" i="11" s="1"/>
  <c r="EG54" i="11" s="1"/>
  <c r="EE53" i="11"/>
  <c r="EF53" i="11" s="1"/>
  <c r="EG53" i="11" s="1"/>
  <c r="EE52" i="11"/>
  <c r="EF52" i="11" s="1"/>
  <c r="EG52" i="11" s="1"/>
  <c r="EE51" i="11"/>
  <c r="EF51" i="11" s="1"/>
  <c r="EG51" i="11" s="1"/>
  <c r="EE50" i="11"/>
  <c r="EF50" i="11" s="1"/>
  <c r="EE49" i="11"/>
  <c r="EF49" i="11" s="1"/>
  <c r="EE48" i="11"/>
  <c r="EF48" i="11" s="1"/>
  <c r="EG48" i="11" s="1"/>
  <c r="EE47" i="11"/>
  <c r="EF47" i="11" s="1"/>
  <c r="EG47" i="11" s="1"/>
  <c r="EE46" i="11"/>
  <c r="EF46" i="11" s="1"/>
  <c r="EG46" i="11" s="1"/>
  <c r="EE45" i="11"/>
  <c r="EF45" i="11" s="1"/>
  <c r="EG45" i="11" s="1"/>
  <c r="EE44" i="11"/>
  <c r="EF44" i="11" s="1"/>
  <c r="EG44" i="11" s="1"/>
  <c r="EE43" i="11"/>
  <c r="EF43" i="11" s="1"/>
  <c r="EE42" i="11"/>
  <c r="EF42" i="11" s="1"/>
  <c r="EG42" i="11" s="1"/>
  <c r="EE41" i="11"/>
  <c r="EF41" i="11" s="1"/>
  <c r="EG41" i="11" s="1"/>
  <c r="EE40" i="11"/>
  <c r="EF40" i="11" s="1"/>
  <c r="EG40" i="11" s="1"/>
  <c r="EE39" i="11"/>
  <c r="EF39" i="11" s="1"/>
  <c r="EG39" i="11" s="1"/>
  <c r="EE38" i="11"/>
  <c r="EF38" i="11" s="1"/>
  <c r="EG38" i="11" s="1"/>
  <c r="EE37" i="11"/>
  <c r="EF37" i="11" s="1"/>
  <c r="EE36" i="11"/>
  <c r="EF36" i="11" s="1"/>
  <c r="EG36" i="11" s="1"/>
  <c r="EE35" i="11"/>
  <c r="EF35" i="11" s="1"/>
  <c r="EG35" i="11" s="1"/>
  <c r="EE34" i="11"/>
  <c r="EF34" i="11" s="1"/>
  <c r="EG34" i="11" s="1"/>
  <c r="EE33" i="11"/>
  <c r="EF33" i="11" s="1"/>
  <c r="EG33" i="11" s="1"/>
  <c r="EE32" i="11"/>
  <c r="EF32" i="11" s="1"/>
  <c r="EG32" i="11" s="1"/>
  <c r="EE31" i="11"/>
  <c r="EF31" i="11" s="1"/>
  <c r="EE30" i="11"/>
  <c r="EF30" i="11" s="1"/>
  <c r="EE29" i="11"/>
  <c r="EF29" i="11" s="1"/>
  <c r="EE28" i="11"/>
  <c r="EF28" i="11" s="1"/>
  <c r="EG28" i="11" s="1"/>
  <c r="EE27" i="11"/>
  <c r="EF27" i="11" s="1"/>
  <c r="EG27" i="11" s="1"/>
  <c r="EE26" i="11"/>
  <c r="EF26" i="11" s="1"/>
  <c r="EG26" i="11" s="1"/>
  <c r="EE25" i="11"/>
  <c r="EF25" i="11" s="1"/>
  <c r="EG25" i="11" s="1"/>
  <c r="EE24" i="11"/>
  <c r="EF24" i="11" s="1"/>
  <c r="EG24" i="11" s="1"/>
  <c r="EE23" i="11"/>
  <c r="EF23" i="11" s="1"/>
  <c r="EG23" i="11" s="1"/>
  <c r="EE22" i="11"/>
  <c r="EF22" i="11" s="1"/>
  <c r="EG22" i="11" s="1"/>
  <c r="EE21" i="11"/>
  <c r="EF21" i="11" s="1"/>
  <c r="EG21" i="11" s="1"/>
  <c r="EE20" i="11"/>
  <c r="EF20" i="11" s="1"/>
  <c r="EG20" i="11" s="1"/>
  <c r="EE19" i="11"/>
  <c r="EF19" i="11" s="1"/>
  <c r="EE18" i="11"/>
  <c r="EF18" i="11" s="1"/>
  <c r="EG18" i="11" s="1"/>
  <c r="EE17" i="11"/>
  <c r="EF17" i="11" s="1"/>
  <c r="EG17" i="11" s="1"/>
  <c r="EE16" i="11"/>
  <c r="EF16" i="11" s="1"/>
  <c r="EG16" i="11" s="1"/>
  <c r="EE15" i="11"/>
  <c r="EF15" i="11" s="1"/>
  <c r="EG15" i="11" s="1"/>
  <c r="EE14" i="11"/>
  <c r="EF14" i="11" s="1"/>
  <c r="EG14" i="11" s="1"/>
  <c r="EE13" i="11"/>
  <c r="EF13" i="11" s="1"/>
  <c r="EG13" i="11" s="1"/>
  <c r="EE12" i="11"/>
  <c r="EF12" i="11" s="1"/>
  <c r="EG12" i="11" s="1"/>
  <c r="EE11" i="11"/>
  <c r="EF11" i="11" s="1"/>
  <c r="EG11" i="11" s="1"/>
  <c r="EE10" i="11"/>
  <c r="EF10" i="11" s="1"/>
  <c r="EG10" i="11" s="1"/>
  <c r="EE9" i="11"/>
  <c r="EF9" i="11" s="1"/>
  <c r="EG9" i="11" s="1"/>
  <c r="EE8" i="11"/>
  <c r="EF8" i="11" s="1"/>
  <c r="EG8" i="11" s="1"/>
  <c r="EE7" i="11"/>
  <c r="EF7" i="11" s="1"/>
  <c r="EG7" i="11" s="1"/>
  <c r="EE6" i="11"/>
  <c r="EF6" i="11" s="1"/>
  <c r="EG6" i="11" s="1"/>
  <c r="EE5" i="11"/>
  <c r="EF5" i="11" s="1"/>
  <c r="EE4" i="11"/>
  <c r="EF4" i="11" s="1"/>
  <c r="FL202" i="11"/>
  <c r="FM202" i="11" s="1"/>
  <c r="FL201" i="11"/>
  <c r="FM201" i="11" s="1"/>
  <c r="FL200" i="11"/>
  <c r="FM200" i="11" s="1"/>
  <c r="FL199" i="11"/>
  <c r="FM199" i="11" s="1"/>
  <c r="FL198" i="11"/>
  <c r="FM198" i="11" s="1"/>
  <c r="FL197" i="11"/>
  <c r="FM197" i="11" s="1"/>
  <c r="FL196" i="11"/>
  <c r="FM196" i="11" s="1"/>
  <c r="FL195" i="11"/>
  <c r="FM195" i="11" s="1"/>
  <c r="FL194" i="11"/>
  <c r="FM194" i="11" s="1"/>
  <c r="FL193" i="11"/>
  <c r="FM193" i="11" s="1"/>
  <c r="FL192" i="11"/>
  <c r="FM192" i="11" s="1"/>
  <c r="FL191" i="11"/>
  <c r="FM191" i="11" s="1"/>
  <c r="FL190" i="11"/>
  <c r="FM190" i="11" s="1"/>
  <c r="FL189" i="11"/>
  <c r="FM189" i="11" s="1"/>
  <c r="FL188" i="11"/>
  <c r="FM188" i="11" s="1"/>
  <c r="FL187" i="11"/>
  <c r="FM187" i="11" s="1"/>
  <c r="FL186" i="11"/>
  <c r="FM186" i="11" s="1"/>
  <c r="FL185" i="11"/>
  <c r="FM185" i="11" s="1"/>
  <c r="FL184" i="11"/>
  <c r="FM184" i="11" s="1"/>
  <c r="FL183" i="11"/>
  <c r="FM183" i="11" s="1"/>
  <c r="FL182" i="11"/>
  <c r="FM182" i="11" s="1"/>
  <c r="FL181" i="11"/>
  <c r="FM181" i="11" s="1"/>
  <c r="FL180" i="11"/>
  <c r="FM180" i="11" s="1"/>
  <c r="FL179" i="11"/>
  <c r="FM179" i="11" s="1"/>
  <c r="FL178" i="11"/>
  <c r="FM178" i="11" s="1"/>
  <c r="FL177" i="11"/>
  <c r="FM177" i="11" s="1"/>
  <c r="FL176" i="11"/>
  <c r="FM176" i="11" s="1"/>
  <c r="FL175" i="11"/>
  <c r="FM175" i="11" s="1"/>
  <c r="FL174" i="11"/>
  <c r="FM174" i="11" s="1"/>
  <c r="FL173" i="11"/>
  <c r="FM173" i="11" s="1"/>
  <c r="FL172" i="11"/>
  <c r="FM172" i="11" s="1"/>
  <c r="FL171" i="11"/>
  <c r="FM171" i="11" s="1"/>
  <c r="FL170" i="11"/>
  <c r="FM170" i="11" s="1"/>
  <c r="FL169" i="11"/>
  <c r="FM169" i="11" s="1"/>
  <c r="FL168" i="11"/>
  <c r="FM168" i="11" s="1"/>
  <c r="FL167" i="11"/>
  <c r="FM167" i="11" s="1"/>
  <c r="FL166" i="11"/>
  <c r="FM166" i="11" s="1"/>
  <c r="FL165" i="11"/>
  <c r="FM165" i="11" s="1"/>
  <c r="FL164" i="11"/>
  <c r="FM164" i="11" s="1"/>
  <c r="FL163" i="11"/>
  <c r="FM163" i="11" s="1"/>
  <c r="FL162" i="11"/>
  <c r="FM162" i="11" s="1"/>
  <c r="FL161" i="11"/>
  <c r="FM161" i="11" s="1"/>
  <c r="FL160" i="11"/>
  <c r="FM160" i="11" s="1"/>
  <c r="FL159" i="11"/>
  <c r="FM159" i="11" s="1"/>
  <c r="FL158" i="11"/>
  <c r="FM158" i="11" s="1"/>
  <c r="FL157" i="11"/>
  <c r="FM157" i="11" s="1"/>
  <c r="FL156" i="11"/>
  <c r="FM156" i="11" s="1"/>
  <c r="FL155" i="11"/>
  <c r="FM155" i="11" s="1"/>
  <c r="FL154" i="11"/>
  <c r="FM154" i="11" s="1"/>
  <c r="FL153" i="11"/>
  <c r="FM153" i="11" s="1"/>
  <c r="FL152" i="11"/>
  <c r="FM152" i="11" s="1"/>
  <c r="FL151" i="11"/>
  <c r="FM151" i="11" s="1"/>
  <c r="FL150" i="11"/>
  <c r="FM150" i="11" s="1"/>
  <c r="FL149" i="11"/>
  <c r="FM149" i="11" s="1"/>
  <c r="FL148" i="11"/>
  <c r="FM148" i="11" s="1"/>
  <c r="FL147" i="11"/>
  <c r="FM147" i="11" s="1"/>
  <c r="FL146" i="11"/>
  <c r="FM146" i="11" s="1"/>
  <c r="FL145" i="11"/>
  <c r="FM145" i="11" s="1"/>
  <c r="FL144" i="11"/>
  <c r="FM144" i="11" s="1"/>
  <c r="FL143" i="11"/>
  <c r="FM143" i="11" s="1"/>
  <c r="FL142" i="11"/>
  <c r="FM142" i="11" s="1"/>
  <c r="FL141" i="11"/>
  <c r="FM141" i="11" s="1"/>
  <c r="FL140" i="11"/>
  <c r="FM140" i="11" s="1"/>
  <c r="FL139" i="11"/>
  <c r="FM139" i="11" s="1"/>
  <c r="FL138" i="11"/>
  <c r="FM138" i="11" s="1"/>
  <c r="FL137" i="11"/>
  <c r="FM137" i="11" s="1"/>
  <c r="FL136" i="11"/>
  <c r="FM136" i="11" s="1"/>
  <c r="FL135" i="11"/>
  <c r="FM135" i="11" s="1"/>
  <c r="FL134" i="11"/>
  <c r="FM134" i="11" s="1"/>
  <c r="FL133" i="11"/>
  <c r="FM133" i="11" s="1"/>
  <c r="FL132" i="11"/>
  <c r="FM132" i="11" s="1"/>
  <c r="FL131" i="11"/>
  <c r="FM131" i="11" s="1"/>
  <c r="FL130" i="11"/>
  <c r="FM130" i="11" s="1"/>
  <c r="FL129" i="11"/>
  <c r="FM129" i="11" s="1"/>
  <c r="FL128" i="11"/>
  <c r="FM128" i="11" s="1"/>
  <c r="FL127" i="11"/>
  <c r="FM127" i="11" s="1"/>
  <c r="FL126" i="11"/>
  <c r="FM126" i="11" s="1"/>
  <c r="FL125" i="11"/>
  <c r="FM125" i="11" s="1"/>
  <c r="FL124" i="11"/>
  <c r="FM124" i="11" s="1"/>
  <c r="FL123" i="11"/>
  <c r="FM123" i="11" s="1"/>
  <c r="FL122" i="11"/>
  <c r="FM122" i="11" s="1"/>
  <c r="FL121" i="11"/>
  <c r="FM121" i="11" s="1"/>
  <c r="FL120" i="11"/>
  <c r="FM120" i="11" s="1"/>
  <c r="FL119" i="11"/>
  <c r="FM119" i="11" s="1"/>
  <c r="FL118" i="11"/>
  <c r="FM118" i="11" s="1"/>
  <c r="FL117" i="11"/>
  <c r="FM117" i="11" s="1"/>
  <c r="FL116" i="11"/>
  <c r="FM116" i="11" s="1"/>
  <c r="FL115" i="11"/>
  <c r="FM115" i="11" s="1"/>
  <c r="FL114" i="11"/>
  <c r="FM114" i="11" s="1"/>
  <c r="FL113" i="11"/>
  <c r="FM113" i="11" s="1"/>
  <c r="FL112" i="11"/>
  <c r="FM112" i="11" s="1"/>
  <c r="FL111" i="11"/>
  <c r="FM111" i="11" s="1"/>
  <c r="FL110" i="11"/>
  <c r="FM110" i="11" s="1"/>
  <c r="FL109" i="11"/>
  <c r="FM109" i="11" s="1"/>
  <c r="FL108" i="11"/>
  <c r="FM108" i="11" s="1"/>
  <c r="FL107" i="11"/>
  <c r="FM107" i="11" s="1"/>
  <c r="FL106" i="11"/>
  <c r="FM106" i="11" s="1"/>
  <c r="FL105" i="11"/>
  <c r="FM105" i="11" s="1"/>
  <c r="FL104" i="11"/>
  <c r="FM104" i="11" s="1"/>
  <c r="FL103" i="11"/>
  <c r="FM103" i="11" s="1"/>
  <c r="FL102" i="11"/>
  <c r="FM102" i="11" s="1"/>
  <c r="FL101" i="11"/>
  <c r="FM101" i="11" s="1"/>
  <c r="FL100" i="11"/>
  <c r="FM100" i="11" s="1"/>
  <c r="FL99" i="11"/>
  <c r="FM99" i="11" s="1"/>
  <c r="FL98" i="11"/>
  <c r="FM98" i="11" s="1"/>
  <c r="FL97" i="11"/>
  <c r="FM97" i="11" s="1"/>
  <c r="FL96" i="11"/>
  <c r="FM96" i="11" s="1"/>
  <c r="FL95" i="11"/>
  <c r="FM95" i="11" s="1"/>
  <c r="FL94" i="11"/>
  <c r="FM94" i="11" s="1"/>
  <c r="FL93" i="11"/>
  <c r="FM93" i="11" s="1"/>
  <c r="FL92" i="11"/>
  <c r="FM92" i="11" s="1"/>
  <c r="FL91" i="11"/>
  <c r="FM91" i="11" s="1"/>
  <c r="FL90" i="11"/>
  <c r="FM90" i="11" s="1"/>
  <c r="FL89" i="11"/>
  <c r="FM89" i="11" s="1"/>
  <c r="FL88" i="11"/>
  <c r="FM88" i="11" s="1"/>
  <c r="FL87" i="11"/>
  <c r="FM87" i="11" s="1"/>
  <c r="FL86" i="11"/>
  <c r="FM86" i="11" s="1"/>
  <c r="FL85" i="11"/>
  <c r="FM85" i="11" s="1"/>
  <c r="FL84" i="11"/>
  <c r="FM84" i="11" s="1"/>
  <c r="FL83" i="11"/>
  <c r="FM83" i="11" s="1"/>
  <c r="FL82" i="11"/>
  <c r="FM82" i="11" s="1"/>
  <c r="FL81" i="11"/>
  <c r="FM81" i="11" s="1"/>
  <c r="FL80" i="11"/>
  <c r="FM80" i="11" s="1"/>
  <c r="FL79" i="11"/>
  <c r="FM79" i="11" s="1"/>
  <c r="FL78" i="11"/>
  <c r="FM78" i="11" s="1"/>
  <c r="FL77" i="11"/>
  <c r="FM77" i="11" s="1"/>
  <c r="FL76" i="11"/>
  <c r="FM76" i="11" s="1"/>
  <c r="FL75" i="11"/>
  <c r="FM75" i="11" s="1"/>
  <c r="FL74" i="11"/>
  <c r="FM74" i="11" s="1"/>
  <c r="FL73" i="11"/>
  <c r="FM73" i="11" s="1"/>
  <c r="FL72" i="11"/>
  <c r="FM72" i="11" s="1"/>
  <c r="FL71" i="11"/>
  <c r="FM71" i="11" s="1"/>
  <c r="FL70" i="11"/>
  <c r="FM70" i="11" s="1"/>
  <c r="FL69" i="11"/>
  <c r="FM69" i="11" s="1"/>
  <c r="FL68" i="11"/>
  <c r="FM68" i="11" s="1"/>
  <c r="FL67" i="11"/>
  <c r="FM67" i="11" s="1"/>
  <c r="FL66" i="11"/>
  <c r="FM66" i="11" s="1"/>
  <c r="FL65" i="11"/>
  <c r="FM65" i="11" s="1"/>
  <c r="FL64" i="11"/>
  <c r="FM64" i="11" s="1"/>
  <c r="FL63" i="11"/>
  <c r="FM63" i="11" s="1"/>
  <c r="FL62" i="11"/>
  <c r="FM62" i="11" s="1"/>
  <c r="FL61" i="11"/>
  <c r="FM61" i="11" s="1"/>
  <c r="FL60" i="11"/>
  <c r="FM60" i="11" s="1"/>
  <c r="FL59" i="11"/>
  <c r="FM59" i="11" s="1"/>
  <c r="FL58" i="11"/>
  <c r="FM58" i="11" s="1"/>
  <c r="FL57" i="11"/>
  <c r="FM57" i="11" s="1"/>
  <c r="FL56" i="11"/>
  <c r="FM56" i="11" s="1"/>
  <c r="FL55" i="11"/>
  <c r="FM55" i="11" s="1"/>
  <c r="FL54" i="11"/>
  <c r="FM54" i="11" s="1"/>
  <c r="FL53" i="11"/>
  <c r="FM53" i="11" s="1"/>
  <c r="FL52" i="11"/>
  <c r="FM52" i="11" s="1"/>
  <c r="FL51" i="11"/>
  <c r="FM51" i="11" s="1"/>
  <c r="FL50" i="11"/>
  <c r="FM50" i="11" s="1"/>
  <c r="FL49" i="11"/>
  <c r="FM49" i="11" s="1"/>
  <c r="FL48" i="11"/>
  <c r="FM48" i="11" s="1"/>
  <c r="FL47" i="11"/>
  <c r="FM47" i="11" s="1"/>
  <c r="FL46" i="11"/>
  <c r="FM46" i="11" s="1"/>
  <c r="FL45" i="11"/>
  <c r="FM45" i="11" s="1"/>
  <c r="FL44" i="11"/>
  <c r="FM44" i="11" s="1"/>
  <c r="FL43" i="11"/>
  <c r="FM43" i="11" s="1"/>
  <c r="FL42" i="11"/>
  <c r="FM42" i="11" s="1"/>
  <c r="FL41" i="11"/>
  <c r="FM41" i="11" s="1"/>
  <c r="FL40" i="11"/>
  <c r="FM40" i="11" s="1"/>
  <c r="FL39" i="11"/>
  <c r="FM39" i="11" s="1"/>
  <c r="FL38" i="11"/>
  <c r="FM38" i="11" s="1"/>
  <c r="FL37" i="11"/>
  <c r="FM37" i="11" s="1"/>
  <c r="FL36" i="11"/>
  <c r="FM36" i="11" s="1"/>
  <c r="FL35" i="11"/>
  <c r="FM35" i="11" s="1"/>
  <c r="FL34" i="11"/>
  <c r="FM34" i="11" s="1"/>
  <c r="FL33" i="11"/>
  <c r="FM33" i="11" s="1"/>
  <c r="FL32" i="11"/>
  <c r="FM32" i="11" s="1"/>
  <c r="FL31" i="11"/>
  <c r="FM31" i="11" s="1"/>
  <c r="FL30" i="11"/>
  <c r="FM30" i="11" s="1"/>
  <c r="FL29" i="11"/>
  <c r="FM29" i="11" s="1"/>
  <c r="FL28" i="11"/>
  <c r="FM28" i="11" s="1"/>
  <c r="FL27" i="11"/>
  <c r="FM27" i="11" s="1"/>
  <c r="FL26" i="11"/>
  <c r="FM26" i="11" s="1"/>
  <c r="FL25" i="11"/>
  <c r="FM25" i="11" s="1"/>
  <c r="FL24" i="11"/>
  <c r="FM24" i="11" s="1"/>
  <c r="FL23" i="11"/>
  <c r="FM23" i="11" s="1"/>
  <c r="FL22" i="11"/>
  <c r="FM22" i="11" s="1"/>
  <c r="FL21" i="11"/>
  <c r="FM21" i="11" s="1"/>
  <c r="FL20" i="11"/>
  <c r="FM20" i="11" s="1"/>
  <c r="FL19" i="11"/>
  <c r="FM19" i="11" s="1"/>
  <c r="FL18" i="11"/>
  <c r="FM18" i="11" s="1"/>
  <c r="FL17" i="11"/>
  <c r="FM17" i="11" s="1"/>
  <c r="FL16" i="11"/>
  <c r="FM16" i="11" s="1"/>
  <c r="FL15" i="11"/>
  <c r="FM15" i="11" s="1"/>
  <c r="FL14" i="11"/>
  <c r="FM14" i="11" s="1"/>
  <c r="FL13" i="11"/>
  <c r="FM13" i="11" s="1"/>
  <c r="FL12" i="11"/>
  <c r="FM12" i="11" s="1"/>
  <c r="FL11" i="11"/>
  <c r="FL9" i="11"/>
  <c r="FM9" i="11" s="1"/>
  <c r="FL8" i="11"/>
  <c r="FM8" i="11" s="1"/>
  <c r="FL7" i="11"/>
  <c r="FM7" i="11" s="1"/>
  <c r="FL6" i="11"/>
  <c r="FM6" i="11" s="1"/>
  <c r="FL5" i="11"/>
  <c r="FM5" i="11" s="1"/>
  <c r="FL4" i="11"/>
  <c r="FM4" i="11" s="1"/>
  <c r="FN4" i="11" s="1"/>
  <c r="FG202" i="11"/>
  <c r="FH202" i="11" s="1"/>
  <c r="FG201" i="11"/>
  <c r="FH201" i="11" s="1"/>
  <c r="FG200" i="11"/>
  <c r="FH200" i="11" s="1"/>
  <c r="FG199" i="11"/>
  <c r="FH199" i="11" s="1"/>
  <c r="FG198" i="11"/>
  <c r="FH198" i="11" s="1"/>
  <c r="FG197" i="11"/>
  <c r="FH197" i="11" s="1"/>
  <c r="FG196" i="11"/>
  <c r="FH196" i="11" s="1"/>
  <c r="FG195" i="11"/>
  <c r="FH195" i="11" s="1"/>
  <c r="FG194" i="11"/>
  <c r="FH194" i="11" s="1"/>
  <c r="FG193" i="11"/>
  <c r="FH193" i="11" s="1"/>
  <c r="FG192" i="11"/>
  <c r="FH192" i="11" s="1"/>
  <c r="FG191" i="11"/>
  <c r="FH191" i="11" s="1"/>
  <c r="FG190" i="11"/>
  <c r="FH190" i="11" s="1"/>
  <c r="FG189" i="11"/>
  <c r="FH189" i="11" s="1"/>
  <c r="FG188" i="11"/>
  <c r="FH188" i="11" s="1"/>
  <c r="FG187" i="11"/>
  <c r="FH187" i="11" s="1"/>
  <c r="FG186" i="11"/>
  <c r="FH186" i="11" s="1"/>
  <c r="FG185" i="11"/>
  <c r="FH185" i="11" s="1"/>
  <c r="FG184" i="11"/>
  <c r="FH184" i="11" s="1"/>
  <c r="FG183" i="11"/>
  <c r="FH183" i="11" s="1"/>
  <c r="FG182" i="11"/>
  <c r="FH182" i="11" s="1"/>
  <c r="FG181" i="11"/>
  <c r="FH181" i="11" s="1"/>
  <c r="FG180" i="11"/>
  <c r="FH180" i="11" s="1"/>
  <c r="FG179" i="11"/>
  <c r="FH179" i="11" s="1"/>
  <c r="FG178" i="11"/>
  <c r="FH178" i="11" s="1"/>
  <c r="FG177" i="11"/>
  <c r="FH177" i="11" s="1"/>
  <c r="FG176" i="11"/>
  <c r="FH176" i="11" s="1"/>
  <c r="FG175" i="11"/>
  <c r="FH175" i="11" s="1"/>
  <c r="FG174" i="11"/>
  <c r="FH174" i="11" s="1"/>
  <c r="FG173" i="11"/>
  <c r="FH173" i="11" s="1"/>
  <c r="FG172" i="11"/>
  <c r="FH172" i="11" s="1"/>
  <c r="FG171" i="11"/>
  <c r="FH171" i="11" s="1"/>
  <c r="FG170" i="11"/>
  <c r="FH170" i="11" s="1"/>
  <c r="FG169" i="11"/>
  <c r="FH169" i="11" s="1"/>
  <c r="FG168" i="11"/>
  <c r="FH168" i="11" s="1"/>
  <c r="FG167" i="11"/>
  <c r="FH167" i="11" s="1"/>
  <c r="FG166" i="11"/>
  <c r="FH166" i="11" s="1"/>
  <c r="FG165" i="11"/>
  <c r="FH165" i="11" s="1"/>
  <c r="FG164" i="11"/>
  <c r="FH164" i="11" s="1"/>
  <c r="FG163" i="11"/>
  <c r="FH163" i="11" s="1"/>
  <c r="FG162" i="11"/>
  <c r="FH162" i="11" s="1"/>
  <c r="FG161" i="11"/>
  <c r="FH161" i="11" s="1"/>
  <c r="FG160" i="11"/>
  <c r="FH160" i="11" s="1"/>
  <c r="FG159" i="11"/>
  <c r="FH159" i="11" s="1"/>
  <c r="FG158" i="11"/>
  <c r="FH158" i="11" s="1"/>
  <c r="FG157" i="11"/>
  <c r="FH157" i="11" s="1"/>
  <c r="FG156" i="11"/>
  <c r="FH156" i="11" s="1"/>
  <c r="FG155" i="11"/>
  <c r="FH155" i="11" s="1"/>
  <c r="FG154" i="11"/>
  <c r="FH154" i="11" s="1"/>
  <c r="FG153" i="11"/>
  <c r="FH153" i="11" s="1"/>
  <c r="FG152" i="11"/>
  <c r="FH152" i="11" s="1"/>
  <c r="FG151" i="11"/>
  <c r="FH151" i="11" s="1"/>
  <c r="FG150" i="11"/>
  <c r="FH150" i="11" s="1"/>
  <c r="FG149" i="11"/>
  <c r="FH149" i="11" s="1"/>
  <c r="FG148" i="11"/>
  <c r="FH148" i="11" s="1"/>
  <c r="FG147" i="11"/>
  <c r="FH147" i="11" s="1"/>
  <c r="FG146" i="11"/>
  <c r="FH146" i="11" s="1"/>
  <c r="FG145" i="11"/>
  <c r="FH145" i="11" s="1"/>
  <c r="FG144" i="11"/>
  <c r="FH144" i="11" s="1"/>
  <c r="FG143" i="11"/>
  <c r="FH143" i="11" s="1"/>
  <c r="FG142" i="11"/>
  <c r="FH142" i="11" s="1"/>
  <c r="FG141" i="11"/>
  <c r="FH141" i="11" s="1"/>
  <c r="FG140" i="11"/>
  <c r="FH140" i="11" s="1"/>
  <c r="FG139" i="11"/>
  <c r="FH139" i="11" s="1"/>
  <c r="FG138" i="11"/>
  <c r="FH138" i="11" s="1"/>
  <c r="FG137" i="11"/>
  <c r="FH137" i="11" s="1"/>
  <c r="FG136" i="11"/>
  <c r="FH136" i="11" s="1"/>
  <c r="FG135" i="11"/>
  <c r="FH135" i="11" s="1"/>
  <c r="FG134" i="11"/>
  <c r="FH134" i="11" s="1"/>
  <c r="FG133" i="11"/>
  <c r="FH133" i="11" s="1"/>
  <c r="FG132" i="11"/>
  <c r="FH132" i="11" s="1"/>
  <c r="FG131" i="11"/>
  <c r="FH131" i="11" s="1"/>
  <c r="FG130" i="11"/>
  <c r="FH130" i="11" s="1"/>
  <c r="FG129" i="11"/>
  <c r="FH129" i="11" s="1"/>
  <c r="FG128" i="11"/>
  <c r="FH128" i="11" s="1"/>
  <c r="FG127" i="11"/>
  <c r="FH127" i="11" s="1"/>
  <c r="FG126" i="11"/>
  <c r="FH126" i="11" s="1"/>
  <c r="FG125" i="11"/>
  <c r="FH125" i="11" s="1"/>
  <c r="FG124" i="11"/>
  <c r="FH124" i="11" s="1"/>
  <c r="FG123" i="11"/>
  <c r="FH123" i="11" s="1"/>
  <c r="FG122" i="11"/>
  <c r="FH122" i="11" s="1"/>
  <c r="FG121" i="11"/>
  <c r="FH121" i="11" s="1"/>
  <c r="FG120" i="11"/>
  <c r="FH120" i="11" s="1"/>
  <c r="FG119" i="11"/>
  <c r="FH119" i="11" s="1"/>
  <c r="FG118" i="11"/>
  <c r="FH118" i="11" s="1"/>
  <c r="FG117" i="11"/>
  <c r="FH117" i="11" s="1"/>
  <c r="FG116" i="11"/>
  <c r="FH116" i="11" s="1"/>
  <c r="FG115" i="11"/>
  <c r="FH115" i="11" s="1"/>
  <c r="FG114" i="11"/>
  <c r="FH114" i="11" s="1"/>
  <c r="FG113" i="11"/>
  <c r="FH113" i="11" s="1"/>
  <c r="FG112" i="11"/>
  <c r="FH112" i="11" s="1"/>
  <c r="FG111" i="11"/>
  <c r="FH111" i="11" s="1"/>
  <c r="FG110" i="11"/>
  <c r="FH110" i="11" s="1"/>
  <c r="FG109" i="11"/>
  <c r="FH109" i="11" s="1"/>
  <c r="FG108" i="11"/>
  <c r="FH108" i="11" s="1"/>
  <c r="FG107" i="11"/>
  <c r="FH107" i="11" s="1"/>
  <c r="FG106" i="11"/>
  <c r="FH106" i="11" s="1"/>
  <c r="FG105" i="11"/>
  <c r="FH105" i="11" s="1"/>
  <c r="FG104" i="11"/>
  <c r="FH104" i="11" s="1"/>
  <c r="FG103" i="11"/>
  <c r="FH103" i="11" s="1"/>
  <c r="FG102" i="11"/>
  <c r="FH102" i="11" s="1"/>
  <c r="FG101" i="11"/>
  <c r="FH101" i="11" s="1"/>
  <c r="FG100" i="11"/>
  <c r="FH100" i="11" s="1"/>
  <c r="FG99" i="11"/>
  <c r="FH99" i="11" s="1"/>
  <c r="FG98" i="11"/>
  <c r="FH98" i="11" s="1"/>
  <c r="FG97" i="11"/>
  <c r="FH97" i="11" s="1"/>
  <c r="FG96" i="11"/>
  <c r="FH96" i="11" s="1"/>
  <c r="FG95" i="11"/>
  <c r="FH95" i="11" s="1"/>
  <c r="FG94" i="11"/>
  <c r="FH94" i="11" s="1"/>
  <c r="FG93" i="11"/>
  <c r="FH93" i="11" s="1"/>
  <c r="FG92" i="11"/>
  <c r="FH92" i="11" s="1"/>
  <c r="FG91" i="11"/>
  <c r="FH91" i="11" s="1"/>
  <c r="FG90" i="11"/>
  <c r="FH90" i="11" s="1"/>
  <c r="FG89" i="11"/>
  <c r="FH89" i="11" s="1"/>
  <c r="FG88" i="11"/>
  <c r="FH88" i="11" s="1"/>
  <c r="FG87" i="11"/>
  <c r="FH87" i="11" s="1"/>
  <c r="FG86" i="11"/>
  <c r="FH86" i="11" s="1"/>
  <c r="FG85" i="11"/>
  <c r="FH85" i="11" s="1"/>
  <c r="FG84" i="11"/>
  <c r="FH84" i="11" s="1"/>
  <c r="FG83" i="11"/>
  <c r="FH83" i="11" s="1"/>
  <c r="FG82" i="11"/>
  <c r="FH82" i="11" s="1"/>
  <c r="FG81" i="11"/>
  <c r="FH81" i="11" s="1"/>
  <c r="FG80" i="11"/>
  <c r="FH80" i="11" s="1"/>
  <c r="FG79" i="11"/>
  <c r="FH79" i="11" s="1"/>
  <c r="FG78" i="11"/>
  <c r="FH78" i="11" s="1"/>
  <c r="FG77" i="11"/>
  <c r="FH77" i="11" s="1"/>
  <c r="FG76" i="11"/>
  <c r="FH76" i="11" s="1"/>
  <c r="FG75" i="11"/>
  <c r="FH75" i="11" s="1"/>
  <c r="FG74" i="11"/>
  <c r="FH74" i="11" s="1"/>
  <c r="FG73" i="11"/>
  <c r="FH73" i="11" s="1"/>
  <c r="FG72" i="11"/>
  <c r="FH72" i="11" s="1"/>
  <c r="FG71" i="11"/>
  <c r="FH71" i="11" s="1"/>
  <c r="FG70" i="11"/>
  <c r="FH70" i="11" s="1"/>
  <c r="FG69" i="11"/>
  <c r="FH69" i="11" s="1"/>
  <c r="FG68" i="11"/>
  <c r="FH68" i="11" s="1"/>
  <c r="FG67" i="11"/>
  <c r="FH67" i="11" s="1"/>
  <c r="FG66" i="11"/>
  <c r="FH66" i="11" s="1"/>
  <c r="FG65" i="11"/>
  <c r="FH65" i="11" s="1"/>
  <c r="FG64" i="11"/>
  <c r="FH64" i="11" s="1"/>
  <c r="FG63" i="11"/>
  <c r="FH63" i="11" s="1"/>
  <c r="FG62" i="11"/>
  <c r="FH62" i="11" s="1"/>
  <c r="FG61" i="11"/>
  <c r="FH61" i="11" s="1"/>
  <c r="FG60" i="11"/>
  <c r="FH60" i="11" s="1"/>
  <c r="FG59" i="11"/>
  <c r="FH59" i="11" s="1"/>
  <c r="FG58" i="11"/>
  <c r="FH58" i="11" s="1"/>
  <c r="FG57" i="11"/>
  <c r="FH57" i="11" s="1"/>
  <c r="FG56" i="11"/>
  <c r="FH56" i="11" s="1"/>
  <c r="FG55" i="11"/>
  <c r="FH55" i="11" s="1"/>
  <c r="FG54" i="11"/>
  <c r="FH54" i="11" s="1"/>
  <c r="FG53" i="11"/>
  <c r="FH53" i="11" s="1"/>
  <c r="FG52" i="11"/>
  <c r="FH52" i="11" s="1"/>
  <c r="FG51" i="11"/>
  <c r="FH51" i="11" s="1"/>
  <c r="FG50" i="11"/>
  <c r="FH50" i="11" s="1"/>
  <c r="FG49" i="11"/>
  <c r="FH49" i="11" s="1"/>
  <c r="FG48" i="11"/>
  <c r="FH48" i="11" s="1"/>
  <c r="FG47" i="11"/>
  <c r="FH47" i="11" s="1"/>
  <c r="FG46" i="11"/>
  <c r="FH46" i="11" s="1"/>
  <c r="FG45" i="11"/>
  <c r="FH45" i="11" s="1"/>
  <c r="FG44" i="11"/>
  <c r="FH44" i="11" s="1"/>
  <c r="FG43" i="11"/>
  <c r="FH43" i="11" s="1"/>
  <c r="FG42" i="11"/>
  <c r="FH42" i="11" s="1"/>
  <c r="FG41" i="11"/>
  <c r="FH41" i="11" s="1"/>
  <c r="FG40" i="11"/>
  <c r="FH40" i="11" s="1"/>
  <c r="FG39" i="11"/>
  <c r="FH39" i="11" s="1"/>
  <c r="FG38" i="11"/>
  <c r="FH38" i="11" s="1"/>
  <c r="FG37" i="11"/>
  <c r="FH37" i="11" s="1"/>
  <c r="FG36" i="11"/>
  <c r="FH36" i="11" s="1"/>
  <c r="FG35" i="11"/>
  <c r="FH35" i="11" s="1"/>
  <c r="FG34" i="11"/>
  <c r="FH34" i="11" s="1"/>
  <c r="FG33" i="11"/>
  <c r="FH33" i="11" s="1"/>
  <c r="FG32" i="11"/>
  <c r="FH32" i="11" s="1"/>
  <c r="FG31" i="11"/>
  <c r="FH31" i="11" s="1"/>
  <c r="FG30" i="11"/>
  <c r="FH30" i="11" s="1"/>
  <c r="FG29" i="11"/>
  <c r="FH29" i="11" s="1"/>
  <c r="FG28" i="11"/>
  <c r="FH28" i="11" s="1"/>
  <c r="FG27" i="11"/>
  <c r="FH27" i="11" s="1"/>
  <c r="FG26" i="11"/>
  <c r="FH26" i="11" s="1"/>
  <c r="FG25" i="11"/>
  <c r="FH25" i="11" s="1"/>
  <c r="FG24" i="11"/>
  <c r="FH24" i="11" s="1"/>
  <c r="FG23" i="11"/>
  <c r="FH23" i="11" s="1"/>
  <c r="FG22" i="11"/>
  <c r="FH22" i="11" s="1"/>
  <c r="FG21" i="11"/>
  <c r="FH21" i="11" s="1"/>
  <c r="FG20" i="11"/>
  <c r="FH20" i="11" s="1"/>
  <c r="FG19" i="11"/>
  <c r="FH19" i="11" s="1"/>
  <c r="FG18" i="11"/>
  <c r="FH18" i="11" s="1"/>
  <c r="FG17" i="11"/>
  <c r="FH17" i="11" s="1"/>
  <c r="FG16" i="11"/>
  <c r="FH16" i="11" s="1"/>
  <c r="FG15" i="11"/>
  <c r="FH15" i="11" s="1"/>
  <c r="FG14" i="11"/>
  <c r="FH14" i="11" s="1"/>
  <c r="FG13" i="11"/>
  <c r="FH13" i="11" s="1"/>
  <c r="FG12" i="11"/>
  <c r="FH12" i="11" s="1"/>
  <c r="FG11" i="11"/>
  <c r="FH11" i="11" s="1"/>
  <c r="FG10" i="11"/>
  <c r="FH10" i="11" s="1"/>
  <c r="FG9" i="11"/>
  <c r="FH9" i="11" s="1"/>
  <c r="FG8" i="11"/>
  <c r="FH8" i="11" s="1"/>
  <c r="FG7" i="11"/>
  <c r="FH7" i="11" s="1"/>
  <c r="FG6" i="11"/>
  <c r="FH6" i="11" s="1"/>
  <c r="FG5" i="11"/>
  <c r="FH5" i="11" s="1"/>
  <c r="FG4" i="11"/>
  <c r="FH4" i="11" s="1"/>
  <c r="FI4" i="11" s="1"/>
  <c r="FB202" i="11"/>
  <c r="FC202" i="11" s="1"/>
  <c r="FB201" i="11"/>
  <c r="FC201" i="11" s="1"/>
  <c r="FB200" i="11"/>
  <c r="FC200" i="11" s="1"/>
  <c r="FB199" i="11"/>
  <c r="FC199" i="11" s="1"/>
  <c r="FB198" i="11"/>
  <c r="FC198" i="11" s="1"/>
  <c r="FB197" i="11"/>
  <c r="FC197" i="11" s="1"/>
  <c r="FB196" i="11"/>
  <c r="FC196" i="11" s="1"/>
  <c r="FB195" i="11"/>
  <c r="FC195" i="11" s="1"/>
  <c r="FB194" i="11"/>
  <c r="FC194" i="11" s="1"/>
  <c r="FB193" i="11"/>
  <c r="FC193" i="11" s="1"/>
  <c r="FB192" i="11"/>
  <c r="FC192" i="11" s="1"/>
  <c r="FB191" i="11"/>
  <c r="FC191" i="11" s="1"/>
  <c r="FB190" i="11"/>
  <c r="FC190" i="11" s="1"/>
  <c r="FB189" i="11"/>
  <c r="FC189" i="11" s="1"/>
  <c r="FB188" i="11"/>
  <c r="FC188" i="11" s="1"/>
  <c r="FB187" i="11"/>
  <c r="FC187" i="11" s="1"/>
  <c r="FB186" i="11"/>
  <c r="FC186" i="11" s="1"/>
  <c r="FB185" i="11"/>
  <c r="FC185" i="11" s="1"/>
  <c r="FB184" i="11"/>
  <c r="FC184" i="11" s="1"/>
  <c r="FB183" i="11"/>
  <c r="FC183" i="11" s="1"/>
  <c r="FB182" i="11"/>
  <c r="FC182" i="11" s="1"/>
  <c r="FB181" i="11"/>
  <c r="FC181" i="11" s="1"/>
  <c r="FB180" i="11"/>
  <c r="FC180" i="11" s="1"/>
  <c r="FB179" i="11"/>
  <c r="FC179" i="11" s="1"/>
  <c r="FB178" i="11"/>
  <c r="FC178" i="11" s="1"/>
  <c r="FB177" i="11"/>
  <c r="FC177" i="11" s="1"/>
  <c r="FB176" i="11"/>
  <c r="FC176" i="11" s="1"/>
  <c r="FB175" i="11"/>
  <c r="FC175" i="11" s="1"/>
  <c r="FB174" i="11"/>
  <c r="FC174" i="11" s="1"/>
  <c r="FB173" i="11"/>
  <c r="FC173" i="11" s="1"/>
  <c r="FB172" i="11"/>
  <c r="FC172" i="11" s="1"/>
  <c r="FB171" i="11"/>
  <c r="FC171" i="11" s="1"/>
  <c r="FB170" i="11"/>
  <c r="FC170" i="11" s="1"/>
  <c r="FB169" i="11"/>
  <c r="FC169" i="11" s="1"/>
  <c r="FB168" i="11"/>
  <c r="FC168" i="11" s="1"/>
  <c r="FB167" i="11"/>
  <c r="FC167" i="11" s="1"/>
  <c r="FB166" i="11"/>
  <c r="FC166" i="11" s="1"/>
  <c r="FB165" i="11"/>
  <c r="FC165" i="11" s="1"/>
  <c r="FB164" i="11"/>
  <c r="FC164" i="11" s="1"/>
  <c r="FB163" i="11"/>
  <c r="FC163" i="11" s="1"/>
  <c r="FB162" i="11"/>
  <c r="FC162" i="11" s="1"/>
  <c r="FB161" i="11"/>
  <c r="FC161" i="11" s="1"/>
  <c r="FB160" i="11"/>
  <c r="FC160" i="11" s="1"/>
  <c r="FB159" i="11"/>
  <c r="FC159" i="11" s="1"/>
  <c r="FB158" i="11"/>
  <c r="FC158" i="11" s="1"/>
  <c r="FB157" i="11"/>
  <c r="FC157" i="11" s="1"/>
  <c r="FB156" i="11"/>
  <c r="FC156" i="11" s="1"/>
  <c r="FB155" i="11"/>
  <c r="FC155" i="11" s="1"/>
  <c r="FB154" i="11"/>
  <c r="FC154" i="11" s="1"/>
  <c r="FB153" i="11"/>
  <c r="FC153" i="11" s="1"/>
  <c r="FB152" i="11"/>
  <c r="FC152" i="11" s="1"/>
  <c r="FB151" i="11"/>
  <c r="FC151" i="11" s="1"/>
  <c r="FB150" i="11"/>
  <c r="FC150" i="11" s="1"/>
  <c r="FB149" i="11"/>
  <c r="FC149" i="11" s="1"/>
  <c r="FB148" i="11"/>
  <c r="FC148" i="11" s="1"/>
  <c r="FB147" i="11"/>
  <c r="FC147" i="11" s="1"/>
  <c r="FB146" i="11"/>
  <c r="FC146" i="11" s="1"/>
  <c r="FB145" i="11"/>
  <c r="FC145" i="11" s="1"/>
  <c r="FB144" i="11"/>
  <c r="FC144" i="11" s="1"/>
  <c r="FB143" i="11"/>
  <c r="FC143" i="11" s="1"/>
  <c r="FB142" i="11"/>
  <c r="FC142" i="11" s="1"/>
  <c r="FB141" i="11"/>
  <c r="FC141" i="11" s="1"/>
  <c r="FB140" i="11"/>
  <c r="FC140" i="11" s="1"/>
  <c r="FB139" i="11"/>
  <c r="FC139" i="11" s="1"/>
  <c r="FB138" i="11"/>
  <c r="FC138" i="11" s="1"/>
  <c r="FB137" i="11"/>
  <c r="FC137" i="11" s="1"/>
  <c r="FB136" i="11"/>
  <c r="FC136" i="11" s="1"/>
  <c r="FB135" i="11"/>
  <c r="FC135" i="11" s="1"/>
  <c r="FB134" i="11"/>
  <c r="FC134" i="11" s="1"/>
  <c r="FB133" i="11"/>
  <c r="FC133" i="11" s="1"/>
  <c r="FB132" i="11"/>
  <c r="FC132" i="11" s="1"/>
  <c r="FB131" i="11"/>
  <c r="FC131" i="11" s="1"/>
  <c r="FB130" i="11"/>
  <c r="FC130" i="11" s="1"/>
  <c r="FB129" i="11"/>
  <c r="FC129" i="11" s="1"/>
  <c r="FB128" i="11"/>
  <c r="FC128" i="11" s="1"/>
  <c r="FB127" i="11"/>
  <c r="FC127" i="11" s="1"/>
  <c r="FB126" i="11"/>
  <c r="FC126" i="11" s="1"/>
  <c r="FB125" i="11"/>
  <c r="FC125" i="11" s="1"/>
  <c r="FB124" i="11"/>
  <c r="FC124" i="11" s="1"/>
  <c r="FB123" i="11"/>
  <c r="FC123" i="11" s="1"/>
  <c r="FB122" i="11"/>
  <c r="FC122" i="11" s="1"/>
  <c r="FB121" i="11"/>
  <c r="FC121" i="11" s="1"/>
  <c r="FB120" i="11"/>
  <c r="FC120" i="11" s="1"/>
  <c r="FB119" i="11"/>
  <c r="FC119" i="11" s="1"/>
  <c r="FB118" i="11"/>
  <c r="FC118" i="11" s="1"/>
  <c r="FB117" i="11"/>
  <c r="FC117" i="11" s="1"/>
  <c r="FB116" i="11"/>
  <c r="FC116" i="11" s="1"/>
  <c r="FB115" i="11"/>
  <c r="FC115" i="11" s="1"/>
  <c r="FB114" i="11"/>
  <c r="FC114" i="11" s="1"/>
  <c r="FB113" i="11"/>
  <c r="FC113" i="11" s="1"/>
  <c r="FB112" i="11"/>
  <c r="FC112" i="11" s="1"/>
  <c r="FB111" i="11"/>
  <c r="FC111" i="11" s="1"/>
  <c r="FB110" i="11"/>
  <c r="FC110" i="11" s="1"/>
  <c r="FB109" i="11"/>
  <c r="FC109" i="11" s="1"/>
  <c r="FB108" i="11"/>
  <c r="FC108" i="11" s="1"/>
  <c r="FB107" i="11"/>
  <c r="FC107" i="11" s="1"/>
  <c r="FB106" i="11"/>
  <c r="FC106" i="11" s="1"/>
  <c r="FB105" i="11"/>
  <c r="FC105" i="11" s="1"/>
  <c r="FB104" i="11"/>
  <c r="FC104" i="11" s="1"/>
  <c r="FB103" i="11"/>
  <c r="FC103" i="11" s="1"/>
  <c r="FB102" i="11"/>
  <c r="FC102" i="11" s="1"/>
  <c r="FB101" i="11"/>
  <c r="FC101" i="11" s="1"/>
  <c r="FB100" i="11"/>
  <c r="FC100" i="11" s="1"/>
  <c r="FB99" i="11"/>
  <c r="FC99" i="11" s="1"/>
  <c r="FB98" i="11"/>
  <c r="FC98" i="11" s="1"/>
  <c r="FB97" i="11"/>
  <c r="FC97" i="11" s="1"/>
  <c r="FB96" i="11"/>
  <c r="FC96" i="11" s="1"/>
  <c r="FB95" i="11"/>
  <c r="FC95" i="11" s="1"/>
  <c r="FB94" i="11"/>
  <c r="FC94" i="11" s="1"/>
  <c r="FB93" i="11"/>
  <c r="FC93" i="11" s="1"/>
  <c r="FB92" i="11"/>
  <c r="FC92" i="11" s="1"/>
  <c r="FB91" i="11"/>
  <c r="FC91" i="11" s="1"/>
  <c r="FB90" i="11"/>
  <c r="FC90" i="11" s="1"/>
  <c r="FB89" i="11"/>
  <c r="FC89" i="11" s="1"/>
  <c r="FB88" i="11"/>
  <c r="FC88" i="11" s="1"/>
  <c r="FB87" i="11"/>
  <c r="FC87" i="11" s="1"/>
  <c r="FB86" i="11"/>
  <c r="FC86" i="11" s="1"/>
  <c r="FB85" i="11"/>
  <c r="FC85" i="11" s="1"/>
  <c r="FB84" i="11"/>
  <c r="FC84" i="11" s="1"/>
  <c r="FB83" i="11"/>
  <c r="FC83" i="11" s="1"/>
  <c r="FB82" i="11"/>
  <c r="FC82" i="11" s="1"/>
  <c r="FB81" i="11"/>
  <c r="FC81" i="11" s="1"/>
  <c r="FB80" i="11"/>
  <c r="FC80" i="11" s="1"/>
  <c r="FB79" i="11"/>
  <c r="FC79" i="11" s="1"/>
  <c r="FB78" i="11"/>
  <c r="FC78" i="11" s="1"/>
  <c r="FB77" i="11"/>
  <c r="FC77" i="11" s="1"/>
  <c r="FB76" i="11"/>
  <c r="FC76" i="11" s="1"/>
  <c r="FB75" i="11"/>
  <c r="FC75" i="11" s="1"/>
  <c r="FB74" i="11"/>
  <c r="FC74" i="11" s="1"/>
  <c r="FB73" i="11"/>
  <c r="FC73" i="11" s="1"/>
  <c r="FB72" i="11"/>
  <c r="FC72" i="11" s="1"/>
  <c r="FB71" i="11"/>
  <c r="FC71" i="11" s="1"/>
  <c r="FB70" i="11"/>
  <c r="FC70" i="11" s="1"/>
  <c r="FB69" i="11"/>
  <c r="FC69" i="11" s="1"/>
  <c r="FB68" i="11"/>
  <c r="FC68" i="11" s="1"/>
  <c r="FB67" i="11"/>
  <c r="FC67" i="11" s="1"/>
  <c r="FB66" i="11"/>
  <c r="FC66" i="11" s="1"/>
  <c r="FB65" i="11"/>
  <c r="FC65" i="11" s="1"/>
  <c r="FB64" i="11"/>
  <c r="FC64" i="11" s="1"/>
  <c r="FB63" i="11"/>
  <c r="FC63" i="11" s="1"/>
  <c r="FB62" i="11"/>
  <c r="FC62" i="11" s="1"/>
  <c r="FB61" i="11"/>
  <c r="FC61" i="11" s="1"/>
  <c r="FB60" i="11"/>
  <c r="FC60" i="11" s="1"/>
  <c r="FB59" i="11"/>
  <c r="FC59" i="11" s="1"/>
  <c r="FB58" i="11"/>
  <c r="FC58" i="11" s="1"/>
  <c r="FB57" i="11"/>
  <c r="FC57" i="11" s="1"/>
  <c r="FB56" i="11"/>
  <c r="FC56" i="11" s="1"/>
  <c r="FB55" i="11"/>
  <c r="FC55" i="11" s="1"/>
  <c r="FB54" i="11"/>
  <c r="FC54" i="11" s="1"/>
  <c r="FB53" i="11"/>
  <c r="FC53" i="11" s="1"/>
  <c r="FB52" i="11"/>
  <c r="FC52" i="11" s="1"/>
  <c r="FB51" i="11"/>
  <c r="FC51" i="11" s="1"/>
  <c r="FB50" i="11"/>
  <c r="FC50" i="11" s="1"/>
  <c r="FB49" i="11"/>
  <c r="FC49" i="11" s="1"/>
  <c r="FB48" i="11"/>
  <c r="FC48" i="11" s="1"/>
  <c r="FB47" i="11"/>
  <c r="FC47" i="11" s="1"/>
  <c r="FB46" i="11"/>
  <c r="FC46" i="11" s="1"/>
  <c r="FB45" i="11"/>
  <c r="FC45" i="11" s="1"/>
  <c r="FB44" i="11"/>
  <c r="FC44" i="11" s="1"/>
  <c r="FB43" i="11"/>
  <c r="FC43" i="11" s="1"/>
  <c r="FB42" i="11"/>
  <c r="FC42" i="11" s="1"/>
  <c r="FB41" i="11"/>
  <c r="FC41" i="11" s="1"/>
  <c r="FB40" i="11"/>
  <c r="FC40" i="11" s="1"/>
  <c r="FB39" i="11"/>
  <c r="FC39" i="11" s="1"/>
  <c r="FB38" i="11"/>
  <c r="FC38" i="11" s="1"/>
  <c r="FB37" i="11"/>
  <c r="FC37" i="11" s="1"/>
  <c r="FB36" i="11"/>
  <c r="FC36" i="11" s="1"/>
  <c r="FB35" i="11"/>
  <c r="FC35" i="11" s="1"/>
  <c r="FB34" i="11"/>
  <c r="FC34" i="11" s="1"/>
  <c r="FB33" i="11"/>
  <c r="FC33" i="11" s="1"/>
  <c r="FB32" i="11"/>
  <c r="FC32" i="11" s="1"/>
  <c r="FB31" i="11"/>
  <c r="FC31" i="11" s="1"/>
  <c r="FB30" i="11"/>
  <c r="FC30" i="11" s="1"/>
  <c r="FB29" i="11"/>
  <c r="FC29" i="11" s="1"/>
  <c r="FB28" i="11"/>
  <c r="FC28" i="11" s="1"/>
  <c r="FB27" i="11"/>
  <c r="FC27" i="11" s="1"/>
  <c r="FB26" i="11"/>
  <c r="FC26" i="11" s="1"/>
  <c r="FB25" i="11"/>
  <c r="FC25" i="11" s="1"/>
  <c r="FB24" i="11"/>
  <c r="FC24" i="11" s="1"/>
  <c r="FB23" i="11"/>
  <c r="FC23" i="11" s="1"/>
  <c r="FB22" i="11"/>
  <c r="FC22" i="11" s="1"/>
  <c r="FB21" i="11"/>
  <c r="FC21" i="11" s="1"/>
  <c r="FB20" i="11"/>
  <c r="FC20" i="11" s="1"/>
  <c r="FB19" i="11"/>
  <c r="FC19" i="11" s="1"/>
  <c r="FB18" i="11"/>
  <c r="FC18" i="11" s="1"/>
  <c r="FB17" i="11"/>
  <c r="FC17" i="11" s="1"/>
  <c r="FB16" i="11"/>
  <c r="FC16" i="11" s="1"/>
  <c r="FB15" i="11"/>
  <c r="FC15" i="11" s="1"/>
  <c r="FB14" i="11"/>
  <c r="FC14" i="11" s="1"/>
  <c r="FB13" i="11"/>
  <c r="FC13" i="11" s="1"/>
  <c r="FB12" i="11"/>
  <c r="FC12" i="11" s="1"/>
  <c r="FB11" i="11"/>
  <c r="FC11" i="11" s="1"/>
  <c r="FB10" i="11"/>
  <c r="FC10" i="11" s="1"/>
  <c r="FB9" i="11"/>
  <c r="FC9" i="11" s="1"/>
  <c r="FB8" i="11"/>
  <c r="FC8" i="11" s="1"/>
  <c r="FB7" i="11"/>
  <c r="FC7" i="11" s="1"/>
  <c r="FB6" i="11"/>
  <c r="FC6" i="11" s="1"/>
  <c r="FB5" i="11"/>
  <c r="FC5" i="11" s="1"/>
  <c r="FB4" i="11"/>
  <c r="FC4" i="11" s="1"/>
  <c r="FD4" i="11" s="1"/>
  <c r="EW202" i="11"/>
  <c r="EX202" i="11" s="1"/>
  <c r="EW201" i="11"/>
  <c r="EX201" i="11" s="1"/>
  <c r="EW200" i="11"/>
  <c r="EX200" i="11" s="1"/>
  <c r="EW199" i="11"/>
  <c r="EX199" i="11" s="1"/>
  <c r="EW198" i="11"/>
  <c r="EX198" i="11" s="1"/>
  <c r="EW197" i="11"/>
  <c r="EX197" i="11" s="1"/>
  <c r="EW196" i="11"/>
  <c r="EX196" i="11" s="1"/>
  <c r="EW195" i="11"/>
  <c r="EX195" i="11" s="1"/>
  <c r="EW194" i="11"/>
  <c r="EX194" i="11" s="1"/>
  <c r="EW193" i="11"/>
  <c r="EX193" i="11" s="1"/>
  <c r="EW192" i="11"/>
  <c r="EX192" i="11" s="1"/>
  <c r="EW191" i="11"/>
  <c r="EX191" i="11" s="1"/>
  <c r="EW190" i="11"/>
  <c r="EX190" i="11" s="1"/>
  <c r="EW189" i="11"/>
  <c r="EX189" i="11" s="1"/>
  <c r="EW188" i="11"/>
  <c r="EX188" i="11" s="1"/>
  <c r="EW187" i="11"/>
  <c r="EX187" i="11" s="1"/>
  <c r="EW186" i="11"/>
  <c r="EX186" i="11" s="1"/>
  <c r="EW185" i="11"/>
  <c r="EX185" i="11" s="1"/>
  <c r="EW184" i="11"/>
  <c r="EX184" i="11" s="1"/>
  <c r="EW183" i="11"/>
  <c r="EX183" i="11" s="1"/>
  <c r="EW182" i="11"/>
  <c r="EX182" i="11" s="1"/>
  <c r="EW181" i="11"/>
  <c r="EX181" i="11" s="1"/>
  <c r="EW180" i="11"/>
  <c r="EX180" i="11" s="1"/>
  <c r="EW179" i="11"/>
  <c r="EX179" i="11" s="1"/>
  <c r="EW178" i="11"/>
  <c r="EX178" i="11" s="1"/>
  <c r="EW177" i="11"/>
  <c r="EX177" i="11" s="1"/>
  <c r="EW176" i="11"/>
  <c r="EX176" i="11" s="1"/>
  <c r="EW175" i="11"/>
  <c r="EX175" i="11" s="1"/>
  <c r="EW174" i="11"/>
  <c r="EX174" i="11" s="1"/>
  <c r="EW173" i="11"/>
  <c r="EX173" i="11" s="1"/>
  <c r="EW172" i="11"/>
  <c r="EX172" i="11" s="1"/>
  <c r="EW171" i="11"/>
  <c r="EX171" i="11" s="1"/>
  <c r="EW170" i="11"/>
  <c r="EX170" i="11" s="1"/>
  <c r="EW169" i="11"/>
  <c r="EX169" i="11" s="1"/>
  <c r="EW168" i="11"/>
  <c r="EX168" i="11" s="1"/>
  <c r="EW167" i="11"/>
  <c r="EX167" i="11" s="1"/>
  <c r="EW166" i="11"/>
  <c r="EX166" i="11" s="1"/>
  <c r="EW165" i="11"/>
  <c r="EX165" i="11" s="1"/>
  <c r="EW164" i="11"/>
  <c r="EX164" i="11" s="1"/>
  <c r="EW163" i="11"/>
  <c r="EX163" i="11" s="1"/>
  <c r="EW162" i="11"/>
  <c r="EX162" i="11" s="1"/>
  <c r="EW161" i="11"/>
  <c r="EX161" i="11" s="1"/>
  <c r="EW160" i="11"/>
  <c r="EX160" i="11" s="1"/>
  <c r="EW159" i="11"/>
  <c r="EX159" i="11" s="1"/>
  <c r="EW158" i="11"/>
  <c r="EX158" i="11" s="1"/>
  <c r="EW157" i="11"/>
  <c r="EX157" i="11" s="1"/>
  <c r="EW156" i="11"/>
  <c r="EX156" i="11" s="1"/>
  <c r="EW155" i="11"/>
  <c r="EX155" i="11" s="1"/>
  <c r="EW154" i="11"/>
  <c r="EX154" i="11" s="1"/>
  <c r="EW153" i="11"/>
  <c r="EX153" i="11" s="1"/>
  <c r="EW152" i="11"/>
  <c r="EX152" i="11" s="1"/>
  <c r="EW151" i="11"/>
  <c r="EX151" i="11" s="1"/>
  <c r="EW150" i="11"/>
  <c r="EX150" i="11" s="1"/>
  <c r="EW149" i="11"/>
  <c r="EX149" i="11" s="1"/>
  <c r="EW148" i="11"/>
  <c r="EX148" i="11" s="1"/>
  <c r="EW147" i="11"/>
  <c r="EX147" i="11" s="1"/>
  <c r="EW146" i="11"/>
  <c r="EX146" i="11" s="1"/>
  <c r="EW145" i="11"/>
  <c r="EX145" i="11" s="1"/>
  <c r="EW144" i="11"/>
  <c r="EX144" i="11" s="1"/>
  <c r="EW143" i="11"/>
  <c r="EX143" i="11" s="1"/>
  <c r="EW142" i="11"/>
  <c r="EX142" i="11" s="1"/>
  <c r="EW141" i="11"/>
  <c r="EX141" i="11" s="1"/>
  <c r="EW140" i="11"/>
  <c r="EX140" i="11" s="1"/>
  <c r="EW139" i="11"/>
  <c r="EX139" i="11" s="1"/>
  <c r="EW138" i="11"/>
  <c r="EX138" i="11" s="1"/>
  <c r="EW137" i="11"/>
  <c r="EX137" i="11" s="1"/>
  <c r="EW136" i="11"/>
  <c r="EX136" i="11" s="1"/>
  <c r="EW135" i="11"/>
  <c r="EX135" i="11" s="1"/>
  <c r="EW134" i="11"/>
  <c r="EX134" i="11" s="1"/>
  <c r="EW133" i="11"/>
  <c r="EX133" i="11" s="1"/>
  <c r="EW132" i="11"/>
  <c r="EX132" i="11" s="1"/>
  <c r="EW131" i="11"/>
  <c r="EX131" i="11" s="1"/>
  <c r="EW130" i="11"/>
  <c r="EX130" i="11" s="1"/>
  <c r="EW129" i="11"/>
  <c r="EX129" i="11" s="1"/>
  <c r="EW128" i="11"/>
  <c r="EX128" i="11" s="1"/>
  <c r="EW127" i="11"/>
  <c r="EX127" i="11" s="1"/>
  <c r="EW126" i="11"/>
  <c r="EX126" i="11" s="1"/>
  <c r="EW125" i="11"/>
  <c r="EX125" i="11" s="1"/>
  <c r="EW124" i="11"/>
  <c r="EX124" i="11" s="1"/>
  <c r="EW123" i="11"/>
  <c r="EX123" i="11" s="1"/>
  <c r="EW122" i="11"/>
  <c r="EX122" i="11" s="1"/>
  <c r="EW121" i="11"/>
  <c r="EX121" i="11" s="1"/>
  <c r="EW120" i="11"/>
  <c r="EX120" i="11" s="1"/>
  <c r="EW119" i="11"/>
  <c r="EX119" i="11" s="1"/>
  <c r="EW118" i="11"/>
  <c r="EX118" i="11" s="1"/>
  <c r="EW117" i="11"/>
  <c r="EX117" i="11" s="1"/>
  <c r="EW116" i="11"/>
  <c r="EX116" i="11" s="1"/>
  <c r="EW115" i="11"/>
  <c r="EX115" i="11" s="1"/>
  <c r="EW114" i="11"/>
  <c r="EX114" i="11" s="1"/>
  <c r="EW113" i="11"/>
  <c r="EX113" i="11" s="1"/>
  <c r="EW112" i="11"/>
  <c r="EX112" i="11" s="1"/>
  <c r="EW111" i="11"/>
  <c r="EX111" i="11" s="1"/>
  <c r="EW110" i="11"/>
  <c r="EX110" i="11" s="1"/>
  <c r="EW109" i="11"/>
  <c r="EX109" i="11" s="1"/>
  <c r="EW108" i="11"/>
  <c r="EX108" i="11" s="1"/>
  <c r="EW107" i="11"/>
  <c r="EX107" i="11" s="1"/>
  <c r="EW106" i="11"/>
  <c r="EX106" i="11" s="1"/>
  <c r="EW105" i="11"/>
  <c r="EX105" i="11" s="1"/>
  <c r="EW104" i="11"/>
  <c r="EX104" i="11" s="1"/>
  <c r="EW103" i="11"/>
  <c r="EX103" i="11" s="1"/>
  <c r="EW102" i="11"/>
  <c r="EX102" i="11" s="1"/>
  <c r="EW101" i="11"/>
  <c r="EX101" i="11" s="1"/>
  <c r="EW100" i="11"/>
  <c r="EX100" i="11" s="1"/>
  <c r="EW99" i="11"/>
  <c r="EX99" i="11" s="1"/>
  <c r="EW98" i="11"/>
  <c r="EX98" i="11" s="1"/>
  <c r="EW97" i="11"/>
  <c r="EX97" i="11" s="1"/>
  <c r="EW96" i="11"/>
  <c r="EX96" i="11" s="1"/>
  <c r="EW95" i="11"/>
  <c r="EX95" i="11" s="1"/>
  <c r="EW94" i="11"/>
  <c r="EX94" i="11" s="1"/>
  <c r="EW93" i="11"/>
  <c r="EX93" i="11" s="1"/>
  <c r="EW92" i="11"/>
  <c r="EX92" i="11" s="1"/>
  <c r="EW91" i="11"/>
  <c r="EX91" i="11" s="1"/>
  <c r="EW90" i="11"/>
  <c r="EX90" i="11" s="1"/>
  <c r="EW89" i="11"/>
  <c r="EX89" i="11" s="1"/>
  <c r="EW88" i="11"/>
  <c r="EX88" i="11" s="1"/>
  <c r="EW87" i="11"/>
  <c r="EX87" i="11" s="1"/>
  <c r="EW86" i="11"/>
  <c r="EX86" i="11" s="1"/>
  <c r="EW85" i="11"/>
  <c r="EX85" i="11" s="1"/>
  <c r="EW84" i="11"/>
  <c r="EX84" i="11" s="1"/>
  <c r="EW83" i="11"/>
  <c r="EX83" i="11" s="1"/>
  <c r="EW82" i="11"/>
  <c r="EX82" i="11" s="1"/>
  <c r="EW81" i="11"/>
  <c r="EX81" i="11" s="1"/>
  <c r="EW80" i="11"/>
  <c r="EX80" i="11" s="1"/>
  <c r="EW79" i="11"/>
  <c r="EX79" i="11" s="1"/>
  <c r="EW78" i="11"/>
  <c r="EX78" i="11" s="1"/>
  <c r="EW77" i="11"/>
  <c r="EX77" i="11" s="1"/>
  <c r="EW76" i="11"/>
  <c r="EX76" i="11" s="1"/>
  <c r="EW75" i="11"/>
  <c r="EX75" i="11" s="1"/>
  <c r="EW74" i="11"/>
  <c r="EX74" i="11" s="1"/>
  <c r="EW73" i="11"/>
  <c r="EX73" i="11" s="1"/>
  <c r="EW72" i="11"/>
  <c r="EX72" i="11" s="1"/>
  <c r="EW71" i="11"/>
  <c r="EX71" i="11" s="1"/>
  <c r="EW70" i="11"/>
  <c r="EX70" i="11" s="1"/>
  <c r="EW69" i="11"/>
  <c r="EX69" i="11" s="1"/>
  <c r="EW68" i="11"/>
  <c r="EX68" i="11" s="1"/>
  <c r="EW67" i="11"/>
  <c r="EX67" i="11" s="1"/>
  <c r="EW66" i="11"/>
  <c r="EX66" i="11" s="1"/>
  <c r="EW65" i="11"/>
  <c r="EX65" i="11" s="1"/>
  <c r="EW64" i="11"/>
  <c r="EX64" i="11" s="1"/>
  <c r="EW63" i="11"/>
  <c r="EX63" i="11" s="1"/>
  <c r="EW62" i="11"/>
  <c r="EX62" i="11" s="1"/>
  <c r="EW61" i="11"/>
  <c r="EX61" i="11" s="1"/>
  <c r="EW60" i="11"/>
  <c r="EX60" i="11" s="1"/>
  <c r="EW59" i="11"/>
  <c r="EX59" i="11" s="1"/>
  <c r="EW58" i="11"/>
  <c r="EX58" i="11" s="1"/>
  <c r="EW57" i="11"/>
  <c r="EX57" i="11" s="1"/>
  <c r="EW56" i="11"/>
  <c r="EX56" i="11" s="1"/>
  <c r="EW55" i="11"/>
  <c r="EX55" i="11" s="1"/>
  <c r="EW54" i="11"/>
  <c r="EX54" i="11" s="1"/>
  <c r="EW53" i="11"/>
  <c r="EX53" i="11" s="1"/>
  <c r="EW52" i="11"/>
  <c r="EX52" i="11" s="1"/>
  <c r="EW51" i="11"/>
  <c r="EX51" i="11" s="1"/>
  <c r="EW50" i="11"/>
  <c r="EX50" i="11" s="1"/>
  <c r="EW49" i="11"/>
  <c r="EX49" i="11" s="1"/>
  <c r="EW48" i="11"/>
  <c r="EX48" i="11" s="1"/>
  <c r="EW47" i="11"/>
  <c r="EX47" i="11" s="1"/>
  <c r="EW46" i="11"/>
  <c r="EX46" i="11" s="1"/>
  <c r="EW45" i="11"/>
  <c r="EX45" i="11" s="1"/>
  <c r="EW44" i="11"/>
  <c r="EX44" i="11" s="1"/>
  <c r="EW43" i="11"/>
  <c r="EX43" i="11" s="1"/>
  <c r="EW42" i="11"/>
  <c r="EX42" i="11" s="1"/>
  <c r="EW41" i="11"/>
  <c r="EX41" i="11" s="1"/>
  <c r="EW40" i="11"/>
  <c r="EX40" i="11" s="1"/>
  <c r="EW39" i="11"/>
  <c r="EX39" i="11" s="1"/>
  <c r="EW38" i="11"/>
  <c r="EX38" i="11" s="1"/>
  <c r="EW37" i="11"/>
  <c r="EX37" i="11" s="1"/>
  <c r="EW36" i="11"/>
  <c r="EX36" i="11" s="1"/>
  <c r="EW35" i="11"/>
  <c r="EX35" i="11" s="1"/>
  <c r="EW34" i="11"/>
  <c r="EX34" i="11" s="1"/>
  <c r="EW33" i="11"/>
  <c r="EX33" i="11" s="1"/>
  <c r="EW32" i="11"/>
  <c r="EX32" i="11" s="1"/>
  <c r="EW31" i="11"/>
  <c r="EX31" i="11" s="1"/>
  <c r="EW30" i="11"/>
  <c r="EX30" i="11" s="1"/>
  <c r="EW29" i="11"/>
  <c r="EX29" i="11" s="1"/>
  <c r="EW28" i="11"/>
  <c r="EX28" i="11" s="1"/>
  <c r="EW27" i="11"/>
  <c r="EX27" i="11" s="1"/>
  <c r="EW26" i="11"/>
  <c r="EX26" i="11" s="1"/>
  <c r="EW25" i="11"/>
  <c r="EX25" i="11" s="1"/>
  <c r="EW24" i="11"/>
  <c r="EX24" i="11" s="1"/>
  <c r="EW23" i="11"/>
  <c r="EX23" i="11" s="1"/>
  <c r="EW22" i="11"/>
  <c r="EX22" i="11" s="1"/>
  <c r="EW21" i="11"/>
  <c r="EX21" i="11" s="1"/>
  <c r="EW20" i="11"/>
  <c r="EX20" i="11" s="1"/>
  <c r="EW19" i="11"/>
  <c r="EX19" i="11" s="1"/>
  <c r="EW18" i="11"/>
  <c r="EX18" i="11" s="1"/>
  <c r="EW17" i="11"/>
  <c r="EX17" i="11" s="1"/>
  <c r="EW16" i="11"/>
  <c r="EX16" i="11" s="1"/>
  <c r="EW15" i="11"/>
  <c r="EX15" i="11" s="1"/>
  <c r="EW14" i="11"/>
  <c r="EX14" i="11" s="1"/>
  <c r="EW13" i="11"/>
  <c r="EX13" i="11" s="1"/>
  <c r="EW12" i="11"/>
  <c r="EX12" i="11" s="1"/>
  <c r="EW11" i="11"/>
  <c r="EX11" i="11" s="1"/>
  <c r="EW10" i="11"/>
  <c r="EX10" i="11" s="1"/>
  <c r="EW9" i="11"/>
  <c r="EX9" i="11" s="1"/>
  <c r="EW8" i="11"/>
  <c r="EX8" i="11" s="1"/>
  <c r="EW7" i="11"/>
  <c r="EX7" i="11" s="1"/>
  <c r="EW6" i="11"/>
  <c r="EX6" i="11" s="1"/>
  <c r="EW5" i="11"/>
  <c r="EX5" i="11" s="1"/>
  <c r="EW4" i="11"/>
  <c r="EX4" i="11" s="1"/>
  <c r="EY4" i="11" s="1"/>
  <c r="EM202" i="11"/>
  <c r="EN202" i="11" s="1"/>
  <c r="EM201" i="11"/>
  <c r="EN201" i="11" s="1"/>
  <c r="EM200" i="11"/>
  <c r="EN200" i="11" s="1"/>
  <c r="EM199" i="11"/>
  <c r="EN199" i="11" s="1"/>
  <c r="EM198" i="11"/>
  <c r="EN198" i="11" s="1"/>
  <c r="EM197" i="11"/>
  <c r="EN197" i="11" s="1"/>
  <c r="EM196" i="11"/>
  <c r="EN196" i="11" s="1"/>
  <c r="EM195" i="11"/>
  <c r="EN195" i="11" s="1"/>
  <c r="EM194" i="11"/>
  <c r="EN194" i="11" s="1"/>
  <c r="EM193" i="11"/>
  <c r="EN193" i="11" s="1"/>
  <c r="EM192" i="11"/>
  <c r="EN192" i="11" s="1"/>
  <c r="EM191" i="11"/>
  <c r="EN191" i="11" s="1"/>
  <c r="EM190" i="11"/>
  <c r="EN190" i="11" s="1"/>
  <c r="EM189" i="11"/>
  <c r="EN189" i="11" s="1"/>
  <c r="EM188" i="11"/>
  <c r="EN188" i="11" s="1"/>
  <c r="EM187" i="11"/>
  <c r="EN187" i="11" s="1"/>
  <c r="EM186" i="11"/>
  <c r="EN186" i="11" s="1"/>
  <c r="EM185" i="11"/>
  <c r="EN185" i="11" s="1"/>
  <c r="EM184" i="11"/>
  <c r="EN184" i="11" s="1"/>
  <c r="EM183" i="11"/>
  <c r="EN183" i="11" s="1"/>
  <c r="EM182" i="11"/>
  <c r="EN182" i="11" s="1"/>
  <c r="EM181" i="11"/>
  <c r="EN181" i="11" s="1"/>
  <c r="EM180" i="11"/>
  <c r="EN180" i="11" s="1"/>
  <c r="EM179" i="11"/>
  <c r="EN179" i="11" s="1"/>
  <c r="EM178" i="11"/>
  <c r="EN178" i="11" s="1"/>
  <c r="EM177" i="11"/>
  <c r="EN177" i="11" s="1"/>
  <c r="EM176" i="11"/>
  <c r="EN176" i="11" s="1"/>
  <c r="EM175" i="11"/>
  <c r="EN175" i="11" s="1"/>
  <c r="EM174" i="11"/>
  <c r="EN174" i="11" s="1"/>
  <c r="EM173" i="11"/>
  <c r="EN173" i="11" s="1"/>
  <c r="EM172" i="11"/>
  <c r="EN172" i="11" s="1"/>
  <c r="EM171" i="11"/>
  <c r="EN171" i="11" s="1"/>
  <c r="EM170" i="11"/>
  <c r="EN170" i="11" s="1"/>
  <c r="EM169" i="11"/>
  <c r="EN169" i="11" s="1"/>
  <c r="EM168" i="11"/>
  <c r="EN168" i="11" s="1"/>
  <c r="EM167" i="11"/>
  <c r="EN167" i="11" s="1"/>
  <c r="EM166" i="11"/>
  <c r="EN166" i="11" s="1"/>
  <c r="EM165" i="11"/>
  <c r="EN165" i="11" s="1"/>
  <c r="EM164" i="11"/>
  <c r="EN164" i="11" s="1"/>
  <c r="EM163" i="11"/>
  <c r="EN163" i="11" s="1"/>
  <c r="EM162" i="11"/>
  <c r="EN162" i="11" s="1"/>
  <c r="EM161" i="11"/>
  <c r="EN161" i="11" s="1"/>
  <c r="EM160" i="11"/>
  <c r="EN160" i="11" s="1"/>
  <c r="EM159" i="11"/>
  <c r="EN159" i="11" s="1"/>
  <c r="EM158" i="11"/>
  <c r="EN158" i="11" s="1"/>
  <c r="EM157" i="11"/>
  <c r="EN157" i="11" s="1"/>
  <c r="EM156" i="11"/>
  <c r="EN156" i="11" s="1"/>
  <c r="EM155" i="11"/>
  <c r="EN155" i="11" s="1"/>
  <c r="EM154" i="11"/>
  <c r="EN154" i="11" s="1"/>
  <c r="EM153" i="11"/>
  <c r="EN153" i="11" s="1"/>
  <c r="EM152" i="11"/>
  <c r="EN152" i="11" s="1"/>
  <c r="EM151" i="11"/>
  <c r="EN151" i="11" s="1"/>
  <c r="EM150" i="11"/>
  <c r="EN150" i="11" s="1"/>
  <c r="EM149" i="11"/>
  <c r="EN149" i="11" s="1"/>
  <c r="EM148" i="11"/>
  <c r="EN148" i="11" s="1"/>
  <c r="EM147" i="11"/>
  <c r="EN147" i="11" s="1"/>
  <c r="EM146" i="11"/>
  <c r="EN146" i="11" s="1"/>
  <c r="EM145" i="11"/>
  <c r="EN145" i="11" s="1"/>
  <c r="EM144" i="11"/>
  <c r="EN144" i="11" s="1"/>
  <c r="EM143" i="11"/>
  <c r="EN143" i="11" s="1"/>
  <c r="EM142" i="11"/>
  <c r="EN142" i="11" s="1"/>
  <c r="EM141" i="11"/>
  <c r="EN141" i="11" s="1"/>
  <c r="EM140" i="11"/>
  <c r="EN140" i="11" s="1"/>
  <c r="EM139" i="11"/>
  <c r="EN139" i="11" s="1"/>
  <c r="EM138" i="11"/>
  <c r="EN138" i="11" s="1"/>
  <c r="EM137" i="11"/>
  <c r="EN137" i="11" s="1"/>
  <c r="EM136" i="11"/>
  <c r="EN136" i="11" s="1"/>
  <c r="EM135" i="11"/>
  <c r="EN135" i="11" s="1"/>
  <c r="EM134" i="11"/>
  <c r="EN134" i="11" s="1"/>
  <c r="EM133" i="11"/>
  <c r="EN133" i="11" s="1"/>
  <c r="EM132" i="11"/>
  <c r="EN132" i="11" s="1"/>
  <c r="EM131" i="11"/>
  <c r="EN131" i="11" s="1"/>
  <c r="EM130" i="11"/>
  <c r="EN130" i="11" s="1"/>
  <c r="EM129" i="11"/>
  <c r="EN129" i="11" s="1"/>
  <c r="EM128" i="11"/>
  <c r="EN128" i="11" s="1"/>
  <c r="EM127" i="11"/>
  <c r="EN127" i="11" s="1"/>
  <c r="EM126" i="11"/>
  <c r="EN126" i="11" s="1"/>
  <c r="EM125" i="11"/>
  <c r="EN125" i="11" s="1"/>
  <c r="EM124" i="11"/>
  <c r="EN124" i="11" s="1"/>
  <c r="EM123" i="11"/>
  <c r="EN123" i="11" s="1"/>
  <c r="EM122" i="11"/>
  <c r="EN122" i="11" s="1"/>
  <c r="EM121" i="11"/>
  <c r="EN121" i="11" s="1"/>
  <c r="EM120" i="11"/>
  <c r="EN120" i="11" s="1"/>
  <c r="EM119" i="11"/>
  <c r="EN119" i="11" s="1"/>
  <c r="EM118" i="11"/>
  <c r="EN118" i="11" s="1"/>
  <c r="EM117" i="11"/>
  <c r="EN117" i="11" s="1"/>
  <c r="EM116" i="11"/>
  <c r="EN116" i="11" s="1"/>
  <c r="EM115" i="11"/>
  <c r="EN115" i="11" s="1"/>
  <c r="EM114" i="11"/>
  <c r="EN114" i="11" s="1"/>
  <c r="EM113" i="11"/>
  <c r="EN113" i="11" s="1"/>
  <c r="EM112" i="11"/>
  <c r="EN112" i="11" s="1"/>
  <c r="EM111" i="11"/>
  <c r="EN111" i="11" s="1"/>
  <c r="EM110" i="11"/>
  <c r="EN110" i="11" s="1"/>
  <c r="EM109" i="11"/>
  <c r="EN109" i="11" s="1"/>
  <c r="EM108" i="11"/>
  <c r="EN108" i="11" s="1"/>
  <c r="EM107" i="11"/>
  <c r="EN107" i="11" s="1"/>
  <c r="EM106" i="11"/>
  <c r="EN106" i="11" s="1"/>
  <c r="EM105" i="11"/>
  <c r="EN105" i="11" s="1"/>
  <c r="EM104" i="11"/>
  <c r="EN104" i="11" s="1"/>
  <c r="EM103" i="11"/>
  <c r="EN103" i="11" s="1"/>
  <c r="EM102" i="11"/>
  <c r="EN102" i="11" s="1"/>
  <c r="EM101" i="11"/>
  <c r="EN101" i="11" s="1"/>
  <c r="EM100" i="11"/>
  <c r="EN100" i="11" s="1"/>
  <c r="EM99" i="11"/>
  <c r="EN99" i="11" s="1"/>
  <c r="EM98" i="11"/>
  <c r="EN98" i="11" s="1"/>
  <c r="EM97" i="11"/>
  <c r="EN97" i="11" s="1"/>
  <c r="EM96" i="11"/>
  <c r="EN96" i="11" s="1"/>
  <c r="EM95" i="11"/>
  <c r="EN95" i="11" s="1"/>
  <c r="EM94" i="11"/>
  <c r="EN94" i="11" s="1"/>
  <c r="EM93" i="11"/>
  <c r="EN93" i="11" s="1"/>
  <c r="EM92" i="11"/>
  <c r="EN92" i="11" s="1"/>
  <c r="EM91" i="11"/>
  <c r="EN91" i="11" s="1"/>
  <c r="EM90" i="11"/>
  <c r="EN90" i="11" s="1"/>
  <c r="EM89" i="11"/>
  <c r="EN89" i="11" s="1"/>
  <c r="EM88" i="11"/>
  <c r="EN88" i="11" s="1"/>
  <c r="EM87" i="11"/>
  <c r="EN87" i="11" s="1"/>
  <c r="EM86" i="11"/>
  <c r="EN86" i="11" s="1"/>
  <c r="EM85" i="11"/>
  <c r="EN85" i="11" s="1"/>
  <c r="EM84" i="11"/>
  <c r="EN84" i="11" s="1"/>
  <c r="EM83" i="11"/>
  <c r="EN83" i="11" s="1"/>
  <c r="EM82" i="11"/>
  <c r="EN82" i="11" s="1"/>
  <c r="EM81" i="11"/>
  <c r="EN81" i="11" s="1"/>
  <c r="EM80" i="11"/>
  <c r="EN80" i="11" s="1"/>
  <c r="EM79" i="11"/>
  <c r="EN79" i="11" s="1"/>
  <c r="EM78" i="11"/>
  <c r="EN78" i="11" s="1"/>
  <c r="EM77" i="11"/>
  <c r="EN77" i="11" s="1"/>
  <c r="EM76" i="11"/>
  <c r="EN76" i="11" s="1"/>
  <c r="EM75" i="11"/>
  <c r="EN75" i="11" s="1"/>
  <c r="EM74" i="11"/>
  <c r="EN74" i="11" s="1"/>
  <c r="EM73" i="11"/>
  <c r="EN73" i="11" s="1"/>
  <c r="EM72" i="11"/>
  <c r="EN72" i="11" s="1"/>
  <c r="EM71" i="11"/>
  <c r="EN71" i="11" s="1"/>
  <c r="EM70" i="11"/>
  <c r="EN70" i="11" s="1"/>
  <c r="EM69" i="11"/>
  <c r="EN69" i="11" s="1"/>
  <c r="EM68" i="11"/>
  <c r="EN68" i="11" s="1"/>
  <c r="EM67" i="11"/>
  <c r="EN67" i="11" s="1"/>
  <c r="EM66" i="11"/>
  <c r="EN66" i="11" s="1"/>
  <c r="EM65" i="11"/>
  <c r="EN65" i="11" s="1"/>
  <c r="EM64" i="11"/>
  <c r="EN64" i="11" s="1"/>
  <c r="EM63" i="11"/>
  <c r="EN63" i="11" s="1"/>
  <c r="EM62" i="11"/>
  <c r="EN62" i="11" s="1"/>
  <c r="EM61" i="11"/>
  <c r="EN61" i="11" s="1"/>
  <c r="EM60" i="11"/>
  <c r="EN60" i="11" s="1"/>
  <c r="EM59" i="11"/>
  <c r="EN59" i="11" s="1"/>
  <c r="EM58" i="11"/>
  <c r="EN58" i="11" s="1"/>
  <c r="EM57" i="11"/>
  <c r="EN57" i="11" s="1"/>
  <c r="EM56" i="11"/>
  <c r="EN56" i="11" s="1"/>
  <c r="EM55" i="11"/>
  <c r="EN55" i="11" s="1"/>
  <c r="EM54" i="11"/>
  <c r="EN54" i="11" s="1"/>
  <c r="EM53" i="11"/>
  <c r="EN53" i="11" s="1"/>
  <c r="EM52" i="11"/>
  <c r="EN52" i="11" s="1"/>
  <c r="EM51" i="11"/>
  <c r="EN51" i="11" s="1"/>
  <c r="EM50" i="11"/>
  <c r="EN50" i="11" s="1"/>
  <c r="EM49" i="11"/>
  <c r="EN49" i="11" s="1"/>
  <c r="EM48" i="11"/>
  <c r="EN48" i="11" s="1"/>
  <c r="EM47" i="11"/>
  <c r="EN47" i="11" s="1"/>
  <c r="EM46" i="11"/>
  <c r="EN46" i="11" s="1"/>
  <c r="EM45" i="11"/>
  <c r="EN45" i="11" s="1"/>
  <c r="EM44" i="11"/>
  <c r="EN44" i="11" s="1"/>
  <c r="EM43" i="11"/>
  <c r="EN43" i="11" s="1"/>
  <c r="EM42" i="11"/>
  <c r="EN42" i="11" s="1"/>
  <c r="EM41" i="11"/>
  <c r="EN41" i="11" s="1"/>
  <c r="EM40" i="11"/>
  <c r="EN40" i="11" s="1"/>
  <c r="EM39" i="11"/>
  <c r="EN39" i="11" s="1"/>
  <c r="EM38" i="11"/>
  <c r="EN38" i="11" s="1"/>
  <c r="EM37" i="11"/>
  <c r="EN37" i="11" s="1"/>
  <c r="EM36" i="11"/>
  <c r="EN36" i="11" s="1"/>
  <c r="EM35" i="11"/>
  <c r="EN35" i="11" s="1"/>
  <c r="EM34" i="11"/>
  <c r="EN34" i="11" s="1"/>
  <c r="EM33" i="11"/>
  <c r="EN33" i="11" s="1"/>
  <c r="EM32" i="11"/>
  <c r="EN32" i="11" s="1"/>
  <c r="EM31" i="11"/>
  <c r="EN31" i="11" s="1"/>
  <c r="EM30" i="11"/>
  <c r="EN30" i="11" s="1"/>
  <c r="EM29" i="11"/>
  <c r="EN29" i="11" s="1"/>
  <c r="EM28" i="11"/>
  <c r="EN28" i="11" s="1"/>
  <c r="EM27" i="11"/>
  <c r="EN27" i="11" s="1"/>
  <c r="EM26" i="11"/>
  <c r="EN26" i="11" s="1"/>
  <c r="EM25" i="11"/>
  <c r="EN25" i="11" s="1"/>
  <c r="EM24" i="11"/>
  <c r="EN24" i="11" s="1"/>
  <c r="EM23" i="11"/>
  <c r="EN23" i="11" s="1"/>
  <c r="EM22" i="11"/>
  <c r="EN22" i="11" s="1"/>
  <c r="EM21" i="11"/>
  <c r="EN21" i="11" s="1"/>
  <c r="EM20" i="11"/>
  <c r="EN20" i="11" s="1"/>
  <c r="EM19" i="11"/>
  <c r="EN19" i="11" s="1"/>
  <c r="EM18" i="11"/>
  <c r="EN18" i="11" s="1"/>
  <c r="EM17" i="11"/>
  <c r="EM16" i="11"/>
  <c r="EN16" i="11" s="1"/>
  <c r="EM15" i="11"/>
  <c r="EN15" i="11" s="1"/>
  <c r="EM14" i="11"/>
  <c r="EN14" i="11" s="1"/>
  <c r="EM13" i="11"/>
  <c r="EN13" i="11" s="1"/>
  <c r="EM12" i="11"/>
  <c r="EN12" i="11" s="1"/>
  <c r="EM11" i="11"/>
  <c r="EN11" i="11" s="1"/>
  <c r="EM10" i="11"/>
  <c r="EN10" i="11" s="1"/>
  <c r="EM9" i="11"/>
  <c r="EN9" i="11" s="1"/>
  <c r="EM8" i="11"/>
  <c r="EN8" i="11" s="1"/>
  <c r="EM7" i="11"/>
  <c r="EN7" i="11" s="1"/>
  <c r="EM6" i="11"/>
  <c r="EN6" i="11" s="1"/>
  <c r="EM5" i="11"/>
  <c r="EN5" i="11" s="1"/>
  <c r="EM4" i="11"/>
  <c r="EN4" i="11" s="1"/>
  <c r="EO4" i="11" s="1"/>
  <c r="AB13" i="11"/>
  <c r="AC13" i="11" s="1"/>
  <c r="AG202" i="11"/>
  <c r="AH202" i="11" s="1"/>
  <c r="AB202" i="11"/>
  <c r="AC202" i="11" s="1"/>
  <c r="AG201" i="11"/>
  <c r="AH201" i="11" s="1"/>
  <c r="AB201" i="11"/>
  <c r="AC201" i="11" s="1"/>
  <c r="AG200" i="11"/>
  <c r="AH200" i="11" s="1"/>
  <c r="AB200" i="11"/>
  <c r="AC200" i="11" s="1"/>
  <c r="AG199" i="11"/>
  <c r="AH199" i="11" s="1"/>
  <c r="AB199" i="11"/>
  <c r="AC199" i="11" s="1"/>
  <c r="AG198" i="11"/>
  <c r="AH198" i="11" s="1"/>
  <c r="AB198" i="11"/>
  <c r="AC198" i="11" s="1"/>
  <c r="AG197" i="11"/>
  <c r="AH197" i="11" s="1"/>
  <c r="AB197" i="11"/>
  <c r="AC197" i="11" s="1"/>
  <c r="AG196" i="11"/>
  <c r="AH196" i="11" s="1"/>
  <c r="AB196" i="11"/>
  <c r="AC196" i="11" s="1"/>
  <c r="AG195" i="11"/>
  <c r="AB195" i="11"/>
  <c r="AC195" i="11" s="1"/>
  <c r="AG194" i="11"/>
  <c r="AB194" i="11"/>
  <c r="AC194" i="11" s="1"/>
  <c r="AG193" i="11"/>
  <c r="AB193" i="11"/>
  <c r="AC193" i="11" s="1"/>
  <c r="AG192" i="11"/>
  <c r="AB192" i="11"/>
  <c r="AC192" i="11" s="1"/>
  <c r="AG191" i="11"/>
  <c r="AH191" i="11" s="1"/>
  <c r="AB191" i="11"/>
  <c r="AC191" i="11" s="1"/>
  <c r="AG190" i="11"/>
  <c r="AH190" i="11" s="1"/>
  <c r="AB190" i="11"/>
  <c r="AC190" i="11" s="1"/>
  <c r="AG189" i="11"/>
  <c r="AH189" i="11" s="1"/>
  <c r="AB189" i="11"/>
  <c r="AC189" i="11" s="1"/>
  <c r="AG188" i="11"/>
  <c r="AH188" i="11" s="1"/>
  <c r="AB188" i="11"/>
  <c r="AC188" i="11" s="1"/>
  <c r="AG187" i="11"/>
  <c r="AH187" i="11" s="1"/>
  <c r="AB187" i="11"/>
  <c r="AC187" i="11" s="1"/>
  <c r="AG186" i="11"/>
  <c r="AH186" i="11" s="1"/>
  <c r="AB186" i="11"/>
  <c r="AC186" i="11" s="1"/>
  <c r="AG185" i="11"/>
  <c r="AH185" i="11" s="1"/>
  <c r="AB185" i="11"/>
  <c r="AC185" i="11" s="1"/>
  <c r="AG184" i="11"/>
  <c r="AH184" i="11" s="1"/>
  <c r="AB184" i="11"/>
  <c r="AC184" i="11" s="1"/>
  <c r="AG183" i="11"/>
  <c r="AH183" i="11" s="1"/>
  <c r="AB183" i="11"/>
  <c r="AC183" i="11" s="1"/>
  <c r="AG182" i="11"/>
  <c r="AH182" i="11" s="1"/>
  <c r="AB182" i="11"/>
  <c r="AC182" i="11" s="1"/>
  <c r="AG181" i="11"/>
  <c r="AH181" i="11" s="1"/>
  <c r="AB181" i="11"/>
  <c r="AC181" i="11" s="1"/>
  <c r="AG180" i="11"/>
  <c r="AH180" i="11" s="1"/>
  <c r="AB180" i="11"/>
  <c r="AC180" i="11" s="1"/>
  <c r="AG179" i="11"/>
  <c r="AH179" i="11" s="1"/>
  <c r="AB179" i="11"/>
  <c r="AC179" i="11" s="1"/>
  <c r="AG178" i="11"/>
  <c r="AH178" i="11" s="1"/>
  <c r="AB178" i="11"/>
  <c r="AC178" i="11" s="1"/>
  <c r="AG177" i="11"/>
  <c r="AH177" i="11" s="1"/>
  <c r="AB177" i="11"/>
  <c r="AC177" i="11" s="1"/>
  <c r="AG176" i="11"/>
  <c r="AH176" i="11" s="1"/>
  <c r="AB176" i="11"/>
  <c r="AC176" i="11" s="1"/>
  <c r="AG175" i="11"/>
  <c r="AH175" i="11" s="1"/>
  <c r="AB175" i="11"/>
  <c r="AC175" i="11" s="1"/>
  <c r="AG174" i="11"/>
  <c r="AH174" i="11" s="1"/>
  <c r="AB174" i="11"/>
  <c r="AC174" i="11" s="1"/>
  <c r="AG173" i="11"/>
  <c r="AH173" i="11" s="1"/>
  <c r="AB173" i="11"/>
  <c r="AC173" i="11" s="1"/>
  <c r="AG172" i="11"/>
  <c r="AH172" i="11" s="1"/>
  <c r="AB172" i="11"/>
  <c r="AC172" i="11" s="1"/>
  <c r="AG171" i="11"/>
  <c r="AB171" i="11"/>
  <c r="AC171" i="11" s="1"/>
  <c r="AG170" i="11"/>
  <c r="AB170" i="11"/>
  <c r="AC170" i="11" s="1"/>
  <c r="AG169" i="11"/>
  <c r="AB169" i="11"/>
  <c r="AC169" i="11" s="1"/>
  <c r="AG168" i="11"/>
  <c r="AB168" i="11"/>
  <c r="AC168" i="11" s="1"/>
  <c r="AG167" i="11"/>
  <c r="AB167" i="11"/>
  <c r="AC167" i="11" s="1"/>
  <c r="AG166" i="11"/>
  <c r="AB166" i="11"/>
  <c r="AC166" i="11" s="1"/>
  <c r="AG165" i="11"/>
  <c r="AB165" i="11"/>
  <c r="AC165" i="11" s="1"/>
  <c r="AG164" i="11"/>
  <c r="AB164" i="11"/>
  <c r="AC164" i="11" s="1"/>
  <c r="AG163" i="11"/>
  <c r="AB163" i="11"/>
  <c r="AC163" i="11" s="1"/>
  <c r="AG162" i="11"/>
  <c r="AB162" i="11"/>
  <c r="AC162" i="11" s="1"/>
  <c r="AG161" i="11"/>
  <c r="AB161" i="11"/>
  <c r="AC161" i="11" s="1"/>
  <c r="AG160" i="11"/>
  <c r="AB160" i="11"/>
  <c r="AC160" i="11" s="1"/>
  <c r="AG159" i="11"/>
  <c r="AB159" i="11"/>
  <c r="AC159" i="11" s="1"/>
  <c r="AG158" i="11"/>
  <c r="AB158" i="11"/>
  <c r="AC158" i="11" s="1"/>
  <c r="AG157" i="11"/>
  <c r="AB157" i="11"/>
  <c r="AC157" i="11" s="1"/>
  <c r="AG156" i="11"/>
  <c r="AB156" i="11"/>
  <c r="AC156" i="11" s="1"/>
  <c r="AG155" i="11"/>
  <c r="AB155" i="11"/>
  <c r="AC155" i="11" s="1"/>
  <c r="AG154" i="11"/>
  <c r="AB154" i="11"/>
  <c r="AC154" i="11" s="1"/>
  <c r="AG153" i="11"/>
  <c r="AB153" i="11"/>
  <c r="AC153" i="11" s="1"/>
  <c r="AG152" i="11"/>
  <c r="AB152" i="11"/>
  <c r="AC152" i="11" s="1"/>
  <c r="AG151" i="11"/>
  <c r="AB151" i="11"/>
  <c r="AC151" i="11" s="1"/>
  <c r="AG150" i="11"/>
  <c r="AB150" i="11"/>
  <c r="AC150" i="11" s="1"/>
  <c r="AG149" i="11"/>
  <c r="AB149" i="11"/>
  <c r="AC149" i="11" s="1"/>
  <c r="AG148" i="11"/>
  <c r="AB148" i="11"/>
  <c r="AC148" i="11" s="1"/>
  <c r="AG147" i="11"/>
  <c r="AB147" i="11"/>
  <c r="AC147" i="11" s="1"/>
  <c r="AG146" i="11"/>
  <c r="AB146" i="11"/>
  <c r="AC146" i="11" s="1"/>
  <c r="AG145" i="11"/>
  <c r="AB145" i="11"/>
  <c r="AC145" i="11" s="1"/>
  <c r="AG144" i="11"/>
  <c r="AB144" i="11"/>
  <c r="AC144" i="11" s="1"/>
  <c r="AG143" i="11"/>
  <c r="AB143" i="11"/>
  <c r="AC143" i="11" s="1"/>
  <c r="AG142" i="11"/>
  <c r="AB142" i="11"/>
  <c r="AC142" i="11" s="1"/>
  <c r="AG141" i="11"/>
  <c r="AB141" i="11"/>
  <c r="AC141" i="11" s="1"/>
  <c r="AG140" i="11"/>
  <c r="AB140" i="11"/>
  <c r="AC140" i="11" s="1"/>
  <c r="AG139" i="11"/>
  <c r="AB139" i="11"/>
  <c r="AC139" i="11" s="1"/>
  <c r="AG138" i="11"/>
  <c r="AB138" i="11"/>
  <c r="AC138" i="11" s="1"/>
  <c r="AG137" i="11"/>
  <c r="AB137" i="11"/>
  <c r="AC137" i="11" s="1"/>
  <c r="AG136" i="11"/>
  <c r="AB136" i="11"/>
  <c r="AC136" i="11" s="1"/>
  <c r="AG135" i="11"/>
  <c r="AB135" i="11"/>
  <c r="AC135" i="11" s="1"/>
  <c r="AG134" i="11"/>
  <c r="AB134" i="11"/>
  <c r="AC134" i="11" s="1"/>
  <c r="AG133" i="11"/>
  <c r="AH133" i="11" s="1"/>
  <c r="AB133" i="11"/>
  <c r="AC133" i="11" s="1"/>
  <c r="AG132" i="11"/>
  <c r="AH132" i="11" s="1"/>
  <c r="AB132" i="11"/>
  <c r="AC132" i="11" s="1"/>
  <c r="AG131" i="11"/>
  <c r="AH131" i="11" s="1"/>
  <c r="AB131" i="11"/>
  <c r="AC131" i="11" s="1"/>
  <c r="AG130" i="11"/>
  <c r="AH130" i="11" s="1"/>
  <c r="AB130" i="11"/>
  <c r="AC130" i="11" s="1"/>
  <c r="AG129" i="11"/>
  <c r="AH129" i="11" s="1"/>
  <c r="AB129" i="11"/>
  <c r="AC129" i="11" s="1"/>
  <c r="AG128" i="11"/>
  <c r="AH128" i="11" s="1"/>
  <c r="AB128" i="11"/>
  <c r="AC128" i="11" s="1"/>
  <c r="AG127" i="11"/>
  <c r="AH127" i="11" s="1"/>
  <c r="AB127" i="11"/>
  <c r="AC127" i="11" s="1"/>
  <c r="AG126" i="11"/>
  <c r="AH126" i="11" s="1"/>
  <c r="AB126" i="11"/>
  <c r="AC126" i="11" s="1"/>
  <c r="AG125" i="11"/>
  <c r="AH125" i="11" s="1"/>
  <c r="AB125" i="11"/>
  <c r="AC125" i="11" s="1"/>
  <c r="AG124" i="11"/>
  <c r="AH124" i="11" s="1"/>
  <c r="AB124" i="11"/>
  <c r="AC124" i="11" s="1"/>
  <c r="AG123" i="11"/>
  <c r="AH123" i="11" s="1"/>
  <c r="AB123" i="11"/>
  <c r="AC123" i="11" s="1"/>
  <c r="AG122" i="11"/>
  <c r="AH122" i="11" s="1"/>
  <c r="AB122" i="11"/>
  <c r="AC122" i="11" s="1"/>
  <c r="AG121" i="11"/>
  <c r="AH121" i="11" s="1"/>
  <c r="AB121" i="11"/>
  <c r="AC121" i="11" s="1"/>
  <c r="AG120" i="11"/>
  <c r="AH120" i="11" s="1"/>
  <c r="AB120" i="11"/>
  <c r="AC120" i="11" s="1"/>
  <c r="AG119" i="11"/>
  <c r="AH119" i="11" s="1"/>
  <c r="AB119" i="11"/>
  <c r="AC119" i="11" s="1"/>
  <c r="AG118" i="11"/>
  <c r="AH118" i="11" s="1"/>
  <c r="AB118" i="11"/>
  <c r="AC118" i="11" s="1"/>
  <c r="AG117" i="11"/>
  <c r="AH117" i="11" s="1"/>
  <c r="AB117" i="11"/>
  <c r="AC117" i="11" s="1"/>
  <c r="AG116" i="11"/>
  <c r="AH116" i="11" s="1"/>
  <c r="AB116" i="11"/>
  <c r="AC116" i="11" s="1"/>
  <c r="AG115" i="11"/>
  <c r="AH115" i="11" s="1"/>
  <c r="AB115" i="11"/>
  <c r="AC115" i="11" s="1"/>
  <c r="AG114" i="11"/>
  <c r="AH114" i="11" s="1"/>
  <c r="AB114" i="11"/>
  <c r="AC114" i="11" s="1"/>
  <c r="AG113" i="11"/>
  <c r="AH113" i="11" s="1"/>
  <c r="AB113" i="11"/>
  <c r="AC113" i="11" s="1"/>
  <c r="AG112" i="11"/>
  <c r="AH112" i="11" s="1"/>
  <c r="AB112" i="11"/>
  <c r="AC112" i="11" s="1"/>
  <c r="AG111" i="11"/>
  <c r="AH111" i="11" s="1"/>
  <c r="AB111" i="11"/>
  <c r="AC111" i="11" s="1"/>
  <c r="AG110" i="11"/>
  <c r="AH110" i="11" s="1"/>
  <c r="AB110" i="11"/>
  <c r="AC110" i="11" s="1"/>
  <c r="AG109" i="11"/>
  <c r="AH109" i="11" s="1"/>
  <c r="AB109" i="11"/>
  <c r="AC109" i="11" s="1"/>
  <c r="AG108" i="11"/>
  <c r="AH108" i="11" s="1"/>
  <c r="AB108" i="11"/>
  <c r="AC108" i="11" s="1"/>
  <c r="AG107" i="11"/>
  <c r="AH107" i="11" s="1"/>
  <c r="AB107" i="11"/>
  <c r="AC107" i="11" s="1"/>
  <c r="AG106" i="11"/>
  <c r="AH106" i="11" s="1"/>
  <c r="AB106" i="11"/>
  <c r="AC106" i="11" s="1"/>
  <c r="AG105" i="11"/>
  <c r="AH105" i="11" s="1"/>
  <c r="AB105" i="11"/>
  <c r="AC105" i="11" s="1"/>
  <c r="AG104" i="11"/>
  <c r="AH104" i="11" s="1"/>
  <c r="AB104" i="11"/>
  <c r="AC104" i="11" s="1"/>
  <c r="AG103" i="11"/>
  <c r="AH103" i="11" s="1"/>
  <c r="AB103" i="11"/>
  <c r="AC103" i="11" s="1"/>
  <c r="AG102" i="11"/>
  <c r="AH102" i="11" s="1"/>
  <c r="AB102" i="11"/>
  <c r="AC102" i="11" s="1"/>
  <c r="AG101" i="11"/>
  <c r="AH101" i="11" s="1"/>
  <c r="AB101" i="11"/>
  <c r="AC101" i="11" s="1"/>
  <c r="AG100" i="11"/>
  <c r="AH100" i="11" s="1"/>
  <c r="AB100" i="11"/>
  <c r="AC100" i="11" s="1"/>
  <c r="AG99" i="11"/>
  <c r="AH99" i="11" s="1"/>
  <c r="AB99" i="11"/>
  <c r="AC99" i="11" s="1"/>
  <c r="AG98" i="11"/>
  <c r="AH98" i="11" s="1"/>
  <c r="AB98" i="11"/>
  <c r="AC98" i="11" s="1"/>
  <c r="AG97" i="11"/>
  <c r="AH97" i="11" s="1"/>
  <c r="AB97" i="11"/>
  <c r="AC97" i="11" s="1"/>
  <c r="AG96" i="11"/>
  <c r="AH96" i="11" s="1"/>
  <c r="AB96" i="11"/>
  <c r="AC96" i="11" s="1"/>
  <c r="AG95" i="11"/>
  <c r="AH95" i="11" s="1"/>
  <c r="AB95" i="11"/>
  <c r="AC95" i="11" s="1"/>
  <c r="AG94" i="11"/>
  <c r="AH94" i="11" s="1"/>
  <c r="AB94" i="11"/>
  <c r="AC94" i="11" s="1"/>
  <c r="AG93" i="11"/>
  <c r="AH93" i="11" s="1"/>
  <c r="AB93" i="11"/>
  <c r="AC93" i="11" s="1"/>
  <c r="AG92" i="11"/>
  <c r="AH92" i="11" s="1"/>
  <c r="AB92" i="11"/>
  <c r="AC92" i="11" s="1"/>
  <c r="AG91" i="11"/>
  <c r="AH91" i="11" s="1"/>
  <c r="AB91" i="11"/>
  <c r="AC91" i="11" s="1"/>
  <c r="AG90" i="11"/>
  <c r="AH90" i="11" s="1"/>
  <c r="AB90" i="11"/>
  <c r="AC90" i="11" s="1"/>
  <c r="AG89" i="11"/>
  <c r="AH89" i="11" s="1"/>
  <c r="AB89" i="11"/>
  <c r="AC89" i="11" s="1"/>
  <c r="AG88" i="11"/>
  <c r="AH88" i="11" s="1"/>
  <c r="AB88" i="11"/>
  <c r="AC88" i="11" s="1"/>
  <c r="AG87" i="11"/>
  <c r="AH87" i="11" s="1"/>
  <c r="AB87" i="11"/>
  <c r="AC87" i="11" s="1"/>
  <c r="AG86" i="11"/>
  <c r="AH86" i="11" s="1"/>
  <c r="AB86" i="11"/>
  <c r="AC86" i="11" s="1"/>
  <c r="AG85" i="11"/>
  <c r="AH85" i="11" s="1"/>
  <c r="AB85" i="11"/>
  <c r="AC85" i="11" s="1"/>
  <c r="AG84" i="11"/>
  <c r="AH84" i="11" s="1"/>
  <c r="AB84" i="11"/>
  <c r="AC84" i="11" s="1"/>
  <c r="AG83" i="11"/>
  <c r="AH83" i="11" s="1"/>
  <c r="AB83" i="11"/>
  <c r="AC83" i="11" s="1"/>
  <c r="AG82" i="11"/>
  <c r="AH82" i="11" s="1"/>
  <c r="AB82" i="11"/>
  <c r="AC82" i="11" s="1"/>
  <c r="AG81" i="11"/>
  <c r="AH81" i="11" s="1"/>
  <c r="AB81" i="11"/>
  <c r="AC81" i="11" s="1"/>
  <c r="AG80" i="11"/>
  <c r="AH80" i="11" s="1"/>
  <c r="AB80" i="11"/>
  <c r="AC80" i="11" s="1"/>
  <c r="AG79" i="11"/>
  <c r="AH79" i="11" s="1"/>
  <c r="AB79" i="11"/>
  <c r="AC79" i="11" s="1"/>
  <c r="AG78" i="11"/>
  <c r="AH78" i="11" s="1"/>
  <c r="AB78" i="11"/>
  <c r="AC78" i="11" s="1"/>
  <c r="AG77" i="11"/>
  <c r="AH77" i="11" s="1"/>
  <c r="AB77" i="11"/>
  <c r="AC77" i="11" s="1"/>
  <c r="AG76" i="11"/>
  <c r="AH76" i="11" s="1"/>
  <c r="AB76" i="11"/>
  <c r="AC76" i="11" s="1"/>
  <c r="AG75" i="11"/>
  <c r="AH75" i="11" s="1"/>
  <c r="AB75" i="11"/>
  <c r="AC75" i="11" s="1"/>
  <c r="AG74" i="11"/>
  <c r="AH74" i="11" s="1"/>
  <c r="AB74" i="11"/>
  <c r="AC74" i="11" s="1"/>
  <c r="AG73" i="11"/>
  <c r="AH73" i="11" s="1"/>
  <c r="AB73" i="11"/>
  <c r="AC73" i="11" s="1"/>
  <c r="AG72" i="11"/>
  <c r="AH72" i="11" s="1"/>
  <c r="AB72" i="11"/>
  <c r="AC72" i="11" s="1"/>
  <c r="AG71" i="11"/>
  <c r="AH71" i="11" s="1"/>
  <c r="AB71" i="11"/>
  <c r="AC71" i="11" s="1"/>
  <c r="AG70" i="11"/>
  <c r="AH70" i="11" s="1"/>
  <c r="AB70" i="11"/>
  <c r="AC70" i="11" s="1"/>
  <c r="AG69" i="11"/>
  <c r="AH69" i="11" s="1"/>
  <c r="AB69" i="11"/>
  <c r="AC69" i="11" s="1"/>
  <c r="AG68" i="11"/>
  <c r="AH68" i="11" s="1"/>
  <c r="AB68" i="11"/>
  <c r="AC68" i="11" s="1"/>
  <c r="AG67" i="11"/>
  <c r="AH67" i="11" s="1"/>
  <c r="AB67" i="11"/>
  <c r="AC67" i="11" s="1"/>
  <c r="AG66" i="11"/>
  <c r="AH66" i="11" s="1"/>
  <c r="AB66" i="11"/>
  <c r="AC66" i="11" s="1"/>
  <c r="AG65" i="11"/>
  <c r="AH65" i="11" s="1"/>
  <c r="AB65" i="11"/>
  <c r="AC65" i="11" s="1"/>
  <c r="AG64" i="11"/>
  <c r="AH64" i="11" s="1"/>
  <c r="AB64" i="11"/>
  <c r="AC64" i="11" s="1"/>
  <c r="AG63" i="11"/>
  <c r="AH63" i="11" s="1"/>
  <c r="AB63" i="11"/>
  <c r="AC63" i="11" s="1"/>
  <c r="AG62" i="11"/>
  <c r="AH62" i="11" s="1"/>
  <c r="AB62" i="11"/>
  <c r="AC62" i="11" s="1"/>
  <c r="AG61" i="11"/>
  <c r="AH61" i="11" s="1"/>
  <c r="AB61" i="11"/>
  <c r="AC61" i="11" s="1"/>
  <c r="AG60" i="11"/>
  <c r="AH60" i="11" s="1"/>
  <c r="AB60" i="11"/>
  <c r="AC60" i="11" s="1"/>
  <c r="AG59" i="11"/>
  <c r="AH59" i="11" s="1"/>
  <c r="AB59" i="11"/>
  <c r="AC59" i="11" s="1"/>
  <c r="AG58" i="11"/>
  <c r="AH58" i="11" s="1"/>
  <c r="AB58" i="11"/>
  <c r="AC58" i="11" s="1"/>
  <c r="AG57" i="11"/>
  <c r="AH57" i="11" s="1"/>
  <c r="AB57" i="11"/>
  <c r="AC57" i="11" s="1"/>
  <c r="AG56" i="11"/>
  <c r="AH56" i="11" s="1"/>
  <c r="AB56" i="11"/>
  <c r="AC56" i="11" s="1"/>
  <c r="AG55" i="11"/>
  <c r="AH55" i="11" s="1"/>
  <c r="AB55" i="11"/>
  <c r="AC55" i="11" s="1"/>
  <c r="AG54" i="11"/>
  <c r="AH54" i="11" s="1"/>
  <c r="AB54" i="11"/>
  <c r="AC54" i="11" s="1"/>
  <c r="AG53" i="11"/>
  <c r="AH53" i="11" s="1"/>
  <c r="AB53" i="11"/>
  <c r="AC53" i="11" s="1"/>
  <c r="AG52" i="11"/>
  <c r="AH52" i="11" s="1"/>
  <c r="AB52" i="11"/>
  <c r="AC52" i="11" s="1"/>
  <c r="AG51" i="11"/>
  <c r="AH51" i="11" s="1"/>
  <c r="AB51" i="11"/>
  <c r="AC51" i="11" s="1"/>
  <c r="AG50" i="11"/>
  <c r="AB50" i="11"/>
  <c r="AC50" i="11" s="1"/>
  <c r="AG49" i="11"/>
  <c r="AB49" i="11"/>
  <c r="AC49" i="11" s="1"/>
  <c r="AG48" i="11"/>
  <c r="AH48" i="11" s="1"/>
  <c r="AB48" i="11"/>
  <c r="AC48" i="11" s="1"/>
  <c r="AG47" i="11"/>
  <c r="AH47" i="11" s="1"/>
  <c r="AB47" i="11"/>
  <c r="AC47" i="11" s="1"/>
  <c r="AG46" i="11"/>
  <c r="AH46" i="11" s="1"/>
  <c r="AB46" i="11"/>
  <c r="AC46" i="11" s="1"/>
  <c r="AG45" i="11"/>
  <c r="AH45" i="11" s="1"/>
  <c r="AB45" i="11"/>
  <c r="AC45" i="11" s="1"/>
  <c r="AG44" i="11"/>
  <c r="AH44" i="11" s="1"/>
  <c r="AB44" i="11"/>
  <c r="AC44" i="11" s="1"/>
  <c r="AG43" i="11"/>
  <c r="AH43" i="11" s="1"/>
  <c r="AB43" i="11"/>
  <c r="AC43" i="11" s="1"/>
  <c r="AG42" i="11"/>
  <c r="AH42" i="11" s="1"/>
  <c r="AB42" i="11"/>
  <c r="AC42" i="11" s="1"/>
  <c r="AG41" i="11"/>
  <c r="AH41" i="11" s="1"/>
  <c r="AB41" i="11"/>
  <c r="AC41" i="11" s="1"/>
  <c r="AG40" i="11"/>
  <c r="AH40" i="11" s="1"/>
  <c r="AB40" i="11"/>
  <c r="AC40" i="11" s="1"/>
  <c r="AG39" i="11"/>
  <c r="AH39" i="11" s="1"/>
  <c r="AB39" i="11"/>
  <c r="AC39" i="11" s="1"/>
  <c r="AG38" i="11"/>
  <c r="AH38" i="11" s="1"/>
  <c r="AB38" i="11"/>
  <c r="AC38" i="11" s="1"/>
  <c r="AG37" i="11"/>
  <c r="AH37" i="11" s="1"/>
  <c r="AB37" i="11"/>
  <c r="AC37" i="11" s="1"/>
  <c r="AG36" i="11"/>
  <c r="AH36" i="11" s="1"/>
  <c r="AB36" i="11"/>
  <c r="AC36" i="11" s="1"/>
  <c r="AG35" i="11"/>
  <c r="AH35" i="11" s="1"/>
  <c r="AB35" i="11"/>
  <c r="AC35" i="11" s="1"/>
  <c r="AG34" i="11"/>
  <c r="AH34" i="11" s="1"/>
  <c r="AB34" i="11"/>
  <c r="AC34" i="11" s="1"/>
  <c r="AG33" i="11"/>
  <c r="AH33" i="11" s="1"/>
  <c r="AB33" i="11"/>
  <c r="AC33" i="11" s="1"/>
  <c r="AG32" i="11"/>
  <c r="AH32" i="11" s="1"/>
  <c r="AB32" i="11"/>
  <c r="AC32" i="11" s="1"/>
  <c r="AG31" i="11"/>
  <c r="AH31" i="11" s="1"/>
  <c r="AB31" i="11"/>
  <c r="AC31" i="11" s="1"/>
  <c r="AG30" i="11"/>
  <c r="AH30" i="11" s="1"/>
  <c r="AB30" i="11"/>
  <c r="AC30" i="11" s="1"/>
  <c r="AG29" i="11"/>
  <c r="AH29" i="11" s="1"/>
  <c r="AB29" i="11"/>
  <c r="AC29" i="11" s="1"/>
  <c r="AG28" i="11"/>
  <c r="AH28" i="11" s="1"/>
  <c r="AB28" i="11"/>
  <c r="AC28" i="11" s="1"/>
  <c r="AG27" i="11"/>
  <c r="AH27" i="11" s="1"/>
  <c r="AB27" i="11"/>
  <c r="AC27" i="11" s="1"/>
  <c r="AG26" i="11"/>
  <c r="AH26" i="11" s="1"/>
  <c r="AB26" i="11"/>
  <c r="AC26" i="11" s="1"/>
  <c r="AG25" i="11"/>
  <c r="AH25" i="11" s="1"/>
  <c r="AB25" i="11"/>
  <c r="AC25" i="11" s="1"/>
  <c r="AG24" i="11"/>
  <c r="AH24" i="11" s="1"/>
  <c r="AB24" i="11"/>
  <c r="AC24" i="11" s="1"/>
  <c r="AG23" i="11"/>
  <c r="AH23" i="11" s="1"/>
  <c r="AB23" i="11"/>
  <c r="AC23" i="11" s="1"/>
  <c r="AG22" i="11"/>
  <c r="AH22" i="11" s="1"/>
  <c r="AB22" i="11"/>
  <c r="AC22" i="11" s="1"/>
  <c r="AG21" i="11"/>
  <c r="AH21" i="11" s="1"/>
  <c r="AB21" i="11"/>
  <c r="AC21" i="11" s="1"/>
  <c r="AG20" i="11"/>
  <c r="AH20" i="11" s="1"/>
  <c r="AB20" i="11"/>
  <c r="AC20" i="11" s="1"/>
  <c r="AG19" i="11"/>
  <c r="AB19" i="11"/>
  <c r="AC19" i="11" s="1"/>
  <c r="AG18" i="11"/>
  <c r="AH18" i="11" s="1"/>
  <c r="AB18" i="11"/>
  <c r="AC18" i="11" s="1"/>
  <c r="AG17" i="11"/>
  <c r="AH17" i="11" s="1"/>
  <c r="AB17" i="11"/>
  <c r="AC17" i="11" s="1"/>
  <c r="AG16" i="11"/>
  <c r="AH16" i="11" s="1"/>
  <c r="AB16" i="11"/>
  <c r="AC16" i="11" s="1"/>
  <c r="AG15" i="11"/>
  <c r="AH15" i="11" s="1"/>
  <c r="AB15" i="11"/>
  <c r="AC15" i="11" s="1"/>
  <c r="AG14" i="11"/>
  <c r="AH14" i="11" s="1"/>
  <c r="AB14" i="11"/>
  <c r="AC14" i="11" s="1"/>
  <c r="AG13" i="11"/>
  <c r="AH13" i="11" s="1"/>
  <c r="AG12" i="11"/>
  <c r="AH12" i="11" s="1"/>
  <c r="AB12" i="11"/>
  <c r="AC12" i="11" s="1"/>
  <c r="AG11" i="11"/>
  <c r="AH11" i="11" s="1"/>
  <c r="AB11" i="11"/>
  <c r="AC11" i="11" s="1"/>
  <c r="AG10" i="11"/>
  <c r="AH10" i="11" s="1"/>
  <c r="AB10" i="11"/>
  <c r="AC10" i="11" s="1"/>
  <c r="AG9" i="11"/>
  <c r="AH9" i="11" s="1"/>
  <c r="AB9" i="11"/>
  <c r="AC9" i="11" s="1"/>
  <c r="AG8" i="11"/>
  <c r="AH8" i="11" s="1"/>
  <c r="AB8" i="11"/>
  <c r="AC8" i="11" s="1"/>
  <c r="AG7" i="11"/>
  <c r="AH7" i="11" s="1"/>
  <c r="AB7" i="11"/>
  <c r="AC7" i="11" s="1"/>
  <c r="AG6" i="11"/>
  <c r="AH6" i="11" s="1"/>
  <c r="AB6" i="11"/>
  <c r="AC6" i="11" s="1"/>
  <c r="AG5" i="11"/>
  <c r="AH5" i="11" s="1"/>
  <c r="AB5" i="11"/>
  <c r="AC5" i="11" s="1"/>
  <c r="AG4" i="11"/>
  <c r="AH4" i="11" s="1"/>
  <c r="AB4" i="11"/>
  <c r="AC4" i="11" s="1"/>
  <c r="AD4" i="11" s="1"/>
  <c r="BE15" i="11"/>
  <c r="BF15" i="11" s="1"/>
  <c r="BE16" i="11"/>
  <c r="BF16" i="11" s="1"/>
  <c r="BE17" i="11"/>
  <c r="BF17" i="11" s="1"/>
  <c r="BE18" i="11"/>
  <c r="BF18" i="11" s="1"/>
  <c r="BE19" i="11"/>
  <c r="BE20" i="11"/>
  <c r="BF20" i="11" s="1"/>
  <c r="BE21" i="11"/>
  <c r="BF21" i="11" s="1"/>
  <c r="BE22" i="11"/>
  <c r="BF22" i="11" s="1"/>
  <c r="BE23" i="11"/>
  <c r="BF23" i="11" s="1"/>
  <c r="BE24" i="11"/>
  <c r="BF24" i="11" s="1"/>
  <c r="BE25" i="11"/>
  <c r="BF25" i="11" s="1"/>
  <c r="BE26" i="11"/>
  <c r="BF26" i="11" s="1"/>
  <c r="BE27" i="11"/>
  <c r="BF27" i="11" s="1"/>
  <c r="BE28" i="11"/>
  <c r="BF28" i="11" s="1"/>
  <c r="BE29" i="11"/>
  <c r="BE30" i="11"/>
  <c r="BE31" i="11"/>
  <c r="BE32" i="11"/>
  <c r="BF32" i="11" s="1"/>
  <c r="BE33" i="11"/>
  <c r="BF33" i="11" s="1"/>
  <c r="BE34" i="11"/>
  <c r="BF34" i="11" s="1"/>
  <c r="BE35" i="11"/>
  <c r="BF35" i="11" s="1"/>
  <c r="BE36" i="11"/>
  <c r="BF36" i="11" s="1"/>
  <c r="BE37" i="11"/>
  <c r="BE38" i="11"/>
  <c r="BF38" i="11" s="1"/>
  <c r="BE39" i="11"/>
  <c r="BF39" i="11" s="1"/>
  <c r="BE40" i="11"/>
  <c r="BF40" i="11" s="1"/>
  <c r="BE41" i="11"/>
  <c r="BF41" i="11" s="1"/>
  <c r="BE42" i="11"/>
  <c r="BF42" i="11" s="1"/>
  <c r="BE43" i="11"/>
  <c r="BE44" i="11"/>
  <c r="BF44" i="11" s="1"/>
  <c r="BE45" i="11"/>
  <c r="BF45" i="11" s="1"/>
  <c r="BE46" i="11"/>
  <c r="BF46" i="11" s="1"/>
  <c r="BE47" i="11"/>
  <c r="BF47" i="11" s="1"/>
  <c r="BE48" i="11"/>
  <c r="BF48" i="11" s="1"/>
  <c r="BE49" i="11"/>
  <c r="BE50" i="11"/>
  <c r="BE51" i="11"/>
  <c r="BF51" i="11" s="1"/>
  <c r="BE52" i="11"/>
  <c r="BF52" i="11" s="1"/>
  <c r="BE53" i="11"/>
  <c r="BF53" i="11" s="1"/>
  <c r="BE54" i="11"/>
  <c r="BF54" i="11" s="1"/>
  <c r="BE55" i="11"/>
  <c r="BF55" i="11" s="1"/>
  <c r="BE56" i="11"/>
  <c r="BE57" i="11"/>
  <c r="BF57" i="11" s="1"/>
  <c r="BE58" i="11"/>
  <c r="BF58" i="11" s="1"/>
  <c r="BE59" i="11"/>
  <c r="BE60" i="11"/>
  <c r="BF60" i="11" s="1"/>
  <c r="BE61" i="11"/>
  <c r="BF61" i="11" s="1"/>
  <c r="BE62" i="11"/>
  <c r="BF62" i="11" s="1"/>
  <c r="BE63" i="11"/>
  <c r="BF63" i="11" s="1"/>
  <c r="BE64" i="11"/>
  <c r="BF64" i="11" s="1"/>
  <c r="BE65" i="11"/>
  <c r="BF65" i="11" s="1"/>
  <c r="BE66" i="11"/>
  <c r="BF66" i="11" s="1"/>
  <c r="BE67" i="11"/>
  <c r="BF67" i="11" s="1"/>
  <c r="BE68" i="11"/>
  <c r="BF68" i="11" s="1"/>
  <c r="BE69" i="11"/>
  <c r="BF69" i="11" s="1"/>
  <c r="BE70" i="11"/>
  <c r="BF70" i="11" s="1"/>
  <c r="BE71" i="11"/>
  <c r="BF71" i="11" s="1"/>
  <c r="BE72" i="11"/>
  <c r="BF72" i="11" s="1"/>
  <c r="BE73" i="11"/>
  <c r="BF73" i="11" s="1"/>
  <c r="BE74" i="11"/>
  <c r="BF74" i="11" s="1"/>
  <c r="BE75" i="11"/>
  <c r="BF75" i="11" s="1"/>
  <c r="BE76" i="11"/>
  <c r="BF76" i="11" s="1"/>
  <c r="BE77" i="11"/>
  <c r="BF77" i="11" s="1"/>
  <c r="BE78" i="11"/>
  <c r="BF78" i="11" s="1"/>
  <c r="BE79" i="11"/>
  <c r="BF79" i="11" s="1"/>
  <c r="BE80" i="11"/>
  <c r="BF80" i="11" s="1"/>
  <c r="BE81" i="11"/>
  <c r="BF81" i="11" s="1"/>
  <c r="BE82" i="11"/>
  <c r="BF82" i="11" s="1"/>
  <c r="BE83" i="11"/>
  <c r="BF83" i="11" s="1"/>
  <c r="BE84" i="11"/>
  <c r="BF84" i="11" s="1"/>
  <c r="BE85" i="11"/>
  <c r="BF85" i="11" s="1"/>
  <c r="BE86" i="11"/>
  <c r="BF86" i="11" s="1"/>
  <c r="BE87" i="11"/>
  <c r="BF87" i="11" s="1"/>
  <c r="BE88" i="11"/>
  <c r="BF88" i="11" s="1"/>
  <c r="BE89" i="11"/>
  <c r="BF89" i="11" s="1"/>
  <c r="BE90" i="11"/>
  <c r="BF90" i="11" s="1"/>
  <c r="BE91" i="11"/>
  <c r="BF91" i="11" s="1"/>
  <c r="BE92" i="11"/>
  <c r="BF92" i="11" s="1"/>
  <c r="BE93" i="11"/>
  <c r="BF93" i="11" s="1"/>
  <c r="BE94" i="11"/>
  <c r="BF94" i="11" s="1"/>
  <c r="BE95" i="11"/>
  <c r="BF95" i="11" s="1"/>
  <c r="BE96" i="11"/>
  <c r="BF96" i="11" s="1"/>
  <c r="BE97" i="11"/>
  <c r="BF97" i="11" s="1"/>
  <c r="BE98" i="11"/>
  <c r="BF98" i="11" s="1"/>
  <c r="BE99" i="11"/>
  <c r="BF99" i="11" s="1"/>
  <c r="BE100" i="11"/>
  <c r="BF100" i="11" s="1"/>
  <c r="BE101" i="11"/>
  <c r="BF101" i="11" s="1"/>
  <c r="BE102" i="11"/>
  <c r="BF102" i="11" s="1"/>
  <c r="BE103" i="11"/>
  <c r="BF103" i="11" s="1"/>
  <c r="BE104" i="11"/>
  <c r="BF104" i="11" s="1"/>
  <c r="BE105" i="11"/>
  <c r="BF105" i="11" s="1"/>
  <c r="BE106" i="11"/>
  <c r="BF106" i="11" s="1"/>
  <c r="BE107" i="11"/>
  <c r="BF107" i="11" s="1"/>
  <c r="BE108" i="11"/>
  <c r="BF108" i="11" s="1"/>
  <c r="BE109" i="11"/>
  <c r="BF109" i="11" s="1"/>
  <c r="BE110" i="11"/>
  <c r="BF110" i="11" s="1"/>
  <c r="BE111" i="11"/>
  <c r="BF111" i="11" s="1"/>
  <c r="BE112" i="11"/>
  <c r="BF112" i="11" s="1"/>
  <c r="BE113" i="11"/>
  <c r="BF113" i="11" s="1"/>
  <c r="BE114" i="11"/>
  <c r="BF114" i="11" s="1"/>
  <c r="BE115" i="11"/>
  <c r="BF115" i="11" s="1"/>
  <c r="BE116" i="11"/>
  <c r="BF116" i="11" s="1"/>
  <c r="BE117" i="11"/>
  <c r="BF117" i="11" s="1"/>
  <c r="BE118" i="11"/>
  <c r="BF118" i="11" s="1"/>
  <c r="BE119" i="11"/>
  <c r="BF119" i="11" s="1"/>
  <c r="BE120" i="11"/>
  <c r="BF120" i="11" s="1"/>
  <c r="BE121" i="11"/>
  <c r="BF121" i="11" s="1"/>
  <c r="BE122" i="11"/>
  <c r="BF122" i="11" s="1"/>
  <c r="BE123" i="11"/>
  <c r="BF123" i="11" s="1"/>
  <c r="BE124" i="11"/>
  <c r="BF124" i="11" s="1"/>
  <c r="BE125" i="11"/>
  <c r="BF125" i="11" s="1"/>
  <c r="BE126" i="11"/>
  <c r="BF126" i="11" s="1"/>
  <c r="BE127" i="11"/>
  <c r="BF127" i="11" s="1"/>
  <c r="BE128" i="11"/>
  <c r="BF128" i="11" s="1"/>
  <c r="BE129" i="11"/>
  <c r="BF129" i="11" s="1"/>
  <c r="BE130" i="11"/>
  <c r="BF130" i="11" s="1"/>
  <c r="BE131" i="11"/>
  <c r="BF131" i="11" s="1"/>
  <c r="BE132" i="11"/>
  <c r="BF132" i="11" s="1"/>
  <c r="BE133" i="11"/>
  <c r="BF133" i="11" s="1"/>
  <c r="BE134" i="11"/>
  <c r="BE135" i="11"/>
  <c r="BE136" i="11"/>
  <c r="BE137" i="11"/>
  <c r="BE138" i="11"/>
  <c r="BE139" i="11"/>
  <c r="BE140" i="11"/>
  <c r="BE141" i="11"/>
  <c r="BE142" i="11"/>
  <c r="BE143" i="11"/>
  <c r="BE144" i="11"/>
  <c r="BE145" i="11"/>
  <c r="BE146" i="11"/>
  <c r="BE147" i="11"/>
  <c r="BE148" i="11"/>
  <c r="BE149" i="11"/>
  <c r="BE150" i="11"/>
  <c r="BE151" i="11"/>
  <c r="BE152" i="11"/>
  <c r="BE153" i="11"/>
  <c r="BE154" i="11"/>
  <c r="BE155" i="11"/>
  <c r="BE156" i="11"/>
  <c r="BE157" i="11"/>
  <c r="BE158" i="11"/>
  <c r="BE159" i="11"/>
  <c r="BE160" i="11"/>
  <c r="BE161" i="11"/>
  <c r="BE162" i="11"/>
  <c r="BE163" i="11"/>
  <c r="BE164" i="11"/>
  <c r="BE165" i="11"/>
  <c r="BE166" i="11"/>
  <c r="BE167" i="11"/>
  <c r="BE168" i="11"/>
  <c r="BE169" i="11"/>
  <c r="BE170" i="11"/>
  <c r="BE171" i="11"/>
  <c r="BE172" i="11"/>
  <c r="BF172" i="11" s="1"/>
  <c r="BE173" i="11"/>
  <c r="BF173" i="11" s="1"/>
  <c r="BE174" i="11"/>
  <c r="BF174" i="11" s="1"/>
  <c r="BE175" i="11"/>
  <c r="BF175" i="11" s="1"/>
  <c r="BE176" i="11"/>
  <c r="BF176" i="11" s="1"/>
  <c r="BE177" i="11"/>
  <c r="BF177" i="11" s="1"/>
  <c r="BE178" i="11"/>
  <c r="BF178" i="11" s="1"/>
  <c r="BE179" i="11"/>
  <c r="BF179" i="11" s="1"/>
  <c r="BE180" i="11"/>
  <c r="BF180" i="11" s="1"/>
  <c r="BE181" i="11"/>
  <c r="BF181" i="11" s="1"/>
  <c r="BE182" i="11"/>
  <c r="BE183" i="11"/>
  <c r="BE184" i="11"/>
  <c r="BE185" i="11"/>
  <c r="BF185" i="11" s="1"/>
  <c r="BE186" i="11"/>
  <c r="BF186" i="11" s="1"/>
  <c r="BE187" i="11"/>
  <c r="BE188" i="11"/>
  <c r="BE189" i="11"/>
  <c r="BF189" i="11" s="1"/>
  <c r="BE190" i="11"/>
  <c r="BF190" i="11" s="1"/>
  <c r="BE191" i="11"/>
  <c r="BF191" i="11" s="1"/>
  <c r="BE192" i="11"/>
  <c r="BF192" i="11" s="1"/>
  <c r="BE193" i="11"/>
  <c r="BE194" i="11"/>
  <c r="BE195" i="11"/>
  <c r="BE196" i="11"/>
  <c r="BF196" i="11" s="1"/>
  <c r="BE197" i="11"/>
  <c r="BF197" i="11" s="1"/>
  <c r="BE198" i="11"/>
  <c r="BF198" i="11" s="1"/>
  <c r="BE199" i="11"/>
  <c r="BF199" i="11" s="1"/>
  <c r="BE200" i="11"/>
  <c r="BF200" i="11" s="1"/>
  <c r="BE201" i="11"/>
  <c r="BF201" i="11" s="1"/>
  <c r="BE202" i="11"/>
  <c r="U6" i="11"/>
  <c r="V6" i="11" s="1"/>
  <c r="U7" i="11"/>
  <c r="U8" i="11"/>
  <c r="V8" i="11" s="1"/>
  <c r="U9" i="11"/>
  <c r="V9" i="11" s="1"/>
  <c r="U10" i="11"/>
  <c r="V10" i="11" s="1"/>
  <c r="U11" i="11"/>
  <c r="V11" i="11" s="1"/>
  <c r="U12" i="11"/>
  <c r="V12" i="11" s="1"/>
  <c r="U13" i="11"/>
  <c r="V13" i="11" s="1"/>
  <c r="U14" i="11"/>
  <c r="V14" i="11" s="1"/>
  <c r="U15" i="11"/>
  <c r="V15" i="11" s="1"/>
  <c r="U16" i="11"/>
  <c r="V16" i="11" s="1"/>
  <c r="U17" i="11"/>
  <c r="V17" i="11" s="1"/>
  <c r="U18" i="11"/>
  <c r="V18" i="11" s="1"/>
  <c r="U19" i="11"/>
  <c r="V19" i="11" s="1"/>
  <c r="U20" i="11"/>
  <c r="V20" i="11" s="1"/>
  <c r="U21" i="11"/>
  <c r="V21" i="11" s="1"/>
  <c r="U22" i="11"/>
  <c r="V22" i="11" s="1"/>
  <c r="U23" i="11"/>
  <c r="V23" i="11" s="1"/>
  <c r="U24" i="11"/>
  <c r="V24" i="11" s="1"/>
  <c r="U25" i="11"/>
  <c r="V25" i="11" s="1"/>
  <c r="U26" i="11"/>
  <c r="V26" i="11" s="1"/>
  <c r="U27" i="11"/>
  <c r="V27" i="11" s="1"/>
  <c r="U28" i="11"/>
  <c r="V28" i="11" s="1"/>
  <c r="U29" i="11"/>
  <c r="V29" i="11" s="1"/>
  <c r="U30" i="11"/>
  <c r="V30" i="11" s="1"/>
  <c r="U31" i="11"/>
  <c r="V31" i="11" s="1"/>
  <c r="U32" i="11"/>
  <c r="V32" i="11" s="1"/>
  <c r="U33" i="11"/>
  <c r="V33" i="11" s="1"/>
  <c r="U34" i="11"/>
  <c r="V34" i="11" s="1"/>
  <c r="U35" i="11"/>
  <c r="V35" i="11" s="1"/>
  <c r="U36" i="11"/>
  <c r="V36" i="11" s="1"/>
  <c r="U37" i="11"/>
  <c r="V37" i="11" s="1"/>
  <c r="U38" i="11"/>
  <c r="V38" i="11" s="1"/>
  <c r="U39" i="11"/>
  <c r="V39" i="11" s="1"/>
  <c r="U40" i="11"/>
  <c r="V40" i="11" s="1"/>
  <c r="U41" i="11"/>
  <c r="V41" i="11" s="1"/>
  <c r="U42" i="11"/>
  <c r="V42" i="11" s="1"/>
  <c r="U43" i="11"/>
  <c r="V43" i="11" s="1"/>
  <c r="U44" i="11"/>
  <c r="V44" i="11" s="1"/>
  <c r="U45" i="11"/>
  <c r="V45" i="11" s="1"/>
  <c r="U46" i="11"/>
  <c r="V46" i="11" s="1"/>
  <c r="U47" i="11"/>
  <c r="V47" i="11" s="1"/>
  <c r="U48" i="11"/>
  <c r="V48" i="11" s="1"/>
  <c r="U49" i="11"/>
  <c r="U50" i="11"/>
  <c r="U51" i="11"/>
  <c r="V51" i="11" s="1"/>
  <c r="U52" i="11"/>
  <c r="V52" i="11" s="1"/>
  <c r="U53" i="11"/>
  <c r="V53" i="11" s="1"/>
  <c r="U54" i="11"/>
  <c r="V54" i="11" s="1"/>
  <c r="U55" i="11"/>
  <c r="V55" i="11" s="1"/>
  <c r="U56" i="11"/>
  <c r="V56" i="11" s="1"/>
  <c r="U57" i="11"/>
  <c r="V57" i="11" s="1"/>
  <c r="U58" i="11"/>
  <c r="V58" i="11" s="1"/>
  <c r="U59" i="11"/>
  <c r="V59" i="11" s="1"/>
  <c r="U60" i="11"/>
  <c r="V60" i="11" s="1"/>
  <c r="U61" i="11"/>
  <c r="V61" i="11" s="1"/>
  <c r="U62" i="11"/>
  <c r="V62" i="11" s="1"/>
  <c r="U63" i="11"/>
  <c r="V63" i="11" s="1"/>
  <c r="U64" i="11"/>
  <c r="V64" i="11" s="1"/>
  <c r="U65" i="11"/>
  <c r="V65" i="11" s="1"/>
  <c r="U66" i="11"/>
  <c r="V66" i="11" s="1"/>
  <c r="U67" i="11"/>
  <c r="V67" i="11" s="1"/>
  <c r="U68" i="11"/>
  <c r="V68" i="11" s="1"/>
  <c r="U69" i="11"/>
  <c r="V69" i="11" s="1"/>
  <c r="U70" i="11"/>
  <c r="V70" i="11" s="1"/>
  <c r="U71" i="11"/>
  <c r="V71" i="11" s="1"/>
  <c r="U72" i="11"/>
  <c r="V72" i="11" s="1"/>
  <c r="U73" i="11"/>
  <c r="V73" i="11" s="1"/>
  <c r="U74" i="11"/>
  <c r="V74" i="11" s="1"/>
  <c r="U75" i="11"/>
  <c r="V75" i="11" s="1"/>
  <c r="U76" i="11"/>
  <c r="V76" i="11" s="1"/>
  <c r="U77" i="11"/>
  <c r="V77" i="11" s="1"/>
  <c r="U78" i="11"/>
  <c r="V78" i="11" s="1"/>
  <c r="U79" i="11"/>
  <c r="V79" i="11" s="1"/>
  <c r="U80" i="11"/>
  <c r="V80" i="11" s="1"/>
  <c r="U81" i="11"/>
  <c r="V81" i="11" s="1"/>
  <c r="U82" i="11"/>
  <c r="V82" i="11" s="1"/>
  <c r="U83" i="11"/>
  <c r="V83" i="11" s="1"/>
  <c r="U84" i="11"/>
  <c r="V84" i="11" s="1"/>
  <c r="U85" i="11"/>
  <c r="V85" i="11" s="1"/>
  <c r="U86" i="11"/>
  <c r="V86" i="11" s="1"/>
  <c r="U87" i="11"/>
  <c r="V87" i="11" s="1"/>
  <c r="U88" i="11"/>
  <c r="V88" i="11" s="1"/>
  <c r="U89" i="11"/>
  <c r="V89" i="11" s="1"/>
  <c r="U90" i="11"/>
  <c r="V90" i="11" s="1"/>
  <c r="U91" i="11"/>
  <c r="V91" i="11" s="1"/>
  <c r="U92" i="11"/>
  <c r="V92" i="11" s="1"/>
  <c r="U93" i="11"/>
  <c r="V93" i="11" s="1"/>
  <c r="U94" i="11"/>
  <c r="V94" i="11" s="1"/>
  <c r="U95" i="11"/>
  <c r="V95" i="11" s="1"/>
  <c r="U96" i="11"/>
  <c r="V96" i="11" s="1"/>
  <c r="U97" i="11"/>
  <c r="V97" i="11" s="1"/>
  <c r="U98" i="11"/>
  <c r="V98" i="11" s="1"/>
  <c r="U99" i="11"/>
  <c r="V99" i="11" s="1"/>
  <c r="U100" i="11"/>
  <c r="V100" i="11" s="1"/>
  <c r="U101" i="11"/>
  <c r="V101" i="11" s="1"/>
  <c r="U102" i="11"/>
  <c r="V102" i="11" s="1"/>
  <c r="U103" i="11"/>
  <c r="V103" i="11" s="1"/>
  <c r="U104" i="11"/>
  <c r="V104" i="11" s="1"/>
  <c r="U105" i="11"/>
  <c r="V105" i="11" s="1"/>
  <c r="U106" i="11"/>
  <c r="V106" i="11" s="1"/>
  <c r="U107" i="11"/>
  <c r="V107" i="11" s="1"/>
  <c r="U108" i="11"/>
  <c r="V108" i="11" s="1"/>
  <c r="U109" i="11"/>
  <c r="V109" i="11" s="1"/>
  <c r="U110" i="11"/>
  <c r="V110" i="11" s="1"/>
  <c r="U111" i="11"/>
  <c r="V111" i="11" s="1"/>
  <c r="U112" i="11"/>
  <c r="V112" i="11" s="1"/>
  <c r="U113" i="11"/>
  <c r="V113" i="11" s="1"/>
  <c r="U114" i="11"/>
  <c r="V114" i="11" s="1"/>
  <c r="U115" i="11"/>
  <c r="V115" i="11" s="1"/>
  <c r="U116" i="11"/>
  <c r="V116" i="11" s="1"/>
  <c r="U117" i="11"/>
  <c r="V117" i="11" s="1"/>
  <c r="U118" i="11"/>
  <c r="V118" i="11" s="1"/>
  <c r="U119" i="11"/>
  <c r="V119" i="11" s="1"/>
  <c r="U120" i="11"/>
  <c r="V120" i="11" s="1"/>
  <c r="U121" i="11"/>
  <c r="V121" i="11" s="1"/>
  <c r="U122" i="11"/>
  <c r="V122" i="11" s="1"/>
  <c r="U123" i="11"/>
  <c r="V123" i="11" s="1"/>
  <c r="U124" i="11"/>
  <c r="V124" i="11" s="1"/>
  <c r="U125" i="11"/>
  <c r="V125" i="11" s="1"/>
  <c r="U126" i="11"/>
  <c r="V126" i="11" s="1"/>
  <c r="U127" i="11"/>
  <c r="V127" i="11" s="1"/>
  <c r="U128" i="11"/>
  <c r="V128" i="11" s="1"/>
  <c r="U129" i="11"/>
  <c r="V129" i="11" s="1"/>
  <c r="U130" i="11"/>
  <c r="V130" i="11" s="1"/>
  <c r="U131" i="11"/>
  <c r="V131" i="11" s="1"/>
  <c r="U132" i="11"/>
  <c r="V132" i="11" s="1"/>
  <c r="U133" i="11"/>
  <c r="V133" i="11" s="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V172" i="11" s="1"/>
  <c r="U173" i="11"/>
  <c r="V173" i="11" s="1"/>
  <c r="U174" i="11"/>
  <c r="V174" i="11" s="1"/>
  <c r="U175" i="11"/>
  <c r="V175" i="11" s="1"/>
  <c r="U176" i="11"/>
  <c r="V176" i="11" s="1"/>
  <c r="U177" i="11"/>
  <c r="V177" i="11" s="1"/>
  <c r="U178" i="11"/>
  <c r="V178" i="11" s="1"/>
  <c r="U179" i="11"/>
  <c r="V179" i="11" s="1"/>
  <c r="U180" i="11"/>
  <c r="V180" i="11" s="1"/>
  <c r="U181" i="11"/>
  <c r="V181" i="11" s="1"/>
  <c r="U182" i="11"/>
  <c r="V182" i="11" s="1"/>
  <c r="U183" i="11"/>
  <c r="V183" i="11" s="1"/>
  <c r="U184" i="11"/>
  <c r="V184" i="11" s="1"/>
  <c r="U185" i="11"/>
  <c r="V185" i="11" s="1"/>
  <c r="U186" i="11"/>
  <c r="V186" i="11" s="1"/>
  <c r="U187" i="11"/>
  <c r="V187" i="11" s="1"/>
  <c r="U188" i="11"/>
  <c r="V188" i="11" s="1"/>
  <c r="U189" i="11"/>
  <c r="V189" i="11" s="1"/>
  <c r="U190" i="11"/>
  <c r="V190" i="11" s="1"/>
  <c r="U191" i="11"/>
  <c r="V191" i="11" s="1"/>
  <c r="U192" i="11"/>
  <c r="U193" i="11"/>
  <c r="U194" i="11"/>
  <c r="U195" i="11"/>
  <c r="U196" i="11"/>
  <c r="V196" i="11" s="1"/>
  <c r="U197" i="11"/>
  <c r="V197" i="11" s="1"/>
  <c r="U198" i="11"/>
  <c r="V198" i="11" s="1"/>
  <c r="U199" i="11"/>
  <c r="V199" i="11" s="1"/>
  <c r="U200" i="11"/>
  <c r="V200" i="11" s="1"/>
  <c r="U201" i="11"/>
  <c r="V201" i="11" s="1"/>
  <c r="U202" i="11"/>
  <c r="V202" i="11" s="1"/>
  <c r="U5" i="11"/>
  <c r="V5" i="11" s="1"/>
  <c r="U4" i="11"/>
  <c r="P7" i="11"/>
  <c r="Q7" i="11" s="1"/>
  <c r="P6" i="11"/>
  <c r="Q6" i="11" s="1"/>
  <c r="P8" i="11"/>
  <c r="P9" i="11"/>
  <c r="Q9" i="11" s="1"/>
  <c r="P10" i="11"/>
  <c r="Q10" i="11" s="1"/>
  <c r="P11" i="11"/>
  <c r="Q11" i="11" s="1"/>
  <c r="P12" i="11"/>
  <c r="Q12" i="11" s="1"/>
  <c r="P13" i="11"/>
  <c r="Q13" i="11" s="1"/>
  <c r="P14" i="11"/>
  <c r="Q14" i="11" s="1"/>
  <c r="P16" i="11"/>
  <c r="Q16" i="11" s="1"/>
  <c r="P17" i="11"/>
  <c r="Q17" i="11" s="1"/>
  <c r="P18" i="11"/>
  <c r="Q18" i="11" s="1"/>
  <c r="P19" i="11"/>
  <c r="Q19" i="11" s="1"/>
  <c r="P20" i="11"/>
  <c r="Q20" i="11" s="1"/>
  <c r="P21" i="11"/>
  <c r="Q21" i="11" s="1"/>
  <c r="P22" i="11"/>
  <c r="Q22" i="11" s="1"/>
  <c r="P23" i="11"/>
  <c r="Q23" i="11" s="1"/>
  <c r="P24" i="11"/>
  <c r="Q24" i="11" s="1"/>
  <c r="P25" i="11"/>
  <c r="Q25" i="11" s="1"/>
  <c r="P26" i="11"/>
  <c r="Q26" i="11" s="1"/>
  <c r="P27" i="11"/>
  <c r="Q27" i="11" s="1"/>
  <c r="P28" i="11"/>
  <c r="Q28" i="11" s="1"/>
  <c r="P29" i="11"/>
  <c r="Q29" i="11" s="1"/>
  <c r="P30" i="11"/>
  <c r="Q30" i="11" s="1"/>
  <c r="P31" i="11"/>
  <c r="Q31" i="11" s="1"/>
  <c r="P32" i="11"/>
  <c r="Q32" i="11" s="1"/>
  <c r="P33" i="11"/>
  <c r="Q33" i="11" s="1"/>
  <c r="P34" i="11"/>
  <c r="Q34" i="11" s="1"/>
  <c r="P35" i="11"/>
  <c r="Q35" i="11" s="1"/>
  <c r="P36" i="11"/>
  <c r="Q36" i="11" s="1"/>
  <c r="P37" i="11"/>
  <c r="Q37" i="11" s="1"/>
  <c r="P38" i="11"/>
  <c r="Q38" i="11" s="1"/>
  <c r="P39" i="11"/>
  <c r="Q39" i="11" s="1"/>
  <c r="P40" i="11"/>
  <c r="Q40" i="11" s="1"/>
  <c r="P41" i="11"/>
  <c r="Q41" i="11" s="1"/>
  <c r="P42" i="11"/>
  <c r="Q42" i="11" s="1"/>
  <c r="P43" i="11"/>
  <c r="Q43" i="11" s="1"/>
  <c r="P44" i="11"/>
  <c r="Q44" i="11" s="1"/>
  <c r="P45" i="11"/>
  <c r="Q45" i="11" s="1"/>
  <c r="P46" i="11"/>
  <c r="Q46" i="11" s="1"/>
  <c r="P47" i="11"/>
  <c r="Q47" i="11" s="1"/>
  <c r="P48" i="11"/>
  <c r="Q48" i="11" s="1"/>
  <c r="P49" i="11"/>
  <c r="Q49" i="11" s="1"/>
  <c r="P50" i="11"/>
  <c r="Q50" i="11" s="1"/>
  <c r="P51" i="11"/>
  <c r="Q51" i="11" s="1"/>
  <c r="P52" i="11"/>
  <c r="Q52" i="11" s="1"/>
  <c r="P53" i="11"/>
  <c r="Q53" i="11" s="1"/>
  <c r="P54" i="11"/>
  <c r="Q54" i="11" s="1"/>
  <c r="P55" i="11"/>
  <c r="Q55" i="11" s="1"/>
  <c r="P56" i="11"/>
  <c r="Q56" i="11" s="1"/>
  <c r="P57" i="11"/>
  <c r="Q57" i="11" s="1"/>
  <c r="P58" i="11"/>
  <c r="Q58" i="11" s="1"/>
  <c r="P59" i="11"/>
  <c r="Q59" i="11" s="1"/>
  <c r="P60" i="11"/>
  <c r="Q60" i="11" s="1"/>
  <c r="P61" i="11"/>
  <c r="Q61" i="11" s="1"/>
  <c r="P62" i="11"/>
  <c r="Q62" i="11" s="1"/>
  <c r="P63" i="11"/>
  <c r="Q63" i="11" s="1"/>
  <c r="P64" i="11"/>
  <c r="Q64" i="11" s="1"/>
  <c r="P65" i="11"/>
  <c r="Q65" i="11" s="1"/>
  <c r="P66" i="11"/>
  <c r="Q66" i="11" s="1"/>
  <c r="P67" i="11"/>
  <c r="Q67" i="11" s="1"/>
  <c r="P68" i="11"/>
  <c r="Q68" i="11" s="1"/>
  <c r="P69" i="11"/>
  <c r="Q69" i="11" s="1"/>
  <c r="P70" i="11"/>
  <c r="Q70" i="11" s="1"/>
  <c r="P71" i="11"/>
  <c r="Q71" i="11" s="1"/>
  <c r="P72" i="11"/>
  <c r="Q72" i="11" s="1"/>
  <c r="P73" i="11"/>
  <c r="Q73" i="11" s="1"/>
  <c r="P74" i="11"/>
  <c r="Q74" i="11" s="1"/>
  <c r="P75" i="11"/>
  <c r="Q75" i="11" s="1"/>
  <c r="P76" i="11"/>
  <c r="Q76" i="11" s="1"/>
  <c r="P77" i="11"/>
  <c r="Q77" i="11" s="1"/>
  <c r="P78" i="11"/>
  <c r="Q78" i="11" s="1"/>
  <c r="P79" i="11"/>
  <c r="Q79" i="11" s="1"/>
  <c r="P80" i="11"/>
  <c r="Q80" i="11" s="1"/>
  <c r="P81" i="11"/>
  <c r="Q81" i="11" s="1"/>
  <c r="P82" i="11"/>
  <c r="Q82" i="11" s="1"/>
  <c r="P83" i="11"/>
  <c r="Q83" i="11" s="1"/>
  <c r="P84" i="11"/>
  <c r="Q84" i="11" s="1"/>
  <c r="P85" i="11"/>
  <c r="Q85" i="11" s="1"/>
  <c r="P86" i="11"/>
  <c r="Q86" i="11" s="1"/>
  <c r="P87" i="11"/>
  <c r="Q87" i="11" s="1"/>
  <c r="P88" i="11"/>
  <c r="Q88" i="11" s="1"/>
  <c r="P89" i="11"/>
  <c r="Q89" i="11" s="1"/>
  <c r="P90" i="11"/>
  <c r="Q90" i="11" s="1"/>
  <c r="P91" i="11"/>
  <c r="Q91" i="11" s="1"/>
  <c r="P92" i="11"/>
  <c r="Q92" i="11" s="1"/>
  <c r="P93" i="11"/>
  <c r="Q93" i="11" s="1"/>
  <c r="P94" i="11"/>
  <c r="Q94" i="11" s="1"/>
  <c r="P95" i="11"/>
  <c r="Q95" i="11" s="1"/>
  <c r="P96" i="11"/>
  <c r="Q96" i="11" s="1"/>
  <c r="P97" i="11"/>
  <c r="Q97" i="11" s="1"/>
  <c r="P98" i="11"/>
  <c r="Q98" i="11" s="1"/>
  <c r="P99" i="11"/>
  <c r="Q99" i="11" s="1"/>
  <c r="P100" i="11"/>
  <c r="Q100" i="11" s="1"/>
  <c r="P101" i="11"/>
  <c r="Q101" i="11" s="1"/>
  <c r="P102" i="11"/>
  <c r="Q102" i="11" s="1"/>
  <c r="P103" i="11"/>
  <c r="Q103" i="11" s="1"/>
  <c r="P104" i="11"/>
  <c r="Q104" i="11" s="1"/>
  <c r="P105" i="11"/>
  <c r="Q105" i="11" s="1"/>
  <c r="P106" i="11"/>
  <c r="Q106" i="11" s="1"/>
  <c r="P107" i="11"/>
  <c r="Q107" i="11" s="1"/>
  <c r="P108" i="11"/>
  <c r="Q108" i="11" s="1"/>
  <c r="P109" i="11"/>
  <c r="Q109" i="11" s="1"/>
  <c r="P110" i="11"/>
  <c r="Q110" i="11" s="1"/>
  <c r="P111" i="11"/>
  <c r="Q111" i="11" s="1"/>
  <c r="P112" i="11"/>
  <c r="Q112" i="11" s="1"/>
  <c r="P113" i="11"/>
  <c r="Q113" i="11" s="1"/>
  <c r="P114" i="11"/>
  <c r="Q114" i="11" s="1"/>
  <c r="P115" i="11"/>
  <c r="Q115" i="11" s="1"/>
  <c r="P116" i="11"/>
  <c r="Q116" i="11" s="1"/>
  <c r="P117" i="11"/>
  <c r="Q117" i="11" s="1"/>
  <c r="P118" i="11"/>
  <c r="Q118" i="11" s="1"/>
  <c r="P119" i="11"/>
  <c r="Q119" i="11" s="1"/>
  <c r="P120" i="11"/>
  <c r="Q120" i="11" s="1"/>
  <c r="P121" i="11"/>
  <c r="Q121" i="11" s="1"/>
  <c r="P122" i="11"/>
  <c r="Q122" i="11" s="1"/>
  <c r="P123" i="11"/>
  <c r="Q123" i="11" s="1"/>
  <c r="P124" i="11"/>
  <c r="Q124" i="11" s="1"/>
  <c r="P125" i="11"/>
  <c r="Q125" i="11" s="1"/>
  <c r="P126" i="11"/>
  <c r="Q126" i="11" s="1"/>
  <c r="P127" i="11"/>
  <c r="Q127" i="11" s="1"/>
  <c r="P128" i="11"/>
  <c r="Q128" i="11" s="1"/>
  <c r="P129" i="11"/>
  <c r="Q129" i="11" s="1"/>
  <c r="P130" i="11"/>
  <c r="Q130" i="11" s="1"/>
  <c r="P131" i="11"/>
  <c r="Q131" i="11" s="1"/>
  <c r="P132" i="11"/>
  <c r="Q132" i="11" s="1"/>
  <c r="P133" i="11"/>
  <c r="Q133" i="11" s="1"/>
  <c r="P134" i="11"/>
  <c r="Q134" i="11" s="1"/>
  <c r="P135" i="11"/>
  <c r="Q135" i="11" s="1"/>
  <c r="P136" i="11"/>
  <c r="Q136" i="11" s="1"/>
  <c r="P137" i="11"/>
  <c r="Q137" i="11" s="1"/>
  <c r="P138" i="11"/>
  <c r="Q138" i="11" s="1"/>
  <c r="P139" i="11"/>
  <c r="Q139" i="11" s="1"/>
  <c r="P140" i="11"/>
  <c r="Q140" i="11" s="1"/>
  <c r="P141" i="11"/>
  <c r="Q141" i="11" s="1"/>
  <c r="P142" i="11"/>
  <c r="Q142" i="11" s="1"/>
  <c r="P143" i="11"/>
  <c r="Q143" i="11" s="1"/>
  <c r="P144" i="11"/>
  <c r="Q144" i="11" s="1"/>
  <c r="P145" i="11"/>
  <c r="Q145" i="11" s="1"/>
  <c r="P146" i="11"/>
  <c r="Q146" i="11" s="1"/>
  <c r="P147" i="11"/>
  <c r="Q147" i="11" s="1"/>
  <c r="P148" i="11"/>
  <c r="Q148" i="11" s="1"/>
  <c r="P149" i="11"/>
  <c r="Q149" i="11" s="1"/>
  <c r="P150" i="11"/>
  <c r="Q150" i="11" s="1"/>
  <c r="P151" i="11"/>
  <c r="Q151" i="11" s="1"/>
  <c r="P152" i="11"/>
  <c r="Q152" i="11" s="1"/>
  <c r="P153" i="11"/>
  <c r="Q153" i="11" s="1"/>
  <c r="P154" i="11"/>
  <c r="Q154" i="11" s="1"/>
  <c r="P155" i="11"/>
  <c r="Q155" i="11" s="1"/>
  <c r="P156" i="11"/>
  <c r="Q156" i="11" s="1"/>
  <c r="P157" i="11"/>
  <c r="Q157" i="11" s="1"/>
  <c r="P158" i="11"/>
  <c r="Q158" i="11" s="1"/>
  <c r="P159" i="11"/>
  <c r="Q159" i="11" s="1"/>
  <c r="P160" i="11"/>
  <c r="Q160" i="11" s="1"/>
  <c r="P161" i="11"/>
  <c r="Q161" i="11" s="1"/>
  <c r="P162" i="11"/>
  <c r="Q162" i="11" s="1"/>
  <c r="P163" i="11"/>
  <c r="Q163" i="11" s="1"/>
  <c r="P164" i="11"/>
  <c r="Q164" i="11" s="1"/>
  <c r="P165" i="11"/>
  <c r="Q165" i="11" s="1"/>
  <c r="P166" i="11"/>
  <c r="Q166" i="11" s="1"/>
  <c r="P167" i="11"/>
  <c r="Q167" i="11" s="1"/>
  <c r="P168" i="11"/>
  <c r="Q168" i="11" s="1"/>
  <c r="P169" i="11"/>
  <c r="Q169" i="11" s="1"/>
  <c r="P170" i="11"/>
  <c r="Q170" i="11" s="1"/>
  <c r="P171" i="11"/>
  <c r="Q171" i="11" s="1"/>
  <c r="P172" i="11"/>
  <c r="Q172" i="11" s="1"/>
  <c r="P173" i="11"/>
  <c r="Q173" i="11" s="1"/>
  <c r="P174" i="11"/>
  <c r="Q174" i="11" s="1"/>
  <c r="P175" i="11"/>
  <c r="Q175" i="11" s="1"/>
  <c r="P176" i="11"/>
  <c r="Q176" i="11" s="1"/>
  <c r="P177" i="11"/>
  <c r="Q177" i="11" s="1"/>
  <c r="P178" i="11"/>
  <c r="Q178" i="11" s="1"/>
  <c r="P179" i="11"/>
  <c r="Q179" i="11" s="1"/>
  <c r="P180" i="11"/>
  <c r="Q180" i="11" s="1"/>
  <c r="P181" i="11"/>
  <c r="Q181" i="11" s="1"/>
  <c r="P182" i="11"/>
  <c r="Q182" i="11" s="1"/>
  <c r="P183" i="11"/>
  <c r="Q183" i="11" s="1"/>
  <c r="P184" i="11"/>
  <c r="Q184" i="11" s="1"/>
  <c r="P185" i="11"/>
  <c r="Q185" i="11" s="1"/>
  <c r="P186" i="11"/>
  <c r="Q186" i="11" s="1"/>
  <c r="P187" i="11"/>
  <c r="Q187" i="11" s="1"/>
  <c r="P188" i="11"/>
  <c r="Q188" i="11" s="1"/>
  <c r="P189" i="11"/>
  <c r="Q189" i="11" s="1"/>
  <c r="P190" i="11"/>
  <c r="Q190" i="11" s="1"/>
  <c r="P191" i="11"/>
  <c r="Q191" i="11" s="1"/>
  <c r="P192" i="11"/>
  <c r="Q192" i="11" s="1"/>
  <c r="P193" i="11"/>
  <c r="Q193" i="11" s="1"/>
  <c r="P194" i="11"/>
  <c r="Q194" i="11" s="1"/>
  <c r="P195" i="11"/>
  <c r="Q195" i="11" s="1"/>
  <c r="P196" i="11"/>
  <c r="Q196" i="11" s="1"/>
  <c r="P197" i="11"/>
  <c r="Q197" i="11" s="1"/>
  <c r="P198" i="11"/>
  <c r="Q198" i="11" s="1"/>
  <c r="P199" i="11"/>
  <c r="Q199" i="11" s="1"/>
  <c r="P200" i="11"/>
  <c r="Q200" i="11" s="1"/>
  <c r="P201" i="11"/>
  <c r="Q201" i="11" s="1"/>
  <c r="P202" i="11"/>
  <c r="Q202" i="11" s="1"/>
  <c r="P5" i="11"/>
  <c r="Q5" i="11" s="1"/>
  <c r="P4" i="11"/>
  <c r="Q4" i="11" s="1"/>
  <c r="R4" i="11" s="1"/>
  <c r="AN18" i="11"/>
  <c r="AO18" i="11" s="1"/>
  <c r="AN19" i="11"/>
  <c r="AO19" i="11" s="1"/>
  <c r="AN20" i="11"/>
  <c r="AO20" i="11" s="1"/>
  <c r="AN21" i="11"/>
  <c r="AO21" i="11" s="1"/>
  <c r="AN22" i="11"/>
  <c r="AO22" i="11" s="1"/>
  <c r="AN23" i="11"/>
  <c r="AO23" i="11" s="1"/>
  <c r="AN24" i="11"/>
  <c r="AO24" i="11" s="1"/>
  <c r="AN25" i="11"/>
  <c r="AO25" i="11" s="1"/>
  <c r="AN26" i="11"/>
  <c r="AO26" i="11" s="1"/>
  <c r="AN27" i="11"/>
  <c r="AO27" i="11" s="1"/>
  <c r="AN28" i="11"/>
  <c r="AO28" i="11" s="1"/>
  <c r="AN29" i="11"/>
  <c r="AO29" i="11" s="1"/>
  <c r="AN30" i="11"/>
  <c r="AO30" i="11" s="1"/>
  <c r="AN31" i="11"/>
  <c r="AO31" i="11" s="1"/>
  <c r="AN32" i="11"/>
  <c r="AO32" i="11" s="1"/>
  <c r="AN33" i="11"/>
  <c r="AO33" i="11" s="1"/>
  <c r="AN34" i="11"/>
  <c r="AO34" i="11" s="1"/>
  <c r="AN35" i="11"/>
  <c r="AO35" i="11" s="1"/>
  <c r="AN36" i="11"/>
  <c r="AO36" i="11" s="1"/>
  <c r="AN37" i="11"/>
  <c r="AO37" i="11" s="1"/>
  <c r="AN38" i="11"/>
  <c r="AO38" i="11" s="1"/>
  <c r="AN39" i="11"/>
  <c r="AO39" i="11" s="1"/>
  <c r="AN40" i="11"/>
  <c r="AO40" i="11" s="1"/>
  <c r="AN41" i="11"/>
  <c r="AO41" i="11" s="1"/>
  <c r="AN42" i="11"/>
  <c r="AO42" i="11" s="1"/>
  <c r="AN43" i="11"/>
  <c r="AO43" i="11" s="1"/>
  <c r="AN44" i="11"/>
  <c r="AO44" i="11" s="1"/>
  <c r="AN45" i="11"/>
  <c r="AO45" i="11" s="1"/>
  <c r="AN46" i="11"/>
  <c r="AO46" i="11" s="1"/>
  <c r="AN47" i="11"/>
  <c r="AO47" i="11" s="1"/>
  <c r="AN48" i="11"/>
  <c r="AO48" i="11" s="1"/>
  <c r="AN49" i="11"/>
  <c r="AO49" i="11" s="1"/>
  <c r="AN50" i="11"/>
  <c r="AO50" i="11" s="1"/>
  <c r="AN51" i="11"/>
  <c r="AO51" i="11" s="1"/>
  <c r="AN52" i="11"/>
  <c r="AO52" i="11" s="1"/>
  <c r="AN53" i="11"/>
  <c r="AO53" i="11" s="1"/>
  <c r="AN54" i="11"/>
  <c r="AO54" i="11" s="1"/>
  <c r="AN55" i="11"/>
  <c r="AO55" i="11" s="1"/>
  <c r="AN56" i="11"/>
  <c r="AO56" i="11" s="1"/>
  <c r="AN57" i="11"/>
  <c r="AO57" i="11" s="1"/>
  <c r="AN58" i="11"/>
  <c r="AO58" i="11" s="1"/>
  <c r="AN59" i="11"/>
  <c r="AO59" i="11" s="1"/>
  <c r="AN60" i="11"/>
  <c r="AO60" i="11" s="1"/>
  <c r="AN61" i="11"/>
  <c r="AO61" i="11" s="1"/>
  <c r="AN62" i="11"/>
  <c r="AO62" i="11" s="1"/>
  <c r="AN63" i="11"/>
  <c r="AO63" i="11" s="1"/>
  <c r="AN64" i="11"/>
  <c r="AO64" i="11" s="1"/>
  <c r="AN65" i="11"/>
  <c r="AO65" i="11" s="1"/>
  <c r="AN66" i="11"/>
  <c r="AO66" i="11" s="1"/>
  <c r="AN67" i="11"/>
  <c r="AO67" i="11" s="1"/>
  <c r="AN68" i="11"/>
  <c r="AO68" i="11" s="1"/>
  <c r="AN69" i="11"/>
  <c r="AO69" i="11" s="1"/>
  <c r="AN70" i="11"/>
  <c r="AO70" i="11" s="1"/>
  <c r="AN71" i="11"/>
  <c r="AO71" i="11" s="1"/>
  <c r="AN72" i="11"/>
  <c r="AO72" i="11" s="1"/>
  <c r="AN73" i="11"/>
  <c r="AO73" i="11" s="1"/>
  <c r="AN74" i="11"/>
  <c r="AO74" i="11" s="1"/>
  <c r="AN75" i="11"/>
  <c r="AO75" i="11" s="1"/>
  <c r="AN76" i="11"/>
  <c r="AO76" i="11" s="1"/>
  <c r="AN77" i="11"/>
  <c r="AO77" i="11" s="1"/>
  <c r="AN78" i="11"/>
  <c r="AO78" i="11" s="1"/>
  <c r="AN79" i="11"/>
  <c r="AO79" i="11" s="1"/>
  <c r="AN80" i="11"/>
  <c r="AO80" i="11" s="1"/>
  <c r="AN81" i="11"/>
  <c r="AO81" i="11" s="1"/>
  <c r="AN82" i="11"/>
  <c r="AO82" i="11" s="1"/>
  <c r="AN83" i="11"/>
  <c r="AO83" i="11" s="1"/>
  <c r="AN84" i="11"/>
  <c r="AO84" i="11" s="1"/>
  <c r="AN85" i="11"/>
  <c r="AO85" i="11" s="1"/>
  <c r="AN86" i="11"/>
  <c r="AO86" i="11" s="1"/>
  <c r="AN87" i="11"/>
  <c r="AO87" i="11" s="1"/>
  <c r="AN88" i="11"/>
  <c r="AO88" i="11" s="1"/>
  <c r="AN89" i="11"/>
  <c r="AO89" i="11" s="1"/>
  <c r="AN90" i="11"/>
  <c r="AO90" i="11" s="1"/>
  <c r="AN91" i="11"/>
  <c r="AO91" i="11" s="1"/>
  <c r="AN92" i="11"/>
  <c r="AO92" i="11" s="1"/>
  <c r="AN93" i="11"/>
  <c r="AO93" i="11" s="1"/>
  <c r="AN94" i="11"/>
  <c r="AO94" i="11" s="1"/>
  <c r="AN95" i="11"/>
  <c r="AO95" i="11" s="1"/>
  <c r="AN96" i="11"/>
  <c r="AO96" i="11" s="1"/>
  <c r="AN97" i="11"/>
  <c r="AO97" i="11" s="1"/>
  <c r="AN98" i="11"/>
  <c r="AO98" i="11" s="1"/>
  <c r="AN99" i="11"/>
  <c r="AO99" i="11" s="1"/>
  <c r="AN100" i="11"/>
  <c r="AO100" i="11" s="1"/>
  <c r="AN101" i="11"/>
  <c r="AO101" i="11" s="1"/>
  <c r="AN102" i="11"/>
  <c r="AO102" i="11" s="1"/>
  <c r="AN103" i="11"/>
  <c r="AO103" i="11" s="1"/>
  <c r="AN104" i="11"/>
  <c r="AO104" i="11" s="1"/>
  <c r="AN105" i="11"/>
  <c r="AO105" i="11" s="1"/>
  <c r="AN106" i="11"/>
  <c r="AO106" i="11" s="1"/>
  <c r="AN107" i="11"/>
  <c r="AO107" i="11" s="1"/>
  <c r="AN108" i="11"/>
  <c r="AO108" i="11" s="1"/>
  <c r="AN109" i="11"/>
  <c r="AO109" i="11" s="1"/>
  <c r="AN110" i="11"/>
  <c r="AO110" i="11" s="1"/>
  <c r="AN111" i="11"/>
  <c r="AO111" i="11" s="1"/>
  <c r="AN112" i="11"/>
  <c r="AO112" i="11" s="1"/>
  <c r="AN113" i="11"/>
  <c r="AO113" i="11" s="1"/>
  <c r="AN114" i="11"/>
  <c r="AO114" i="11" s="1"/>
  <c r="AN115" i="11"/>
  <c r="AO115" i="11" s="1"/>
  <c r="AN116" i="11"/>
  <c r="AO116" i="11" s="1"/>
  <c r="AN117" i="11"/>
  <c r="AO117" i="11" s="1"/>
  <c r="AN118" i="11"/>
  <c r="AO118" i="11" s="1"/>
  <c r="AN119" i="11"/>
  <c r="AO119" i="11" s="1"/>
  <c r="AN120" i="11"/>
  <c r="AO120" i="11" s="1"/>
  <c r="AN121" i="11"/>
  <c r="AO121" i="11" s="1"/>
  <c r="AN122" i="11"/>
  <c r="AO122" i="11" s="1"/>
  <c r="AN123" i="11"/>
  <c r="AO123" i="11" s="1"/>
  <c r="AN124" i="11"/>
  <c r="AO124" i="11" s="1"/>
  <c r="AN125" i="11"/>
  <c r="AO125" i="11" s="1"/>
  <c r="AN126" i="11"/>
  <c r="AO126" i="11" s="1"/>
  <c r="AN127" i="11"/>
  <c r="AO127" i="11" s="1"/>
  <c r="AN128" i="11"/>
  <c r="AO128" i="11" s="1"/>
  <c r="AN129" i="11"/>
  <c r="AO129" i="11" s="1"/>
  <c r="AN130" i="11"/>
  <c r="AO130" i="11" s="1"/>
  <c r="AN131" i="11"/>
  <c r="AO131" i="11" s="1"/>
  <c r="AN132" i="11"/>
  <c r="AO132" i="11" s="1"/>
  <c r="AN133" i="11"/>
  <c r="AO133" i="11" s="1"/>
  <c r="AN134" i="11"/>
  <c r="AO134" i="11" s="1"/>
  <c r="AN135" i="11"/>
  <c r="AO135" i="11" s="1"/>
  <c r="AN136" i="11"/>
  <c r="AO136" i="11" s="1"/>
  <c r="AN137" i="11"/>
  <c r="AO137" i="11" s="1"/>
  <c r="AN138" i="11"/>
  <c r="AO138" i="11" s="1"/>
  <c r="AN139" i="11"/>
  <c r="AO139" i="11" s="1"/>
  <c r="AN140" i="11"/>
  <c r="AO140" i="11" s="1"/>
  <c r="AN141" i="11"/>
  <c r="AO141" i="11" s="1"/>
  <c r="AN142" i="11"/>
  <c r="AO142" i="11" s="1"/>
  <c r="AN143" i="11"/>
  <c r="AO143" i="11" s="1"/>
  <c r="AN144" i="11"/>
  <c r="AO144" i="11" s="1"/>
  <c r="AN145" i="11"/>
  <c r="AO145" i="11" s="1"/>
  <c r="AN146" i="11"/>
  <c r="AO146" i="11" s="1"/>
  <c r="AN147" i="11"/>
  <c r="AO147" i="11" s="1"/>
  <c r="AN148" i="11"/>
  <c r="AO148" i="11" s="1"/>
  <c r="AN149" i="11"/>
  <c r="AO149" i="11" s="1"/>
  <c r="AN150" i="11"/>
  <c r="AO150" i="11" s="1"/>
  <c r="AN151" i="11"/>
  <c r="AO151" i="11" s="1"/>
  <c r="AN152" i="11"/>
  <c r="AO152" i="11" s="1"/>
  <c r="AN153" i="11"/>
  <c r="AO153" i="11" s="1"/>
  <c r="AN154" i="11"/>
  <c r="AO154" i="11" s="1"/>
  <c r="AN155" i="11"/>
  <c r="AO155" i="11" s="1"/>
  <c r="AN156" i="11"/>
  <c r="AO156" i="11" s="1"/>
  <c r="AN157" i="11"/>
  <c r="AO157" i="11" s="1"/>
  <c r="AN158" i="11"/>
  <c r="AO158" i="11" s="1"/>
  <c r="AN159" i="11"/>
  <c r="AO159" i="11" s="1"/>
  <c r="AN160" i="11"/>
  <c r="AO160" i="11" s="1"/>
  <c r="AN161" i="11"/>
  <c r="AO161" i="11" s="1"/>
  <c r="AN162" i="11"/>
  <c r="AO162" i="11" s="1"/>
  <c r="AN163" i="11"/>
  <c r="AO163" i="11" s="1"/>
  <c r="AN164" i="11"/>
  <c r="AO164" i="11" s="1"/>
  <c r="AN165" i="11"/>
  <c r="AO165" i="11" s="1"/>
  <c r="AN166" i="11"/>
  <c r="AO166" i="11" s="1"/>
  <c r="AN167" i="11"/>
  <c r="AO167" i="11" s="1"/>
  <c r="AN168" i="11"/>
  <c r="AO168" i="11" s="1"/>
  <c r="AN169" i="11"/>
  <c r="AO169" i="11" s="1"/>
  <c r="AN170" i="11"/>
  <c r="AO170" i="11" s="1"/>
  <c r="AN171" i="11"/>
  <c r="AO171" i="11" s="1"/>
  <c r="AN172" i="11"/>
  <c r="AO172" i="11" s="1"/>
  <c r="AN173" i="11"/>
  <c r="AO173" i="11" s="1"/>
  <c r="AN174" i="11"/>
  <c r="AO174" i="11" s="1"/>
  <c r="AN175" i="11"/>
  <c r="AO175" i="11" s="1"/>
  <c r="AN176" i="11"/>
  <c r="AO176" i="11" s="1"/>
  <c r="AN177" i="11"/>
  <c r="AO177" i="11" s="1"/>
  <c r="AN178" i="11"/>
  <c r="AO178" i="11" s="1"/>
  <c r="AN179" i="11"/>
  <c r="AO179" i="11" s="1"/>
  <c r="AN180" i="11"/>
  <c r="AO180" i="11" s="1"/>
  <c r="AN181" i="11"/>
  <c r="AO181" i="11" s="1"/>
  <c r="AN182" i="11"/>
  <c r="AO182" i="11" s="1"/>
  <c r="AN183" i="11"/>
  <c r="AO183" i="11" s="1"/>
  <c r="AN184" i="11"/>
  <c r="AO184" i="11" s="1"/>
  <c r="AN185" i="11"/>
  <c r="AO185" i="11" s="1"/>
  <c r="AN186" i="11"/>
  <c r="AO186" i="11" s="1"/>
  <c r="AN187" i="11"/>
  <c r="AO187" i="11" s="1"/>
  <c r="AN188" i="11"/>
  <c r="AO188" i="11" s="1"/>
  <c r="AN189" i="11"/>
  <c r="AO189" i="11" s="1"/>
  <c r="AN190" i="11"/>
  <c r="AO190" i="11" s="1"/>
  <c r="AN191" i="11"/>
  <c r="AO191" i="11" s="1"/>
  <c r="AN192" i="11"/>
  <c r="AO192" i="11" s="1"/>
  <c r="AN193" i="11"/>
  <c r="AO193" i="11" s="1"/>
  <c r="AN194" i="11"/>
  <c r="AO194" i="11" s="1"/>
  <c r="AN195" i="11"/>
  <c r="AO195" i="11" s="1"/>
  <c r="AN196" i="11"/>
  <c r="AO196" i="11" s="1"/>
  <c r="AN197" i="11"/>
  <c r="AO197" i="11" s="1"/>
  <c r="AN198" i="11"/>
  <c r="AO198" i="11" s="1"/>
  <c r="AN199" i="11"/>
  <c r="AO199" i="11" s="1"/>
  <c r="AN200" i="11"/>
  <c r="AO200" i="11" s="1"/>
  <c r="AN201" i="11"/>
  <c r="AO201" i="11" s="1"/>
  <c r="AN202" i="11"/>
  <c r="AO202" i="11" s="1"/>
  <c r="AN5" i="11"/>
  <c r="AO5" i="11" s="1"/>
  <c r="AN6" i="11"/>
  <c r="AO6" i="11" s="1"/>
  <c r="AN7" i="11"/>
  <c r="AO7" i="11" s="1"/>
  <c r="AN8" i="11"/>
  <c r="AO8" i="11" s="1"/>
  <c r="AN9" i="11"/>
  <c r="AO9" i="11" s="1"/>
  <c r="AN10" i="11"/>
  <c r="AO10" i="11" s="1"/>
  <c r="AN11" i="11"/>
  <c r="AO11" i="11" s="1"/>
  <c r="AN12" i="11"/>
  <c r="AO12" i="11" s="1"/>
  <c r="AN13" i="11"/>
  <c r="AO13" i="11" s="1"/>
  <c r="AN14" i="11"/>
  <c r="AO14" i="11" s="1"/>
  <c r="AN15" i="11"/>
  <c r="AO15" i="11" s="1"/>
  <c r="AN16" i="11"/>
  <c r="AO16" i="11" s="1"/>
  <c r="AN17" i="11"/>
  <c r="AO17" i="11" s="1"/>
  <c r="AN4" i="11"/>
  <c r="AO4" i="11" s="1"/>
  <c r="BI5" i="11"/>
  <c r="BI4" i="11"/>
  <c r="BD8" i="11"/>
  <c r="BE8" i="11" s="1"/>
  <c r="BF8" i="11" s="1"/>
  <c r="BD9" i="11"/>
  <c r="BE9" i="11" s="1"/>
  <c r="BF9" i="11" s="1"/>
  <c r="BD10" i="11"/>
  <c r="BE10" i="11" s="1"/>
  <c r="BF10" i="11" s="1"/>
  <c r="BD11" i="11"/>
  <c r="BE11" i="11" s="1"/>
  <c r="BF11" i="11" s="1"/>
  <c r="BD12" i="11"/>
  <c r="BE12" i="11" s="1"/>
  <c r="BF12" i="11" s="1"/>
  <c r="BD13" i="11"/>
  <c r="BE13" i="11" s="1"/>
  <c r="BF13" i="11" s="1"/>
  <c r="BD14" i="11"/>
  <c r="BE14" i="11" s="1"/>
  <c r="BF14" i="11" s="1"/>
  <c r="BD5" i="11"/>
  <c r="BE5" i="11" s="1"/>
  <c r="BD6" i="11"/>
  <c r="BE6" i="11" s="1"/>
  <c r="BF6" i="11" s="1"/>
  <c r="BD7" i="11"/>
  <c r="BE7" i="11" s="1"/>
  <c r="BF7" i="11" s="1"/>
  <c r="BD4" i="11"/>
  <c r="BE4" i="11" s="1"/>
  <c r="AU202" i="11"/>
  <c r="AV202" i="11" s="1"/>
  <c r="AU201" i="11"/>
  <c r="AV201" i="11" s="1"/>
  <c r="AW201" i="11" s="1"/>
  <c r="AU200" i="11"/>
  <c r="AV200" i="11" s="1"/>
  <c r="AW200" i="11" s="1"/>
  <c r="AU199" i="11"/>
  <c r="AV199" i="11" s="1"/>
  <c r="AW199" i="11" s="1"/>
  <c r="AU198" i="11"/>
  <c r="AV198" i="11" s="1"/>
  <c r="AW198" i="11" s="1"/>
  <c r="AU197" i="11"/>
  <c r="AV197" i="11" s="1"/>
  <c r="AW197" i="11" s="1"/>
  <c r="AU196" i="11"/>
  <c r="AV196" i="11" s="1"/>
  <c r="AW196" i="11" s="1"/>
  <c r="AU195" i="11"/>
  <c r="AV195" i="11" s="1"/>
  <c r="AU194" i="11"/>
  <c r="AV194" i="11" s="1"/>
  <c r="AU193" i="11"/>
  <c r="AV193" i="11" s="1"/>
  <c r="AW193" i="11" s="1"/>
  <c r="AU192" i="11"/>
  <c r="AV192" i="11" s="1"/>
  <c r="AW192" i="11" s="1"/>
  <c r="AU191" i="11"/>
  <c r="AV191" i="11" s="1"/>
  <c r="AW191" i="11" s="1"/>
  <c r="AU190" i="11"/>
  <c r="AV190" i="11" s="1"/>
  <c r="AW190" i="11" s="1"/>
  <c r="AU189" i="11"/>
  <c r="AV189" i="11" s="1"/>
  <c r="AW189" i="11" s="1"/>
  <c r="AU188" i="11"/>
  <c r="AV188" i="11" s="1"/>
  <c r="AU187" i="11"/>
  <c r="AV187" i="11" s="1"/>
  <c r="AU186" i="11"/>
  <c r="AV186" i="11" s="1"/>
  <c r="AW186" i="11" s="1"/>
  <c r="AU185" i="11"/>
  <c r="AV185" i="11" s="1"/>
  <c r="AW185" i="11" s="1"/>
  <c r="AU184" i="11"/>
  <c r="AV184" i="11" s="1"/>
  <c r="AU183" i="11"/>
  <c r="AV183" i="11" s="1"/>
  <c r="AU182" i="11"/>
  <c r="AV182" i="11" s="1"/>
  <c r="AU181" i="11"/>
  <c r="AV181" i="11" s="1"/>
  <c r="AW181" i="11" s="1"/>
  <c r="AU180" i="11"/>
  <c r="AV180" i="11" s="1"/>
  <c r="AW180" i="11" s="1"/>
  <c r="AU179" i="11"/>
  <c r="AV179" i="11" s="1"/>
  <c r="AW179" i="11" s="1"/>
  <c r="AU178" i="11"/>
  <c r="AV178" i="11" s="1"/>
  <c r="AW178" i="11" s="1"/>
  <c r="AU177" i="11"/>
  <c r="AV177" i="11" s="1"/>
  <c r="AW177" i="11" s="1"/>
  <c r="AU176" i="11"/>
  <c r="AV176" i="11" s="1"/>
  <c r="AW176" i="11" s="1"/>
  <c r="AU175" i="11"/>
  <c r="AV175" i="11" s="1"/>
  <c r="AW175" i="11" s="1"/>
  <c r="AU174" i="11"/>
  <c r="AV174" i="11" s="1"/>
  <c r="AW174" i="11" s="1"/>
  <c r="AU173" i="11"/>
  <c r="AV173" i="11" s="1"/>
  <c r="AW173" i="11" s="1"/>
  <c r="AU172" i="11"/>
  <c r="AV172" i="11" s="1"/>
  <c r="AW172" i="11" s="1"/>
  <c r="AU171" i="11"/>
  <c r="AV171" i="11" s="1"/>
  <c r="AU170" i="11"/>
  <c r="AV170" i="11" s="1"/>
  <c r="AU169" i="11"/>
  <c r="AV169" i="11" s="1"/>
  <c r="AU168" i="11"/>
  <c r="AV168" i="11" s="1"/>
  <c r="AU167" i="11"/>
  <c r="AV167" i="11" s="1"/>
  <c r="AU166" i="11"/>
  <c r="AV166" i="11" s="1"/>
  <c r="AU165" i="11"/>
  <c r="AV165" i="11" s="1"/>
  <c r="AU164" i="11"/>
  <c r="AV164" i="11" s="1"/>
  <c r="AU163" i="11"/>
  <c r="AV163" i="11" s="1"/>
  <c r="AU162" i="11"/>
  <c r="AV162" i="11" s="1"/>
  <c r="AU161" i="11"/>
  <c r="AV161" i="11" s="1"/>
  <c r="AU160" i="11"/>
  <c r="AV160" i="11" s="1"/>
  <c r="AU159" i="11"/>
  <c r="AV159" i="11" s="1"/>
  <c r="AU158" i="11"/>
  <c r="AV158" i="11" s="1"/>
  <c r="AU157" i="11"/>
  <c r="AV157" i="11" s="1"/>
  <c r="AU156" i="11"/>
  <c r="AV156" i="11" s="1"/>
  <c r="AU155" i="11"/>
  <c r="AV155" i="11" s="1"/>
  <c r="AU154" i="11"/>
  <c r="AV154" i="11" s="1"/>
  <c r="AU153" i="11"/>
  <c r="AV153" i="11" s="1"/>
  <c r="AU152" i="11"/>
  <c r="AV152" i="11" s="1"/>
  <c r="AU151" i="11"/>
  <c r="AV151" i="11" s="1"/>
  <c r="AU150" i="11"/>
  <c r="AV150" i="11" s="1"/>
  <c r="AU149" i="11"/>
  <c r="AV149" i="11" s="1"/>
  <c r="AU148" i="11"/>
  <c r="AV148" i="11" s="1"/>
  <c r="AU147" i="11"/>
  <c r="AV147" i="11" s="1"/>
  <c r="AU146" i="11"/>
  <c r="AV146" i="11" s="1"/>
  <c r="AU145" i="11"/>
  <c r="AV145" i="11" s="1"/>
  <c r="AU144" i="11"/>
  <c r="AV144" i="11" s="1"/>
  <c r="AU143" i="11"/>
  <c r="AV143" i="11" s="1"/>
  <c r="AU142" i="11"/>
  <c r="AV142" i="11" s="1"/>
  <c r="AU141" i="11"/>
  <c r="AV141" i="11" s="1"/>
  <c r="AU140" i="11"/>
  <c r="AV140" i="11" s="1"/>
  <c r="AU139" i="11"/>
  <c r="AV139" i="11" s="1"/>
  <c r="AW139" i="11" s="1"/>
  <c r="AU138" i="11"/>
  <c r="AV138" i="11" s="1"/>
  <c r="AU137" i="11"/>
  <c r="AV137" i="11" s="1"/>
  <c r="AU136" i="11"/>
  <c r="AV136" i="11" s="1"/>
  <c r="AU135" i="11"/>
  <c r="AV135" i="11" s="1"/>
  <c r="AU134" i="11"/>
  <c r="AV134" i="11" s="1"/>
  <c r="AU133" i="11"/>
  <c r="AV133" i="11" s="1"/>
  <c r="AW133" i="11" s="1"/>
  <c r="AU132" i="11"/>
  <c r="AV132" i="11" s="1"/>
  <c r="AW132" i="11" s="1"/>
  <c r="AU131" i="11"/>
  <c r="AV131" i="11" s="1"/>
  <c r="AW131" i="11" s="1"/>
  <c r="AU130" i="11"/>
  <c r="AV130" i="11" s="1"/>
  <c r="AW130" i="11" s="1"/>
  <c r="AU129" i="11"/>
  <c r="AV129" i="11" s="1"/>
  <c r="AW129" i="11" s="1"/>
  <c r="AU128" i="11"/>
  <c r="AV128" i="11" s="1"/>
  <c r="AW128" i="11" s="1"/>
  <c r="AU127" i="11"/>
  <c r="AV127" i="11" s="1"/>
  <c r="AW127" i="11" s="1"/>
  <c r="AU126" i="11"/>
  <c r="AV126" i="11" s="1"/>
  <c r="AW126" i="11" s="1"/>
  <c r="AU125" i="11"/>
  <c r="AV125" i="11" s="1"/>
  <c r="AW125" i="11" s="1"/>
  <c r="AU124" i="11"/>
  <c r="AV124" i="11" s="1"/>
  <c r="AW124" i="11" s="1"/>
  <c r="AU123" i="11"/>
  <c r="AV123" i="11" s="1"/>
  <c r="AW123" i="11" s="1"/>
  <c r="AU122" i="11"/>
  <c r="AV122" i="11" s="1"/>
  <c r="AW122" i="11" s="1"/>
  <c r="AU121" i="11"/>
  <c r="AV121" i="11" s="1"/>
  <c r="AW121" i="11" s="1"/>
  <c r="AU120" i="11"/>
  <c r="AV120" i="11" s="1"/>
  <c r="AW120" i="11" s="1"/>
  <c r="AU119" i="11"/>
  <c r="AV119" i="11" s="1"/>
  <c r="AW119" i="11" s="1"/>
  <c r="AU118" i="11"/>
  <c r="AV118" i="11" s="1"/>
  <c r="AW118" i="11" s="1"/>
  <c r="AU117" i="11"/>
  <c r="AV117" i="11" s="1"/>
  <c r="AW117" i="11" s="1"/>
  <c r="AU116" i="11"/>
  <c r="AV116" i="11" s="1"/>
  <c r="AW116" i="11" s="1"/>
  <c r="AU115" i="11"/>
  <c r="AV115" i="11" s="1"/>
  <c r="AW115" i="11" s="1"/>
  <c r="AU114" i="11"/>
  <c r="AV114" i="11" s="1"/>
  <c r="AW114" i="11" s="1"/>
  <c r="AU113" i="11"/>
  <c r="AV113" i="11" s="1"/>
  <c r="AW113" i="11" s="1"/>
  <c r="AU112" i="11"/>
  <c r="AV112" i="11" s="1"/>
  <c r="AW112" i="11" s="1"/>
  <c r="AU111" i="11"/>
  <c r="AV111" i="11" s="1"/>
  <c r="AW111" i="11" s="1"/>
  <c r="AU110" i="11"/>
  <c r="AV110" i="11" s="1"/>
  <c r="AW110" i="11" s="1"/>
  <c r="AU109" i="11"/>
  <c r="AV109" i="11" s="1"/>
  <c r="AW109" i="11" s="1"/>
  <c r="AU108" i="11"/>
  <c r="AV108" i="11" s="1"/>
  <c r="AW108" i="11" s="1"/>
  <c r="AU107" i="11"/>
  <c r="AV107" i="11" s="1"/>
  <c r="AW107" i="11" s="1"/>
  <c r="AU106" i="11"/>
  <c r="AV106" i="11" s="1"/>
  <c r="AW106" i="11" s="1"/>
  <c r="AU105" i="11"/>
  <c r="AV105" i="11" s="1"/>
  <c r="AW105" i="11" s="1"/>
  <c r="AU104" i="11"/>
  <c r="AV104" i="11" s="1"/>
  <c r="AW104" i="11" s="1"/>
  <c r="AU103" i="11"/>
  <c r="AV103" i="11" s="1"/>
  <c r="AW103" i="11" s="1"/>
  <c r="AU102" i="11"/>
  <c r="AV102" i="11" s="1"/>
  <c r="AW102" i="11" s="1"/>
  <c r="AU101" i="11"/>
  <c r="AV101" i="11" s="1"/>
  <c r="AW101" i="11" s="1"/>
  <c r="AU100" i="11"/>
  <c r="AV100" i="11" s="1"/>
  <c r="AW100" i="11" s="1"/>
  <c r="AU99" i="11"/>
  <c r="AV99" i="11" s="1"/>
  <c r="AW99" i="11" s="1"/>
  <c r="AU98" i="11"/>
  <c r="AV98" i="11" s="1"/>
  <c r="AW98" i="11" s="1"/>
  <c r="AU97" i="11"/>
  <c r="AV97" i="11" s="1"/>
  <c r="AW97" i="11" s="1"/>
  <c r="AU96" i="11"/>
  <c r="AV96" i="11" s="1"/>
  <c r="AW96" i="11" s="1"/>
  <c r="AU95" i="11"/>
  <c r="AV95" i="11" s="1"/>
  <c r="AW95" i="11" s="1"/>
  <c r="AU94" i="11"/>
  <c r="AV94" i="11" s="1"/>
  <c r="AW94" i="11" s="1"/>
  <c r="AU93" i="11"/>
  <c r="AV93" i="11" s="1"/>
  <c r="AW93" i="11" s="1"/>
  <c r="AU92" i="11"/>
  <c r="AV92" i="11" s="1"/>
  <c r="AW92" i="11" s="1"/>
  <c r="AU91" i="11"/>
  <c r="AV91" i="11" s="1"/>
  <c r="AW91" i="11" s="1"/>
  <c r="AU90" i="11"/>
  <c r="AV90" i="11" s="1"/>
  <c r="AW90" i="11" s="1"/>
  <c r="AU89" i="11"/>
  <c r="AV89" i="11" s="1"/>
  <c r="AW89" i="11" s="1"/>
  <c r="AU88" i="11"/>
  <c r="AV88" i="11" s="1"/>
  <c r="AW88" i="11" s="1"/>
  <c r="AU87" i="11"/>
  <c r="AV87" i="11" s="1"/>
  <c r="AW87" i="11" s="1"/>
  <c r="AU86" i="11"/>
  <c r="AV86" i="11" s="1"/>
  <c r="AW86" i="11" s="1"/>
  <c r="AU85" i="11"/>
  <c r="AV85" i="11" s="1"/>
  <c r="AW85" i="11" s="1"/>
  <c r="AU84" i="11"/>
  <c r="AV84" i="11" s="1"/>
  <c r="AW84" i="11" s="1"/>
  <c r="AU83" i="11"/>
  <c r="AV83" i="11" s="1"/>
  <c r="AW83" i="11" s="1"/>
  <c r="AU82" i="11"/>
  <c r="AV82" i="11" s="1"/>
  <c r="AW82" i="11" s="1"/>
  <c r="AU81" i="11"/>
  <c r="AV81" i="11" s="1"/>
  <c r="AW81" i="11" s="1"/>
  <c r="AU80" i="11"/>
  <c r="AV80" i="11" s="1"/>
  <c r="AW80" i="11" s="1"/>
  <c r="AU79" i="11"/>
  <c r="AV79" i="11" s="1"/>
  <c r="AW79" i="11" s="1"/>
  <c r="AU78" i="11"/>
  <c r="AV78" i="11" s="1"/>
  <c r="AW78" i="11" s="1"/>
  <c r="AU77" i="11"/>
  <c r="AV77" i="11" s="1"/>
  <c r="AW77" i="11" s="1"/>
  <c r="AU76" i="11"/>
  <c r="AV76" i="11" s="1"/>
  <c r="AW76" i="11" s="1"/>
  <c r="AU75" i="11"/>
  <c r="AV75" i="11" s="1"/>
  <c r="AW75" i="11" s="1"/>
  <c r="AU74" i="11"/>
  <c r="AV74" i="11" s="1"/>
  <c r="AW74" i="11" s="1"/>
  <c r="AU73" i="11"/>
  <c r="AV73" i="11" s="1"/>
  <c r="AW73" i="11" s="1"/>
  <c r="AU72" i="11"/>
  <c r="AV72" i="11" s="1"/>
  <c r="AW72" i="11" s="1"/>
  <c r="AU71" i="11"/>
  <c r="AV71" i="11" s="1"/>
  <c r="AW71" i="11" s="1"/>
  <c r="AU70" i="11"/>
  <c r="AV70" i="11" s="1"/>
  <c r="AW70" i="11" s="1"/>
  <c r="AU69" i="11"/>
  <c r="AV69" i="11" s="1"/>
  <c r="AW69" i="11" s="1"/>
  <c r="AU68" i="11"/>
  <c r="AV68" i="11" s="1"/>
  <c r="AW68" i="11" s="1"/>
  <c r="AU67" i="11"/>
  <c r="AV67" i="11" s="1"/>
  <c r="AW67" i="11" s="1"/>
  <c r="AU66" i="11"/>
  <c r="AV66" i="11" s="1"/>
  <c r="AW66" i="11" s="1"/>
  <c r="AU65" i="11"/>
  <c r="AV65" i="11" s="1"/>
  <c r="AW65" i="11" s="1"/>
  <c r="AU64" i="11"/>
  <c r="AV64" i="11" s="1"/>
  <c r="AW64" i="11" s="1"/>
  <c r="AU63" i="11"/>
  <c r="AV63" i="11" s="1"/>
  <c r="AW63" i="11" s="1"/>
  <c r="AU62" i="11"/>
  <c r="AV62" i="11" s="1"/>
  <c r="AW62" i="11" s="1"/>
  <c r="AU61" i="11"/>
  <c r="AV61" i="11" s="1"/>
  <c r="AW61" i="11" s="1"/>
  <c r="AU60" i="11"/>
  <c r="AV60" i="11" s="1"/>
  <c r="AW60" i="11" s="1"/>
  <c r="AU59" i="11"/>
  <c r="AV59" i="11" s="1"/>
  <c r="AU58" i="11"/>
  <c r="AV58" i="11" s="1"/>
  <c r="AW58" i="11" s="1"/>
  <c r="AU57" i="11"/>
  <c r="AV57" i="11" s="1"/>
  <c r="AW57" i="11" s="1"/>
  <c r="AU56" i="11"/>
  <c r="AV56" i="11" s="1"/>
  <c r="AU55" i="11"/>
  <c r="AV55" i="11" s="1"/>
  <c r="AW55" i="11" s="1"/>
  <c r="AU54" i="11"/>
  <c r="AV54" i="11" s="1"/>
  <c r="AW54" i="11" s="1"/>
  <c r="AU53" i="11"/>
  <c r="AV53" i="11" s="1"/>
  <c r="AW53" i="11" s="1"/>
  <c r="AU52" i="11"/>
  <c r="AV52" i="11" s="1"/>
  <c r="AW52" i="11" s="1"/>
  <c r="AU51" i="11"/>
  <c r="AV51" i="11" s="1"/>
  <c r="AW51" i="11" s="1"/>
  <c r="AU50" i="11"/>
  <c r="AV50" i="11" s="1"/>
  <c r="AU49" i="11"/>
  <c r="AV49" i="11" s="1"/>
  <c r="AU48" i="11"/>
  <c r="AV48" i="11" s="1"/>
  <c r="AW48" i="11" s="1"/>
  <c r="AU47" i="11"/>
  <c r="AV47" i="11" s="1"/>
  <c r="AW47" i="11" s="1"/>
  <c r="AU46" i="11"/>
  <c r="AV46" i="11" s="1"/>
  <c r="AW46" i="11" s="1"/>
  <c r="AU45" i="11"/>
  <c r="AV45" i="11" s="1"/>
  <c r="AW45" i="11" s="1"/>
  <c r="AU44" i="11"/>
  <c r="AV44" i="11" s="1"/>
  <c r="AW44" i="11" s="1"/>
  <c r="AU43" i="11"/>
  <c r="AV43" i="11" s="1"/>
  <c r="AU42" i="11"/>
  <c r="AV42" i="11" s="1"/>
  <c r="AW42" i="11" s="1"/>
  <c r="AU41" i="11"/>
  <c r="AV41" i="11" s="1"/>
  <c r="AW41" i="11" s="1"/>
  <c r="AU40" i="11"/>
  <c r="AV40" i="11" s="1"/>
  <c r="AW40" i="11" s="1"/>
  <c r="AU39" i="11"/>
  <c r="AV39" i="11" s="1"/>
  <c r="AW39" i="11" s="1"/>
  <c r="AU38" i="11"/>
  <c r="AV38" i="11" s="1"/>
  <c r="AW38" i="11" s="1"/>
  <c r="AU37" i="11"/>
  <c r="AV37" i="11" s="1"/>
  <c r="AU36" i="11"/>
  <c r="AV36" i="11" s="1"/>
  <c r="AW36" i="11" s="1"/>
  <c r="AU35" i="11"/>
  <c r="AV35" i="11" s="1"/>
  <c r="AW35" i="11" s="1"/>
  <c r="AU34" i="11"/>
  <c r="AV34" i="11" s="1"/>
  <c r="AW34" i="11" s="1"/>
  <c r="AU33" i="11"/>
  <c r="AV33" i="11" s="1"/>
  <c r="AW33" i="11" s="1"/>
  <c r="AU32" i="11"/>
  <c r="AV32" i="11" s="1"/>
  <c r="AW32" i="11" s="1"/>
  <c r="AU31" i="11"/>
  <c r="AV31" i="11" s="1"/>
  <c r="AU30" i="11"/>
  <c r="AV30" i="11" s="1"/>
  <c r="AU29" i="11"/>
  <c r="AV29" i="11" s="1"/>
  <c r="AU28" i="11"/>
  <c r="AV28" i="11" s="1"/>
  <c r="AW28" i="11" s="1"/>
  <c r="AU27" i="11"/>
  <c r="AV27" i="11" s="1"/>
  <c r="AW27" i="11" s="1"/>
  <c r="AU26" i="11"/>
  <c r="AV26" i="11" s="1"/>
  <c r="AW26" i="11" s="1"/>
  <c r="AU25" i="11"/>
  <c r="AV25" i="11" s="1"/>
  <c r="AW25" i="11" s="1"/>
  <c r="AU24" i="11"/>
  <c r="AV24" i="11" s="1"/>
  <c r="AW24" i="11" s="1"/>
  <c r="AU23" i="11"/>
  <c r="AV23" i="11" s="1"/>
  <c r="AW23" i="11" s="1"/>
  <c r="AU22" i="11"/>
  <c r="AV22" i="11" s="1"/>
  <c r="AW22" i="11" s="1"/>
  <c r="AU21" i="11"/>
  <c r="AV21" i="11" s="1"/>
  <c r="AW21" i="11" s="1"/>
  <c r="AU20" i="11"/>
  <c r="AV20" i="11" s="1"/>
  <c r="AW20" i="11" s="1"/>
  <c r="AU19" i="11"/>
  <c r="AV19" i="11" s="1"/>
  <c r="AU18" i="11"/>
  <c r="AV18" i="11" s="1"/>
  <c r="AW18" i="11" s="1"/>
  <c r="AU17" i="11"/>
  <c r="AV17" i="11" s="1"/>
  <c r="AW17" i="11" s="1"/>
  <c r="AU16" i="11"/>
  <c r="AV16" i="11" s="1"/>
  <c r="AW16" i="11" s="1"/>
  <c r="AU15" i="11"/>
  <c r="AU14" i="11"/>
  <c r="AV14" i="11" s="1"/>
  <c r="AW14" i="11" s="1"/>
  <c r="AU13" i="11"/>
  <c r="AV13" i="11" s="1"/>
  <c r="AW13" i="11" s="1"/>
  <c r="AU12" i="11"/>
  <c r="AV12" i="11" s="1"/>
  <c r="AW12" i="11" s="1"/>
  <c r="AU11" i="11"/>
  <c r="AV11" i="11" s="1"/>
  <c r="AW11" i="11" s="1"/>
  <c r="AU10" i="11"/>
  <c r="AV10" i="11" s="1"/>
  <c r="AW10" i="11" s="1"/>
  <c r="AU9" i="11"/>
  <c r="AV9" i="11" s="1"/>
  <c r="AW9" i="11" s="1"/>
  <c r="AU8" i="11"/>
  <c r="AV8" i="11" s="1"/>
  <c r="AW8" i="11" s="1"/>
  <c r="AU7" i="11"/>
  <c r="AV7" i="11" s="1"/>
  <c r="AW7" i="11" s="1"/>
  <c r="AU6" i="11"/>
  <c r="AV6" i="11" s="1"/>
  <c r="AW6" i="11" s="1"/>
  <c r="AU5" i="11"/>
  <c r="AV5" i="11" s="1"/>
  <c r="AU4" i="11"/>
  <c r="AV4" i="11" s="1"/>
  <c r="DO202" i="11"/>
  <c r="DP202" i="11" s="1"/>
  <c r="DO201" i="11"/>
  <c r="DP201" i="11" s="1"/>
  <c r="DQ201" i="11" s="1"/>
  <c r="DO200" i="11"/>
  <c r="DP200" i="11" s="1"/>
  <c r="DQ200" i="11" s="1"/>
  <c r="DO199" i="11"/>
  <c r="DP199" i="11" s="1"/>
  <c r="DQ199" i="11" s="1"/>
  <c r="DO198" i="11"/>
  <c r="DP198" i="11" s="1"/>
  <c r="DQ198" i="11" s="1"/>
  <c r="DO197" i="11"/>
  <c r="DP197" i="11" s="1"/>
  <c r="DQ197" i="11" s="1"/>
  <c r="DO196" i="11"/>
  <c r="DP196" i="11" s="1"/>
  <c r="DQ196" i="11" s="1"/>
  <c r="DO195" i="11"/>
  <c r="DP195" i="11" s="1"/>
  <c r="DO194" i="11"/>
  <c r="DP194" i="11" s="1"/>
  <c r="DO193" i="11"/>
  <c r="DP193" i="11" s="1"/>
  <c r="DQ193" i="11" s="1"/>
  <c r="DO192" i="11"/>
  <c r="DP192" i="11" s="1"/>
  <c r="DQ192" i="11" s="1"/>
  <c r="DO191" i="11"/>
  <c r="DP191" i="11" s="1"/>
  <c r="DQ191" i="11" s="1"/>
  <c r="DO190" i="11"/>
  <c r="DP190" i="11" s="1"/>
  <c r="DQ190" i="11" s="1"/>
  <c r="DO189" i="11"/>
  <c r="DP189" i="11" s="1"/>
  <c r="DQ189" i="11" s="1"/>
  <c r="DO188" i="11"/>
  <c r="DP188" i="11" s="1"/>
  <c r="DO187" i="11"/>
  <c r="DP187" i="11" s="1"/>
  <c r="DO186" i="11"/>
  <c r="DP186" i="11" s="1"/>
  <c r="DQ186" i="11" s="1"/>
  <c r="DO185" i="11"/>
  <c r="DP185" i="11" s="1"/>
  <c r="DQ185" i="11" s="1"/>
  <c r="DO184" i="11"/>
  <c r="DP184" i="11" s="1"/>
  <c r="DO183" i="11"/>
  <c r="DP183" i="11" s="1"/>
  <c r="DO182" i="11"/>
  <c r="DP182" i="11" s="1"/>
  <c r="DO181" i="11"/>
  <c r="DP181" i="11" s="1"/>
  <c r="DQ181" i="11" s="1"/>
  <c r="DO180" i="11"/>
  <c r="DP180" i="11" s="1"/>
  <c r="DQ180" i="11" s="1"/>
  <c r="DO179" i="11"/>
  <c r="DP179" i="11" s="1"/>
  <c r="DQ179" i="11" s="1"/>
  <c r="DO178" i="11"/>
  <c r="DP178" i="11" s="1"/>
  <c r="DQ178" i="11" s="1"/>
  <c r="DO177" i="11"/>
  <c r="DP177" i="11" s="1"/>
  <c r="DQ177" i="11" s="1"/>
  <c r="DO176" i="11"/>
  <c r="DP176" i="11" s="1"/>
  <c r="DQ176" i="11" s="1"/>
  <c r="DO175" i="11"/>
  <c r="DP175" i="11" s="1"/>
  <c r="DQ175" i="11" s="1"/>
  <c r="DO174" i="11"/>
  <c r="DP174" i="11" s="1"/>
  <c r="DQ174" i="11" s="1"/>
  <c r="DO173" i="11"/>
  <c r="DP173" i="11" s="1"/>
  <c r="DQ173" i="11" s="1"/>
  <c r="DO172" i="11"/>
  <c r="DP172" i="11" s="1"/>
  <c r="DQ172" i="11" s="1"/>
  <c r="DO171" i="11"/>
  <c r="DP171" i="11" s="1"/>
  <c r="DO170" i="11"/>
  <c r="DP170" i="11" s="1"/>
  <c r="DO169" i="11"/>
  <c r="DP169" i="11" s="1"/>
  <c r="DO168" i="11"/>
  <c r="DP168" i="11" s="1"/>
  <c r="DO167" i="11"/>
  <c r="DP167" i="11" s="1"/>
  <c r="DO166" i="11"/>
  <c r="DP166" i="11" s="1"/>
  <c r="DO165" i="11"/>
  <c r="DP165" i="11" s="1"/>
  <c r="DO164" i="11"/>
  <c r="DP164" i="11" s="1"/>
  <c r="DO163" i="11"/>
  <c r="DP163" i="11" s="1"/>
  <c r="DO162" i="11"/>
  <c r="DP162" i="11" s="1"/>
  <c r="DO161" i="11"/>
  <c r="DP161" i="11" s="1"/>
  <c r="DO160" i="11"/>
  <c r="DP160" i="11" s="1"/>
  <c r="DO159" i="11"/>
  <c r="DP159" i="11" s="1"/>
  <c r="DO158" i="11"/>
  <c r="DP158" i="11" s="1"/>
  <c r="DO157" i="11"/>
  <c r="DP157" i="11" s="1"/>
  <c r="DO156" i="11"/>
  <c r="DP156" i="11" s="1"/>
  <c r="DO155" i="11"/>
  <c r="DP155" i="11" s="1"/>
  <c r="DO154" i="11"/>
  <c r="DP154" i="11" s="1"/>
  <c r="DO153" i="11"/>
  <c r="DP153" i="11" s="1"/>
  <c r="DO152" i="11"/>
  <c r="DP152" i="11" s="1"/>
  <c r="DO151" i="11"/>
  <c r="DP151" i="11" s="1"/>
  <c r="DO150" i="11"/>
  <c r="DP150" i="11" s="1"/>
  <c r="DO149" i="11"/>
  <c r="DP149" i="11" s="1"/>
  <c r="DO148" i="11"/>
  <c r="DP148" i="11" s="1"/>
  <c r="DO147" i="11"/>
  <c r="DP147" i="11" s="1"/>
  <c r="DO146" i="11"/>
  <c r="DP146" i="11" s="1"/>
  <c r="DO145" i="11"/>
  <c r="DP145" i="11" s="1"/>
  <c r="DO144" i="11"/>
  <c r="DP144" i="11" s="1"/>
  <c r="DO143" i="11"/>
  <c r="DP143" i="11" s="1"/>
  <c r="DO142" i="11"/>
  <c r="DP142" i="11" s="1"/>
  <c r="DO141" i="11"/>
  <c r="DP141" i="11" s="1"/>
  <c r="DO140" i="11"/>
  <c r="DP140" i="11" s="1"/>
  <c r="DO139" i="11"/>
  <c r="DP139" i="11" s="1"/>
  <c r="DO138" i="11"/>
  <c r="DP138" i="11" s="1"/>
  <c r="DO137" i="11"/>
  <c r="DP137" i="11" s="1"/>
  <c r="DO136" i="11"/>
  <c r="DP136" i="11" s="1"/>
  <c r="DO135" i="11"/>
  <c r="DP135" i="11" s="1"/>
  <c r="DO134" i="11"/>
  <c r="DP134" i="11" s="1"/>
  <c r="DO133" i="11"/>
  <c r="DP133" i="11" s="1"/>
  <c r="DQ133" i="11" s="1"/>
  <c r="DO132" i="11"/>
  <c r="DP132" i="11" s="1"/>
  <c r="DQ132" i="11" s="1"/>
  <c r="DO131" i="11"/>
  <c r="DP131" i="11" s="1"/>
  <c r="DQ131" i="11" s="1"/>
  <c r="DO130" i="11"/>
  <c r="DP130" i="11" s="1"/>
  <c r="DQ130" i="11" s="1"/>
  <c r="DO129" i="11"/>
  <c r="DP129" i="11" s="1"/>
  <c r="DQ129" i="11" s="1"/>
  <c r="DO128" i="11"/>
  <c r="DP128" i="11" s="1"/>
  <c r="DQ128" i="11" s="1"/>
  <c r="DO127" i="11"/>
  <c r="DP127" i="11" s="1"/>
  <c r="DQ127" i="11" s="1"/>
  <c r="DO126" i="11"/>
  <c r="DP126" i="11" s="1"/>
  <c r="DQ126" i="11" s="1"/>
  <c r="DO125" i="11"/>
  <c r="DP125" i="11" s="1"/>
  <c r="DQ125" i="11" s="1"/>
  <c r="DO124" i="11"/>
  <c r="DP124" i="11" s="1"/>
  <c r="DQ124" i="11" s="1"/>
  <c r="DO123" i="11"/>
  <c r="DP123" i="11" s="1"/>
  <c r="DQ123" i="11" s="1"/>
  <c r="DO122" i="11"/>
  <c r="DP122" i="11" s="1"/>
  <c r="DQ122" i="11" s="1"/>
  <c r="DO121" i="11"/>
  <c r="DP121" i="11" s="1"/>
  <c r="DQ121" i="11" s="1"/>
  <c r="DO120" i="11"/>
  <c r="DP120" i="11" s="1"/>
  <c r="DQ120" i="11" s="1"/>
  <c r="DO119" i="11"/>
  <c r="DP119" i="11" s="1"/>
  <c r="DQ119" i="11" s="1"/>
  <c r="DO118" i="11"/>
  <c r="DP118" i="11" s="1"/>
  <c r="DQ118" i="11" s="1"/>
  <c r="DO117" i="11"/>
  <c r="DP117" i="11" s="1"/>
  <c r="DQ117" i="11" s="1"/>
  <c r="DO116" i="11"/>
  <c r="DP116" i="11" s="1"/>
  <c r="DQ116" i="11" s="1"/>
  <c r="DO115" i="11"/>
  <c r="DP115" i="11" s="1"/>
  <c r="DQ115" i="11" s="1"/>
  <c r="DO114" i="11"/>
  <c r="DP114" i="11" s="1"/>
  <c r="DQ114" i="11" s="1"/>
  <c r="DO113" i="11"/>
  <c r="DP113" i="11" s="1"/>
  <c r="DQ113" i="11" s="1"/>
  <c r="DO112" i="11"/>
  <c r="DP112" i="11" s="1"/>
  <c r="DQ112" i="11" s="1"/>
  <c r="DO111" i="11"/>
  <c r="DP111" i="11" s="1"/>
  <c r="DQ111" i="11" s="1"/>
  <c r="DO110" i="11"/>
  <c r="DP110" i="11" s="1"/>
  <c r="DQ110" i="11" s="1"/>
  <c r="DO109" i="11"/>
  <c r="DP109" i="11" s="1"/>
  <c r="DQ109" i="11" s="1"/>
  <c r="DO108" i="11"/>
  <c r="DP108" i="11" s="1"/>
  <c r="DQ108" i="11" s="1"/>
  <c r="DO107" i="11"/>
  <c r="DP107" i="11" s="1"/>
  <c r="DQ107" i="11" s="1"/>
  <c r="DO106" i="11"/>
  <c r="DP106" i="11" s="1"/>
  <c r="DQ106" i="11" s="1"/>
  <c r="DO105" i="11"/>
  <c r="DP105" i="11" s="1"/>
  <c r="DQ105" i="11" s="1"/>
  <c r="DO104" i="11"/>
  <c r="DP104" i="11" s="1"/>
  <c r="DQ104" i="11" s="1"/>
  <c r="DO103" i="11"/>
  <c r="DP103" i="11" s="1"/>
  <c r="DQ103" i="11" s="1"/>
  <c r="DO102" i="11"/>
  <c r="DP102" i="11" s="1"/>
  <c r="DQ102" i="11" s="1"/>
  <c r="DO101" i="11"/>
  <c r="DP101" i="11" s="1"/>
  <c r="DQ101" i="11" s="1"/>
  <c r="DO100" i="11"/>
  <c r="DP100" i="11" s="1"/>
  <c r="DQ100" i="11" s="1"/>
  <c r="DO99" i="11"/>
  <c r="DP99" i="11" s="1"/>
  <c r="DQ99" i="11" s="1"/>
  <c r="DO98" i="11"/>
  <c r="DP98" i="11" s="1"/>
  <c r="DQ98" i="11" s="1"/>
  <c r="DO97" i="11"/>
  <c r="DP97" i="11" s="1"/>
  <c r="DQ97" i="11" s="1"/>
  <c r="DO96" i="11"/>
  <c r="DP96" i="11" s="1"/>
  <c r="DQ96" i="11" s="1"/>
  <c r="DO95" i="11"/>
  <c r="DP95" i="11" s="1"/>
  <c r="DQ95" i="11" s="1"/>
  <c r="DO94" i="11"/>
  <c r="DP94" i="11" s="1"/>
  <c r="DQ94" i="11" s="1"/>
  <c r="DO93" i="11"/>
  <c r="DP93" i="11" s="1"/>
  <c r="DQ93" i="11" s="1"/>
  <c r="DO92" i="11"/>
  <c r="DP92" i="11" s="1"/>
  <c r="DQ92" i="11" s="1"/>
  <c r="DO91" i="11"/>
  <c r="DP91" i="11" s="1"/>
  <c r="DQ91" i="11" s="1"/>
  <c r="DO90" i="11"/>
  <c r="DP90" i="11" s="1"/>
  <c r="DQ90" i="11" s="1"/>
  <c r="DO89" i="11"/>
  <c r="DP89" i="11" s="1"/>
  <c r="DQ89" i="11" s="1"/>
  <c r="DO88" i="11"/>
  <c r="DP88" i="11" s="1"/>
  <c r="DQ88" i="11" s="1"/>
  <c r="DO87" i="11"/>
  <c r="DP87" i="11" s="1"/>
  <c r="DQ87" i="11" s="1"/>
  <c r="DO86" i="11"/>
  <c r="DP86" i="11" s="1"/>
  <c r="DQ86" i="11" s="1"/>
  <c r="DO85" i="11"/>
  <c r="DP85" i="11" s="1"/>
  <c r="DQ85" i="11" s="1"/>
  <c r="DO84" i="11"/>
  <c r="DP84" i="11" s="1"/>
  <c r="DQ84" i="11" s="1"/>
  <c r="DO83" i="11"/>
  <c r="DP83" i="11" s="1"/>
  <c r="DQ83" i="11" s="1"/>
  <c r="DO82" i="11"/>
  <c r="DP82" i="11" s="1"/>
  <c r="DQ82" i="11" s="1"/>
  <c r="DO81" i="11"/>
  <c r="DP81" i="11" s="1"/>
  <c r="DQ81" i="11" s="1"/>
  <c r="DO80" i="11"/>
  <c r="DP80" i="11" s="1"/>
  <c r="DQ80" i="11" s="1"/>
  <c r="DO79" i="11"/>
  <c r="DP79" i="11" s="1"/>
  <c r="DQ79" i="11" s="1"/>
  <c r="DO78" i="11"/>
  <c r="DP78" i="11" s="1"/>
  <c r="DQ78" i="11" s="1"/>
  <c r="DO77" i="11"/>
  <c r="DP77" i="11" s="1"/>
  <c r="DQ77" i="11" s="1"/>
  <c r="DO76" i="11"/>
  <c r="DP76" i="11" s="1"/>
  <c r="DQ76" i="11" s="1"/>
  <c r="DO75" i="11"/>
  <c r="DP75" i="11" s="1"/>
  <c r="DQ75" i="11" s="1"/>
  <c r="DO74" i="11"/>
  <c r="DP74" i="11" s="1"/>
  <c r="DQ74" i="11" s="1"/>
  <c r="DO73" i="11"/>
  <c r="DP73" i="11" s="1"/>
  <c r="DQ73" i="11" s="1"/>
  <c r="DO72" i="11"/>
  <c r="DP72" i="11" s="1"/>
  <c r="DQ72" i="11" s="1"/>
  <c r="DO71" i="11"/>
  <c r="DP71" i="11" s="1"/>
  <c r="DQ71" i="11" s="1"/>
  <c r="DO70" i="11"/>
  <c r="DP70" i="11" s="1"/>
  <c r="DQ70" i="11" s="1"/>
  <c r="DO69" i="11"/>
  <c r="DP69" i="11" s="1"/>
  <c r="DQ69" i="11" s="1"/>
  <c r="DO68" i="11"/>
  <c r="DP68" i="11" s="1"/>
  <c r="DQ68" i="11" s="1"/>
  <c r="DO67" i="11"/>
  <c r="DP67" i="11" s="1"/>
  <c r="DQ67" i="11" s="1"/>
  <c r="DO66" i="11"/>
  <c r="DP66" i="11" s="1"/>
  <c r="DQ66" i="11" s="1"/>
  <c r="DO65" i="11"/>
  <c r="DP65" i="11" s="1"/>
  <c r="DQ65" i="11" s="1"/>
  <c r="DO64" i="11"/>
  <c r="DP64" i="11" s="1"/>
  <c r="DQ64" i="11" s="1"/>
  <c r="DO63" i="11"/>
  <c r="DP63" i="11" s="1"/>
  <c r="DQ63" i="11" s="1"/>
  <c r="DO62" i="11"/>
  <c r="DP62" i="11" s="1"/>
  <c r="DQ62" i="11" s="1"/>
  <c r="DO61" i="11"/>
  <c r="DP61" i="11" s="1"/>
  <c r="DQ61" i="11" s="1"/>
  <c r="DO60" i="11"/>
  <c r="DP60" i="11" s="1"/>
  <c r="DQ60" i="11" s="1"/>
  <c r="DO59" i="11"/>
  <c r="DP59" i="11" s="1"/>
  <c r="DO58" i="11"/>
  <c r="DP58" i="11" s="1"/>
  <c r="DQ58" i="11" s="1"/>
  <c r="DO57" i="11"/>
  <c r="DP57" i="11" s="1"/>
  <c r="DQ57" i="11" s="1"/>
  <c r="DO56" i="11"/>
  <c r="DP56" i="11" s="1"/>
  <c r="DO55" i="11"/>
  <c r="DP55" i="11" s="1"/>
  <c r="DQ55" i="11" s="1"/>
  <c r="DO54" i="11"/>
  <c r="DP54" i="11" s="1"/>
  <c r="DQ54" i="11" s="1"/>
  <c r="DO53" i="11"/>
  <c r="DP53" i="11" s="1"/>
  <c r="DQ53" i="11" s="1"/>
  <c r="DO52" i="11"/>
  <c r="DP52" i="11" s="1"/>
  <c r="DQ52" i="11" s="1"/>
  <c r="DO51" i="11"/>
  <c r="DP51" i="11" s="1"/>
  <c r="DQ51" i="11" s="1"/>
  <c r="DO50" i="11"/>
  <c r="DP50" i="11" s="1"/>
  <c r="DO49" i="11"/>
  <c r="DP49" i="11" s="1"/>
  <c r="DO48" i="11"/>
  <c r="DP48" i="11" s="1"/>
  <c r="DQ48" i="11" s="1"/>
  <c r="DO47" i="11"/>
  <c r="DP47" i="11" s="1"/>
  <c r="DQ47" i="11" s="1"/>
  <c r="DO46" i="11"/>
  <c r="DP46" i="11" s="1"/>
  <c r="DQ46" i="11" s="1"/>
  <c r="DO45" i="11"/>
  <c r="DP45" i="11" s="1"/>
  <c r="DQ45" i="11" s="1"/>
  <c r="DO44" i="11"/>
  <c r="DP44" i="11" s="1"/>
  <c r="DQ44" i="11" s="1"/>
  <c r="DO43" i="11"/>
  <c r="DP43" i="11" s="1"/>
  <c r="DO42" i="11"/>
  <c r="DP42" i="11" s="1"/>
  <c r="DQ42" i="11" s="1"/>
  <c r="DO41" i="11"/>
  <c r="DP41" i="11" s="1"/>
  <c r="DQ41" i="11" s="1"/>
  <c r="DO40" i="11"/>
  <c r="DP40" i="11" s="1"/>
  <c r="DQ40" i="11" s="1"/>
  <c r="DO39" i="11"/>
  <c r="DP39" i="11" s="1"/>
  <c r="DQ39" i="11" s="1"/>
  <c r="DO38" i="11"/>
  <c r="DP38" i="11" s="1"/>
  <c r="DQ38" i="11" s="1"/>
  <c r="DO37" i="11"/>
  <c r="DP37" i="11" s="1"/>
  <c r="DO36" i="11"/>
  <c r="DP36" i="11" s="1"/>
  <c r="DQ36" i="11" s="1"/>
  <c r="DO35" i="11"/>
  <c r="DP35" i="11" s="1"/>
  <c r="DQ35" i="11" s="1"/>
  <c r="DO34" i="11"/>
  <c r="DP34" i="11" s="1"/>
  <c r="DQ34" i="11" s="1"/>
  <c r="DO33" i="11"/>
  <c r="DP33" i="11" s="1"/>
  <c r="DQ33" i="11" s="1"/>
  <c r="DO32" i="11"/>
  <c r="DP32" i="11" s="1"/>
  <c r="DQ32" i="11" s="1"/>
  <c r="DO31" i="11"/>
  <c r="DP31" i="11" s="1"/>
  <c r="DO30" i="11"/>
  <c r="DP30" i="11" s="1"/>
  <c r="DO29" i="11"/>
  <c r="DP29" i="11" s="1"/>
  <c r="DO28" i="11"/>
  <c r="DP28" i="11" s="1"/>
  <c r="DQ28" i="11" s="1"/>
  <c r="DO27" i="11"/>
  <c r="DP27" i="11" s="1"/>
  <c r="DQ27" i="11" s="1"/>
  <c r="DO26" i="11"/>
  <c r="DP26" i="11" s="1"/>
  <c r="DQ26" i="11" s="1"/>
  <c r="DO25" i="11"/>
  <c r="DP25" i="11" s="1"/>
  <c r="DQ25" i="11" s="1"/>
  <c r="DO24" i="11"/>
  <c r="DP24" i="11" s="1"/>
  <c r="DQ24" i="11" s="1"/>
  <c r="DO23" i="11"/>
  <c r="DP23" i="11" s="1"/>
  <c r="DQ23" i="11" s="1"/>
  <c r="DO22" i="11"/>
  <c r="DP22" i="11" s="1"/>
  <c r="DQ22" i="11" s="1"/>
  <c r="DO21" i="11"/>
  <c r="DP21" i="11" s="1"/>
  <c r="DQ21" i="11" s="1"/>
  <c r="DO20" i="11"/>
  <c r="DP20" i="11" s="1"/>
  <c r="DQ20" i="11" s="1"/>
  <c r="DO19" i="11"/>
  <c r="DP19" i="11" s="1"/>
  <c r="DO18" i="11"/>
  <c r="DP18" i="11" s="1"/>
  <c r="DQ18" i="11" s="1"/>
  <c r="DO17" i="11"/>
  <c r="DP17" i="11" s="1"/>
  <c r="DQ17" i="11" s="1"/>
  <c r="DO16" i="11"/>
  <c r="DP16" i="11" s="1"/>
  <c r="DQ16" i="11" s="1"/>
  <c r="DO15" i="11"/>
  <c r="DO14" i="11"/>
  <c r="DP14" i="11" s="1"/>
  <c r="DQ14" i="11" s="1"/>
  <c r="DO13" i="11"/>
  <c r="DP13" i="11" s="1"/>
  <c r="DQ13" i="11" s="1"/>
  <c r="DO12" i="11"/>
  <c r="DP12" i="11" s="1"/>
  <c r="DQ12" i="11" s="1"/>
  <c r="DO11" i="11"/>
  <c r="DP11" i="11" s="1"/>
  <c r="DQ11" i="11" s="1"/>
  <c r="DO10" i="11"/>
  <c r="DP10" i="11" s="1"/>
  <c r="DQ10" i="11" s="1"/>
  <c r="DO9" i="11"/>
  <c r="DP9" i="11" s="1"/>
  <c r="DQ9" i="11" s="1"/>
  <c r="DO8" i="11"/>
  <c r="DP8" i="11" s="1"/>
  <c r="DQ8" i="11" s="1"/>
  <c r="DO7" i="11"/>
  <c r="DP7" i="11" s="1"/>
  <c r="DQ7" i="11" s="1"/>
  <c r="DO6" i="11"/>
  <c r="DP6" i="11" s="1"/>
  <c r="DQ6" i="11" s="1"/>
  <c r="DO5" i="11"/>
  <c r="DP5" i="11" s="1"/>
  <c r="DO4" i="11"/>
  <c r="DP4" i="11" s="1"/>
  <c r="AH195" i="11" l="1"/>
  <c r="V195" i="11"/>
  <c r="AH194" i="11"/>
  <c r="AH193" i="11"/>
  <c r="AH192" i="11"/>
  <c r="V194" i="11"/>
  <c r="V193" i="11"/>
  <c r="V192" i="11"/>
  <c r="DQ194" i="11"/>
  <c r="DQ195" i="11"/>
  <c r="BF195" i="11"/>
  <c r="AW194" i="11"/>
  <c r="AW195" i="11"/>
  <c r="BF194" i="11"/>
  <c r="BF193" i="11"/>
  <c r="DQ187" i="11"/>
  <c r="DQ188" i="11"/>
  <c r="BF187" i="11"/>
  <c r="BF188" i="11"/>
  <c r="AW188" i="11"/>
  <c r="AW187" i="11"/>
  <c r="DQ184" i="11"/>
  <c r="BF184" i="11"/>
  <c r="AW184" i="11"/>
  <c r="DQ182" i="11"/>
  <c r="DQ183" i="11"/>
  <c r="BF183" i="11"/>
  <c r="BF182" i="11"/>
  <c r="AW182" i="11"/>
  <c r="AW183" i="11"/>
  <c r="DQ137" i="11"/>
  <c r="DQ141" i="11"/>
  <c r="DQ145" i="11"/>
  <c r="DQ153" i="11"/>
  <c r="DQ157" i="11"/>
  <c r="DQ161" i="11"/>
  <c r="DQ165" i="11"/>
  <c r="DQ169" i="11"/>
  <c r="AW136" i="11"/>
  <c r="AW140" i="11"/>
  <c r="AW144" i="11"/>
  <c r="AW152" i="11"/>
  <c r="AW156" i="11"/>
  <c r="AW160" i="11"/>
  <c r="AW164" i="11"/>
  <c r="AW168" i="11"/>
  <c r="V169" i="11"/>
  <c r="V165" i="11"/>
  <c r="V161" i="11"/>
  <c r="V157" i="11"/>
  <c r="V153" i="11"/>
  <c r="V149" i="11"/>
  <c r="V145" i="11"/>
  <c r="V141" i="11"/>
  <c r="V137" i="11"/>
  <c r="BF168" i="11"/>
  <c r="BF164" i="11"/>
  <c r="BF160" i="11"/>
  <c r="BF156" i="11"/>
  <c r="BF152" i="11"/>
  <c r="BF144" i="11"/>
  <c r="BF140" i="11"/>
  <c r="BF136" i="11"/>
  <c r="AH135" i="11"/>
  <c r="AH137" i="11"/>
  <c r="AH139" i="11"/>
  <c r="AH141" i="11"/>
  <c r="AH143" i="11"/>
  <c r="AH145" i="11"/>
  <c r="AH147" i="11"/>
  <c r="AH149" i="11"/>
  <c r="AH151" i="11"/>
  <c r="AH153" i="11"/>
  <c r="AH155" i="11"/>
  <c r="AH157" i="11"/>
  <c r="AH159" i="11"/>
  <c r="AH161" i="11"/>
  <c r="AH163" i="11"/>
  <c r="AH165" i="11"/>
  <c r="AH167" i="11"/>
  <c r="AH169" i="11"/>
  <c r="AH171" i="11"/>
  <c r="DQ138" i="11"/>
  <c r="DQ142" i="11"/>
  <c r="DQ150" i="11"/>
  <c r="DQ158" i="11"/>
  <c r="DQ162" i="11"/>
  <c r="DQ166" i="11"/>
  <c r="DQ170" i="11"/>
  <c r="AW137" i="11"/>
  <c r="AW141" i="11"/>
  <c r="AW145" i="11"/>
  <c r="AW153" i="11"/>
  <c r="AW157" i="11"/>
  <c r="AW161" i="11"/>
  <c r="AW165" i="11"/>
  <c r="AW169" i="11"/>
  <c r="V168" i="11"/>
  <c r="V164" i="11"/>
  <c r="V160" i="11"/>
  <c r="V156" i="11"/>
  <c r="V152" i="11"/>
  <c r="V148" i="11"/>
  <c r="V144" i="11"/>
  <c r="V140" i="11"/>
  <c r="V136" i="11"/>
  <c r="BF171" i="11"/>
  <c r="BF167" i="11"/>
  <c r="BF163" i="11"/>
  <c r="BF159" i="11"/>
  <c r="BF151" i="11"/>
  <c r="BF143" i="11"/>
  <c r="BF139" i="11"/>
  <c r="DQ139" i="11"/>
  <c r="DQ143" i="11"/>
  <c r="DQ151" i="11"/>
  <c r="DQ159" i="11"/>
  <c r="DQ163" i="11"/>
  <c r="DQ167" i="11"/>
  <c r="DQ171" i="11"/>
  <c r="AW138" i="11"/>
  <c r="AW142" i="11"/>
  <c r="AW150" i="11"/>
  <c r="AW158" i="11"/>
  <c r="AW162" i="11"/>
  <c r="AW166" i="11"/>
  <c r="AW170" i="11"/>
  <c r="V171" i="11"/>
  <c r="V167" i="11"/>
  <c r="V163" i="11"/>
  <c r="V159" i="11"/>
  <c r="V155" i="11"/>
  <c r="V151" i="11"/>
  <c r="V147" i="11"/>
  <c r="V143" i="11"/>
  <c r="V139" i="11"/>
  <c r="V135" i="11"/>
  <c r="BF170" i="11"/>
  <c r="BF166" i="11"/>
  <c r="BF162" i="11"/>
  <c r="BF158" i="11"/>
  <c r="BF150" i="11"/>
  <c r="BF142" i="11"/>
  <c r="BF138" i="11"/>
  <c r="AH136" i="11"/>
  <c r="AH138" i="11"/>
  <c r="AH140" i="11"/>
  <c r="AH142" i="11"/>
  <c r="AH144" i="11"/>
  <c r="AH148" i="11"/>
  <c r="AH150" i="11"/>
  <c r="AH152" i="11"/>
  <c r="AH156" i="11"/>
  <c r="AH158" i="11"/>
  <c r="AH160" i="11"/>
  <c r="AH162" i="11"/>
  <c r="AH164" i="11"/>
  <c r="AH166" i="11"/>
  <c r="AH168" i="11"/>
  <c r="AH170" i="11"/>
  <c r="DQ136" i="11"/>
  <c r="DQ140" i="11"/>
  <c r="DQ144" i="11"/>
  <c r="DQ152" i="11"/>
  <c r="DQ156" i="11"/>
  <c r="DQ160" i="11"/>
  <c r="DQ164" i="11"/>
  <c r="DQ168" i="11"/>
  <c r="AW143" i="11"/>
  <c r="AW151" i="11"/>
  <c r="AW159" i="11"/>
  <c r="AW163" i="11"/>
  <c r="AW167" i="11"/>
  <c r="AW171" i="11"/>
  <c r="V170" i="11"/>
  <c r="V166" i="11"/>
  <c r="V162" i="11"/>
  <c r="V158" i="11"/>
  <c r="V150" i="11"/>
  <c r="V142" i="11"/>
  <c r="V138" i="11"/>
  <c r="BF169" i="11"/>
  <c r="BF165" i="11"/>
  <c r="BF161" i="11"/>
  <c r="BF157" i="11"/>
  <c r="BF153" i="11"/>
  <c r="BF145" i="11"/>
  <c r="BF141" i="11"/>
  <c r="BF137" i="11"/>
  <c r="DQ154" i="11"/>
  <c r="DQ155" i="11"/>
  <c r="BF155" i="11"/>
  <c r="BF154" i="11"/>
  <c r="AW154" i="11"/>
  <c r="AW155" i="11"/>
  <c r="AH154" i="11"/>
  <c r="V154" i="11"/>
  <c r="DQ149" i="11"/>
  <c r="DQ148" i="11"/>
  <c r="BF148" i="11"/>
  <c r="BF149" i="11"/>
  <c r="AW149" i="11"/>
  <c r="AW148" i="11"/>
  <c r="DQ147" i="11"/>
  <c r="BF147" i="11"/>
  <c r="BF146" i="11"/>
  <c r="AW146" i="11"/>
  <c r="AW147" i="11"/>
  <c r="DQ146" i="11"/>
  <c r="AH146" i="11"/>
  <c r="V146" i="11"/>
  <c r="DQ134" i="11"/>
  <c r="DQ135" i="11"/>
  <c r="BF135" i="11"/>
  <c r="BF134" i="11"/>
  <c r="AW134" i="11"/>
  <c r="AW135" i="11"/>
  <c r="AH134" i="11"/>
  <c r="V134" i="11"/>
  <c r="V50" i="11"/>
  <c r="Y50" i="11"/>
  <c r="EG50" i="11"/>
  <c r="EJ50" i="11"/>
  <c r="CS50" i="11"/>
  <c r="CV50" i="11"/>
  <c r="DQ50" i="11"/>
  <c r="DT50" i="11"/>
  <c r="AW50" i="11"/>
  <c r="AZ50" i="11"/>
  <c r="BF50" i="11"/>
  <c r="BJ50" i="11"/>
  <c r="BK50" i="11" s="1"/>
  <c r="AH50" i="11"/>
  <c r="AK50" i="11"/>
  <c r="AR50" i="11"/>
  <c r="AR19" i="11"/>
  <c r="DB11" i="11"/>
  <c r="DQ19" i="11"/>
  <c r="DT19" i="11"/>
  <c r="CS19" i="11"/>
  <c r="CV19" i="11"/>
  <c r="BF19" i="11"/>
  <c r="BJ19" i="11"/>
  <c r="BK19" i="11" s="1"/>
  <c r="EG19" i="11"/>
  <c r="EJ19" i="11"/>
  <c r="AH19" i="11"/>
  <c r="AK19" i="11"/>
  <c r="AW19" i="11"/>
  <c r="AZ19" i="11"/>
  <c r="Y19" i="11"/>
  <c r="DZ11" i="11"/>
  <c r="HH4" i="11"/>
  <c r="HH5" i="11" s="1"/>
  <c r="HH6" i="11" s="1"/>
  <c r="HH7" i="11" s="1"/>
  <c r="HH8" i="11" s="1"/>
  <c r="HH9" i="11" s="1"/>
  <c r="HH10" i="11" s="1"/>
  <c r="HH11" i="11" s="1"/>
  <c r="HH12" i="11" s="1"/>
  <c r="HH13" i="11" s="1"/>
  <c r="HH14" i="11" s="1"/>
  <c r="HH15" i="11" s="1"/>
  <c r="HH16" i="11" s="1"/>
  <c r="HH17" i="11" s="1"/>
  <c r="HH18" i="11" s="1"/>
  <c r="HH19" i="11" s="1"/>
  <c r="HH20" i="11" s="1"/>
  <c r="HH21" i="11" s="1"/>
  <c r="HH22" i="11" s="1"/>
  <c r="HH23" i="11" s="1"/>
  <c r="HH24" i="11" s="1"/>
  <c r="HH25" i="11" s="1"/>
  <c r="HH26" i="11" s="1"/>
  <c r="HH27" i="11" s="1"/>
  <c r="HH28" i="11" s="1"/>
  <c r="HH29" i="11" s="1"/>
  <c r="HH30" i="11" s="1"/>
  <c r="HH31" i="11" s="1"/>
  <c r="HH32" i="11" s="1"/>
  <c r="HH33" i="11" s="1"/>
  <c r="HH34" i="11" s="1"/>
  <c r="HH35" i="11" s="1"/>
  <c r="HH36" i="11" s="1"/>
  <c r="HH37" i="11" s="1"/>
  <c r="HH38" i="11" s="1"/>
  <c r="HH39" i="11" s="1"/>
  <c r="HH40" i="11" s="1"/>
  <c r="HH41" i="11" s="1"/>
  <c r="HH42" i="11" s="1"/>
  <c r="HH43" i="11" s="1"/>
  <c r="HH44" i="11" s="1"/>
  <c r="HH45" i="11" s="1"/>
  <c r="HH46" i="11" s="1"/>
  <c r="HH47" i="11" s="1"/>
  <c r="HH48" i="11" s="1"/>
  <c r="HH49" i="11" s="1"/>
  <c r="HH50" i="11" s="1"/>
  <c r="HH51" i="11" s="1"/>
  <c r="HH52" i="11" s="1"/>
  <c r="HH53" i="11" s="1"/>
  <c r="HH54" i="11" s="1"/>
  <c r="HH55" i="11" s="1"/>
  <c r="HH56" i="11" s="1"/>
  <c r="HH57" i="11" s="1"/>
  <c r="HH58" i="11" s="1"/>
  <c r="HH59" i="11" s="1"/>
  <c r="HH60" i="11" s="1"/>
  <c r="HH61" i="11" s="1"/>
  <c r="HH62" i="11" s="1"/>
  <c r="HH63" i="11" s="1"/>
  <c r="HH64" i="11" s="1"/>
  <c r="HH65" i="11" s="1"/>
  <c r="HH66" i="11" s="1"/>
  <c r="HH67" i="11" s="1"/>
  <c r="HH68" i="11" s="1"/>
  <c r="HH69" i="11" s="1"/>
  <c r="HH70" i="11" s="1"/>
  <c r="HH71" i="11" s="1"/>
  <c r="HH72" i="11" s="1"/>
  <c r="HH73" i="11" s="1"/>
  <c r="HH74" i="11" s="1"/>
  <c r="HH75" i="11" s="1"/>
  <c r="HH76" i="11" s="1"/>
  <c r="HH77" i="11" s="1"/>
  <c r="HH78" i="11" s="1"/>
  <c r="HH79" i="11" s="1"/>
  <c r="HH80" i="11" s="1"/>
  <c r="HH81" i="11" s="1"/>
  <c r="HH82" i="11" s="1"/>
  <c r="HH83" i="11" s="1"/>
  <c r="HH84" i="11" s="1"/>
  <c r="HH85" i="11" s="1"/>
  <c r="HH86" i="11" s="1"/>
  <c r="HH87" i="11" s="1"/>
  <c r="HH88" i="11" s="1"/>
  <c r="HH89" i="11" s="1"/>
  <c r="HH90" i="11" s="1"/>
  <c r="HH91" i="11" s="1"/>
  <c r="HH92" i="11" s="1"/>
  <c r="HH93" i="11" s="1"/>
  <c r="HH94" i="11" s="1"/>
  <c r="HH95" i="11" s="1"/>
  <c r="HH96" i="11" s="1"/>
  <c r="HH97" i="11" s="1"/>
  <c r="HH98" i="11" s="1"/>
  <c r="HH99" i="11" s="1"/>
  <c r="HH100" i="11" s="1"/>
  <c r="HH101" i="11" s="1"/>
  <c r="HH102" i="11" s="1"/>
  <c r="HH103" i="11" s="1"/>
  <c r="HH104" i="11" s="1"/>
  <c r="HH105" i="11" s="1"/>
  <c r="HH106" i="11" s="1"/>
  <c r="HH107" i="11" s="1"/>
  <c r="HH108" i="11" s="1"/>
  <c r="HH109" i="11" s="1"/>
  <c r="HH110" i="11" s="1"/>
  <c r="HH111" i="11" s="1"/>
  <c r="HH112" i="11" s="1"/>
  <c r="HH113" i="11" s="1"/>
  <c r="HH114" i="11" s="1"/>
  <c r="HH115" i="11" s="1"/>
  <c r="HH116" i="11" s="1"/>
  <c r="HH117" i="11" s="1"/>
  <c r="HH118" i="11" s="1"/>
  <c r="HH119" i="11" s="1"/>
  <c r="HH120" i="11" s="1"/>
  <c r="HH121" i="11" s="1"/>
  <c r="HH122" i="11" s="1"/>
  <c r="HH123" i="11" s="1"/>
  <c r="HH124" i="11" s="1"/>
  <c r="HH125" i="11" s="1"/>
  <c r="HH126" i="11" s="1"/>
  <c r="HH127" i="11" s="1"/>
  <c r="HH128" i="11" s="1"/>
  <c r="HH129" i="11" s="1"/>
  <c r="HH130" i="11" s="1"/>
  <c r="HH131" i="11" s="1"/>
  <c r="HH132" i="11" s="1"/>
  <c r="HH133" i="11" s="1"/>
  <c r="HH134" i="11" s="1"/>
  <c r="HH135" i="11" s="1"/>
  <c r="HH136" i="11" s="1"/>
  <c r="HH137" i="11" s="1"/>
  <c r="HH138" i="11" s="1"/>
  <c r="HH139" i="11" s="1"/>
  <c r="HH140" i="11" s="1"/>
  <c r="HH141" i="11" s="1"/>
  <c r="HH142" i="11" s="1"/>
  <c r="HH143" i="11" s="1"/>
  <c r="HH144" i="11" s="1"/>
  <c r="HH145" i="11" s="1"/>
  <c r="HH146" i="11" s="1"/>
  <c r="HH147" i="11" s="1"/>
  <c r="HH148" i="11" s="1"/>
  <c r="HH149" i="11" s="1"/>
  <c r="HH150" i="11" s="1"/>
  <c r="HH151" i="11" s="1"/>
  <c r="HH152" i="11" s="1"/>
  <c r="HH153" i="11" s="1"/>
  <c r="HH154" i="11" s="1"/>
  <c r="HH155" i="11" s="1"/>
  <c r="HH156" i="11" s="1"/>
  <c r="HH157" i="11" s="1"/>
  <c r="HH158" i="11" s="1"/>
  <c r="HH159" i="11" s="1"/>
  <c r="HH160" i="11" s="1"/>
  <c r="HH161" i="11" s="1"/>
  <c r="HH162" i="11" s="1"/>
  <c r="HH163" i="11" s="1"/>
  <c r="HH164" i="11" s="1"/>
  <c r="HH165" i="11" s="1"/>
  <c r="HH166" i="11" s="1"/>
  <c r="HH167" i="11" s="1"/>
  <c r="HH168" i="11" s="1"/>
  <c r="HH169" i="11" s="1"/>
  <c r="HH170" i="11" s="1"/>
  <c r="HH171" i="11" s="1"/>
  <c r="HH172" i="11" s="1"/>
  <c r="HH173" i="11" s="1"/>
  <c r="HH174" i="11" s="1"/>
  <c r="HH175" i="11" s="1"/>
  <c r="HH176" i="11" s="1"/>
  <c r="HH177" i="11" s="1"/>
  <c r="HH178" i="11" s="1"/>
  <c r="HH179" i="11" s="1"/>
  <c r="HH180" i="11" s="1"/>
  <c r="HH181" i="11" s="1"/>
  <c r="HH182" i="11" s="1"/>
  <c r="HH183" i="11" s="1"/>
  <c r="HH184" i="11" s="1"/>
  <c r="HH185" i="11" s="1"/>
  <c r="HH186" i="11" s="1"/>
  <c r="HH187" i="11" s="1"/>
  <c r="HH188" i="11" s="1"/>
  <c r="HH189" i="11" s="1"/>
  <c r="HH190" i="11" s="1"/>
  <c r="HH191" i="11" s="1"/>
  <c r="HH192" i="11" s="1"/>
  <c r="HH193" i="11" s="1"/>
  <c r="HH194" i="11" s="1"/>
  <c r="HH195" i="11" s="1"/>
  <c r="HH196" i="11" s="1"/>
  <c r="HH197" i="11" s="1"/>
  <c r="HH198" i="11" s="1"/>
  <c r="HH199" i="11" s="1"/>
  <c r="HH200" i="11" s="1"/>
  <c r="HH201" i="11" s="1"/>
  <c r="HH202" i="11" s="1"/>
  <c r="HH203" i="11" s="1"/>
  <c r="HH204" i="11" s="1"/>
  <c r="HH205" i="11" s="1"/>
  <c r="HH206" i="11" s="1"/>
  <c r="HH207" i="11" s="1"/>
  <c r="HH208" i="11" s="1"/>
  <c r="HH209" i="11" s="1"/>
  <c r="HH210" i="11" s="1"/>
  <c r="HH211" i="11" s="1"/>
  <c r="HH212" i="11" s="1"/>
  <c r="HH213" i="11" s="1"/>
  <c r="HH214" i="11" s="1"/>
  <c r="HH215" i="11" s="1"/>
  <c r="HH216" i="11" s="1"/>
  <c r="HH217" i="11" s="1"/>
  <c r="HH218" i="11" s="1"/>
  <c r="HH219" i="11" s="1"/>
  <c r="HH220" i="11" s="1"/>
  <c r="HH221" i="11" s="1"/>
  <c r="HH222" i="11" s="1"/>
  <c r="HH223" i="11" s="1"/>
  <c r="HH224" i="11" s="1"/>
  <c r="HH225" i="11" s="1"/>
  <c r="HH226" i="11" s="1"/>
  <c r="HH227" i="11" s="1"/>
  <c r="HH228" i="11" s="1"/>
  <c r="HH229" i="11" s="1"/>
  <c r="HH230" i="11" s="1"/>
  <c r="HH231" i="11" s="1"/>
  <c r="HH232" i="11" s="1"/>
  <c r="HH233" i="11" s="1"/>
  <c r="HH234" i="11" s="1"/>
  <c r="HH235" i="11" s="1"/>
  <c r="HH236" i="11" s="1"/>
  <c r="HH237" i="11" s="1"/>
  <c r="HH238" i="11" s="1"/>
  <c r="HH239" i="11" s="1"/>
  <c r="HH240" i="11" s="1"/>
  <c r="HJ4" i="11"/>
  <c r="EH4" i="11"/>
  <c r="EH5" i="11" s="1"/>
  <c r="EH6" i="11" s="1"/>
  <c r="EJ4" i="11"/>
  <c r="CT4" i="11"/>
  <c r="CT5" i="11" s="1"/>
  <c r="CT6" i="11" s="1"/>
  <c r="CV4" i="11"/>
  <c r="DR4" i="11"/>
  <c r="DR5" i="11" s="1"/>
  <c r="DR6" i="11" s="1"/>
  <c r="DJ8" i="11"/>
  <c r="BJ4" i="11"/>
  <c r="BK4" i="11" s="1"/>
  <c r="BG4" i="11"/>
  <c r="BG5" i="11" s="1"/>
  <c r="BG6" i="11" s="1"/>
  <c r="AX4" i="11"/>
  <c r="AX5" i="11" s="1"/>
  <c r="AX6" i="11" s="1"/>
  <c r="AP4" i="11"/>
  <c r="AR4" i="11"/>
  <c r="AK4" i="11"/>
  <c r="Y4" i="11"/>
  <c r="W4" i="11"/>
  <c r="V4" i="11"/>
  <c r="V7" i="11"/>
  <c r="FD5" i="11"/>
  <c r="FD6" i="11" s="1"/>
  <c r="FD7" i="11" s="1"/>
  <c r="FD8" i="11" s="1"/>
  <c r="FD9" i="11" s="1"/>
  <c r="FD10" i="11" s="1"/>
  <c r="FD11" i="11" s="1"/>
  <c r="FD12" i="11" s="1"/>
  <c r="FD13" i="11" s="1"/>
  <c r="FD14" i="11" s="1"/>
  <c r="FD15" i="11" s="1"/>
  <c r="FD16" i="11" s="1"/>
  <c r="FD17" i="11" s="1"/>
  <c r="FD18" i="11" s="1"/>
  <c r="FD19" i="11" s="1"/>
  <c r="FD20" i="11" s="1"/>
  <c r="FD21" i="11" s="1"/>
  <c r="FD22" i="11" s="1"/>
  <c r="FD23" i="11" s="1"/>
  <c r="FD24" i="11" s="1"/>
  <c r="FD25" i="11" s="1"/>
  <c r="FD26" i="11" s="1"/>
  <c r="FD27" i="11" s="1"/>
  <c r="FD28" i="11" s="1"/>
  <c r="FD29" i="11" s="1"/>
  <c r="FD30" i="11" s="1"/>
  <c r="FD31" i="11" s="1"/>
  <c r="FD32" i="11" s="1"/>
  <c r="FD33" i="11" s="1"/>
  <c r="FD34" i="11" s="1"/>
  <c r="FD35" i="11" s="1"/>
  <c r="FD36" i="11" s="1"/>
  <c r="FD37" i="11" s="1"/>
  <c r="FD38" i="11" s="1"/>
  <c r="FD39" i="11" s="1"/>
  <c r="FD40" i="11" s="1"/>
  <c r="FD41" i="11" s="1"/>
  <c r="FD42" i="11" s="1"/>
  <c r="FD43" i="11" s="1"/>
  <c r="FD44" i="11" s="1"/>
  <c r="FD45" i="11" s="1"/>
  <c r="FD46" i="11" s="1"/>
  <c r="FD47" i="11" s="1"/>
  <c r="FD48" i="11" s="1"/>
  <c r="FD49" i="11" s="1"/>
  <c r="FD50" i="11" s="1"/>
  <c r="FD51" i="11" s="1"/>
  <c r="FD52" i="11" s="1"/>
  <c r="FD53" i="11" s="1"/>
  <c r="FD54" i="11" s="1"/>
  <c r="FD55" i="11" s="1"/>
  <c r="FD56" i="11" s="1"/>
  <c r="FD57" i="11" s="1"/>
  <c r="FD58" i="11" s="1"/>
  <c r="FD59" i="11" s="1"/>
  <c r="FD60" i="11" s="1"/>
  <c r="FD61" i="11" s="1"/>
  <c r="FD62" i="11" s="1"/>
  <c r="FD63" i="11" s="1"/>
  <c r="FD64" i="11" s="1"/>
  <c r="FD65" i="11" s="1"/>
  <c r="FD66" i="11" s="1"/>
  <c r="FD67" i="11" s="1"/>
  <c r="FD68" i="11" s="1"/>
  <c r="FD69" i="11" s="1"/>
  <c r="FD70" i="11" s="1"/>
  <c r="FD71" i="11" s="1"/>
  <c r="FD72" i="11" s="1"/>
  <c r="FD73" i="11" s="1"/>
  <c r="FD74" i="11" s="1"/>
  <c r="FD75" i="11" s="1"/>
  <c r="FD76" i="11" s="1"/>
  <c r="FD77" i="11" s="1"/>
  <c r="FD78" i="11" s="1"/>
  <c r="FD79" i="11" s="1"/>
  <c r="FD80" i="11" s="1"/>
  <c r="FD81" i="11" s="1"/>
  <c r="FD82" i="11" s="1"/>
  <c r="FD83" i="11" s="1"/>
  <c r="FD84" i="11" s="1"/>
  <c r="FD85" i="11" s="1"/>
  <c r="FD86" i="11" s="1"/>
  <c r="FD87" i="11" s="1"/>
  <c r="FD88" i="11" s="1"/>
  <c r="FD89" i="11" s="1"/>
  <c r="FD90" i="11" s="1"/>
  <c r="FD91" i="11" s="1"/>
  <c r="FD92" i="11" s="1"/>
  <c r="FD93" i="11" s="1"/>
  <c r="FD94" i="11" s="1"/>
  <c r="FD95" i="11" s="1"/>
  <c r="FD96" i="11" s="1"/>
  <c r="FD97" i="11" s="1"/>
  <c r="FD98" i="11" s="1"/>
  <c r="FD99" i="11" s="1"/>
  <c r="FD100" i="11" s="1"/>
  <c r="FD101" i="11" s="1"/>
  <c r="FD102" i="11" s="1"/>
  <c r="FD103" i="11" s="1"/>
  <c r="FD104" i="11" s="1"/>
  <c r="FD105" i="11" s="1"/>
  <c r="FD106" i="11" s="1"/>
  <c r="FD107" i="11" s="1"/>
  <c r="FD108" i="11" s="1"/>
  <c r="FD109" i="11" s="1"/>
  <c r="FD110" i="11" s="1"/>
  <c r="FD111" i="11" s="1"/>
  <c r="FD112" i="11" s="1"/>
  <c r="FD113" i="11" s="1"/>
  <c r="FD114" i="11" s="1"/>
  <c r="FD115" i="11" s="1"/>
  <c r="FD116" i="11" s="1"/>
  <c r="FD117" i="11" s="1"/>
  <c r="FD118" i="11" s="1"/>
  <c r="FD119" i="11" s="1"/>
  <c r="FD120" i="11" s="1"/>
  <c r="FD121" i="11" s="1"/>
  <c r="FD122" i="11" s="1"/>
  <c r="FD123" i="11" s="1"/>
  <c r="FD124" i="11" s="1"/>
  <c r="FD125" i="11" s="1"/>
  <c r="FD126" i="11" s="1"/>
  <c r="FD127" i="11" s="1"/>
  <c r="FD128" i="11" s="1"/>
  <c r="FD129" i="11" s="1"/>
  <c r="FD130" i="11" s="1"/>
  <c r="FD131" i="11" s="1"/>
  <c r="FD132" i="11" s="1"/>
  <c r="FD133" i="11" s="1"/>
  <c r="FD134" i="11" s="1"/>
  <c r="FD135" i="11" s="1"/>
  <c r="FD136" i="11" s="1"/>
  <c r="FD137" i="11" s="1"/>
  <c r="FD138" i="11" s="1"/>
  <c r="FD139" i="11" s="1"/>
  <c r="FD140" i="11" s="1"/>
  <c r="FD141" i="11" s="1"/>
  <c r="FD142" i="11" s="1"/>
  <c r="FD143" i="11" s="1"/>
  <c r="FD144" i="11" s="1"/>
  <c r="FD145" i="11" s="1"/>
  <c r="FD146" i="11" s="1"/>
  <c r="FD147" i="11" s="1"/>
  <c r="FD148" i="11" s="1"/>
  <c r="FD149" i="11" s="1"/>
  <c r="FD150" i="11" s="1"/>
  <c r="FD151" i="11" s="1"/>
  <c r="FD152" i="11" s="1"/>
  <c r="FD153" i="11" s="1"/>
  <c r="FD154" i="11" s="1"/>
  <c r="FD155" i="11" s="1"/>
  <c r="FD156" i="11" s="1"/>
  <c r="FD157" i="11" s="1"/>
  <c r="FD158" i="11" s="1"/>
  <c r="FD159" i="11" s="1"/>
  <c r="FD160" i="11" s="1"/>
  <c r="FD161" i="11" s="1"/>
  <c r="FD162" i="11" s="1"/>
  <c r="FD163" i="11" s="1"/>
  <c r="FD164" i="11" s="1"/>
  <c r="FD165" i="11" s="1"/>
  <c r="FD166" i="11" s="1"/>
  <c r="FD167" i="11" s="1"/>
  <c r="FD168" i="11" s="1"/>
  <c r="FD169" i="11" s="1"/>
  <c r="FD170" i="11" s="1"/>
  <c r="FD171" i="11" s="1"/>
  <c r="FD172" i="11" s="1"/>
  <c r="FD173" i="11" s="1"/>
  <c r="FD174" i="11" s="1"/>
  <c r="FD175" i="11" s="1"/>
  <c r="FD176" i="11" s="1"/>
  <c r="FD177" i="11" s="1"/>
  <c r="FD178" i="11" s="1"/>
  <c r="FD179" i="11" s="1"/>
  <c r="FD180" i="11" s="1"/>
  <c r="FD181" i="11" s="1"/>
  <c r="FD182" i="11" s="1"/>
  <c r="FD183" i="11" s="1"/>
  <c r="FD184" i="11" s="1"/>
  <c r="FD185" i="11" s="1"/>
  <c r="FD186" i="11" s="1"/>
  <c r="FD187" i="11" s="1"/>
  <c r="FD188" i="11" s="1"/>
  <c r="FD189" i="11" s="1"/>
  <c r="FD190" i="11" s="1"/>
  <c r="FD191" i="11" s="1"/>
  <c r="FD192" i="11" s="1"/>
  <c r="FD193" i="11" s="1"/>
  <c r="FD194" i="11" s="1"/>
  <c r="FD195" i="11" s="1"/>
  <c r="FD196" i="11" s="1"/>
  <c r="FD197" i="11" s="1"/>
  <c r="FD198" i="11" s="1"/>
  <c r="FD199" i="11" s="1"/>
  <c r="FD200" i="11" s="1"/>
  <c r="FD201" i="11" s="1"/>
  <c r="FD202" i="11" s="1"/>
  <c r="FD203" i="11" s="1"/>
  <c r="FD204" i="11" s="1"/>
  <c r="FD205" i="11" s="1"/>
  <c r="FD206" i="11" s="1"/>
  <c r="FD207" i="11" s="1"/>
  <c r="FD208" i="11" s="1"/>
  <c r="FD209" i="11" s="1"/>
  <c r="FD210" i="11" s="1"/>
  <c r="FD211" i="11" s="1"/>
  <c r="FD212" i="11" s="1"/>
  <c r="FD213" i="11" s="1"/>
  <c r="FD214" i="11" s="1"/>
  <c r="FD215" i="11" s="1"/>
  <c r="FD216" i="11" s="1"/>
  <c r="FD217" i="11" s="1"/>
  <c r="FD218" i="11" s="1"/>
  <c r="FD219" i="11" s="1"/>
  <c r="FD220" i="11" s="1"/>
  <c r="FD221" i="11" s="1"/>
  <c r="FD222" i="11" s="1"/>
  <c r="FD223" i="11" s="1"/>
  <c r="FD224" i="11" s="1"/>
  <c r="FD225" i="11" s="1"/>
  <c r="FD226" i="11" s="1"/>
  <c r="FD227" i="11" s="1"/>
  <c r="FD228" i="11" s="1"/>
  <c r="FD229" i="11" s="1"/>
  <c r="FD230" i="11" s="1"/>
  <c r="FD231" i="11" s="1"/>
  <c r="FD232" i="11" s="1"/>
  <c r="FD233" i="11" s="1"/>
  <c r="FD234" i="11" s="1"/>
  <c r="FD235" i="11" s="1"/>
  <c r="FD236" i="11" s="1"/>
  <c r="FD237" i="11" s="1"/>
  <c r="FD238" i="11" s="1"/>
  <c r="FD239" i="11" s="1"/>
  <c r="FD240" i="11" s="1"/>
  <c r="ES5" i="11"/>
  <c r="ES4" i="11"/>
  <c r="ET4" i="11" s="1"/>
  <c r="FM11" i="11"/>
  <c r="FN5" i="11"/>
  <c r="FN6" i="11" s="1"/>
  <c r="FN7" i="11" s="1"/>
  <c r="FN8" i="11" s="1"/>
  <c r="FN9" i="11" s="1"/>
  <c r="FN10" i="11" s="1"/>
  <c r="FI5" i="11"/>
  <c r="FI6" i="11" s="1"/>
  <c r="FI7" i="11" s="1"/>
  <c r="FI8" i="11" s="1"/>
  <c r="FI9" i="11" s="1"/>
  <c r="FI10" i="11" s="1"/>
  <c r="FI11" i="11" s="1"/>
  <c r="FI12" i="11" s="1"/>
  <c r="FI13" i="11" s="1"/>
  <c r="FI14" i="11" s="1"/>
  <c r="FI15" i="11" s="1"/>
  <c r="FI16" i="11" s="1"/>
  <c r="FI17" i="11" s="1"/>
  <c r="FI18" i="11" s="1"/>
  <c r="FI19" i="11" s="1"/>
  <c r="FI20" i="11" s="1"/>
  <c r="FI21" i="11" s="1"/>
  <c r="FI22" i="11" s="1"/>
  <c r="FI23" i="11" s="1"/>
  <c r="FI24" i="11" s="1"/>
  <c r="FI25" i="11" s="1"/>
  <c r="FI26" i="11" s="1"/>
  <c r="FI27" i="11" s="1"/>
  <c r="FI28" i="11" s="1"/>
  <c r="FI29" i="11" s="1"/>
  <c r="FI30" i="11" s="1"/>
  <c r="FI31" i="11" s="1"/>
  <c r="FI32" i="11" s="1"/>
  <c r="FI33" i="11" s="1"/>
  <c r="FI34" i="11" s="1"/>
  <c r="FI35" i="11" s="1"/>
  <c r="FI36" i="11" s="1"/>
  <c r="FI37" i="11" s="1"/>
  <c r="FI38" i="11" s="1"/>
  <c r="FI39" i="11" s="1"/>
  <c r="FI40" i="11" s="1"/>
  <c r="FI41" i="11" s="1"/>
  <c r="FI42" i="11" s="1"/>
  <c r="FI43" i="11" s="1"/>
  <c r="FI44" i="11" s="1"/>
  <c r="FI45" i="11" s="1"/>
  <c r="FI46" i="11" s="1"/>
  <c r="FI47" i="11" s="1"/>
  <c r="FI48" i="11" s="1"/>
  <c r="FI49" i="11" s="1"/>
  <c r="FI50" i="11" s="1"/>
  <c r="FI51" i="11" s="1"/>
  <c r="FI52" i="11" s="1"/>
  <c r="FI53" i="11" s="1"/>
  <c r="FI54" i="11" s="1"/>
  <c r="FI55" i="11" s="1"/>
  <c r="FI56" i="11" s="1"/>
  <c r="FI57" i="11" s="1"/>
  <c r="FI58" i="11" s="1"/>
  <c r="FI59" i="11" s="1"/>
  <c r="FI60" i="11" s="1"/>
  <c r="FI61" i="11" s="1"/>
  <c r="FI62" i="11" s="1"/>
  <c r="FI63" i="11" s="1"/>
  <c r="FI64" i="11" s="1"/>
  <c r="FI65" i="11" s="1"/>
  <c r="FI66" i="11" s="1"/>
  <c r="FI67" i="11" s="1"/>
  <c r="FI68" i="11" s="1"/>
  <c r="FI69" i="11" s="1"/>
  <c r="FI70" i="11" s="1"/>
  <c r="FI71" i="11" s="1"/>
  <c r="FI72" i="11" s="1"/>
  <c r="FI73" i="11" s="1"/>
  <c r="FI74" i="11" s="1"/>
  <c r="FI75" i="11" s="1"/>
  <c r="FI76" i="11" s="1"/>
  <c r="FI77" i="11" s="1"/>
  <c r="FI78" i="11" s="1"/>
  <c r="FI79" i="11" s="1"/>
  <c r="FI80" i="11" s="1"/>
  <c r="FI81" i="11" s="1"/>
  <c r="FI82" i="11" s="1"/>
  <c r="FI83" i="11" s="1"/>
  <c r="FI84" i="11" s="1"/>
  <c r="FI85" i="11" s="1"/>
  <c r="FI86" i="11" s="1"/>
  <c r="FI87" i="11" s="1"/>
  <c r="FI88" i="11" s="1"/>
  <c r="FI89" i="11" s="1"/>
  <c r="FI90" i="11" s="1"/>
  <c r="FI91" i="11" s="1"/>
  <c r="FI92" i="11" s="1"/>
  <c r="FI93" i="11" s="1"/>
  <c r="FI94" i="11" s="1"/>
  <c r="FI95" i="11" s="1"/>
  <c r="FI96" i="11" s="1"/>
  <c r="FI97" i="11" s="1"/>
  <c r="FI98" i="11" s="1"/>
  <c r="FI99" i="11" s="1"/>
  <c r="FI100" i="11" s="1"/>
  <c r="FI101" i="11" s="1"/>
  <c r="FI102" i="11" s="1"/>
  <c r="FI103" i="11" s="1"/>
  <c r="FI104" i="11" s="1"/>
  <c r="FI105" i="11" s="1"/>
  <c r="FI106" i="11" s="1"/>
  <c r="FI107" i="11" s="1"/>
  <c r="FI108" i="11" s="1"/>
  <c r="FI109" i="11" s="1"/>
  <c r="FI110" i="11" s="1"/>
  <c r="FI111" i="11" s="1"/>
  <c r="FI112" i="11" s="1"/>
  <c r="FI113" i="11" s="1"/>
  <c r="FI114" i="11" s="1"/>
  <c r="FI115" i="11" s="1"/>
  <c r="FI116" i="11" s="1"/>
  <c r="FI117" i="11" s="1"/>
  <c r="FI118" i="11" s="1"/>
  <c r="FI119" i="11" s="1"/>
  <c r="FI120" i="11" s="1"/>
  <c r="FI121" i="11" s="1"/>
  <c r="FI122" i="11" s="1"/>
  <c r="FI123" i="11" s="1"/>
  <c r="FI124" i="11" s="1"/>
  <c r="FI125" i="11" s="1"/>
  <c r="FI126" i="11" s="1"/>
  <c r="FI127" i="11" s="1"/>
  <c r="FI128" i="11" s="1"/>
  <c r="FI129" i="11" s="1"/>
  <c r="FI130" i="11" s="1"/>
  <c r="FI131" i="11" s="1"/>
  <c r="FI132" i="11" s="1"/>
  <c r="FI133" i="11" s="1"/>
  <c r="FI134" i="11" s="1"/>
  <c r="FI135" i="11" s="1"/>
  <c r="FI136" i="11" s="1"/>
  <c r="FI137" i="11" s="1"/>
  <c r="FI138" i="11" s="1"/>
  <c r="FI139" i="11" s="1"/>
  <c r="FI140" i="11" s="1"/>
  <c r="FI141" i="11" s="1"/>
  <c r="FI142" i="11" s="1"/>
  <c r="FI143" i="11" s="1"/>
  <c r="FI144" i="11" s="1"/>
  <c r="FI145" i="11" s="1"/>
  <c r="FI146" i="11" s="1"/>
  <c r="FI147" i="11" s="1"/>
  <c r="FI148" i="11" s="1"/>
  <c r="FI149" i="11" s="1"/>
  <c r="FI150" i="11" s="1"/>
  <c r="FI151" i="11" s="1"/>
  <c r="FI152" i="11" s="1"/>
  <c r="FI153" i="11" s="1"/>
  <c r="FI154" i="11" s="1"/>
  <c r="FI155" i="11" s="1"/>
  <c r="FI156" i="11" s="1"/>
  <c r="FI157" i="11" s="1"/>
  <c r="FI158" i="11" s="1"/>
  <c r="FI159" i="11" s="1"/>
  <c r="FI160" i="11" s="1"/>
  <c r="FI161" i="11" s="1"/>
  <c r="FI162" i="11" s="1"/>
  <c r="FI163" i="11" s="1"/>
  <c r="FI164" i="11" s="1"/>
  <c r="FI165" i="11" s="1"/>
  <c r="FI166" i="11" s="1"/>
  <c r="FI167" i="11" s="1"/>
  <c r="FI168" i="11" s="1"/>
  <c r="FI169" i="11" s="1"/>
  <c r="FI170" i="11" s="1"/>
  <c r="FI171" i="11" s="1"/>
  <c r="FI172" i="11" s="1"/>
  <c r="FI173" i="11" s="1"/>
  <c r="FI174" i="11" s="1"/>
  <c r="FI175" i="11" s="1"/>
  <c r="FI176" i="11" s="1"/>
  <c r="FI177" i="11" s="1"/>
  <c r="FI178" i="11" s="1"/>
  <c r="FI179" i="11" s="1"/>
  <c r="FI180" i="11" s="1"/>
  <c r="FI181" i="11" s="1"/>
  <c r="FI182" i="11" s="1"/>
  <c r="FI183" i="11" s="1"/>
  <c r="FI184" i="11" s="1"/>
  <c r="FI185" i="11" s="1"/>
  <c r="FI186" i="11" s="1"/>
  <c r="FI187" i="11" s="1"/>
  <c r="FI188" i="11" s="1"/>
  <c r="FI189" i="11" s="1"/>
  <c r="FI190" i="11" s="1"/>
  <c r="FI191" i="11" s="1"/>
  <c r="FI192" i="11" s="1"/>
  <c r="FI193" i="11" s="1"/>
  <c r="FI194" i="11" s="1"/>
  <c r="FI195" i="11" s="1"/>
  <c r="FI196" i="11" s="1"/>
  <c r="FI197" i="11" s="1"/>
  <c r="FI198" i="11" s="1"/>
  <c r="FI199" i="11" s="1"/>
  <c r="FI200" i="11" s="1"/>
  <c r="FI201" i="11" s="1"/>
  <c r="FI202" i="11" s="1"/>
  <c r="FI203" i="11" s="1"/>
  <c r="FI204" i="11" s="1"/>
  <c r="FI205" i="11" s="1"/>
  <c r="FI206" i="11" s="1"/>
  <c r="FI207" i="11" s="1"/>
  <c r="FI208" i="11" s="1"/>
  <c r="FI209" i="11" s="1"/>
  <c r="FI210" i="11" s="1"/>
  <c r="FI211" i="11" s="1"/>
  <c r="FI212" i="11" s="1"/>
  <c r="FI213" i="11" s="1"/>
  <c r="FI214" i="11" s="1"/>
  <c r="FI215" i="11" s="1"/>
  <c r="FI216" i="11" s="1"/>
  <c r="FI217" i="11" s="1"/>
  <c r="FI218" i="11" s="1"/>
  <c r="FI219" i="11" s="1"/>
  <c r="FI220" i="11" s="1"/>
  <c r="FI221" i="11" s="1"/>
  <c r="FI222" i="11" s="1"/>
  <c r="FI223" i="11" s="1"/>
  <c r="FI224" i="11" s="1"/>
  <c r="FI225" i="11" s="1"/>
  <c r="FI226" i="11" s="1"/>
  <c r="FI227" i="11" s="1"/>
  <c r="FI228" i="11" s="1"/>
  <c r="FI229" i="11" s="1"/>
  <c r="FI230" i="11" s="1"/>
  <c r="FI231" i="11" s="1"/>
  <c r="FI232" i="11" s="1"/>
  <c r="FI233" i="11" s="1"/>
  <c r="FI234" i="11" s="1"/>
  <c r="FI235" i="11" s="1"/>
  <c r="FI236" i="11" s="1"/>
  <c r="FI237" i="11" s="1"/>
  <c r="FI238" i="11" s="1"/>
  <c r="FI239" i="11" s="1"/>
  <c r="FI240" i="11" s="1"/>
  <c r="EY5" i="11"/>
  <c r="EY6" i="11" s="1"/>
  <c r="EY7" i="11" s="1"/>
  <c r="EY8" i="11" s="1"/>
  <c r="EY9" i="11" s="1"/>
  <c r="EY10" i="11" s="1"/>
  <c r="EY11" i="11" s="1"/>
  <c r="EY12" i="11" s="1"/>
  <c r="EY13" i="11" s="1"/>
  <c r="EY14" i="11" s="1"/>
  <c r="EY15" i="11" s="1"/>
  <c r="EY16" i="11" s="1"/>
  <c r="EY17" i="11" s="1"/>
  <c r="EY18" i="11" s="1"/>
  <c r="EY19" i="11" s="1"/>
  <c r="EY20" i="11" s="1"/>
  <c r="EY21" i="11" s="1"/>
  <c r="EY22" i="11" s="1"/>
  <c r="EY23" i="11" s="1"/>
  <c r="EY24" i="11" s="1"/>
  <c r="EY25" i="11" s="1"/>
  <c r="EY26" i="11" s="1"/>
  <c r="EY27" i="11" s="1"/>
  <c r="EY28" i="11" s="1"/>
  <c r="EY29" i="11" s="1"/>
  <c r="EY30" i="11" s="1"/>
  <c r="EY31" i="11" s="1"/>
  <c r="EY32" i="11" s="1"/>
  <c r="EY33" i="11" s="1"/>
  <c r="EY34" i="11" s="1"/>
  <c r="EY35" i="11" s="1"/>
  <c r="EY36" i="11" s="1"/>
  <c r="EY37" i="11" s="1"/>
  <c r="EY38" i="11" s="1"/>
  <c r="EY39" i="11" s="1"/>
  <c r="EY40" i="11" s="1"/>
  <c r="EY41" i="11" s="1"/>
  <c r="EY42" i="11" s="1"/>
  <c r="EY43" i="11" s="1"/>
  <c r="EY44" i="11" s="1"/>
  <c r="EY45" i="11" s="1"/>
  <c r="EY46" i="11" s="1"/>
  <c r="EY47" i="11" s="1"/>
  <c r="EY48" i="11" s="1"/>
  <c r="EY49" i="11" s="1"/>
  <c r="EY50" i="11" s="1"/>
  <c r="EY51" i="11" s="1"/>
  <c r="EY52" i="11" s="1"/>
  <c r="EY53" i="11" s="1"/>
  <c r="EY54" i="11" s="1"/>
  <c r="EY55" i="11" s="1"/>
  <c r="EY56" i="11" s="1"/>
  <c r="EY57" i="11" s="1"/>
  <c r="EY58" i="11" s="1"/>
  <c r="EY59" i="11" s="1"/>
  <c r="EY60" i="11" s="1"/>
  <c r="EY61" i="11" s="1"/>
  <c r="EY62" i="11" s="1"/>
  <c r="EY63" i="11" s="1"/>
  <c r="EY64" i="11" s="1"/>
  <c r="EY65" i="11" s="1"/>
  <c r="EY66" i="11" s="1"/>
  <c r="EY67" i="11" s="1"/>
  <c r="EY68" i="11" s="1"/>
  <c r="EY69" i="11" s="1"/>
  <c r="EY70" i="11" s="1"/>
  <c r="EY71" i="11" s="1"/>
  <c r="EY72" i="11" s="1"/>
  <c r="EY73" i="11" s="1"/>
  <c r="EY74" i="11" s="1"/>
  <c r="EY75" i="11" s="1"/>
  <c r="EY76" i="11" s="1"/>
  <c r="EY77" i="11" s="1"/>
  <c r="EY78" i="11" s="1"/>
  <c r="EY79" i="11" s="1"/>
  <c r="EY80" i="11" s="1"/>
  <c r="EY81" i="11" s="1"/>
  <c r="EY82" i="11" s="1"/>
  <c r="EY83" i="11" s="1"/>
  <c r="EY84" i="11" s="1"/>
  <c r="EY85" i="11" s="1"/>
  <c r="EY86" i="11" s="1"/>
  <c r="EY87" i="11" s="1"/>
  <c r="EY88" i="11" s="1"/>
  <c r="EY89" i="11" s="1"/>
  <c r="EY90" i="11" s="1"/>
  <c r="EY91" i="11" s="1"/>
  <c r="EY92" i="11" s="1"/>
  <c r="EY93" i="11" s="1"/>
  <c r="EY94" i="11" s="1"/>
  <c r="EY95" i="11" s="1"/>
  <c r="EY96" i="11" s="1"/>
  <c r="EY97" i="11" s="1"/>
  <c r="EY98" i="11" s="1"/>
  <c r="EY99" i="11" s="1"/>
  <c r="EY100" i="11" s="1"/>
  <c r="EY101" i="11" s="1"/>
  <c r="EY102" i="11" s="1"/>
  <c r="EY103" i="11" s="1"/>
  <c r="EY104" i="11" s="1"/>
  <c r="EY105" i="11" s="1"/>
  <c r="EY106" i="11" s="1"/>
  <c r="EY107" i="11" s="1"/>
  <c r="EY108" i="11" s="1"/>
  <c r="EY109" i="11" s="1"/>
  <c r="EY110" i="11" s="1"/>
  <c r="EY111" i="11" s="1"/>
  <c r="EY112" i="11" s="1"/>
  <c r="EY113" i="11" s="1"/>
  <c r="EY114" i="11" s="1"/>
  <c r="EY115" i="11" s="1"/>
  <c r="EY116" i="11" s="1"/>
  <c r="EY117" i="11" s="1"/>
  <c r="EY118" i="11" s="1"/>
  <c r="EY119" i="11" s="1"/>
  <c r="EY120" i="11" s="1"/>
  <c r="EY121" i="11" s="1"/>
  <c r="EY122" i="11" s="1"/>
  <c r="EY123" i="11" s="1"/>
  <c r="EY124" i="11" s="1"/>
  <c r="EY125" i="11" s="1"/>
  <c r="EY126" i="11" s="1"/>
  <c r="EY127" i="11" s="1"/>
  <c r="EY128" i="11" s="1"/>
  <c r="EY129" i="11" s="1"/>
  <c r="EY130" i="11" s="1"/>
  <c r="EY131" i="11" s="1"/>
  <c r="EY132" i="11" s="1"/>
  <c r="EY133" i="11" s="1"/>
  <c r="EY134" i="11" s="1"/>
  <c r="EY135" i="11" s="1"/>
  <c r="EY136" i="11" s="1"/>
  <c r="EY137" i="11" s="1"/>
  <c r="EY138" i="11" s="1"/>
  <c r="EY139" i="11" s="1"/>
  <c r="EY140" i="11" s="1"/>
  <c r="EY141" i="11" s="1"/>
  <c r="EY142" i="11" s="1"/>
  <c r="EY143" i="11" s="1"/>
  <c r="EY144" i="11" s="1"/>
  <c r="EY145" i="11" s="1"/>
  <c r="EY146" i="11" s="1"/>
  <c r="EY147" i="11" s="1"/>
  <c r="EY148" i="11" s="1"/>
  <c r="EY149" i="11" s="1"/>
  <c r="EY150" i="11" s="1"/>
  <c r="EY151" i="11" s="1"/>
  <c r="EY152" i="11" s="1"/>
  <c r="EY153" i="11" s="1"/>
  <c r="EY154" i="11" s="1"/>
  <c r="EY155" i="11" s="1"/>
  <c r="EY156" i="11" s="1"/>
  <c r="EY157" i="11" s="1"/>
  <c r="EY158" i="11" s="1"/>
  <c r="EY159" i="11" s="1"/>
  <c r="EY160" i="11" s="1"/>
  <c r="EY161" i="11" s="1"/>
  <c r="EY162" i="11" s="1"/>
  <c r="EY163" i="11" s="1"/>
  <c r="EY164" i="11" s="1"/>
  <c r="EY165" i="11" s="1"/>
  <c r="EY166" i="11" s="1"/>
  <c r="EY167" i="11" s="1"/>
  <c r="EY168" i="11" s="1"/>
  <c r="EY169" i="11" s="1"/>
  <c r="EY170" i="11" s="1"/>
  <c r="EY171" i="11" s="1"/>
  <c r="EY172" i="11" s="1"/>
  <c r="EY173" i="11" s="1"/>
  <c r="EY174" i="11" s="1"/>
  <c r="EY175" i="11" s="1"/>
  <c r="EY176" i="11" s="1"/>
  <c r="EY177" i="11" s="1"/>
  <c r="EY178" i="11" s="1"/>
  <c r="EY179" i="11" s="1"/>
  <c r="EY180" i="11" s="1"/>
  <c r="EY181" i="11" s="1"/>
  <c r="EY182" i="11" s="1"/>
  <c r="EY183" i="11" s="1"/>
  <c r="EY184" i="11" s="1"/>
  <c r="EY185" i="11" s="1"/>
  <c r="EY186" i="11" s="1"/>
  <c r="EY187" i="11" s="1"/>
  <c r="EY188" i="11" s="1"/>
  <c r="EY189" i="11" s="1"/>
  <c r="EY190" i="11" s="1"/>
  <c r="EY191" i="11" s="1"/>
  <c r="EY192" i="11" s="1"/>
  <c r="EY193" i="11" s="1"/>
  <c r="EY194" i="11" s="1"/>
  <c r="EY195" i="11" s="1"/>
  <c r="EY196" i="11" s="1"/>
  <c r="EY197" i="11" s="1"/>
  <c r="EY198" i="11" s="1"/>
  <c r="EY199" i="11" s="1"/>
  <c r="EY200" i="11" s="1"/>
  <c r="EY201" i="11" s="1"/>
  <c r="EY202" i="11" s="1"/>
  <c r="EY203" i="11" s="1"/>
  <c r="EY204" i="11" s="1"/>
  <c r="EY205" i="11" s="1"/>
  <c r="EY206" i="11" s="1"/>
  <c r="EY207" i="11" s="1"/>
  <c r="EY208" i="11" s="1"/>
  <c r="EY209" i="11" s="1"/>
  <c r="EY210" i="11" s="1"/>
  <c r="EY211" i="11" s="1"/>
  <c r="EY212" i="11" s="1"/>
  <c r="EY213" i="11" s="1"/>
  <c r="EY214" i="11" s="1"/>
  <c r="EY215" i="11" s="1"/>
  <c r="EY216" i="11" s="1"/>
  <c r="EY217" i="11" s="1"/>
  <c r="EY218" i="11" s="1"/>
  <c r="EY219" i="11" s="1"/>
  <c r="EY220" i="11" s="1"/>
  <c r="EY221" i="11" s="1"/>
  <c r="EY222" i="11" s="1"/>
  <c r="EY223" i="11" s="1"/>
  <c r="EY224" i="11" s="1"/>
  <c r="EY225" i="11" s="1"/>
  <c r="EY226" i="11" s="1"/>
  <c r="EY227" i="11" s="1"/>
  <c r="EY228" i="11" s="1"/>
  <c r="EY229" i="11" s="1"/>
  <c r="EY230" i="11" s="1"/>
  <c r="EY231" i="11" s="1"/>
  <c r="EY232" i="11" s="1"/>
  <c r="EY233" i="11" s="1"/>
  <c r="EY234" i="11" s="1"/>
  <c r="EY235" i="11" s="1"/>
  <c r="EY236" i="11" s="1"/>
  <c r="EY237" i="11" s="1"/>
  <c r="EY238" i="11" s="1"/>
  <c r="EY239" i="11" s="1"/>
  <c r="EY240" i="11" s="1"/>
  <c r="EN17" i="11"/>
  <c r="EO5" i="11"/>
  <c r="EO6" i="11" s="1"/>
  <c r="EO7" i="11" s="1"/>
  <c r="EO8" i="11" s="1"/>
  <c r="AD5" i="11"/>
  <c r="AD6" i="11" s="1"/>
  <c r="AD7" i="11" s="1"/>
  <c r="AD8" i="11" s="1"/>
  <c r="AD9" i="11" s="1"/>
  <c r="AD10" i="11" s="1"/>
  <c r="AD11" i="11" s="1"/>
  <c r="AD12" i="11" s="1"/>
  <c r="AD13" i="11" s="1"/>
  <c r="AD14" i="11" s="1"/>
  <c r="AD15" i="11" s="1"/>
  <c r="AD16" i="11" s="1"/>
  <c r="AD17" i="11" s="1"/>
  <c r="AD18" i="11" s="1"/>
  <c r="AD19" i="11" s="1"/>
  <c r="AD20" i="11" s="1"/>
  <c r="AD21" i="11" s="1"/>
  <c r="AD22" i="11" s="1"/>
  <c r="AD23" i="11" s="1"/>
  <c r="AD24" i="11" s="1"/>
  <c r="AD25" i="11" s="1"/>
  <c r="AD26" i="11" s="1"/>
  <c r="AD27" i="11" s="1"/>
  <c r="AD28" i="11" s="1"/>
  <c r="AD29" i="11" s="1"/>
  <c r="AD30" i="11" s="1"/>
  <c r="AD31" i="11" s="1"/>
  <c r="AD32" i="11" s="1"/>
  <c r="AD33" i="11" s="1"/>
  <c r="AD34" i="11" s="1"/>
  <c r="AD35" i="11" s="1"/>
  <c r="AD36" i="11" s="1"/>
  <c r="AD37" i="11" s="1"/>
  <c r="AD38" i="11" s="1"/>
  <c r="AD39" i="11" s="1"/>
  <c r="AD40" i="11" s="1"/>
  <c r="AD41" i="11" s="1"/>
  <c r="AD42" i="11" s="1"/>
  <c r="AD43" i="11" s="1"/>
  <c r="AD44" i="11" s="1"/>
  <c r="AD45" i="11" s="1"/>
  <c r="AD46" i="11" s="1"/>
  <c r="AD47" i="11" s="1"/>
  <c r="AD48" i="11" s="1"/>
  <c r="AD49" i="11" s="1"/>
  <c r="AD50" i="11" s="1"/>
  <c r="AD51" i="11" s="1"/>
  <c r="AD52" i="11" s="1"/>
  <c r="AD53" i="11" s="1"/>
  <c r="AD54" i="11" s="1"/>
  <c r="AD55" i="11" s="1"/>
  <c r="AD56" i="11" s="1"/>
  <c r="AD57" i="11" s="1"/>
  <c r="AD58" i="11" s="1"/>
  <c r="AD59" i="11" s="1"/>
  <c r="AD60" i="11" s="1"/>
  <c r="AD61" i="11" s="1"/>
  <c r="AD62" i="11" s="1"/>
  <c r="AD63" i="11" s="1"/>
  <c r="AD64" i="11" s="1"/>
  <c r="AD65" i="11" s="1"/>
  <c r="AD66" i="11" s="1"/>
  <c r="AD67" i="11" s="1"/>
  <c r="AD68" i="11" s="1"/>
  <c r="AD69" i="11" s="1"/>
  <c r="AD70" i="11" s="1"/>
  <c r="AD71" i="11" s="1"/>
  <c r="AD72" i="11" s="1"/>
  <c r="AD73" i="11" s="1"/>
  <c r="AD74" i="11" s="1"/>
  <c r="AD75" i="11" s="1"/>
  <c r="AD76" i="11" s="1"/>
  <c r="AD77" i="11" s="1"/>
  <c r="AD78" i="11" s="1"/>
  <c r="AD79" i="11" s="1"/>
  <c r="AD80" i="11" s="1"/>
  <c r="AD81" i="11" s="1"/>
  <c r="AD82" i="11" s="1"/>
  <c r="AD83" i="11" s="1"/>
  <c r="AD84" i="11" s="1"/>
  <c r="AD85" i="11" s="1"/>
  <c r="AD86" i="11" s="1"/>
  <c r="AD87" i="11" s="1"/>
  <c r="AD88" i="11" s="1"/>
  <c r="AD89" i="11" s="1"/>
  <c r="AD90" i="11" s="1"/>
  <c r="AD91" i="11" s="1"/>
  <c r="AD92" i="11" s="1"/>
  <c r="AD93" i="11" s="1"/>
  <c r="AD94" i="11" s="1"/>
  <c r="AD95" i="11" s="1"/>
  <c r="AD96" i="11" s="1"/>
  <c r="AD97" i="11" s="1"/>
  <c r="AD98" i="11" s="1"/>
  <c r="AD99" i="11" s="1"/>
  <c r="AD100" i="11" s="1"/>
  <c r="AD101" i="11" s="1"/>
  <c r="AD102" i="11" s="1"/>
  <c r="AD103" i="11" s="1"/>
  <c r="AD104" i="11" s="1"/>
  <c r="AD105" i="11" s="1"/>
  <c r="AD106" i="11" s="1"/>
  <c r="AD107" i="11" s="1"/>
  <c r="AD108" i="11" s="1"/>
  <c r="AD109" i="11" s="1"/>
  <c r="AD110" i="11" s="1"/>
  <c r="AD111" i="11" s="1"/>
  <c r="AD112" i="11" s="1"/>
  <c r="AD113" i="11" s="1"/>
  <c r="AD114" i="11" s="1"/>
  <c r="AD115" i="11" s="1"/>
  <c r="AD116" i="11" s="1"/>
  <c r="AD117" i="11" s="1"/>
  <c r="AD118" i="11" s="1"/>
  <c r="AD119" i="11" s="1"/>
  <c r="AD120" i="11" s="1"/>
  <c r="AD121" i="11" s="1"/>
  <c r="AD122" i="11" s="1"/>
  <c r="AD123" i="11" s="1"/>
  <c r="AD124" i="11" s="1"/>
  <c r="AD125" i="11" s="1"/>
  <c r="AD126" i="11" s="1"/>
  <c r="AD127" i="11" s="1"/>
  <c r="AD128" i="11" s="1"/>
  <c r="AD129" i="11" s="1"/>
  <c r="AD130" i="11" s="1"/>
  <c r="AD131" i="11" s="1"/>
  <c r="AD132" i="11" s="1"/>
  <c r="AD133" i="11" s="1"/>
  <c r="AD134" i="11" s="1"/>
  <c r="AD135" i="11" s="1"/>
  <c r="AD136" i="11" s="1"/>
  <c r="AD137" i="11" s="1"/>
  <c r="AD138" i="11" s="1"/>
  <c r="AD139" i="11" s="1"/>
  <c r="AD140" i="11" s="1"/>
  <c r="AD141" i="11" s="1"/>
  <c r="AD142" i="11" s="1"/>
  <c r="AD143" i="11" s="1"/>
  <c r="AD144" i="11" s="1"/>
  <c r="AD145" i="11" s="1"/>
  <c r="AD146" i="11" s="1"/>
  <c r="AD147" i="11" s="1"/>
  <c r="AD148" i="11" s="1"/>
  <c r="AD149" i="11" s="1"/>
  <c r="AD150" i="11" s="1"/>
  <c r="AD151" i="11" s="1"/>
  <c r="AD152" i="11" s="1"/>
  <c r="AD153" i="11" s="1"/>
  <c r="AD154" i="11" s="1"/>
  <c r="AD155" i="11" s="1"/>
  <c r="AD156" i="11" s="1"/>
  <c r="AD157" i="11" s="1"/>
  <c r="AD158" i="11" s="1"/>
  <c r="AD159" i="11" s="1"/>
  <c r="AD160" i="11" s="1"/>
  <c r="AD161" i="11" s="1"/>
  <c r="AD162" i="11" s="1"/>
  <c r="AD163" i="11" s="1"/>
  <c r="AD164" i="11" s="1"/>
  <c r="AD165" i="11" s="1"/>
  <c r="AD166" i="11" s="1"/>
  <c r="AD167" i="11" s="1"/>
  <c r="AD168" i="11" s="1"/>
  <c r="AD169" i="11" s="1"/>
  <c r="AD170" i="11" s="1"/>
  <c r="AD171" i="11" s="1"/>
  <c r="AD172" i="11" s="1"/>
  <c r="AD173" i="11" s="1"/>
  <c r="AD174" i="11" s="1"/>
  <c r="AD175" i="11" s="1"/>
  <c r="AD176" i="11" s="1"/>
  <c r="AD177" i="11" s="1"/>
  <c r="AD178" i="11" s="1"/>
  <c r="AD179" i="11" s="1"/>
  <c r="AD180" i="11" s="1"/>
  <c r="AD181" i="11" s="1"/>
  <c r="AD182" i="11" s="1"/>
  <c r="AD183" i="11" s="1"/>
  <c r="AD184" i="11" s="1"/>
  <c r="AD185" i="11" s="1"/>
  <c r="AD186" i="11" s="1"/>
  <c r="AD187" i="11" s="1"/>
  <c r="AD188" i="11" s="1"/>
  <c r="AD189" i="11" s="1"/>
  <c r="AD190" i="11" s="1"/>
  <c r="AD191" i="11" s="1"/>
  <c r="AD192" i="11" s="1"/>
  <c r="AD193" i="11" s="1"/>
  <c r="AD194" i="11" s="1"/>
  <c r="AD195" i="11" s="1"/>
  <c r="AD196" i="11" s="1"/>
  <c r="AD197" i="11" s="1"/>
  <c r="AD198" i="11" s="1"/>
  <c r="AD199" i="11" s="1"/>
  <c r="AD200" i="11" s="1"/>
  <c r="AD201" i="11" s="1"/>
  <c r="AD202" i="11" s="1"/>
  <c r="AD203" i="11" s="1"/>
  <c r="AD204" i="11" s="1"/>
  <c r="AD205" i="11" s="1"/>
  <c r="AD206" i="11" s="1"/>
  <c r="AD207" i="11" s="1"/>
  <c r="AD208" i="11" s="1"/>
  <c r="AD209" i="11" s="1"/>
  <c r="AD210" i="11" s="1"/>
  <c r="AD211" i="11" s="1"/>
  <c r="AD212" i="11" s="1"/>
  <c r="AD213" i="11" s="1"/>
  <c r="AD214" i="11" s="1"/>
  <c r="AD215" i="11" s="1"/>
  <c r="AD216" i="11" s="1"/>
  <c r="AD217" i="11" s="1"/>
  <c r="AD218" i="11" s="1"/>
  <c r="AD219" i="11" s="1"/>
  <c r="AD220" i="11" s="1"/>
  <c r="AD221" i="11" s="1"/>
  <c r="AD222" i="11" s="1"/>
  <c r="AD223" i="11" s="1"/>
  <c r="AD224" i="11" s="1"/>
  <c r="AD225" i="11" s="1"/>
  <c r="AD226" i="11" s="1"/>
  <c r="AD227" i="11" s="1"/>
  <c r="AD228" i="11" s="1"/>
  <c r="AD229" i="11" s="1"/>
  <c r="AD230" i="11" s="1"/>
  <c r="AD231" i="11" s="1"/>
  <c r="AD232" i="11" s="1"/>
  <c r="AD233" i="11" s="1"/>
  <c r="AD234" i="11" s="1"/>
  <c r="AD235" i="11" s="1"/>
  <c r="AD236" i="11" s="1"/>
  <c r="AD237" i="11" s="1"/>
  <c r="AD238" i="11" s="1"/>
  <c r="AD239" i="11" s="1"/>
  <c r="AD240" i="11" s="1"/>
  <c r="AI4" i="11"/>
  <c r="P15" i="11"/>
  <c r="Q15" i="11" s="1"/>
  <c r="Q8" i="11"/>
  <c r="R5" i="11"/>
  <c r="R6" i="11" s="1"/>
  <c r="R7" i="11" s="1"/>
  <c r="AV15" i="11"/>
  <c r="AW15" i="11" s="1"/>
  <c r="DP15" i="11"/>
  <c r="DQ15" i="11" s="1"/>
  <c r="DB12" i="11" l="1"/>
  <c r="DZ12" i="11"/>
  <c r="EH7" i="11"/>
  <c r="DT4" i="11"/>
  <c r="CT7" i="11"/>
  <c r="DJ9" i="11"/>
  <c r="BG7" i="11"/>
  <c r="AZ4" i="11"/>
  <c r="AP5" i="11"/>
  <c r="W5" i="11"/>
  <c r="ET5" i="11"/>
  <c r="ET6" i="11" s="1"/>
  <c r="ET7" i="11" s="1"/>
  <c r="ET8" i="11" s="1"/>
  <c r="ET9" i="11" s="1"/>
  <c r="ET10" i="11" s="1"/>
  <c r="ET11" i="11" s="1"/>
  <c r="ET12" i="11" s="1"/>
  <c r="ET13" i="11" s="1"/>
  <c r="ET14" i="11" s="1"/>
  <c r="ET15" i="11" s="1"/>
  <c r="ET16" i="11" s="1"/>
  <c r="ET17" i="11" s="1"/>
  <c r="ET18" i="11" s="1"/>
  <c r="ET19" i="11" s="1"/>
  <c r="ET20" i="11" s="1"/>
  <c r="ET21" i="11" s="1"/>
  <c r="ET22" i="11" s="1"/>
  <c r="ET23" i="11" s="1"/>
  <c r="ET24" i="11" s="1"/>
  <c r="ET25" i="11" s="1"/>
  <c r="ET26" i="11" s="1"/>
  <c r="ET27" i="11" s="1"/>
  <c r="ET28" i="11" s="1"/>
  <c r="ET29" i="11" s="1"/>
  <c r="ET30" i="11" s="1"/>
  <c r="ET31" i="11" s="1"/>
  <c r="ET32" i="11" s="1"/>
  <c r="ET33" i="11" s="1"/>
  <c r="ET34" i="11" s="1"/>
  <c r="ET35" i="11" s="1"/>
  <c r="ET36" i="11" s="1"/>
  <c r="ET37" i="11" s="1"/>
  <c r="ET38" i="11" s="1"/>
  <c r="ET39" i="11" s="1"/>
  <c r="ET40" i="11" s="1"/>
  <c r="ET41" i="11" s="1"/>
  <c r="ET42" i="11" s="1"/>
  <c r="ET43" i="11" s="1"/>
  <c r="ET44" i="11" s="1"/>
  <c r="ET45" i="11" s="1"/>
  <c r="ET46" i="11" s="1"/>
  <c r="ET47" i="11" s="1"/>
  <c r="ET48" i="11" s="1"/>
  <c r="ET49" i="11" s="1"/>
  <c r="ET50" i="11" s="1"/>
  <c r="ET51" i="11" s="1"/>
  <c r="ET52" i="11" s="1"/>
  <c r="ET53" i="11" s="1"/>
  <c r="ET54" i="11" s="1"/>
  <c r="ET55" i="11" s="1"/>
  <c r="ET56" i="11" s="1"/>
  <c r="ET57" i="11" s="1"/>
  <c r="ET58" i="11" s="1"/>
  <c r="ET59" i="11" s="1"/>
  <c r="ET60" i="11" s="1"/>
  <c r="ET61" i="11" s="1"/>
  <c r="ET62" i="11" s="1"/>
  <c r="ET63" i="11" s="1"/>
  <c r="ET64" i="11" s="1"/>
  <c r="ET65" i="11" s="1"/>
  <c r="ET66" i="11" s="1"/>
  <c r="ET67" i="11" s="1"/>
  <c r="ET68" i="11" s="1"/>
  <c r="ET69" i="11" s="1"/>
  <c r="ET70" i="11" s="1"/>
  <c r="ET71" i="11" s="1"/>
  <c r="ET72" i="11" s="1"/>
  <c r="ET73" i="11" s="1"/>
  <c r="ET74" i="11" s="1"/>
  <c r="ET75" i="11" s="1"/>
  <c r="ET76" i="11" s="1"/>
  <c r="ET77" i="11" s="1"/>
  <c r="ET78" i="11" s="1"/>
  <c r="ET79" i="11" s="1"/>
  <c r="ET80" i="11" s="1"/>
  <c r="ET81" i="11" s="1"/>
  <c r="ET82" i="11" s="1"/>
  <c r="ET83" i="11" s="1"/>
  <c r="ET84" i="11" s="1"/>
  <c r="ET85" i="11" s="1"/>
  <c r="ET86" i="11" s="1"/>
  <c r="ET87" i="11" s="1"/>
  <c r="ET88" i="11" s="1"/>
  <c r="ET89" i="11" s="1"/>
  <c r="ET90" i="11" s="1"/>
  <c r="ET91" i="11" s="1"/>
  <c r="ET92" i="11" s="1"/>
  <c r="ET93" i="11" s="1"/>
  <c r="ET94" i="11" s="1"/>
  <c r="ET95" i="11" s="1"/>
  <c r="ET96" i="11" s="1"/>
  <c r="ET97" i="11" s="1"/>
  <c r="ET98" i="11" s="1"/>
  <c r="ET99" i="11" s="1"/>
  <c r="ET100" i="11" s="1"/>
  <c r="ET101" i="11" s="1"/>
  <c r="ET102" i="11" s="1"/>
  <c r="ET103" i="11" s="1"/>
  <c r="ET104" i="11" s="1"/>
  <c r="ET105" i="11" s="1"/>
  <c r="ET106" i="11" s="1"/>
  <c r="ET107" i="11" s="1"/>
  <c r="ET108" i="11" s="1"/>
  <c r="ET109" i="11" s="1"/>
  <c r="ET110" i="11" s="1"/>
  <c r="ET111" i="11" s="1"/>
  <c r="ET112" i="11" s="1"/>
  <c r="ET113" i="11" s="1"/>
  <c r="ET114" i="11" s="1"/>
  <c r="ET115" i="11" s="1"/>
  <c r="ET116" i="11" s="1"/>
  <c r="ET117" i="11" s="1"/>
  <c r="ET118" i="11" s="1"/>
  <c r="ET119" i="11" s="1"/>
  <c r="ET120" i="11" s="1"/>
  <c r="ET121" i="11" s="1"/>
  <c r="ET122" i="11" s="1"/>
  <c r="ET123" i="11" s="1"/>
  <c r="ET124" i="11" s="1"/>
  <c r="ET125" i="11" s="1"/>
  <c r="ET126" i="11" s="1"/>
  <c r="ET127" i="11" s="1"/>
  <c r="ET128" i="11" s="1"/>
  <c r="ET129" i="11" s="1"/>
  <c r="ET130" i="11" s="1"/>
  <c r="ET131" i="11" s="1"/>
  <c r="ET132" i="11" s="1"/>
  <c r="ET133" i="11" s="1"/>
  <c r="ET134" i="11" s="1"/>
  <c r="ET135" i="11" s="1"/>
  <c r="ET136" i="11" s="1"/>
  <c r="ET137" i="11" s="1"/>
  <c r="ET138" i="11" s="1"/>
  <c r="ET139" i="11" s="1"/>
  <c r="ET140" i="11" s="1"/>
  <c r="ET141" i="11" s="1"/>
  <c r="ET142" i="11" s="1"/>
  <c r="ET143" i="11" s="1"/>
  <c r="ET144" i="11" s="1"/>
  <c r="ET145" i="11" s="1"/>
  <c r="ET146" i="11" s="1"/>
  <c r="ET147" i="11" s="1"/>
  <c r="ET148" i="11" s="1"/>
  <c r="ET149" i="11" s="1"/>
  <c r="ET150" i="11" s="1"/>
  <c r="ET151" i="11" s="1"/>
  <c r="ET152" i="11" s="1"/>
  <c r="ET153" i="11" s="1"/>
  <c r="ET154" i="11" s="1"/>
  <c r="ET155" i="11" s="1"/>
  <c r="ET156" i="11" s="1"/>
  <c r="ET157" i="11" s="1"/>
  <c r="ET158" i="11" s="1"/>
  <c r="ET159" i="11" s="1"/>
  <c r="ET160" i="11" s="1"/>
  <c r="ET161" i="11" s="1"/>
  <c r="ET162" i="11" s="1"/>
  <c r="ET163" i="11" s="1"/>
  <c r="ET164" i="11" s="1"/>
  <c r="ET165" i="11" s="1"/>
  <c r="ET166" i="11" s="1"/>
  <c r="ET167" i="11" s="1"/>
  <c r="ET168" i="11" s="1"/>
  <c r="ET169" i="11" s="1"/>
  <c r="ET170" i="11" s="1"/>
  <c r="ET171" i="11" s="1"/>
  <c r="ET172" i="11" s="1"/>
  <c r="ET173" i="11" s="1"/>
  <c r="ET174" i="11" s="1"/>
  <c r="ET175" i="11" s="1"/>
  <c r="ET176" i="11" s="1"/>
  <c r="ET177" i="11" s="1"/>
  <c r="ET178" i="11" s="1"/>
  <c r="ET179" i="11" s="1"/>
  <c r="ET180" i="11" s="1"/>
  <c r="ET181" i="11" s="1"/>
  <c r="ET182" i="11" s="1"/>
  <c r="ET183" i="11" s="1"/>
  <c r="ET184" i="11" s="1"/>
  <c r="ET185" i="11" s="1"/>
  <c r="ET186" i="11" s="1"/>
  <c r="ET187" i="11" s="1"/>
  <c r="ET188" i="11" s="1"/>
  <c r="ET189" i="11" s="1"/>
  <c r="ET190" i="11" s="1"/>
  <c r="ET191" i="11" s="1"/>
  <c r="ET192" i="11" s="1"/>
  <c r="ET193" i="11" s="1"/>
  <c r="ET194" i="11" s="1"/>
  <c r="ET195" i="11" s="1"/>
  <c r="ET196" i="11" s="1"/>
  <c r="ET197" i="11" s="1"/>
  <c r="ET198" i="11" s="1"/>
  <c r="ET199" i="11" s="1"/>
  <c r="ET200" i="11" s="1"/>
  <c r="ET201" i="11" s="1"/>
  <c r="ET202" i="11" s="1"/>
  <c r="ET203" i="11" s="1"/>
  <c r="ET204" i="11" s="1"/>
  <c r="ET205" i="11" s="1"/>
  <c r="ET206" i="11" s="1"/>
  <c r="ET207" i="11" s="1"/>
  <c r="ET208" i="11" s="1"/>
  <c r="ET209" i="11" s="1"/>
  <c r="ET210" i="11" s="1"/>
  <c r="ET211" i="11" s="1"/>
  <c r="ET212" i="11" s="1"/>
  <c r="ET213" i="11" s="1"/>
  <c r="ET214" i="11" s="1"/>
  <c r="ET215" i="11" s="1"/>
  <c r="ET216" i="11" s="1"/>
  <c r="ET217" i="11" s="1"/>
  <c r="ET218" i="11" s="1"/>
  <c r="ET219" i="11" s="1"/>
  <c r="ET220" i="11" s="1"/>
  <c r="ET221" i="11" s="1"/>
  <c r="ET222" i="11" s="1"/>
  <c r="ET223" i="11" s="1"/>
  <c r="ET224" i="11" s="1"/>
  <c r="ET225" i="11" s="1"/>
  <c r="ET226" i="11" s="1"/>
  <c r="ET227" i="11" s="1"/>
  <c r="ET228" i="11" s="1"/>
  <c r="ET229" i="11" s="1"/>
  <c r="ET230" i="11" s="1"/>
  <c r="ET231" i="11" s="1"/>
  <c r="ET232" i="11" s="1"/>
  <c r="ET233" i="11" s="1"/>
  <c r="ET234" i="11" s="1"/>
  <c r="ET235" i="11" s="1"/>
  <c r="ET236" i="11" s="1"/>
  <c r="ET237" i="11" s="1"/>
  <c r="ET238" i="11" s="1"/>
  <c r="ET239" i="11" s="1"/>
  <c r="ET240" i="11" s="1"/>
  <c r="FN11" i="11"/>
  <c r="FN12" i="11" s="1"/>
  <c r="FN13" i="11" s="1"/>
  <c r="FN14" i="11" s="1"/>
  <c r="FN15" i="11" s="1"/>
  <c r="FN16" i="11" s="1"/>
  <c r="FN17" i="11" s="1"/>
  <c r="FN18" i="11" s="1"/>
  <c r="FN19" i="11" s="1"/>
  <c r="FN20" i="11" s="1"/>
  <c r="FN21" i="11" s="1"/>
  <c r="FN22" i="11" s="1"/>
  <c r="FN23" i="11" s="1"/>
  <c r="FN24" i="11" s="1"/>
  <c r="FN25" i="11" s="1"/>
  <c r="FN26" i="11" s="1"/>
  <c r="FN27" i="11" s="1"/>
  <c r="FN28" i="11" s="1"/>
  <c r="FN29" i="11" s="1"/>
  <c r="FN30" i="11" s="1"/>
  <c r="FN31" i="11" s="1"/>
  <c r="FN32" i="11" s="1"/>
  <c r="FN33" i="11" s="1"/>
  <c r="FN34" i="11" s="1"/>
  <c r="FN35" i="11" s="1"/>
  <c r="FN36" i="11" s="1"/>
  <c r="FN37" i="11" s="1"/>
  <c r="FN38" i="11" s="1"/>
  <c r="FN39" i="11" s="1"/>
  <c r="FN40" i="11" s="1"/>
  <c r="FN41" i="11" s="1"/>
  <c r="FN42" i="11" s="1"/>
  <c r="FN43" i="11" s="1"/>
  <c r="FN44" i="11" s="1"/>
  <c r="FN45" i="11" s="1"/>
  <c r="FN46" i="11" s="1"/>
  <c r="FN47" i="11" s="1"/>
  <c r="FN48" i="11" s="1"/>
  <c r="FN49" i="11" s="1"/>
  <c r="FN50" i="11" s="1"/>
  <c r="FN51" i="11" s="1"/>
  <c r="FN52" i="11" s="1"/>
  <c r="FN53" i="11" s="1"/>
  <c r="FN54" i="11" s="1"/>
  <c r="FN55" i="11" s="1"/>
  <c r="FN56" i="11" s="1"/>
  <c r="FN57" i="11" s="1"/>
  <c r="FN58" i="11" s="1"/>
  <c r="FN59" i="11" s="1"/>
  <c r="FN60" i="11" s="1"/>
  <c r="FN61" i="11" s="1"/>
  <c r="FN62" i="11" s="1"/>
  <c r="FN63" i="11" s="1"/>
  <c r="FN64" i="11" s="1"/>
  <c r="FN65" i="11" s="1"/>
  <c r="FN66" i="11" s="1"/>
  <c r="FN67" i="11" s="1"/>
  <c r="FN68" i="11" s="1"/>
  <c r="FN69" i="11" s="1"/>
  <c r="FN70" i="11" s="1"/>
  <c r="FN71" i="11" s="1"/>
  <c r="FN72" i="11" s="1"/>
  <c r="FN73" i="11" s="1"/>
  <c r="FN74" i="11" s="1"/>
  <c r="FN75" i="11" s="1"/>
  <c r="FN76" i="11" s="1"/>
  <c r="FN77" i="11" s="1"/>
  <c r="FN78" i="11" s="1"/>
  <c r="FN79" i="11" s="1"/>
  <c r="FN80" i="11" s="1"/>
  <c r="FN81" i="11" s="1"/>
  <c r="FN82" i="11" s="1"/>
  <c r="FN83" i="11" s="1"/>
  <c r="FN84" i="11" s="1"/>
  <c r="FN85" i="11" s="1"/>
  <c r="FN86" i="11" s="1"/>
  <c r="FN87" i="11" s="1"/>
  <c r="FN88" i="11" s="1"/>
  <c r="FN89" i="11" s="1"/>
  <c r="FN90" i="11" s="1"/>
  <c r="FN91" i="11" s="1"/>
  <c r="FN92" i="11" s="1"/>
  <c r="FN93" i="11" s="1"/>
  <c r="FN94" i="11" s="1"/>
  <c r="FN95" i="11" s="1"/>
  <c r="FN96" i="11" s="1"/>
  <c r="FN97" i="11" s="1"/>
  <c r="FN98" i="11" s="1"/>
  <c r="FN99" i="11" s="1"/>
  <c r="FN100" i="11" s="1"/>
  <c r="FN101" i="11" s="1"/>
  <c r="FN102" i="11" s="1"/>
  <c r="FN103" i="11" s="1"/>
  <c r="FN104" i="11" s="1"/>
  <c r="FN105" i="11" s="1"/>
  <c r="FN106" i="11" s="1"/>
  <c r="FN107" i="11" s="1"/>
  <c r="FN108" i="11" s="1"/>
  <c r="FN109" i="11" s="1"/>
  <c r="FN110" i="11" s="1"/>
  <c r="FN111" i="11" s="1"/>
  <c r="FN112" i="11" s="1"/>
  <c r="FN113" i="11" s="1"/>
  <c r="FN114" i="11" s="1"/>
  <c r="FN115" i="11" s="1"/>
  <c r="FN116" i="11" s="1"/>
  <c r="FN117" i="11" s="1"/>
  <c r="FN118" i="11" s="1"/>
  <c r="FN119" i="11" s="1"/>
  <c r="FN120" i="11" s="1"/>
  <c r="FN121" i="11" s="1"/>
  <c r="FN122" i="11" s="1"/>
  <c r="FN123" i="11" s="1"/>
  <c r="FN124" i="11" s="1"/>
  <c r="FN125" i="11" s="1"/>
  <c r="FN126" i="11" s="1"/>
  <c r="FN127" i="11" s="1"/>
  <c r="FN128" i="11" s="1"/>
  <c r="FN129" i="11" s="1"/>
  <c r="FN130" i="11" s="1"/>
  <c r="FN131" i="11" s="1"/>
  <c r="FN132" i="11" s="1"/>
  <c r="FN133" i="11" s="1"/>
  <c r="FN134" i="11" s="1"/>
  <c r="FN135" i="11" s="1"/>
  <c r="FN136" i="11" s="1"/>
  <c r="FN137" i="11" s="1"/>
  <c r="FN138" i="11" s="1"/>
  <c r="FN139" i="11" s="1"/>
  <c r="FN140" i="11" s="1"/>
  <c r="FN141" i="11" s="1"/>
  <c r="FN142" i="11" s="1"/>
  <c r="FN143" i="11" s="1"/>
  <c r="FN144" i="11" s="1"/>
  <c r="FN145" i="11" s="1"/>
  <c r="FN146" i="11" s="1"/>
  <c r="FN147" i="11" s="1"/>
  <c r="FN148" i="11" s="1"/>
  <c r="FN149" i="11" s="1"/>
  <c r="FN150" i="11" s="1"/>
  <c r="FN151" i="11" s="1"/>
  <c r="FN152" i="11" s="1"/>
  <c r="FN153" i="11" s="1"/>
  <c r="FN154" i="11" s="1"/>
  <c r="FN155" i="11" s="1"/>
  <c r="FN156" i="11" s="1"/>
  <c r="FN157" i="11" s="1"/>
  <c r="FN158" i="11" s="1"/>
  <c r="FN159" i="11" s="1"/>
  <c r="FN160" i="11" s="1"/>
  <c r="FN161" i="11" s="1"/>
  <c r="FN162" i="11" s="1"/>
  <c r="FN163" i="11" s="1"/>
  <c r="FN164" i="11" s="1"/>
  <c r="FN165" i="11" s="1"/>
  <c r="FN166" i="11" s="1"/>
  <c r="FN167" i="11" s="1"/>
  <c r="FN168" i="11" s="1"/>
  <c r="FN169" i="11" s="1"/>
  <c r="FN170" i="11" s="1"/>
  <c r="FN171" i="11" s="1"/>
  <c r="FN172" i="11" s="1"/>
  <c r="FN173" i="11" s="1"/>
  <c r="FN174" i="11" s="1"/>
  <c r="FN175" i="11" s="1"/>
  <c r="FN176" i="11" s="1"/>
  <c r="FN177" i="11" s="1"/>
  <c r="FN178" i="11" s="1"/>
  <c r="FN179" i="11" s="1"/>
  <c r="FN180" i="11" s="1"/>
  <c r="FN181" i="11" s="1"/>
  <c r="FN182" i="11" s="1"/>
  <c r="FN183" i="11" s="1"/>
  <c r="FN184" i="11" s="1"/>
  <c r="FN185" i="11" s="1"/>
  <c r="FN186" i="11" s="1"/>
  <c r="FN187" i="11" s="1"/>
  <c r="FN188" i="11" s="1"/>
  <c r="FN189" i="11" s="1"/>
  <c r="FN190" i="11" s="1"/>
  <c r="FN191" i="11" s="1"/>
  <c r="FN192" i="11" s="1"/>
  <c r="FN193" i="11" s="1"/>
  <c r="FN194" i="11" s="1"/>
  <c r="FN195" i="11" s="1"/>
  <c r="FN196" i="11" s="1"/>
  <c r="FN197" i="11" s="1"/>
  <c r="FN198" i="11" s="1"/>
  <c r="FN199" i="11" s="1"/>
  <c r="FN200" i="11" s="1"/>
  <c r="FN201" i="11" s="1"/>
  <c r="FN202" i="11" s="1"/>
  <c r="FN203" i="11" s="1"/>
  <c r="FN204" i="11" s="1"/>
  <c r="FN205" i="11" s="1"/>
  <c r="FN206" i="11" s="1"/>
  <c r="FN207" i="11" s="1"/>
  <c r="FN208" i="11" s="1"/>
  <c r="FN209" i="11" s="1"/>
  <c r="FN210" i="11" s="1"/>
  <c r="FN211" i="11" s="1"/>
  <c r="FN212" i="11" s="1"/>
  <c r="FN213" i="11" s="1"/>
  <c r="FN214" i="11" s="1"/>
  <c r="FN215" i="11" s="1"/>
  <c r="FN216" i="11" s="1"/>
  <c r="FN217" i="11" s="1"/>
  <c r="FN218" i="11" s="1"/>
  <c r="FN219" i="11" s="1"/>
  <c r="FN220" i="11" s="1"/>
  <c r="FN221" i="11" s="1"/>
  <c r="FN222" i="11" s="1"/>
  <c r="FN223" i="11" s="1"/>
  <c r="FN224" i="11" s="1"/>
  <c r="FN225" i="11" s="1"/>
  <c r="FN226" i="11" s="1"/>
  <c r="FN227" i="11" s="1"/>
  <c r="FN228" i="11" s="1"/>
  <c r="FN229" i="11" s="1"/>
  <c r="FN230" i="11" s="1"/>
  <c r="FN231" i="11" s="1"/>
  <c r="FN232" i="11" s="1"/>
  <c r="FN233" i="11" s="1"/>
  <c r="FN234" i="11" s="1"/>
  <c r="FN235" i="11" s="1"/>
  <c r="FN236" i="11" s="1"/>
  <c r="FN237" i="11" s="1"/>
  <c r="FN238" i="11" s="1"/>
  <c r="FN239" i="11" s="1"/>
  <c r="FN240" i="11" s="1"/>
  <c r="EO9" i="11"/>
  <c r="AI5" i="11"/>
  <c r="R8" i="11"/>
  <c r="R9" i="11" s="1"/>
  <c r="R10" i="11" s="1"/>
  <c r="R11" i="11" s="1"/>
  <c r="R12" i="11" s="1"/>
  <c r="R13" i="11" s="1"/>
  <c r="R14" i="11" s="1"/>
  <c r="R15" i="11" s="1"/>
  <c r="R16" i="11" s="1"/>
  <c r="R17" i="11" s="1"/>
  <c r="R18" i="11" s="1"/>
  <c r="R19" i="11" s="1"/>
  <c r="R20" i="11" s="1"/>
  <c r="R21" i="11" s="1"/>
  <c r="R22" i="11" s="1"/>
  <c r="R23" i="11" s="1"/>
  <c r="R24" i="11" s="1"/>
  <c r="R25" i="11" s="1"/>
  <c r="R26" i="11" s="1"/>
  <c r="R27" i="11" s="1"/>
  <c r="R28" i="11" s="1"/>
  <c r="R29" i="11" s="1"/>
  <c r="R30" i="11" s="1"/>
  <c r="R31" i="11" s="1"/>
  <c r="R32" i="11" s="1"/>
  <c r="R33" i="11" s="1"/>
  <c r="R34" i="11" s="1"/>
  <c r="R35" i="11" s="1"/>
  <c r="R36" i="11" s="1"/>
  <c r="R37" i="11" s="1"/>
  <c r="R38" i="11" s="1"/>
  <c r="R39" i="11" s="1"/>
  <c r="R40" i="11" s="1"/>
  <c r="R41" i="11" s="1"/>
  <c r="R42" i="11" s="1"/>
  <c r="R43" i="11" s="1"/>
  <c r="R44" i="11" s="1"/>
  <c r="R45" i="11" s="1"/>
  <c r="R46" i="11" s="1"/>
  <c r="R47" i="11" s="1"/>
  <c r="R48" i="11" s="1"/>
  <c r="R49" i="11" s="1"/>
  <c r="R50" i="11" s="1"/>
  <c r="R51" i="11" s="1"/>
  <c r="R52" i="11" s="1"/>
  <c r="R53" i="11" s="1"/>
  <c r="R54" i="11" s="1"/>
  <c r="R55" i="11" s="1"/>
  <c r="R56" i="11" s="1"/>
  <c r="R57" i="11" s="1"/>
  <c r="R58" i="11" s="1"/>
  <c r="R59" i="11" s="1"/>
  <c r="R60" i="11" s="1"/>
  <c r="R61" i="11" s="1"/>
  <c r="R62" i="11" s="1"/>
  <c r="R63" i="11" s="1"/>
  <c r="R64" i="11" s="1"/>
  <c r="R65" i="11" s="1"/>
  <c r="R66" i="11" s="1"/>
  <c r="R67" i="11" s="1"/>
  <c r="R68" i="11" s="1"/>
  <c r="R69" i="11" s="1"/>
  <c r="R70" i="11" s="1"/>
  <c r="R71" i="11" s="1"/>
  <c r="R72" i="11" s="1"/>
  <c r="R73" i="11" s="1"/>
  <c r="R74" i="11" s="1"/>
  <c r="R75" i="11" s="1"/>
  <c r="R76" i="11" s="1"/>
  <c r="R77" i="11" s="1"/>
  <c r="R78" i="11" s="1"/>
  <c r="R79" i="11" s="1"/>
  <c r="R80" i="11" s="1"/>
  <c r="R81" i="11" s="1"/>
  <c r="R82" i="11" s="1"/>
  <c r="R83" i="11" s="1"/>
  <c r="R84" i="11" s="1"/>
  <c r="R85" i="11" s="1"/>
  <c r="R86" i="11" s="1"/>
  <c r="R87" i="11" s="1"/>
  <c r="R88" i="11" s="1"/>
  <c r="R89" i="11" s="1"/>
  <c r="R90" i="11" s="1"/>
  <c r="R91" i="11" s="1"/>
  <c r="R92" i="11" s="1"/>
  <c r="R93" i="11" s="1"/>
  <c r="R94" i="11" s="1"/>
  <c r="R95" i="11" s="1"/>
  <c r="R96" i="11" s="1"/>
  <c r="R97" i="11" s="1"/>
  <c r="R98" i="11" s="1"/>
  <c r="R99" i="11" s="1"/>
  <c r="R100" i="11" s="1"/>
  <c r="R101" i="11" s="1"/>
  <c r="R102" i="11" s="1"/>
  <c r="R103" i="11" s="1"/>
  <c r="R104" i="11" s="1"/>
  <c r="R105" i="11" s="1"/>
  <c r="R106" i="11" s="1"/>
  <c r="R107" i="11" s="1"/>
  <c r="R108" i="11" s="1"/>
  <c r="R109" i="11" s="1"/>
  <c r="R110" i="11" s="1"/>
  <c r="R111" i="11" s="1"/>
  <c r="R112" i="11" s="1"/>
  <c r="R113" i="11" s="1"/>
  <c r="R114" i="11" s="1"/>
  <c r="R115" i="11" s="1"/>
  <c r="R116" i="11" s="1"/>
  <c r="R117" i="11" s="1"/>
  <c r="R118" i="11" s="1"/>
  <c r="R119" i="11" s="1"/>
  <c r="R120" i="11" s="1"/>
  <c r="R121" i="11" s="1"/>
  <c r="R122" i="11" s="1"/>
  <c r="R123" i="11" s="1"/>
  <c r="R124" i="11" s="1"/>
  <c r="R125" i="11" s="1"/>
  <c r="R126" i="11" s="1"/>
  <c r="R127" i="11" s="1"/>
  <c r="R128" i="11" s="1"/>
  <c r="R129" i="11" s="1"/>
  <c r="R130" i="11" s="1"/>
  <c r="R131" i="11" s="1"/>
  <c r="R132" i="11" s="1"/>
  <c r="R133" i="11" s="1"/>
  <c r="R134" i="11" s="1"/>
  <c r="R135" i="11" s="1"/>
  <c r="R136" i="11" s="1"/>
  <c r="R137" i="11" s="1"/>
  <c r="R138" i="11" s="1"/>
  <c r="R139" i="11" s="1"/>
  <c r="R140" i="11" s="1"/>
  <c r="R141" i="11" s="1"/>
  <c r="R142" i="11" s="1"/>
  <c r="R143" i="11" s="1"/>
  <c r="R144" i="11" s="1"/>
  <c r="R145" i="11" s="1"/>
  <c r="R146" i="11" s="1"/>
  <c r="R147" i="11" s="1"/>
  <c r="R148" i="11" s="1"/>
  <c r="R149" i="11" s="1"/>
  <c r="R150" i="11" s="1"/>
  <c r="R151" i="11" s="1"/>
  <c r="R152" i="11" s="1"/>
  <c r="R153" i="11" s="1"/>
  <c r="R154" i="11" s="1"/>
  <c r="R155" i="11" s="1"/>
  <c r="R156" i="11" s="1"/>
  <c r="R157" i="11" s="1"/>
  <c r="R158" i="11" s="1"/>
  <c r="R159" i="11" s="1"/>
  <c r="R160" i="11" s="1"/>
  <c r="R161" i="11" s="1"/>
  <c r="R162" i="11" s="1"/>
  <c r="R163" i="11" s="1"/>
  <c r="R164" i="11" s="1"/>
  <c r="R165" i="11" s="1"/>
  <c r="R166" i="11" s="1"/>
  <c r="R167" i="11" s="1"/>
  <c r="R168" i="11" s="1"/>
  <c r="R169" i="11" s="1"/>
  <c r="R170" i="11" s="1"/>
  <c r="R171" i="11" s="1"/>
  <c r="R172" i="11" s="1"/>
  <c r="R173" i="11" s="1"/>
  <c r="R174" i="11" s="1"/>
  <c r="R175" i="11" s="1"/>
  <c r="R176" i="11" s="1"/>
  <c r="R177" i="11" s="1"/>
  <c r="R178" i="11" s="1"/>
  <c r="R179" i="11" s="1"/>
  <c r="R180" i="11" s="1"/>
  <c r="R181" i="11" s="1"/>
  <c r="R182" i="11" s="1"/>
  <c r="R183" i="11" s="1"/>
  <c r="R184" i="11" s="1"/>
  <c r="R185" i="11" s="1"/>
  <c r="R186" i="11" s="1"/>
  <c r="R187" i="11" s="1"/>
  <c r="R188" i="11" s="1"/>
  <c r="R189" i="11" s="1"/>
  <c r="R190" i="11" s="1"/>
  <c r="R191" i="11" s="1"/>
  <c r="R192" i="11" s="1"/>
  <c r="R193" i="11" s="1"/>
  <c r="R194" i="11" s="1"/>
  <c r="R195" i="11" s="1"/>
  <c r="R196" i="11" s="1"/>
  <c r="R197" i="11" s="1"/>
  <c r="R198" i="11" s="1"/>
  <c r="R199" i="11" s="1"/>
  <c r="R200" i="11" s="1"/>
  <c r="R201" i="11" s="1"/>
  <c r="R202" i="11" s="1"/>
  <c r="R203" i="11" s="1"/>
  <c r="R204" i="11" s="1"/>
  <c r="R205" i="11" s="1"/>
  <c r="R206" i="11" s="1"/>
  <c r="R207" i="11" s="1"/>
  <c r="R208" i="11" s="1"/>
  <c r="R209" i="11" s="1"/>
  <c r="R210" i="11" s="1"/>
  <c r="R211" i="11" s="1"/>
  <c r="R212" i="11" s="1"/>
  <c r="R213" i="11" s="1"/>
  <c r="R214" i="11" s="1"/>
  <c r="R215" i="11" s="1"/>
  <c r="R216" i="11" s="1"/>
  <c r="R217" i="11" s="1"/>
  <c r="R218" i="11" s="1"/>
  <c r="R219" i="11" s="1"/>
  <c r="R220" i="11" s="1"/>
  <c r="R221" i="11" s="1"/>
  <c r="R222" i="11" s="1"/>
  <c r="R223" i="11" s="1"/>
  <c r="R224" i="11" s="1"/>
  <c r="R225" i="11" s="1"/>
  <c r="R226" i="11" s="1"/>
  <c r="R227" i="11" s="1"/>
  <c r="R228" i="11" s="1"/>
  <c r="R229" i="11" s="1"/>
  <c r="R230" i="11" s="1"/>
  <c r="R231" i="11" s="1"/>
  <c r="R232" i="11" s="1"/>
  <c r="R233" i="11" s="1"/>
  <c r="R234" i="11" s="1"/>
  <c r="R235" i="11" s="1"/>
  <c r="R236" i="11" s="1"/>
  <c r="R237" i="11" s="1"/>
  <c r="R238" i="11" s="1"/>
  <c r="R239" i="11" s="1"/>
  <c r="R240" i="11" s="1"/>
  <c r="AX7" i="11"/>
  <c r="DR7" i="11"/>
  <c r="DB13" i="11" l="1"/>
  <c r="DZ13" i="11"/>
  <c r="AP6" i="11"/>
  <c r="AP7" i="11" s="1"/>
  <c r="EH8" i="11"/>
  <c r="CT8" i="11"/>
  <c r="DJ10" i="11"/>
  <c r="BG8" i="11"/>
  <c r="W6" i="11"/>
  <c r="EO10" i="11"/>
  <c r="AI6" i="11"/>
  <c r="AX8" i="11"/>
  <c r="DR8" i="11"/>
  <c r="DB14" i="11" l="1"/>
  <c r="DZ14" i="11"/>
  <c r="EH9" i="11"/>
  <c r="CT9" i="11"/>
  <c r="DJ11" i="11"/>
  <c r="BG9" i="11"/>
  <c r="W7" i="11"/>
  <c r="AP8" i="11"/>
  <c r="EO11" i="11"/>
  <c r="AI7" i="11"/>
  <c r="AX9" i="11"/>
  <c r="DR9" i="11"/>
  <c r="DB15" i="11" l="1"/>
  <c r="DZ15" i="11"/>
  <c r="EH10" i="11"/>
  <c r="CT10" i="11"/>
  <c r="DJ12" i="11"/>
  <c r="BG10" i="11"/>
  <c r="W8" i="11"/>
  <c r="AP9" i="11"/>
  <c r="EO12" i="11"/>
  <c r="AI8" i="11"/>
  <c r="AX10" i="11"/>
  <c r="DR10" i="11"/>
  <c r="DB16" i="11" l="1"/>
  <c r="DZ16" i="11"/>
  <c r="EH11" i="11"/>
  <c r="CT11" i="11"/>
  <c r="DJ13" i="11"/>
  <c r="BG11" i="11"/>
  <c r="W9" i="11"/>
  <c r="AP10" i="11"/>
  <c r="EO13" i="11"/>
  <c r="AI9" i="11"/>
  <c r="AX11" i="11"/>
  <c r="DR11" i="11"/>
  <c r="DB17" i="11" l="1"/>
  <c r="DZ17" i="11"/>
  <c r="EH12" i="11"/>
  <c r="CT12" i="11"/>
  <c r="DJ14" i="11"/>
  <c r="BG12" i="11"/>
  <c r="W10" i="11"/>
  <c r="AP11" i="11"/>
  <c r="EO14" i="11"/>
  <c r="AI10" i="11"/>
  <c r="AX12" i="11"/>
  <c r="DR12" i="11"/>
  <c r="DB18" i="11" l="1"/>
  <c r="DZ18" i="11"/>
  <c r="EH13" i="11"/>
  <c r="CT13" i="11"/>
  <c r="DJ15" i="11"/>
  <c r="BG13" i="11"/>
  <c r="W11" i="11"/>
  <c r="AP12" i="11"/>
  <c r="EO15" i="11"/>
  <c r="AI11" i="11"/>
  <c r="AX13" i="11"/>
  <c r="DR13" i="11"/>
  <c r="DB19" i="11" l="1"/>
  <c r="DZ19" i="11"/>
  <c r="EH14" i="11"/>
  <c r="CT14" i="11"/>
  <c r="DJ16" i="11"/>
  <c r="BG14" i="11"/>
  <c r="W12" i="11"/>
  <c r="AP13" i="11"/>
  <c r="EO16" i="11"/>
  <c r="AI12" i="11"/>
  <c r="AX14" i="11"/>
  <c r="DR14" i="11"/>
  <c r="DB20" i="11" l="1"/>
  <c r="DZ20" i="11"/>
  <c r="EH15" i="11"/>
  <c r="CT15" i="11"/>
  <c r="DJ17" i="11"/>
  <c r="BG15" i="11"/>
  <c r="BG16" i="11" s="1"/>
  <c r="BG17" i="11" s="1"/>
  <c r="BG18" i="11" s="1"/>
  <c r="BG19" i="11" s="1"/>
  <c r="BG20" i="11" s="1"/>
  <c r="BG21" i="11" s="1"/>
  <c r="BG22" i="11" s="1"/>
  <c r="BG23" i="11" s="1"/>
  <c r="BG24" i="11" s="1"/>
  <c r="BG25" i="11" s="1"/>
  <c r="BG26" i="11" s="1"/>
  <c r="BG27" i="11" s="1"/>
  <c r="BG28" i="11" s="1"/>
  <c r="BG29" i="11" s="1"/>
  <c r="W13" i="11"/>
  <c r="AP14" i="11"/>
  <c r="EO17" i="11"/>
  <c r="AI13" i="11"/>
  <c r="AX15" i="11"/>
  <c r="DR15" i="11"/>
  <c r="DB21" i="11" l="1"/>
  <c r="DZ21" i="11"/>
  <c r="EH16" i="11"/>
  <c r="CT16" i="11"/>
  <c r="DJ18" i="11"/>
  <c r="W14" i="11"/>
  <c r="AP15" i="11"/>
  <c r="EO18" i="11"/>
  <c r="AI14" i="11"/>
  <c r="BG30" i="11"/>
  <c r="AX16" i="11"/>
  <c r="DR16" i="11"/>
  <c r="DB22" i="11" l="1"/>
  <c r="DZ22" i="11"/>
  <c r="AP16" i="11"/>
  <c r="AP17" i="11" s="1"/>
  <c r="EH17" i="11"/>
  <c r="CT17" i="11"/>
  <c r="DJ19" i="11"/>
  <c r="W15" i="11"/>
  <c r="W16" i="11" s="1"/>
  <c r="W17" i="11" s="1"/>
  <c r="W18" i="11" s="1"/>
  <c r="W19" i="11" s="1"/>
  <c r="W20" i="11" s="1"/>
  <c r="W21" i="11" s="1"/>
  <c r="W22" i="11" s="1"/>
  <c r="W23" i="11" s="1"/>
  <c r="W24" i="11" s="1"/>
  <c r="W25" i="11" s="1"/>
  <c r="W26" i="11" s="1"/>
  <c r="W27" i="11" s="1"/>
  <c r="W28" i="11" s="1"/>
  <c r="W29" i="11" s="1"/>
  <c r="W30" i="11" s="1"/>
  <c r="W31" i="11" s="1"/>
  <c r="W32" i="11" s="1"/>
  <c r="W33" i="11" s="1"/>
  <c r="W34" i="11" s="1"/>
  <c r="W35" i="11" s="1"/>
  <c r="W36" i="11" s="1"/>
  <c r="W37" i="11" s="1"/>
  <c r="W38" i="11" s="1"/>
  <c r="W39" i="11" s="1"/>
  <c r="W40" i="11" s="1"/>
  <c r="W41" i="11" s="1"/>
  <c r="W42" i="11" s="1"/>
  <c r="W43" i="11" s="1"/>
  <c r="W44" i="11" s="1"/>
  <c r="W45" i="11" s="1"/>
  <c r="W46" i="11" s="1"/>
  <c r="W47" i="11" s="1"/>
  <c r="W48" i="11" s="1"/>
  <c r="W49" i="11" s="1"/>
  <c r="W50" i="11" s="1"/>
  <c r="W51" i="11" s="1"/>
  <c r="W52" i="11" s="1"/>
  <c r="W53" i="11" s="1"/>
  <c r="W54" i="11" s="1"/>
  <c r="W55" i="11" s="1"/>
  <c r="W56" i="11" s="1"/>
  <c r="W57" i="11" s="1"/>
  <c r="W58" i="11" s="1"/>
  <c r="W59" i="11" s="1"/>
  <c r="W60" i="11" s="1"/>
  <c r="W61" i="11" s="1"/>
  <c r="W62" i="11" s="1"/>
  <c r="W63" i="11" s="1"/>
  <c r="W64" i="11" s="1"/>
  <c r="W65" i="11" s="1"/>
  <c r="W66" i="11" s="1"/>
  <c r="W67" i="11" s="1"/>
  <c r="W68" i="11" s="1"/>
  <c r="W69" i="11" s="1"/>
  <c r="W70" i="11" s="1"/>
  <c r="W71" i="11" s="1"/>
  <c r="W72" i="11" s="1"/>
  <c r="W73" i="11" s="1"/>
  <c r="W74" i="11" s="1"/>
  <c r="W75" i="11" s="1"/>
  <c r="W76" i="11" s="1"/>
  <c r="W77" i="11" s="1"/>
  <c r="W78" i="11" s="1"/>
  <c r="W79" i="11" s="1"/>
  <c r="W80" i="11" s="1"/>
  <c r="W81" i="11" s="1"/>
  <c r="W82" i="11" s="1"/>
  <c r="W83" i="11" s="1"/>
  <c r="W84" i="11" s="1"/>
  <c r="W85" i="11" s="1"/>
  <c r="W86" i="11" s="1"/>
  <c r="W87" i="11" s="1"/>
  <c r="W88" i="11" s="1"/>
  <c r="W89" i="11" s="1"/>
  <c r="W90" i="11" s="1"/>
  <c r="W91" i="11" s="1"/>
  <c r="W92" i="11" s="1"/>
  <c r="W93" i="11" s="1"/>
  <c r="W94" i="11" s="1"/>
  <c r="W95" i="11" s="1"/>
  <c r="W96" i="11" s="1"/>
  <c r="W97" i="11" s="1"/>
  <c r="W98" i="11" s="1"/>
  <c r="W99" i="11" s="1"/>
  <c r="W100" i="11" s="1"/>
  <c r="W101" i="11" s="1"/>
  <c r="W102" i="11" s="1"/>
  <c r="W103" i="11" s="1"/>
  <c r="W104" i="11" s="1"/>
  <c r="W105" i="11" s="1"/>
  <c r="W106" i="11" s="1"/>
  <c r="W107" i="11" s="1"/>
  <c r="W108" i="11" s="1"/>
  <c r="W109" i="11" s="1"/>
  <c r="W110" i="11" s="1"/>
  <c r="W111" i="11" s="1"/>
  <c r="W112" i="11" s="1"/>
  <c r="W113" i="11" s="1"/>
  <c r="W114" i="11" s="1"/>
  <c r="W115" i="11" s="1"/>
  <c r="W116" i="11" s="1"/>
  <c r="W117" i="11" s="1"/>
  <c r="W118" i="11" s="1"/>
  <c r="W119" i="11" s="1"/>
  <c r="W120" i="11" s="1"/>
  <c r="W121" i="11" s="1"/>
  <c r="W122" i="11" s="1"/>
  <c r="W123" i="11" s="1"/>
  <c r="W124" i="11" s="1"/>
  <c r="W125" i="11" s="1"/>
  <c r="W126" i="11" s="1"/>
  <c r="W127" i="11" s="1"/>
  <c r="W128" i="11" s="1"/>
  <c r="W129" i="11" s="1"/>
  <c r="W130" i="11" s="1"/>
  <c r="W131" i="11" s="1"/>
  <c r="W132" i="11" s="1"/>
  <c r="W133" i="11" s="1"/>
  <c r="W134" i="11" s="1"/>
  <c r="W135" i="11" s="1"/>
  <c r="W136" i="11" s="1"/>
  <c r="W137" i="11" s="1"/>
  <c r="W138" i="11" s="1"/>
  <c r="W139" i="11" s="1"/>
  <c r="W140" i="11" s="1"/>
  <c r="W141" i="11" s="1"/>
  <c r="W142" i="11" s="1"/>
  <c r="W143" i="11" s="1"/>
  <c r="W144" i="11" s="1"/>
  <c r="W145" i="11" s="1"/>
  <c r="W146" i="11" s="1"/>
  <c r="W147" i="11" s="1"/>
  <c r="W148" i="11" s="1"/>
  <c r="W149" i="11" s="1"/>
  <c r="W150" i="11" s="1"/>
  <c r="W151" i="11" s="1"/>
  <c r="W152" i="11" s="1"/>
  <c r="W153" i="11" s="1"/>
  <c r="W154" i="11" s="1"/>
  <c r="W155" i="11" s="1"/>
  <c r="W156" i="11" s="1"/>
  <c r="W157" i="11" s="1"/>
  <c r="W158" i="11" s="1"/>
  <c r="W159" i="11" s="1"/>
  <c r="W160" i="11" s="1"/>
  <c r="W161" i="11" s="1"/>
  <c r="W162" i="11" s="1"/>
  <c r="W163" i="11" s="1"/>
  <c r="W164" i="11" s="1"/>
  <c r="W165" i="11" s="1"/>
  <c r="W166" i="11" s="1"/>
  <c r="W167" i="11" s="1"/>
  <c r="W168" i="11" s="1"/>
  <c r="W169" i="11" s="1"/>
  <c r="W170" i="11" s="1"/>
  <c r="W171" i="11" s="1"/>
  <c r="W172" i="11" s="1"/>
  <c r="W173" i="11" s="1"/>
  <c r="W174" i="11" s="1"/>
  <c r="W175" i="11" s="1"/>
  <c r="W176" i="11" s="1"/>
  <c r="W177" i="11" s="1"/>
  <c r="W178" i="11" s="1"/>
  <c r="W179" i="11" s="1"/>
  <c r="W180" i="11" s="1"/>
  <c r="W181" i="11" s="1"/>
  <c r="W182" i="11" s="1"/>
  <c r="W183" i="11" s="1"/>
  <c r="W184" i="11" s="1"/>
  <c r="W185" i="11" s="1"/>
  <c r="W186" i="11" s="1"/>
  <c r="W187" i="11" s="1"/>
  <c r="W188" i="11" s="1"/>
  <c r="W189" i="11" s="1"/>
  <c r="W190" i="11" s="1"/>
  <c r="W191" i="11" s="1"/>
  <c r="W192" i="11" s="1"/>
  <c r="W193" i="11" s="1"/>
  <c r="W194" i="11" s="1"/>
  <c r="W195" i="11" s="1"/>
  <c r="W196" i="11" s="1"/>
  <c r="W197" i="11" s="1"/>
  <c r="W198" i="11" s="1"/>
  <c r="W199" i="11" s="1"/>
  <c r="W200" i="11" s="1"/>
  <c r="W201" i="11" s="1"/>
  <c r="W202" i="11" s="1"/>
  <c r="W203" i="11" s="1"/>
  <c r="EO19" i="11"/>
  <c r="AI15" i="11"/>
  <c r="BG31" i="11"/>
  <c r="AX17" i="11"/>
  <c r="DR17" i="11"/>
  <c r="W204" i="11" l="1"/>
  <c r="DB23" i="11"/>
  <c r="DZ23" i="11"/>
  <c r="EH18" i="11"/>
  <c r="CT18" i="11"/>
  <c r="DJ20" i="11"/>
  <c r="EO20" i="11"/>
  <c r="AI16" i="11"/>
  <c r="AP18" i="11"/>
  <c r="BG32" i="11"/>
  <c r="AX18" i="11"/>
  <c r="DR18" i="11"/>
  <c r="W205" i="11" l="1"/>
  <c r="DB24" i="11"/>
  <c r="DZ24" i="11"/>
  <c r="EH19" i="11"/>
  <c r="CT19" i="11"/>
  <c r="DJ21" i="11"/>
  <c r="EO21" i="11"/>
  <c r="AI17" i="11"/>
  <c r="AP19" i="11"/>
  <c r="BG33" i="11"/>
  <c r="AX19" i="11"/>
  <c r="DR19" i="11"/>
  <c r="W206" i="11" l="1"/>
  <c r="DB25" i="11"/>
  <c r="DZ25" i="11"/>
  <c r="EH20" i="11"/>
  <c r="CT20" i="11"/>
  <c r="DJ22" i="11"/>
  <c r="EO22" i="11"/>
  <c r="AI18" i="11"/>
  <c r="AP20" i="11"/>
  <c r="BG34" i="11"/>
  <c r="AX20" i="11"/>
  <c r="DR20" i="11"/>
  <c r="W207" i="11" l="1"/>
  <c r="DB26" i="11"/>
  <c r="DZ26" i="11"/>
  <c r="EH21" i="11"/>
  <c r="CT21" i="11"/>
  <c r="DJ23" i="11"/>
  <c r="EO23" i="11"/>
  <c r="AI19" i="11"/>
  <c r="AP21" i="11"/>
  <c r="BG35" i="11"/>
  <c r="AX21" i="11"/>
  <c r="DR21" i="11"/>
  <c r="W208" i="11" l="1"/>
  <c r="DB27" i="11"/>
  <c r="DZ27" i="11"/>
  <c r="EH22" i="11"/>
  <c r="CT22" i="11"/>
  <c r="DJ24" i="11"/>
  <c r="EO24" i="11"/>
  <c r="AI20" i="11"/>
  <c r="AP22" i="11"/>
  <c r="BG36" i="11"/>
  <c r="AX22" i="11"/>
  <c r="DR22" i="11"/>
  <c r="W209" i="11" l="1"/>
  <c r="DB28" i="11"/>
  <c r="DZ28" i="11"/>
  <c r="EH23" i="11"/>
  <c r="CT23" i="11"/>
  <c r="DJ25" i="11"/>
  <c r="EO25" i="11"/>
  <c r="AI21" i="11"/>
  <c r="AP23" i="11"/>
  <c r="BG37" i="11"/>
  <c r="AX23" i="11"/>
  <c r="DR23" i="11"/>
  <c r="W210" i="11" l="1"/>
  <c r="DB29" i="11"/>
  <c r="DZ29" i="11"/>
  <c r="EH24" i="11"/>
  <c r="CT24" i="11"/>
  <c r="DJ26" i="11"/>
  <c r="EO26" i="11"/>
  <c r="AI22" i="11"/>
  <c r="AP24" i="11"/>
  <c r="BG38" i="11"/>
  <c r="AX24" i="11"/>
  <c r="DR24" i="11"/>
  <c r="W211" i="11" l="1"/>
  <c r="DB30" i="11"/>
  <c r="DZ30" i="11"/>
  <c r="EH25" i="11"/>
  <c r="CT25" i="11"/>
  <c r="DJ27" i="11"/>
  <c r="EO27" i="11"/>
  <c r="AI23" i="11"/>
  <c r="AP25" i="11"/>
  <c r="BG39" i="11"/>
  <c r="AX25" i="11"/>
  <c r="DR25" i="11"/>
  <c r="W212" i="11" l="1"/>
  <c r="DB31" i="11"/>
  <c r="DZ31" i="11"/>
  <c r="EH26" i="11"/>
  <c r="CT26" i="11"/>
  <c r="DJ28" i="11"/>
  <c r="EO28" i="11"/>
  <c r="AI24" i="11"/>
  <c r="AP26" i="11"/>
  <c r="BG40" i="11"/>
  <c r="AX26" i="11"/>
  <c r="DR26" i="11"/>
  <c r="W213" i="11" l="1"/>
  <c r="DB32" i="11"/>
  <c r="DZ32" i="11"/>
  <c r="EH27" i="11"/>
  <c r="CT27" i="11"/>
  <c r="DJ29" i="11"/>
  <c r="EO29" i="11"/>
  <c r="AI25" i="11"/>
  <c r="AP27" i="11"/>
  <c r="BG41" i="11"/>
  <c r="AX27" i="11"/>
  <c r="DR27" i="11"/>
  <c r="W214" i="11" l="1"/>
  <c r="DB33" i="11"/>
  <c r="DZ33" i="11"/>
  <c r="EH28" i="11"/>
  <c r="CT28" i="11"/>
  <c r="DJ30" i="11"/>
  <c r="EO30" i="11"/>
  <c r="AI26" i="11"/>
  <c r="AP28" i="11"/>
  <c r="BG42" i="11"/>
  <c r="AX28" i="11"/>
  <c r="DR28" i="11"/>
  <c r="W215" i="11" l="1"/>
  <c r="DB34" i="11"/>
  <c r="DZ34" i="11"/>
  <c r="EH29" i="11"/>
  <c r="CT29" i="11"/>
  <c r="DJ31" i="11"/>
  <c r="EO31" i="11"/>
  <c r="AI27" i="11"/>
  <c r="AP29" i="11"/>
  <c r="BG43" i="11"/>
  <c r="AX29" i="11"/>
  <c r="DR29" i="11"/>
  <c r="W216" i="11" l="1"/>
  <c r="DB35" i="11"/>
  <c r="DZ35" i="11"/>
  <c r="EH30" i="11"/>
  <c r="CT30" i="11"/>
  <c r="DJ32" i="11"/>
  <c r="EO32" i="11"/>
  <c r="AI28" i="11"/>
  <c r="AP30" i="11"/>
  <c r="BG44" i="11"/>
  <c r="AX30" i="11"/>
  <c r="AX31" i="11" s="1"/>
  <c r="DR30" i="11"/>
  <c r="W217" i="11" l="1"/>
  <c r="DB36" i="11"/>
  <c r="DZ36" i="11"/>
  <c r="EH31" i="11"/>
  <c r="CT31" i="11"/>
  <c r="DJ33" i="11"/>
  <c r="EO33" i="11"/>
  <c r="AI29" i="11"/>
  <c r="AP31" i="11"/>
  <c r="BG45" i="11"/>
  <c r="AX32" i="11"/>
  <c r="DR31" i="11"/>
  <c r="W218" i="11" l="1"/>
  <c r="DB37" i="11"/>
  <c r="DZ37" i="11"/>
  <c r="EH32" i="11"/>
  <c r="CT32" i="11"/>
  <c r="DJ34" i="11"/>
  <c r="EO34" i="11"/>
  <c r="AI30" i="11"/>
  <c r="AP32" i="11"/>
  <c r="BG46" i="11"/>
  <c r="AX33" i="11"/>
  <c r="DR32" i="11"/>
  <c r="W219" i="11" l="1"/>
  <c r="DB38" i="11"/>
  <c r="DZ38" i="11"/>
  <c r="EH33" i="11"/>
  <c r="CT33" i="11"/>
  <c r="DJ35" i="11"/>
  <c r="EO35" i="11"/>
  <c r="AI31" i="11"/>
  <c r="AP33" i="11"/>
  <c r="BG47" i="11"/>
  <c r="AX34" i="11"/>
  <c r="DR33" i="11"/>
  <c r="W220" i="11" l="1"/>
  <c r="DB39" i="11"/>
  <c r="DZ39" i="11"/>
  <c r="EH34" i="11"/>
  <c r="CT34" i="11"/>
  <c r="DJ36" i="11"/>
  <c r="EO36" i="11"/>
  <c r="AI32" i="11"/>
  <c r="AP34" i="11"/>
  <c r="BG48" i="11"/>
  <c r="AX35" i="11"/>
  <c r="DR34" i="11"/>
  <c r="W221" i="11" l="1"/>
  <c r="DB40" i="11"/>
  <c r="DZ40" i="11"/>
  <c r="EH35" i="11"/>
  <c r="CT35" i="11"/>
  <c r="DJ37" i="11"/>
  <c r="EO37" i="11"/>
  <c r="AI33" i="11"/>
  <c r="AP35" i="11"/>
  <c r="BG49" i="11"/>
  <c r="AX36" i="11"/>
  <c r="DR35" i="11"/>
  <c r="W222" i="11" l="1"/>
  <c r="DB41" i="11"/>
  <c r="DZ41" i="11"/>
  <c r="EH36" i="11"/>
  <c r="CT36" i="11"/>
  <c r="DJ38" i="11"/>
  <c r="EO38" i="11"/>
  <c r="AI34" i="11"/>
  <c r="AP36" i="11"/>
  <c r="BG50" i="11"/>
  <c r="AX37" i="11"/>
  <c r="DR36" i="11"/>
  <c r="W223" i="11" l="1"/>
  <c r="DB42" i="11"/>
  <c r="DZ42" i="11"/>
  <c r="EH37" i="11"/>
  <c r="CT37" i="11"/>
  <c r="DJ39" i="11"/>
  <c r="EO39" i="11"/>
  <c r="AI35" i="11"/>
  <c r="AP37" i="11"/>
  <c r="BG51" i="11"/>
  <c r="AX38" i="11"/>
  <c r="DR37" i="11"/>
  <c r="W224" i="11" l="1"/>
  <c r="DB43" i="11"/>
  <c r="DZ43" i="11"/>
  <c r="EH38" i="11"/>
  <c r="CT38" i="11"/>
  <c r="DJ40" i="11"/>
  <c r="EO40" i="11"/>
  <c r="AI36" i="11"/>
  <c r="AP38" i="11"/>
  <c r="BG52" i="11"/>
  <c r="AX39" i="11"/>
  <c r="DR38" i="11"/>
  <c r="W225" i="11" l="1"/>
  <c r="DB44" i="11"/>
  <c r="DZ44" i="11"/>
  <c r="EH39" i="11"/>
  <c r="CT39" i="11"/>
  <c r="DJ41" i="11"/>
  <c r="EO41" i="11"/>
  <c r="AI37" i="11"/>
  <c r="AP39" i="11"/>
  <c r="BG53" i="11"/>
  <c r="AX40" i="11"/>
  <c r="DR39" i="11"/>
  <c r="W226" i="11" l="1"/>
  <c r="DB45" i="11"/>
  <c r="DZ45" i="11"/>
  <c r="EH40" i="11"/>
  <c r="CT40" i="11"/>
  <c r="DJ42" i="11"/>
  <c r="EO42" i="11"/>
  <c r="AI38" i="11"/>
  <c r="AP40" i="11"/>
  <c r="BG54" i="11"/>
  <c r="AX41" i="11"/>
  <c r="DR40" i="11"/>
  <c r="W227" i="11" l="1"/>
  <c r="DB46" i="11"/>
  <c r="DZ46" i="11"/>
  <c r="EH41" i="11"/>
  <c r="CT41" i="11"/>
  <c r="DJ43" i="11"/>
  <c r="EO43" i="11"/>
  <c r="AI39" i="11"/>
  <c r="AP41" i="11"/>
  <c r="BG55" i="11"/>
  <c r="AX42" i="11"/>
  <c r="DR41" i="11"/>
  <c r="W228" i="11" l="1"/>
  <c r="DB47" i="11"/>
  <c r="DZ47" i="11"/>
  <c r="EH42" i="11"/>
  <c r="CT42" i="11"/>
  <c r="DJ44" i="11"/>
  <c r="EO44" i="11"/>
  <c r="AI40" i="11"/>
  <c r="AP42" i="11"/>
  <c r="BG56" i="11"/>
  <c r="AX43" i="11"/>
  <c r="DR42" i="11"/>
  <c r="W229" i="11" l="1"/>
  <c r="DB48" i="11"/>
  <c r="DZ48" i="11"/>
  <c r="EH43" i="11"/>
  <c r="CT43" i="11"/>
  <c r="DJ45" i="11"/>
  <c r="EO45" i="11"/>
  <c r="AI41" i="11"/>
  <c r="AP43" i="11"/>
  <c r="BG57" i="11"/>
  <c r="AX44" i="11"/>
  <c r="DR43" i="11"/>
  <c r="W230" i="11" l="1"/>
  <c r="DB49" i="11"/>
  <c r="DZ49" i="11"/>
  <c r="EH44" i="11"/>
  <c r="CT44" i="11"/>
  <c r="DJ46" i="11"/>
  <c r="EO46" i="11"/>
  <c r="AI42" i="11"/>
  <c r="AP44" i="11"/>
  <c r="BG58" i="11"/>
  <c r="AX45" i="11"/>
  <c r="DR44" i="11"/>
  <c r="W231" i="11" l="1"/>
  <c r="DB50" i="11"/>
  <c r="DZ50" i="11"/>
  <c r="EH45" i="11"/>
  <c r="CT45" i="11"/>
  <c r="DJ47" i="11"/>
  <c r="EO47" i="11"/>
  <c r="AI43" i="11"/>
  <c r="AP45" i="11"/>
  <c r="BG59" i="11"/>
  <c r="AX46" i="11"/>
  <c r="DR45" i="11"/>
  <c r="W232" i="11" l="1"/>
  <c r="DB51" i="11"/>
  <c r="DZ51" i="11"/>
  <c r="EH46" i="11"/>
  <c r="CT46" i="11"/>
  <c r="DJ48" i="11"/>
  <c r="EO48" i="11"/>
  <c r="AI44" i="11"/>
  <c r="AP46" i="11"/>
  <c r="BG60" i="11"/>
  <c r="AX47" i="11"/>
  <c r="DR46" i="11"/>
  <c r="W233" i="11" l="1"/>
  <c r="DB52" i="11"/>
  <c r="DZ52" i="11"/>
  <c r="EH47" i="11"/>
  <c r="CT47" i="11"/>
  <c r="DJ49" i="11"/>
  <c r="EO49" i="11"/>
  <c r="AI45" i="11"/>
  <c r="AP47" i="11"/>
  <c r="BG61" i="11"/>
  <c r="AX48" i="11"/>
  <c r="DR47" i="11"/>
  <c r="W234" i="11" l="1"/>
  <c r="DB53" i="11"/>
  <c r="DZ53" i="11"/>
  <c r="EH48" i="11"/>
  <c r="CT48" i="11"/>
  <c r="DJ50" i="11"/>
  <c r="EO50" i="11"/>
  <c r="AI46" i="11"/>
  <c r="AP48" i="11"/>
  <c r="BG62" i="11"/>
  <c r="AX49" i="11"/>
  <c r="DR48" i="11"/>
  <c r="BV14" i="11"/>
  <c r="BW14" i="11" s="1"/>
  <c r="BX14" i="11" s="1"/>
  <c r="BV15" i="11"/>
  <c r="BW15" i="11" s="1"/>
  <c r="BX15" i="11" s="1"/>
  <c r="BV16" i="11"/>
  <c r="BW16" i="11" s="1"/>
  <c r="BX16" i="11" s="1"/>
  <c r="BV17" i="11"/>
  <c r="BW17" i="11" s="1"/>
  <c r="BX17" i="11" s="1"/>
  <c r="BV18" i="11"/>
  <c r="BW18" i="11" s="1"/>
  <c r="BX18" i="11" s="1"/>
  <c r="BV19" i="11"/>
  <c r="BW19" i="11" s="1"/>
  <c r="BV20" i="11"/>
  <c r="BW20" i="11" s="1"/>
  <c r="BX20" i="11" s="1"/>
  <c r="BV21" i="11"/>
  <c r="BW21" i="11" s="1"/>
  <c r="BX21" i="11" s="1"/>
  <c r="BV22" i="11"/>
  <c r="BW22" i="11" s="1"/>
  <c r="BX22" i="11" s="1"/>
  <c r="BV23" i="11"/>
  <c r="BW23" i="11" s="1"/>
  <c r="BX23" i="11" s="1"/>
  <c r="BV24" i="11"/>
  <c r="BW24" i="11" s="1"/>
  <c r="BX24" i="11" s="1"/>
  <c r="BV25" i="11"/>
  <c r="BW25" i="11" s="1"/>
  <c r="BX25" i="11" s="1"/>
  <c r="BV26" i="11"/>
  <c r="BW26" i="11" s="1"/>
  <c r="BX26" i="11" s="1"/>
  <c r="BV27" i="11"/>
  <c r="BW27" i="11" s="1"/>
  <c r="BX27" i="11" s="1"/>
  <c r="BV28" i="11"/>
  <c r="BW28" i="11" s="1"/>
  <c r="BX28" i="11" s="1"/>
  <c r="BV29" i="11"/>
  <c r="BW29" i="11" s="1"/>
  <c r="BV30" i="11"/>
  <c r="BW30" i="11" s="1"/>
  <c r="BV31" i="11"/>
  <c r="BW31" i="11" s="1"/>
  <c r="BV32" i="11"/>
  <c r="BW32" i="11" s="1"/>
  <c r="BX32" i="11" s="1"/>
  <c r="BV33" i="11"/>
  <c r="BW33" i="11" s="1"/>
  <c r="BX33" i="11" s="1"/>
  <c r="BV34" i="11"/>
  <c r="BW34" i="11" s="1"/>
  <c r="BX34" i="11" s="1"/>
  <c r="BV35" i="11"/>
  <c r="BW35" i="11" s="1"/>
  <c r="BX35" i="11" s="1"/>
  <c r="BV36" i="11"/>
  <c r="BW36" i="11" s="1"/>
  <c r="BX36" i="11" s="1"/>
  <c r="BV37" i="11"/>
  <c r="BW37" i="11" s="1"/>
  <c r="BV38" i="11"/>
  <c r="BW38" i="11" s="1"/>
  <c r="BX38" i="11" s="1"/>
  <c r="BV39" i="11"/>
  <c r="BW39" i="11" s="1"/>
  <c r="BX39" i="11" s="1"/>
  <c r="BV40" i="11"/>
  <c r="BW40" i="11" s="1"/>
  <c r="BX40" i="11" s="1"/>
  <c r="BV41" i="11"/>
  <c r="BW41" i="11" s="1"/>
  <c r="BX41" i="11" s="1"/>
  <c r="BV42" i="11"/>
  <c r="BW42" i="11" s="1"/>
  <c r="BX42" i="11" s="1"/>
  <c r="BV43" i="11"/>
  <c r="BW43" i="11" s="1"/>
  <c r="BV44" i="11"/>
  <c r="BW44" i="11" s="1"/>
  <c r="BX44" i="11" s="1"/>
  <c r="BV45" i="11"/>
  <c r="BW45" i="11" s="1"/>
  <c r="BX45" i="11" s="1"/>
  <c r="BV46" i="11"/>
  <c r="BW46" i="11" s="1"/>
  <c r="BX46" i="11" s="1"/>
  <c r="BV47" i="11"/>
  <c r="BW47" i="11" s="1"/>
  <c r="BX47" i="11" s="1"/>
  <c r="BV48" i="11"/>
  <c r="BW48" i="11" s="1"/>
  <c r="BX48" i="11" s="1"/>
  <c r="BV49" i="11"/>
  <c r="BW49" i="11" s="1"/>
  <c r="BV50" i="11"/>
  <c r="BW50" i="11" s="1"/>
  <c r="BV51" i="11"/>
  <c r="BW51" i="11" s="1"/>
  <c r="BX51" i="11" s="1"/>
  <c r="BV52" i="11"/>
  <c r="BW52" i="11" s="1"/>
  <c r="BX52" i="11" s="1"/>
  <c r="BV53" i="11"/>
  <c r="BW53" i="11" s="1"/>
  <c r="BX53" i="11" s="1"/>
  <c r="BV54" i="11"/>
  <c r="BW54" i="11" s="1"/>
  <c r="BX54" i="11" s="1"/>
  <c r="BV55" i="11"/>
  <c r="BW55" i="11" s="1"/>
  <c r="BX55" i="11" s="1"/>
  <c r="BV56" i="11"/>
  <c r="BW56" i="11" s="1"/>
  <c r="BV57" i="11"/>
  <c r="BW57" i="11" s="1"/>
  <c r="BX57" i="11" s="1"/>
  <c r="BV58" i="11"/>
  <c r="BW58" i="11" s="1"/>
  <c r="BX58" i="11" s="1"/>
  <c r="BV59" i="11"/>
  <c r="BW59" i="11" s="1"/>
  <c r="BV60" i="11"/>
  <c r="BW60" i="11" s="1"/>
  <c r="BX60" i="11" s="1"/>
  <c r="BV61" i="11"/>
  <c r="BW61" i="11" s="1"/>
  <c r="BX61" i="11" s="1"/>
  <c r="BV62" i="11"/>
  <c r="BW62" i="11" s="1"/>
  <c r="BX62" i="11" s="1"/>
  <c r="BV63" i="11"/>
  <c r="BW63" i="11" s="1"/>
  <c r="BX63" i="11" s="1"/>
  <c r="BV64" i="11"/>
  <c r="BW64" i="11" s="1"/>
  <c r="BX64" i="11" s="1"/>
  <c r="BV65" i="11"/>
  <c r="BW65" i="11" s="1"/>
  <c r="BX65" i="11" s="1"/>
  <c r="BV66" i="11"/>
  <c r="BW66" i="11" s="1"/>
  <c r="BX66" i="11" s="1"/>
  <c r="BV67" i="11"/>
  <c r="BW67" i="11" s="1"/>
  <c r="BX67" i="11" s="1"/>
  <c r="BV68" i="11"/>
  <c r="BW68" i="11" s="1"/>
  <c r="BX68" i="11" s="1"/>
  <c r="BV69" i="11"/>
  <c r="BW69" i="11" s="1"/>
  <c r="BX69" i="11" s="1"/>
  <c r="BV70" i="11"/>
  <c r="BW70" i="11" s="1"/>
  <c r="BX70" i="11" s="1"/>
  <c r="BV71" i="11"/>
  <c r="BW71" i="11" s="1"/>
  <c r="BX71" i="11" s="1"/>
  <c r="BV72" i="11"/>
  <c r="BW72" i="11" s="1"/>
  <c r="BX72" i="11" s="1"/>
  <c r="BV73" i="11"/>
  <c r="BW73" i="11" s="1"/>
  <c r="BX73" i="11" s="1"/>
  <c r="BV74" i="11"/>
  <c r="BW74" i="11" s="1"/>
  <c r="BX74" i="11" s="1"/>
  <c r="BV75" i="11"/>
  <c r="BW75" i="11" s="1"/>
  <c r="BX75" i="11" s="1"/>
  <c r="BV76" i="11"/>
  <c r="BW76" i="11" s="1"/>
  <c r="BX76" i="11" s="1"/>
  <c r="BV77" i="11"/>
  <c r="BW77" i="11" s="1"/>
  <c r="BX77" i="11" s="1"/>
  <c r="BV78" i="11"/>
  <c r="BW78" i="11" s="1"/>
  <c r="BX78" i="11" s="1"/>
  <c r="BV79" i="11"/>
  <c r="BW79" i="11" s="1"/>
  <c r="BX79" i="11" s="1"/>
  <c r="BV80" i="11"/>
  <c r="BW80" i="11" s="1"/>
  <c r="BX80" i="11" s="1"/>
  <c r="BV81" i="11"/>
  <c r="BW81" i="11" s="1"/>
  <c r="BX81" i="11" s="1"/>
  <c r="BV82" i="11"/>
  <c r="BW82" i="11" s="1"/>
  <c r="BX82" i="11" s="1"/>
  <c r="BV83" i="11"/>
  <c r="BW83" i="11" s="1"/>
  <c r="BX83" i="11" s="1"/>
  <c r="BV84" i="11"/>
  <c r="BW84" i="11" s="1"/>
  <c r="BX84" i="11" s="1"/>
  <c r="BV85" i="11"/>
  <c r="BW85" i="11" s="1"/>
  <c r="BX85" i="11" s="1"/>
  <c r="BV86" i="11"/>
  <c r="BW86" i="11" s="1"/>
  <c r="BX86" i="11" s="1"/>
  <c r="BV87" i="11"/>
  <c r="BW87" i="11" s="1"/>
  <c r="BX87" i="11" s="1"/>
  <c r="BV88" i="11"/>
  <c r="BW88" i="11" s="1"/>
  <c r="BX88" i="11" s="1"/>
  <c r="BV89" i="11"/>
  <c r="BW89" i="11" s="1"/>
  <c r="BX89" i="11" s="1"/>
  <c r="BV90" i="11"/>
  <c r="BW90" i="11" s="1"/>
  <c r="BX90" i="11" s="1"/>
  <c r="BV91" i="11"/>
  <c r="BW91" i="11" s="1"/>
  <c r="BX91" i="11" s="1"/>
  <c r="BV92" i="11"/>
  <c r="BW92" i="11" s="1"/>
  <c r="BX92" i="11" s="1"/>
  <c r="BV93" i="11"/>
  <c r="BW93" i="11" s="1"/>
  <c r="BX93" i="11" s="1"/>
  <c r="BV94" i="11"/>
  <c r="BW94" i="11" s="1"/>
  <c r="BX94" i="11" s="1"/>
  <c r="BV95" i="11"/>
  <c r="BW95" i="11" s="1"/>
  <c r="BX95" i="11" s="1"/>
  <c r="BV96" i="11"/>
  <c r="BW96" i="11" s="1"/>
  <c r="BX96" i="11" s="1"/>
  <c r="BV97" i="11"/>
  <c r="BW97" i="11" s="1"/>
  <c r="BX97" i="11" s="1"/>
  <c r="BV98" i="11"/>
  <c r="BW98" i="11" s="1"/>
  <c r="BX98" i="11" s="1"/>
  <c r="BV99" i="11"/>
  <c r="BW99" i="11" s="1"/>
  <c r="BX99" i="11" s="1"/>
  <c r="BV100" i="11"/>
  <c r="BW100" i="11" s="1"/>
  <c r="BX100" i="11" s="1"/>
  <c r="BV101" i="11"/>
  <c r="BW101" i="11" s="1"/>
  <c r="BX101" i="11" s="1"/>
  <c r="BV102" i="11"/>
  <c r="BW102" i="11" s="1"/>
  <c r="BX102" i="11" s="1"/>
  <c r="BV103" i="11"/>
  <c r="BW103" i="11" s="1"/>
  <c r="BX103" i="11" s="1"/>
  <c r="BV104" i="11"/>
  <c r="BW104" i="11" s="1"/>
  <c r="BX104" i="11" s="1"/>
  <c r="BV105" i="11"/>
  <c r="BW105" i="11" s="1"/>
  <c r="BX105" i="11" s="1"/>
  <c r="BV106" i="11"/>
  <c r="BW106" i="11" s="1"/>
  <c r="BX106" i="11" s="1"/>
  <c r="BV107" i="11"/>
  <c r="BW107" i="11" s="1"/>
  <c r="BX107" i="11" s="1"/>
  <c r="BV108" i="11"/>
  <c r="BW108" i="11" s="1"/>
  <c r="BX108" i="11" s="1"/>
  <c r="BV109" i="11"/>
  <c r="BW109" i="11" s="1"/>
  <c r="BX109" i="11" s="1"/>
  <c r="BV110" i="11"/>
  <c r="BW110" i="11" s="1"/>
  <c r="BX110" i="11" s="1"/>
  <c r="BV111" i="11"/>
  <c r="BW111" i="11" s="1"/>
  <c r="BX111" i="11" s="1"/>
  <c r="BV112" i="11"/>
  <c r="BW112" i="11" s="1"/>
  <c r="BX112" i="11" s="1"/>
  <c r="BV113" i="11"/>
  <c r="BW113" i="11" s="1"/>
  <c r="BX113" i="11" s="1"/>
  <c r="BV114" i="11"/>
  <c r="BW114" i="11" s="1"/>
  <c r="BX114" i="11" s="1"/>
  <c r="BV115" i="11"/>
  <c r="BW115" i="11" s="1"/>
  <c r="BX115" i="11" s="1"/>
  <c r="BV116" i="11"/>
  <c r="BW116" i="11" s="1"/>
  <c r="BX116" i="11" s="1"/>
  <c r="BV117" i="11"/>
  <c r="BW117" i="11" s="1"/>
  <c r="BX117" i="11" s="1"/>
  <c r="BV118" i="11"/>
  <c r="BW118" i="11" s="1"/>
  <c r="BX118" i="11" s="1"/>
  <c r="BV119" i="11"/>
  <c r="BW119" i="11" s="1"/>
  <c r="BX119" i="11" s="1"/>
  <c r="BV120" i="11"/>
  <c r="BW120" i="11" s="1"/>
  <c r="BX120" i="11" s="1"/>
  <c r="BV121" i="11"/>
  <c r="BW121" i="11" s="1"/>
  <c r="BX121" i="11" s="1"/>
  <c r="BV122" i="11"/>
  <c r="BW122" i="11" s="1"/>
  <c r="BX122" i="11" s="1"/>
  <c r="BV123" i="11"/>
  <c r="BW123" i="11" s="1"/>
  <c r="BX123" i="11" s="1"/>
  <c r="BV124" i="11"/>
  <c r="BW124" i="11" s="1"/>
  <c r="BX124" i="11" s="1"/>
  <c r="BV125" i="11"/>
  <c r="BW125" i="11" s="1"/>
  <c r="BX125" i="11" s="1"/>
  <c r="BV126" i="11"/>
  <c r="BW126" i="11" s="1"/>
  <c r="BX126" i="11" s="1"/>
  <c r="BV127" i="11"/>
  <c r="BW127" i="11" s="1"/>
  <c r="BX127" i="11" s="1"/>
  <c r="BV128" i="11"/>
  <c r="BW128" i="11" s="1"/>
  <c r="BX128" i="11" s="1"/>
  <c r="BV129" i="11"/>
  <c r="BW129" i="11" s="1"/>
  <c r="BX129" i="11" s="1"/>
  <c r="BV130" i="11"/>
  <c r="BW130" i="11" s="1"/>
  <c r="BX130" i="11" s="1"/>
  <c r="BV131" i="11"/>
  <c r="BW131" i="11" s="1"/>
  <c r="BX131" i="11" s="1"/>
  <c r="BV132" i="11"/>
  <c r="BW132" i="11" s="1"/>
  <c r="BX132" i="11" s="1"/>
  <c r="BV133" i="11"/>
  <c r="BW133" i="11" s="1"/>
  <c r="BX133" i="11" s="1"/>
  <c r="BV134" i="11"/>
  <c r="BW134" i="11" s="1"/>
  <c r="BV135" i="11"/>
  <c r="BW135" i="11" s="1"/>
  <c r="BV136" i="11"/>
  <c r="BW136" i="11" s="1"/>
  <c r="BV137" i="11"/>
  <c r="BW137" i="11" s="1"/>
  <c r="BV138" i="11"/>
  <c r="BW138" i="11" s="1"/>
  <c r="BV139" i="11"/>
  <c r="BW139" i="11" s="1"/>
  <c r="BV140" i="11"/>
  <c r="BW140" i="11" s="1"/>
  <c r="BV141" i="11"/>
  <c r="BW141" i="11" s="1"/>
  <c r="BV142" i="11"/>
  <c r="BW142" i="11" s="1"/>
  <c r="BV143" i="11"/>
  <c r="BW143" i="11" s="1"/>
  <c r="BV144" i="11"/>
  <c r="BW144" i="11" s="1"/>
  <c r="BV145" i="11"/>
  <c r="BW145" i="11" s="1"/>
  <c r="BV146" i="11"/>
  <c r="BW146" i="11" s="1"/>
  <c r="BV147" i="11"/>
  <c r="BW147" i="11" s="1"/>
  <c r="BV148" i="11"/>
  <c r="BW148" i="11" s="1"/>
  <c r="BV149" i="11"/>
  <c r="BW149" i="11" s="1"/>
  <c r="BV150" i="11"/>
  <c r="BW150" i="11" s="1"/>
  <c r="BV151" i="11"/>
  <c r="BW151" i="11" s="1"/>
  <c r="BV152" i="11"/>
  <c r="BW152" i="11" s="1"/>
  <c r="BV153" i="11"/>
  <c r="BW153" i="11" s="1"/>
  <c r="BV154" i="11"/>
  <c r="BW154" i="11" s="1"/>
  <c r="BV155" i="11"/>
  <c r="BW155" i="11" s="1"/>
  <c r="BV156" i="11"/>
  <c r="BW156" i="11" s="1"/>
  <c r="BV157" i="11"/>
  <c r="BW157" i="11" s="1"/>
  <c r="BV158" i="11"/>
  <c r="BW158" i="11" s="1"/>
  <c r="BV159" i="11"/>
  <c r="BW159" i="11" s="1"/>
  <c r="BV160" i="11"/>
  <c r="BW160" i="11" s="1"/>
  <c r="BV161" i="11"/>
  <c r="BW161" i="11" s="1"/>
  <c r="BV162" i="11"/>
  <c r="BW162" i="11" s="1"/>
  <c r="BV163" i="11"/>
  <c r="BW163" i="11" s="1"/>
  <c r="BV164" i="11"/>
  <c r="BW164" i="11" s="1"/>
  <c r="BV165" i="11"/>
  <c r="BW165" i="11" s="1"/>
  <c r="BV166" i="11"/>
  <c r="BW166" i="11" s="1"/>
  <c r="BV167" i="11"/>
  <c r="BW167" i="11" s="1"/>
  <c r="BV168" i="11"/>
  <c r="BW168" i="11" s="1"/>
  <c r="BV169" i="11"/>
  <c r="BW169" i="11" s="1"/>
  <c r="BV170" i="11"/>
  <c r="BW170" i="11" s="1"/>
  <c r="BV171" i="11"/>
  <c r="BW171" i="11" s="1"/>
  <c r="BV172" i="11"/>
  <c r="BW172" i="11" s="1"/>
  <c r="BX172" i="11" s="1"/>
  <c r="BV173" i="11"/>
  <c r="BW173" i="11" s="1"/>
  <c r="BX173" i="11" s="1"/>
  <c r="BV174" i="11"/>
  <c r="BW174" i="11" s="1"/>
  <c r="BX174" i="11" s="1"/>
  <c r="BV175" i="11"/>
  <c r="BW175" i="11" s="1"/>
  <c r="BX175" i="11" s="1"/>
  <c r="BV176" i="11"/>
  <c r="BW176" i="11" s="1"/>
  <c r="BX176" i="11" s="1"/>
  <c r="BV177" i="11"/>
  <c r="BW177" i="11" s="1"/>
  <c r="BX177" i="11" s="1"/>
  <c r="BV178" i="11"/>
  <c r="BW178" i="11" s="1"/>
  <c r="BX178" i="11" s="1"/>
  <c r="BV179" i="11"/>
  <c r="BW179" i="11" s="1"/>
  <c r="BX179" i="11" s="1"/>
  <c r="BV180" i="11"/>
  <c r="BW180" i="11" s="1"/>
  <c r="BX180" i="11" s="1"/>
  <c r="BV181" i="11"/>
  <c r="BW181" i="11" s="1"/>
  <c r="BX181" i="11" s="1"/>
  <c r="BV182" i="11"/>
  <c r="BW182" i="11" s="1"/>
  <c r="BV183" i="11"/>
  <c r="BW183" i="11" s="1"/>
  <c r="BV184" i="11"/>
  <c r="BW184" i="11" s="1"/>
  <c r="BV185" i="11"/>
  <c r="BW185" i="11" s="1"/>
  <c r="BX185" i="11" s="1"/>
  <c r="BV186" i="11"/>
  <c r="BW186" i="11" s="1"/>
  <c r="BX186" i="11" s="1"/>
  <c r="BV187" i="11"/>
  <c r="BW187" i="11" s="1"/>
  <c r="BV188" i="11"/>
  <c r="BW188" i="11" s="1"/>
  <c r="BV189" i="11"/>
  <c r="BW189" i="11" s="1"/>
  <c r="BX189" i="11" s="1"/>
  <c r="BV190" i="11"/>
  <c r="BW190" i="11" s="1"/>
  <c r="BX190" i="11" s="1"/>
  <c r="BV191" i="11"/>
  <c r="BW191" i="11" s="1"/>
  <c r="BX191" i="11" s="1"/>
  <c r="BV192" i="11"/>
  <c r="BW192" i="11" s="1"/>
  <c r="BX192" i="11" s="1"/>
  <c r="BV193" i="11"/>
  <c r="BW193" i="11" s="1"/>
  <c r="BX193" i="11" s="1"/>
  <c r="BV194" i="11"/>
  <c r="BW194" i="11" s="1"/>
  <c r="BV195" i="11"/>
  <c r="BW195" i="11" s="1"/>
  <c r="BV196" i="11"/>
  <c r="BW196" i="11" s="1"/>
  <c r="BX196" i="11" s="1"/>
  <c r="BV197" i="11"/>
  <c r="BW197" i="11" s="1"/>
  <c r="BX197" i="11" s="1"/>
  <c r="BV198" i="11"/>
  <c r="BW198" i="11" s="1"/>
  <c r="BX198" i="11" s="1"/>
  <c r="BV199" i="11"/>
  <c r="BW199" i="11" s="1"/>
  <c r="BX199" i="11" s="1"/>
  <c r="BV200" i="11"/>
  <c r="BW200" i="11" s="1"/>
  <c r="BX200" i="11" s="1"/>
  <c r="BW201" i="11"/>
  <c r="BX201" i="11" s="1"/>
  <c r="BV202" i="11"/>
  <c r="BW202" i="11" s="1"/>
  <c r="BV13" i="11"/>
  <c r="BW13" i="11" s="1"/>
  <c r="BX13" i="11" s="1"/>
  <c r="BV12" i="11"/>
  <c r="BW12" i="11" s="1"/>
  <c r="BX12" i="11" s="1"/>
  <c r="BV11" i="11"/>
  <c r="BW11" i="11" s="1"/>
  <c r="BX11" i="11" s="1"/>
  <c r="BV10" i="11"/>
  <c r="BW10" i="11" s="1"/>
  <c r="BX10" i="11" s="1"/>
  <c r="BV9" i="11"/>
  <c r="BW9" i="11" s="1"/>
  <c r="BX9" i="11" s="1"/>
  <c r="BV8" i="11"/>
  <c r="BW8" i="11" s="1"/>
  <c r="BX8" i="11" s="1"/>
  <c r="BV7" i="11"/>
  <c r="BW7" i="11" s="1"/>
  <c r="BX7" i="11" s="1"/>
  <c r="BV6" i="11"/>
  <c r="BW6" i="11" s="1"/>
  <c r="BX6" i="11" s="1"/>
  <c r="BV5" i="11"/>
  <c r="BW5" i="11" s="1"/>
  <c r="BV4" i="11"/>
  <c r="BW4" i="11" s="1"/>
  <c r="BL15" i="11"/>
  <c r="W235" i="11" l="1"/>
  <c r="BX194" i="11"/>
  <c r="BX195" i="11"/>
  <c r="BX188" i="11"/>
  <c r="BX187" i="11"/>
  <c r="BX184" i="11"/>
  <c r="BX182" i="11"/>
  <c r="BX183" i="11"/>
  <c r="BX170" i="11"/>
  <c r="BX166" i="11"/>
  <c r="BX162" i="11"/>
  <c r="BX158" i="11"/>
  <c r="BX150" i="11"/>
  <c r="BX142" i="11"/>
  <c r="BX138" i="11"/>
  <c r="BX169" i="11"/>
  <c r="BX165" i="11"/>
  <c r="BX161" i="11"/>
  <c r="BX157" i="11"/>
  <c r="BX153" i="11"/>
  <c r="BX145" i="11"/>
  <c r="BX141" i="11"/>
  <c r="BX137" i="11"/>
  <c r="BX168" i="11"/>
  <c r="BX164" i="11"/>
  <c r="BX160" i="11"/>
  <c r="BX156" i="11"/>
  <c r="BX152" i="11"/>
  <c r="BX144" i="11"/>
  <c r="BX140" i="11"/>
  <c r="BX136" i="11"/>
  <c r="BX171" i="11"/>
  <c r="BX167" i="11"/>
  <c r="BX163" i="11"/>
  <c r="BX159" i="11"/>
  <c r="BX151" i="11"/>
  <c r="BX143" i="11"/>
  <c r="BX139" i="11"/>
  <c r="BX154" i="11"/>
  <c r="BX155" i="11"/>
  <c r="BX149" i="11"/>
  <c r="BX148" i="11"/>
  <c r="BX147" i="11"/>
  <c r="BX146" i="11"/>
  <c r="BX134" i="11"/>
  <c r="BX135" i="11"/>
  <c r="BX50" i="11"/>
  <c r="CA50" i="11"/>
  <c r="DB54" i="11"/>
  <c r="BX19" i="11"/>
  <c r="CA19" i="11"/>
  <c r="DZ54" i="11"/>
  <c r="EH49" i="11"/>
  <c r="CT49" i="11"/>
  <c r="DJ51" i="11"/>
  <c r="BY4" i="11"/>
  <c r="BY5" i="11" s="1"/>
  <c r="BY6" i="11" s="1"/>
  <c r="CA4" i="11"/>
  <c r="EO51" i="11"/>
  <c r="AI47" i="11"/>
  <c r="AP49" i="11"/>
  <c r="BG63" i="11"/>
  <c r="AX50" i="11"/>
  <c r="DR49" i="11"/>
  <c r="BN6" i="11"/>
  <c r="BO6" i="11" s="1"/>
  <c r="BN7" i="11"/>
  <c r="BO7" i="11" s="1"/>
  <c r="BP7" i="11" s="1"/>
  <c r="BN8" i="11"/>
  <c r="BO8" i="11" s="1"/>
  <c r="BP8" i="11" s="1"/>
  <c r="BN9" i="11"/>
  <c r="BO9" i="11" s="1"/>
  <c r="BP9" i="11" s="1"/>
  <c r="BN10" i="11"/>
  <c r="BO10" i="11" s="1"/>
  <c r="BP10" i="11" s="1"/>
  <c r="BN11" i="11"/>
  <c r="BO11" i="11" s="1"/>
  <c r="BP11" i="11" s="1"/>
  <c r="BN12" i="11"/>
  <c r="BO12" i="11" s="1"/>
  <c r="BP12" i="11" s="1"/>
  <c r="BN13" i="11"/>
  <c r="BO13" i="11" s="1"/>
  <c r="BP13" i="11" s="1"/>
  <c r="BN14" i="11"/>
  <c r="BO14" i="11" s="1"/>
  <c r="BP14" i="11" s="1"/>
  <c r="BN15" i="11"/>
  <c r="BO15" i="11" s="1"/>
  <c r="BP15" i="11" s="1"/>
  <c r="BN16" i="11"/>
  <c r="BO16" i="11" s="1"/>
  <c r="BP16" i="11" s="1"/>
  <c r="BN17" i="11"/>
  <c r="BO17" i="11" s="1"/>
  <c r="BP17" i="11" s="1"/>
  <c r="BN18" i="11"/>
  <c r="BO18" i="11" s="1"/>
  <c r="BP18" i="11" s="1"/>
  <c r="BN19" i="11"/>
  <c r="BO19" i="11" s="1"/>
  <c r="BN20" i="11"/>
  <c r="BO20" i="11" s="1"/>
  <c r="BP20" i="11" s="1"/>
  <c r="BN21" i="11"/>
  <c r="BO21" i="11" s="1"/>
  <c r="BP21" i="11" s="1"/>
  <c r="BN22" i="11"/>
  <c r="BO22" i="11" s="1"/>
  <c r="BP22" i="11" s="1"/>
  <c r="BN23" i="11"/>
  <c r="BO23" i="11" s="1"/>
  <c r="BP23" i="11" s="1"/>
  <c r="BN24" i="11"/>
  <c r="BO24" i="11" s="1"/>
  <c r="BP24" i="11" s="1"/>
  <c r="BN25" i="11"/>
  <c r="BO25" i="11" s="1"/>
  <c r="BP25" i="11" s="1"/>
  <c r="BN26" i="11"/>
  <c r="BO26" i="11" s="1"/>
  <c r="BP26" i="11" s="1"/>
  <c r="BN27" i="11"/>
  <c r="BO27" i="11" s="1"/>
  <c r="BP27" i="11" s="1"/>
  <c r="BN28" i="11"/>
  <c r="BO28" i="11" s="1"/>
  <c r="BP28" i="11" s="1"/>
  <c r="BN29" i="11"/>
  <c r="BO29" i="11" s="1"/>
  <c r="BN30" i="11"/>
  <c r="BO30" i="11" s="1"/>
  <c r="BN31" i="11"/>
  <c r="BO31" i="11" s="1"/>
  <c r="BN32" i="11"/>
  <c r="BO32" i="11" s="1"/>
  <c r="BP32" i="11" s="1"/>
  <c r="BN33" i="11"/>
  <c r="BO33" i="11" s="1"/>
  <c r="BP33" i="11" s="1"/>
  <c r="BN34" i="11"/>
  <c r="BO34" i="11" s="1"/>
  <c r="BP34" i="11" s="1"/>
  <c r="BN35" i="11"/>
  <c r="BO35" i="11" s="1"/>
  <c r="BP35" i="11" s="1"/>
  <c r="BN36" i="11"/>
  <c r="BO36" i="11" s="1"/>
  <c r="BP36" i="11" s="1"/>
  <c r="BN37" i="11"/>
  <c r="BO37" i="11" s="1"/>
  <c r="BN38" i="11"/>
  <c r="BO38" i="11" s="1"/>
  <c r="BP38" i="11" s="1"/>
  <c r="BN39" i="11"/>
  <c r="BO39" i="11" s="1"/>
  <c r="BP39" i="11" s="1"/>
  <c r="BN40" i="11"/>
  <c r="BO40" i="11" s="1"/>
  <c r="BP40" i="11" s="1"/>
  <c r="BN41" i="11"/>
  <c r="BO41" i="11" s="1"/>
  <c r="BP41" i="11" s="1"/>
  <c r="BN42" i="11"/>
  <c r="BO42" i="11" s="1"/>
  <c r="BP42" i="11" s="1"/>
  <c r="BN43" i="11"/>
  <c r="BO43" i="11" s="1"/>
  <c r="BN44" i="11"/>
  <c r="BO44" i="11" s="1"/>
  <c r="BP44" i="11" s="1"/>
  <c r="BN45" i="11"/>
  <c r="BO45" i="11" s="1"/>
  <c r="BP45" i="11" s="1"/>
  <c r="BN46" i="11"/>
  <c r="BO46" i="11" s="1"/>
  <c r="BP46" i="11" s="1"/>
  <c r="BN47" i="11"/>
  <c r="BO47" i="11" s="1"/>
  <c r="BP47" i="11" s="1"/>
  <c r="BN48" i="11"/>
  <c r="BO48" i="11" s="1"/>
  <c r="BP48" i="11" s="1"/>
  <c r="BN49" i="11"/>
  <c r="BO49" i="11" s="1"/>
  <c r="BN50" i="11"/>
  <c r="BO50" i="11" s="1"/>
  <c r="BN51" i="11"/>
  <c r="BO51" i="11" s="1"/>
  <c r="BP51" i="11" s="1"/>
  <c r="BN52" i="11"/>
  <c r="BO52" i="11" s="1"/>
  <c r="BP52" i="11" s="1"/>
  <c r="BN53" i="11"/>
  <c r="BO53" i="11" s="1"/>
  <c r="BP53" i="11" s="1"/>
  <c r="BN54" i="11"/>
  <c r="BO54" i="11" s="1"/>
  <c r="BP54" i="11" s="1"/>
  <c r="BN55" i="11"/>
  <c r="BO55" i="11" s="1"/>
  <c r="BP55" i="11" s="1"/>
  <c r="BN56" i="11"/>
  <c r="BO56" i="11" s="1"/>
  <c r="BN57" i="11"/>
  <c r="BO57" i="11" s="1"/>
  <c r="BP57" i="11" s="1"/>
  <c r="BN58" i="11"/>
  <c r="BO58" i="11" s="1"/>
  <c r="BP58" i="11" s="1"/>
  <c r="BN59" i="11"/>
  <c r="BO59" i="11" s="1"/>
  <c r="BN60" i="11"/>
  <c r="BO60" i="11" s="1"/>
  <c r="BP60" i="11" s="1"/>
  <c r="BN61" i="11"/>
  <c r="BO61" i="11" s="1"/>
  <c r="BP61" i="11" s="1"/>
  <c r="BN62" i="11"/>
  <c r="BO62" i="11" s="1"/>
  <c r="BP62" i="11" s="1"/>
  <c r="BN63" i="11"/>
  <c r="BO63" i="11" s="1"/>
  <c r="BP63" i="11" s="1"/>
  <c r="BN64" i="11"/>
  <c r="BO64" i="11" s="1"/>
  <c r="BP64" i="11" s="1"/>
  <c r="BN65" i="11"/>
  <c r="BO65" i="11" s="1"/>
  <c r="BP65" i="11" s="1"/>
  <c r="BN66" i="11"/>
  <c r="BO66" i="11" s="1"/>
  <c r="BP66" i="11" s="1"/>
  <c r="BN67" i="11"/>
  <c r="BO67" i="11" s="1"/>
  <c r="BP67" i="11" s="1"/>
  <c r="BN68" i="11"/>
  <c r="BO68" i="11" s="1"/>
  <c r="BP68" i="11" s="1"/>
  <c r="BN69" i="11"/>
  <c r="BO69" i="11" s="1"/>
  <c r="BP69" i="11" s="1"/>
  <c r="BN70" i="11"/>
  <c r="BO70" i="11" s="1"/>
  <c r="BP70" i="11" s="1"/>
  <c r="BN71" i="11"/>
  <c r="BO71" i="11" s="1"/>
  <c r="BP71" i="11" s="1"/>
  <c r="BN72" i="11"/>
  <c r="BO72" i="11" s="1"/>
  <c r="BP72" i="11" s="1"/>
  <c r="BN73" i="11"/>
  <c r="BO73" i="11" s="1"/>
  <c r="BP73" i="11" s="1"/>
  <c r="BN74" i="11"/>
  <c r="BO74" i="11" s="1"/>
  <c r="BP74" i="11" s="1"/>
  <c r="BN75" i="11"/>
  <c r="BO75" i="11" s="1"/>
  <c r="BP75" i="11" s="1"/>
  <c r="BN76" i="11"/>
  <c r="BO76" i="11" s="1"/>
  <c r="BP76" i="11" s="1"/>
  <c r="BN77" i="11"/>
  <c r="BO77" i="11" s="1"/>
  <c r="BP77" i="11" s="1"/>
  <c r="BN78" i="11"/>
  <c r="BO78" i="11" s="1"/>
  <c r="BP78" i="11" s="1"/>
  <c r="BN79" i="11"/>
  <c r="BO79" i="11" s="1"/>
  <c r="BP79" i="11" s="1"/>
  <c r="BN80" i="11"/>
  <c r="BO80" i="11" s="1"/>
  <c r="BP80" i="11" s="1"/>
  <c r="BN81" i="11"/>
  <c r="BO81" i="11" s="1"/>
  <c r="BP81" i="11" s="1"/>
  <c r="BN82" i="11"/>
  <c r="BO82" i="11" s="1"/>
  <c r="BP82" i="11" s="1"/>
  <c r="BN83" i="11"/>
  <c r="BO83" i="11" s="1"/>
  <c r="BP83" i="11" s="1"/>
  <c r="BN84" i="11"/>
  <c r="BO84" i="11" s="1"/>
  <c r="BP84" i="11" s="1"/>
  <c r="BN85" i="11"/>
  <c r="BO85" i="11" s="1"/>
  <c r="BP85" i="11" s="1"/>
  <c r="BN86" i="11"/>
  <c r="BO86" i="11" s="1"/>
  <c r="BP86" i="11" s="1"/>
  <c r="BN87" i="11"/>
  <c r="BO87" i="11" s="1"/>
  <c r="BP87" i="11" s="1"/>
  <c r="BN88" i="11"/>
  <c r="BO88" i="11" s="1"/>
  <c r="BP88" i="11" s="1"/>
  <c r="BN89" i="11"/>
  <c r="BO89" i="11" s="1"/>
  <c r="BP89" i="11" s="1"/>
  <c r="BN90" i="11"/>
  <c r="BO90" i="11" s="1"/>
  <c r="BP90" i="11" s="1"/>
  <c r="BN91" i="11"/>
  <c r="BO91" i="11" s="1"/>
  <c r="BP91" i="11" s="1"/>
  <c r="BN92" i="11"/>
  <c r="BO92" i="11" s="1"/>
  <c r="BP92" i="11" s="1"/>
  <c r="BN93" i="11"/>
  <c r="BO93" i="11" s="1"/>
  <c r="BP93" i="11" s="1"/>
  <c r="BN94" i="11"/>
  <c r="BO94" i="11" s="1"/>
  <c r="BP94" i="11" s="1"/>
  <c r="BN95" i="11"/>
  <c r="BO95" i="11" s="1"/>
  <c r="BP95" i="11" s="1"/>
  <c r="BN96" i="11"/>
  <c r="BO96" i="11" s="1"/>
  <c r="BP96" i="11" s="1"/>
  <c r="BN97" i="11"/>
  <c r="BO97" i="11" s="1"/>
  <c r="BP97" i="11" s="1"/>
  <c r="BN98" i="11"/>
  <c r="BO98" i="11" s="1"/>
  <c r="BP98" i="11" s="1"/>
  <c r="BN99" i="11"/>
  <c r="BO99" i="11" s="1"/>
  <c r="BP99" i="11" s="1"/>
  <c r="BN100" i="11"/>
  <c r="BO100" i="11" s="1"/>
  <c r="BP100" i="11" s="1"/>
  <c r="BN101" i="11"/>
  <c r="BO101" i="11" s="1"/>
  <c r="BP101" i="11" s="1"/>
  <c r="BN102" i="11"/>
  <c r="BO102" i="11" s="1"/>
  <c r="BP102" i="11" s="1"/>
  <c r="BN103" i="11"/>
  <c r="BO103" i="11" s="1"/>
  <c r="BP103" i="11" s="1"/>
  <c r="BN104" i="11"/>
  <c r="BO104" i="11" s="1"/>
  <c r="BP104" i="11" s="1"/>
  <c r="BN105" i="11"/>
  <c r="BO105" i="11" s="1"/>
  <c r="BP105" i="11" s="1"/>
  <c r="BN106" i="11"/>
  <c r="BO106" i="11" s="1"/>
  <c r="BP106" i="11" s="1"/>
  <c r="BN107" i="11"/>
  <c r="BO107" i="11" s="1"/>
  <c r="BP107" i="11" s="1"/>
  <c r="BN108" i="11"/>
  <c r="BO108" i="11" s="1"/>
  <c r="BP108" i="11" s="1"/>
  <c r="BN109" i="11"/>
  <c r="BO109" i="11" s="1"/>
  <c r="BP109" i="11" s="1"/>
  <c r="BN110" i="11"/>
  <c r="BO110" i="11" s="1"/>
  <c r="BP110" i="11" s="1"/>
  <c r="BN111" i="11"/>
  <c r="BO111" i="11" s="1"/>
  <c r="BP111" i="11" s="1"/>
  <c r="BN112" i="11"/>
  <c r="BO112" i="11" s="1"/>
  <c r="BP112" i="11" s="1"/>
  <c r="BN113" i="11"/>
  <c r="BO113" i="11" s="1"/>
  <c r="BP113" i="11" s="1"/>
  <c r="BN114" i="11"/>
  <c r="BO114" i="11" s="1"/>
  <c r="BP114" i="11" s="1"/>
  <c r="BN115" i="11"/>
  <c r="BO115" i="11" s="1"/>
  <c r="BP115" i="11" s="1"/>
  <c r="BN116" i="11"/>
  <c r="BO116" i="11" s="1"/>
  <c r="BP116" i="11" s="1"/>
  <c r="BN117" i="11"/>
  <c r="BO117" i="11" s="1"/>
  <c r="BP117" i="11" s="1"/>
  <c r="BN118" i="11"/>
  <c r="BO118" i="11" s="1"/>
  <c r="BP118" i="11" s="1"/>
  <c r="BN119" i="11"/>
  <c r="BO119" i="11" s="1"/>
  <c r="BP119" i="11" s="1"/>
  <c r="BN120" i="11"/>
  <c r="BO120" i="11" s="1"/>
  <c r="BP120" i="11" s="1"/>
  <c r="BN121" i="11"/>
  <c r="BO121" i="11" s="1"/>
  <c r="BP121" i="11" s="1"/>
  <c r="BN122" i="11"/>
  <c r="BO122" i="11" s="1"/>
  <c r="BP122" i="11" s="1"/>
  <c r="BN123" i="11"/>
  <c r="BO123" i="11" s="1"/>
  <c r="BP123" i="11" s="1"/>
  <c r="BN124" i="11"/>
  <c r="BO124" i="11" s="1"/>
  <c r="BP124" i="11" s="1"/>
  <c r="BN125" i="11"/>
  <c r="BO125" i="11" s="1"/>
  <c r="BP125" i="11" s="1"/>
  <c r="BN126" i="11"/>
  <c r="BO126" i="11" s="1"/>
  <c r="BP126" i="11" s="1"/>
  <c r="BN127" i="11"/>
  <c r="BO127" i="11" s="1"/>
  <c r="BP127" i="11" s="1"/>
  <c r="BN128" i="11"/>
  <c r="BO128" i="11" s="1"/>
  <c r="BP128" i="11" s="1"/>
  <c r="BN129" i="11"/>
  <c r="BO129" i="11" s="1"/>
  <c r="BP129" i="11" s="1"/>
  <c r="BN130" i="11"/>
  <c r="BO130" i="11" s="1"/>
  <c r="BP130" i="11" s="1"/>
  <c r="BN131" i="11"/>
  <c r="BO131" i="11" s="1"/>
  <c r="BP131" i="11" s="1"/>
  <c r="BN132" i="11"/>
  <c r="BO132" i="11" s="1"/>
  <c r="BP132" i="11" s="1"/>
  <c r="BN133" i="11"/>
  <c r="BO133" i="11" s="1"/>
  <c r="BP133" i="11" s="1"/>
  <c r="BN134" i="11"/>
  <c r="BO134" i="11" s="1"/>
  <c r="BN135" i="11"/>
  <c r="BO135" i="11" s="1"/>
  <c r="BN136" i="11"/>
  <c r="BO136" i="11" s="1"/>
  <c r="BN137" i="11"/>
  <c r="BO137" i="11" s="1"/>
  <c r="BN138" i="11"/>
  <c r="BO138" i="11" s="1"/>
  <c r="BN139" i="11"/>
  <c r="BO139" i="11" s="1"/>
  <c r="BN140" i="11"/>
  <c r="BO140" i="11" s="1"/>
  <c r="BN141" i="11"/>
  <c r="BO141" i="11" s="1"/>
  <c r="BN142" i="11"/>
  <c r="BO142" i="11" s="1"/>
  <c r="BN143" i="11"/>
  <c r="BO143" i="11" s="1"/>
  <c r="BN144" i="11"/>
  <c r="BO144" i="11" s="1"/>
  <c r="BN145" i="11"/>
  <c r="BO145" i="11" s="1"/>
  <c r="BN146" i="11"/>
  <c r="BO146" i="11" s="1"/>
  <c r="BN147" i="11"/>
  <c r="BO147" i="11" s="1"/>
  <c r="BN148" i="11"/>
  <c r="BO148" i="11" s="1"/>
  <c r="BN149" i="11"/>
  <c r="BO149" i="11" s="1"/>
  <c r="BN150" i="11"/>
  <c r="BO150" i="11" s="1"/>
  <c r="BN151" i="11"/>
  <c r="BO151" i="11" s="1"/>
  <c r="BN152" i="11"/>
  <c r="BO152" i="11" s="1"/>
  <c r="BN153" i="11"/>
  <c r="BO153" i="11" s="1"/>
  <c r="BN154" i="11"/>
  <c r="BO154" i="11" s="1"/>
  <c r="BN155" i="11"/>
  <c r="BO155" i="11" s="1"/>
  <c r="BN156" i="11"/>
  <c r="BO156" i="11" s="1"/>
  <c r="BN157" i="11"/>
  <c r="BO157" i="11" s="1"/>
  <c r="BN158" i="11"/>
  <c r="BO158" i="11" s="1"/>
  <c r="BN159" i="11"/>
  <c r="BO159" i="11" s="1"/>
  <c r="BN160" i="11"/>
  <c r="BO160" i="11" s="1"/>
  <c r="BN161" i="11"/>
  <c r="BO161" i="11" s="1"/>
  <c r="BN162" i="11"/>
  <c r="BO162" i="11" s="1"/>
  <c r="BN163" i="11"/>
  <c r="BO163" i="11" s="1"/>
  <c r="BN164" i="11"/>
  <c r="BO164" i="11" s="1"/>
  <c r="BN165" i="11"/>
  <c r="BO165" i="11" s="1"/>
  <c r="BN166" i="11"/>
  <c r="BO166" i="11" s="1"/>
  <c r="BN167" i="11"/>
  <c r="BO167" i="11" s="1"/>
  <c r="BN168" i="11"/>
  <c r="BO168" i="11" s="1"/>
  <c r="BN169" i="11"/>
  <c r="BO169" i="11" s="1"/>
  <c r="BN170" i="11"/>
  <c r="BO170" i="11" s="1"/>
  <c r="BN171" i="11"/>
  <c r="BO171" i="11" s="1"/>
  <c r="BN172" i="11"/>
  <c r="BO172" i="11" s="1"/>
  <c r="BP172" i="11" s="1"/>
  <c r="BN173" i="11"/>
  <c r="BO173" i="11" s="1"/>
  <c r="BP173" i="11" s="1"/>
  <c r="BN174" i="11"/>
  <c r="BO174" i="11" s="1"/>
  <c r="BP174" i="11" s="1"/>
  <c r="BN175" i="11"/>
  <c r="BO175" i="11" s="1"/>
  <c r="BP175" i="11" s="1"/>
  <c r="BN176" i="11"/>
  <c r="BO176" i="11" s="1"/>
  <c r="BP176" i="11" s="1"/>
  <c r="BN177" i="11"/>
  <c r="BO177" i="11" s="1"/>
  <c r="BP177" i="11" s="1"/>
  <c r="BN178" i="11"/>
  <c r="BO178" i="11" s="1"/>
  <c r="BP178" i="11" s="1"/>
  <c r="BN179" i="11"/>
  <c r="BO179" i="11" s="1"/>
  <c r="BP179" i="11" s="1"/>
  <c r="BN180" i="11"/>
  <c r="BO180" i="11" s="1"/>
  <c r="BP180" i="11" s="1"/>
  <c r="BN181" i="11"/>
  <c r="BO181" i="11" s="1"/>
  <c r="BP181" i="11" s="1"/>
  <c r="BN182" i="11"/>
  <c r="BO182" i="11" s="1"/>
  <c r="BN183" i="11"/>
  <c r="BO183" i="11" s="1"/>
  <c r="BN184" i="11"/>
  <c r="BO184" i="11" s="1"/>
  <c r="BN185" i="11"/>
  <c r="BO185" i="11" s="1"/>
  <c r="BP185" i="11" s="1"/>
  <c r="BN186" i="11"/>
  <c r="BO186" i="11" s="1"/>
  <c r="BP186" i="11" s="1"/>
  <c r="BN187" i="11"/>
  <c r="BO187" i="11" s="1"/>
  <c r="BN188" i="11"/>
  <c r="BO188" i="11" s="1"/>
  <c r="BN189" i="11"/>
  <c r="BO189" i="11" s="1"/>
  <c r="BP189" i="11" s="1"/>
  <c r="BN190" i="11"/>
  <c r="BO190" i="11" s="1"/>
  <c r="BP190" i="11" s="1"/>
  <c r="BN191" i="11"/>
  <c r="BO191" i="11" s="1"/>
  <c r="BP191" i="11" s="1"/>
  <c r="BN192" i="11"/>
  <c r="BO192" i="11" s="1"/>
  <c r="BP192" i="11" s="1"/>
  <c r="BN193" i="11"/>
  <c r="BO193" i="11" s="1"/>
  <c r="BP193" i="11" s="1"/>
  <c r="BN194" i="11"/>
  <c r="BO194" i="11" s="1"/>
  <c r="BN195" i="11"/>
  <c r="BO195" i="11" s="1"/>
  <c r="BN196" i="11"/>
  <c r="BO196" i="11" s="1"/>
  <c r="BP196" i="11" s="1"/>
  <c r="BN197" i="11"/>
  <c r="BO197" i="11" s="1"/>
  <c r="BP197" i="11" s="1"/>
  <c r="BN198" i="11"/>
  <c r="BO198" i="11" s="1"/>
  <c r="BP198" i="11" s="1"/>
  <c r="BN199" i="11"/>
  <c r="BO199" i="11" s="1"/>
  <c r="BP199" i="11" s="1"/>
  <c r="BN200" i="11"/>
  <c r="BO200" i="11" s="1"/>
  <c r="BP200" i="11" s="1"/>
  <c r="BN201" i="11"/>
  <c r="BO201" i="11" s="1"/>
  <c r="BP201" i="11" s="1"/>
  <c r="BN202" i="11"/>
  <c r="BO202" i="11" s="1"/>
  <c r="BN5" i="11"/>
  <c r="BO5" i="11" s="1"/>
  <c r="BN4" i="11"/>
  <c r="BO4" i="11" s="1"/>
  <c r="W236" i="11" l="1"/>
  <c r="BP195" i="11"/>
  <c r="BP194" i="11"/>
  <c r="BP187" i="11"/>
  <c r="BP188" i="11"/>
  <c r="BP184" i="11"/>
  <c r="BP182" i="11"/>
  <c r="BP183" i="11"/>
  <c r="BP168" i="11"/>
  <c r="BP164" i="11"/>
  <c r="BP160" i="11"/>
  <c r="BP156" i="11"/>
  <c r="BP152" i="11"/>
  <c r="BP144" i="11"/>
  <c r="BP140" i="11"/>
  <c r="BP136" i="11"/>
  <c r="BP171" i="11"/>
  <c r="BP167" i="11"/>
  <c r="BP163" i="11"/>
  <c r="BP159" i="11"/>
  <c r="BP151" i="11"/>
  <c r="BP143" i="11"/>
  <c r="BP139" i="11"/>
  <c r="BP170" i="11"/>
  <c r="BP166" i="11"/>
  <c r="BP162" i="11"/>
  <c r="BP158" i="11"/>
  <c r="BP150" i="11"/>
  <c r="BP142" i="11"/>
  <c r="BP138" i="11"/>
  <c r="BP169" i="11"/>
  <c r="BP165" i="11"/>
  <c r="BP161" i="11"/>
  <c r="BP157" i="11"/>
  <c r="BP153" i="11"/>
  <c r="BP145" i="11"/>
  <c r="BP141" i="11"/>
  <c r="BP137" i="11"/>
  <c r="BP154" i="11"/>
  <c r="BP155" i="11"/>
  <c r="BP148" i="11"/>
  <c r="BP149" i="11"/>
  <c r="BP147" i="11"/>
  <c r="BP146" i="11"/>
  <c r="BP134" i="11"/>
  <c r="BP135" i="11"/>
  <c r="BP50" i="11"/>
  <c r="BS50" i="11"/>
  <c r="DB55" i="11"/>
  <c r="BP19" i="11"/>
  <c r="BS19" i="11"/>
  <c r="DZ55" i="11"/>
  <c r="EH50" i="11"/>
  <c r="CT50" i="11"/>
  <c r="DJ52" i="11"/>
  <c r="BQ4" i="11"/>
  <c r="BQ5" i="11" s="1"/>
  <c r="BQ6" i="11" s="1"/>
  <c r="BS4" i="11"/>
  <c r="EO52" i="11"/>
  <c r="AI48" i="11"/>
  <c r="AP50" i="11"/>
  <c r="BG64" i="11"/>
  <c r="AX51" i="11"/>
  <c r="DR50" i="11"/>
  <c r="BY7" i="11"/>
  <c r="BP6" i="11"/>
  <c r="W237" i="11" l="1"/>
  <c r="DB56" i="11"/>
  <c r="DZ56" i="11"/>
  <c r="EH51" i="11"/>
  <c r="CT51" i="11"/>
  <c r="DJ53" i="11"/>
  <c r="EO53" i="11"/>
  <c r="AI49" i="11"/>
  <c r="AP51" i="11"/>
  <c r="BG65" i="11"/>
  <c r="AX52" i="11"/>
  <c r="DR51" i="11"/>
  <c r="BY8" i="11"/>
  <c r="BQ7" i="11"/>
  <c r="W238" i="11" l="1"/>
  <c r="DB57" i="11"/>
  <c r="DZ57" i="11"/>
  <c r="EH52" i="11"/>
  <c r="CT52" i="11"/>
  <c r="DJ54" i="11"/>
  <c r="EO54" i="11"/>
  <c r="AI50" i="11"/>
  <c r="AP52" i="11"/>
  <c r="BG66" i="11"/>
  <c r="AX53" i="11"/>
  <c r="DR52" i="11"/>
  <c r="BY9" i="11"/>
  <c r="BQ8" i="11"/>
  <c r="W239" i="11" l="1"/>
  <c r="DB58" i="11"/>
  <c r="DZ58" i="11"/>
  <c r="EH53" i="11"/>
  <c r="CT53" i="11"/>
  <c r="DJ55" i="11"/>
  <c r="EO55" i="11"/>
  <c r="AI51" i="11"/>
  <c r="AP53" i="11"/>
  <c r="BG67" i="11"/>
  <c r="AX54" i="11"/>
  <c r="DR53" i="11"/>
  <c r="BY10" i="11"/>
  <c r="BQ9" i="11"/>
  <c r="W240" i="11" l="1"/>
  <c r="DB59" i="11"/>
  <c r="DZ59" i="11"/>
  <c r="EH54" i="11"/>
  <c r="CT54" i="11"/>
  <c r="DJ56" i="11"/>
  <c r="EO56" i="11"/>
  <c r="AI52" i="11"/>
  <c r="AP54" i="11"/>
  <c r="BG68" i="11"/>
  <c r="AX55" i="11"/>
  <c r="DR54" i="11"/>
  <c r="BY11" i="11"/>
  <c r="BQ10" i="11"/>
  <c r="DB60" i="11" l="1"/>
  <c r="DZ60" i="11"/>
  <c r="EH55" i="11"/>
  <c r="CT55" i="11"/>
  <c r="DJ57" i="11"/>
  <c r="EO57" i="11"/>
  <c r="AI53" i="11"/>
  <c r="AP55" i="11"/>
  <c r="BG69" i="11"/>
  <c r="AX56" i="11"/>
  <c r="DR55" i="11"/>
  <c r="BY12" i="11"/>
  <c r="BQ11" i="11"/>
  <c r="DB61" i="11" l="1"/>
  <c r="DZ61" i="11"/>
  <c r="EH56" i="11"/>
  <c r="CT56" i="11"/>
  <c r="DJ58" i="11"/>
  <c r="EO58" i="11"/>
  <c r="AI54" i="11"/>
  <c r="AP56" i="11"/>
  <c r="BG70" i="11"/>
  <c r="AX57" i="11"/>
  <c r="DR56" i="11"/>
  <c r="BY13" i="11"/>
  <c r="BY14" i="11" s="1"/>
  <c r="BQ12" i="11"/>
  <c r="DB62" i="11" l="1"/>
  <c r="DZ62" i="11"/>
  <c r="EH57" i="11"/>
  <c r="CT57" i="11"/>
  <c r="DJ59" i="11"/>
  <c r="EO59" i="11"/>
  <c r="AI55" i="11"/>
  <c r="AP57" i="11"/>
  <c r="BG71" i="11"/>
  <c r="AX58" i="11"/>
  <c r="DR57" i="11"/>
  <c r="BY15" i="11"/>
  <c r="BQ13" i="11"/>
  <c r="DB63" i="11" l="1"/>
  <c r="DZ63" i="11"/>
  <c r="EH58" i="11"/>
  <c r="CT58" i="11"/>
  <c r="DJ60" i="11"/>
  <c r="EO60" i="11"/>
  <c r="AI56" i="11"/>
  <c r="AP58" i="11"/>
  <c r="BG72" i="11"/>
  <c r="AX59" i="11"/>
  <c r="DR58" i="11"/>
  <c r="BY16" i="11"/>
  <c r="BQ14" i="11"/>
  <c r="DB64" i="11" l="1"/>
  <c r="DZ64" i="11"/>
  <c r="EH59" i="11"/>
  <c r="CT59" i="11"/>
  <c r="DJ61" i="11"/>
  <c r="EO61" i="11"/>
  <c r="AI57" i="11"/>
  <c r="AP59" i="11"/>
  <c r="BG73" i="11"/>
  <c r="AX60" i="11"/>
  <c r="DR59" i="11"/>
  <c r="BY17" i="11"/>
  <c r="BQ15" i="11"/>
  <c r="DB65" i="11" l="1"/>
  <c r="DZ65" i="11"/>
  <c r="EH60" i="11"/>
  <c r="CT60" i="11"/>
  <c r="DJ62" i="11"/>
  <c r="EO62" i="11"/>
  <c r="AI58" i="11"/>
  <c r="AP60" i="11"/>
  <c r="BG74" i="11"/>
  <c r="AX61" i="11"/>
  <c r="DR60" i="11"/>
  <c r="BY18" i="11"/>
  <c r="BQ16" i="11"/>
  <c r="DB66" i="11" l="1"/>
  <c r="DZ66" i="11"/>
  <c r="EH61" i="11"/>
  <c r="CT61" i="11"/>
  <c r="DJ63" i="11"/>
  <c r="EO63" i="11"/>
  <c r="AI59" i="11"/>
  <c r="AP61" i="11"/>
  <c r="BG75" i="11"/>
  <c r="AX62" i="11"/>
  <c r="DR61" i="11"/>
  <c r="BY19" i="11"/>
  <c r="BQ17" i="11"/>
  <c r="DB67" i="11" l="1"/>
  <c r="DZ67" i="11"/>
  <c r="EH62" i="11"/>
  <c r="CT62" i="11"/>
  <c r="DJ64" i="11"/>
  <c r="EO64" i="11"/>
  <c r="AI60" i="11"/>
  <c r="AP62" i="11"/>
  <c r="BG76" i="11"/>
  <c r="AX63" i="11"/>
  <c r="DR62" i="11"/>
  <c r="BY20" i="11"/>
  <c r="BQ18" i="11"/>
  <c r="DB68" i="11" l="1"/>
  <c r="DZ68" i="11"/>
  <c r="EH63" i="11"/>
  <c r="CT63" i="11"/>
  <c r="DJ65" i="11"/>
  <c r="EO65" i="11"/>
  <c r="AI61" i="11"/>
  <c r="AP63" i="11"/>
  <c r="BG77" i="11"/>
  <c r="AX64" i="11"/>
  <c r="DR63" i="11"/>
  <c r="BY21" i="11"/>
  <c r="BQ19" i="11"/>
  <c r="DB69" i="11" l="1"/>
  <c r="DZ69" i="11"/>
  <c r="EH64" i="11"/>
  <c r="CT64" i="11"/>
  <c r="DJ66" i="11"/>
  <c r="EO66" i="11"/>
  <c r="AI62" i="11"/>
  <c r="AP64" i="11"/>
  <c r="BG78" i="11"/>
  <c r="AX65" i="11"/>
  <c r="DR64" i="11"/>
  <c r="BY22" i="11"/>
  <c r="BQ20" i="11"/>
  <c r="DB70" i="11" l="1"/>
  <c r="DZ70" i="11"/>
  <c r="EH65" i="11"/>
  <c r="CT65" i="11"/>
  <c r="DJ67" i="11"/>
  <c r="EO67" i="11"/>
  <c r="AI63" i="11"/>
  <c r="AP65" i="11"/>
  <c r="BG79" i="11"/>
  <c r="AX66" i="11"/>
  <c r="DR65" i="11"/>
  <c r="BY23" i="11"/>
  <c r="BQ21" i="11"/>
  <c r="DB71" i="11" l="1"/>
  <c r="DZ71" i="11"/>
  <c r="EH66" i="11"/>
  <c r="CT66" i="11"/>
  <c r="DJ68" i="11"/>
  <c r="EO68" i="11"/>
  <c r="AI64" i="11"/>
  <c r="AP66" i="11"/>
  <c r="BG80" i="11"/>
  <c r="AX67" i="11"/>
  <c r="DR66" i="11"/>
  <c r="BY24" i="11"/>
  <c r="BQ22" i="11"/>
  <c r="DB72" i="11" l="1"/>
  <c r="DZ72" i="11"/>
  <c r="EH67" i="11"/>
  <c r="CT67" i="11"/>
  <c r="DJ69" i="11"/>
  <c r="EO69" i="11"/>
  <c r="AI65" i="11"/>
  <c r="AP67" i="11"/>
  <c r="BG81" i="11"/>
  <c r="AX68" i="11"/>
  <c r="DR67" i="11"/>
  <c r="BY25" i="11"/>
  <c r="BQ23" i="11"/>
  <c r="DB73" i="11" l="1"/>
  <c r="DZ73" i="11"/>
  <c r="EH68" i="11"/>
  <c r="CT68" i="11"/>
  <c r="DJ70" i="11"/>
  <c r="EO70" i="11"/>
  <c r="AI66" i="11"/>
  <c r="AP68" i="11"/>
  <c r="BG82" i="11"/>
  <c r="AX69" i="11"/>
  <c r="DR68" i="11"/>
  <c r="BY26" i="11"/>
  <c r="BQ24" i="11"/>
  <c r="DB74" i="11" l="1"/>
  <c r="DZ74" i="11"/>
  <c r="EH69" i="11"/>
  <c r="CT69" i="11"/>
  <c r="DJ71" i="11"/>
  <c r="EO71" i="11"/>
  <c r="AI67" i="11"/>
  <c r="AP69" i="11"/>
  <c r="BG83" i="11"/>
  <c r="AX70" i="11"/>
  <c r="DR69" i="11"/>
  <c r="BY27" i="11"/>
  <c r="BQ25" i="11"/>
  <c r="DB75" i="11" l="1"/>
  <c r="DZ75" i="11"/>
  <c r="EH70" i="11"/>
  <c r="CT70" i="11"/>
  <c r="DJ72" i="11"/>
  <c r="EO72" i="11"/>
  <c r="AI68" i="11"/>
  <c r="AP70" i="11"/>
  <c r="BG84" i="11"/>
  <c r="AX71" i="11"/>
  <c r="DR70" i="11"/>
  <c r="BY28" i="11"/>
  <c r="BQ26" i="11"/>
  <c r="DB76" i="11" l="1"/>
  <c r="DZ76" i="11"/>
  <c r="EH71" i="11"/>
  <c r="CT71" i="11"/>
  <c r="DJ73" i="11"/>
  <c r="EO73" i="11"/>
  <c r="AI69" i="11"/>
  <c r="AP71" i="11"/>
  <c r="BG85" i="11"/>
  <c r="AX72" i="11"/>
  <c r="DR71" i="11"/>
  <c r="BY29" i="11"/>
  <c r="BQ27" i="11"/>
  <c r="DB77" i="11" l="1"/>
  <c r="DZ77" i="11"/>
  <c r="EH72" i="11"/>
  <c r="CT72" i="11"/>
  <c r="DJ74" i="11"/>
  <c r="EO74" i="11"/>
  <c r="AI70" i="11"/>
  <c r="AP72" i="11"/>
  <c r="BG86" i="11"/>
  <c r="AX73" i="11"/>
  <c r="DR72" i="11"/>
  <c r="BY30" i="11"/>
  <c r="BQ28" i="11"/>
  <c r="DB78" i="11" l="1"/>
  <c r="DZ78" i="11"/>
  <c r="EH73" i="11"/>
  <c r="CT73" i="11"/>
  <c r="DJ75" i="11"/>
  <c r="EO75" i="11"/>
  <c r="AI71" i="11"/>
  <c r="AP73" i="11"/>
  <c r="BG87" i="11"/>
  <c r="AX74" i="11"/>
  <c r="DR73" i="11"/>
  <c r="BY31" i="11"/>
  <c r="BQ29" i="11"/>
  <c r="DB79" i="11" l="1"/>
  <c r="DZ79" i="11"/>
  <c r="EH74" i="11"/>
  <c r="CT74" i="11"/>
  <c r="DJ76" i="11"/>
  <c r="EO76" i="11"/>
  <c r="AI72" i="11"/>
  <c r="AP74" i="11"/>
  <c r="BG88" i="11"/>
  <c r="AX75" i="11"/>
  <c r="DR74" i="11"/>
  <c r="BY32" i="11"/>
  <c r="BQ30" i="11"/>
  <c r="DB80" i="11" l="1"/>
  <c r="DZ80" i="11"/>
  <c r="EH75" i="11"/>
  <c r="CT75" i="11"/>
  <c r="DJ77" i="11"/>
  <c r="EO77" i="11"/>
  <c r="AI73" i="11"/>
  <c r="AP75" i="11"/>
  <c r="BG89" i="11"/>
  <c r="AX76" i="11"/>
  <c r="DR75" i="11"/>
  <c r="BY33" i="11"/>
  <c r="BQ31" i="11"/>
  <c r="DB81" i="11" l="1"/>
  <c r="DZ81" i="11"/>
  <c r="EH76" i="11"/>
  <c r="CT76" i="11"/>
  <c r="DJ78" i="11"/>
  <c r="EO78" i="11"/>
  <c r="AI74" i="11"/>
  <c r="AP76" i="11"/>
  <c r="BG90" i="11"/>
  <c r="AX77" i="11"/>
  <c r="DR76" i="11"/>
  <c r="BY34" i="11"/>
  <c r="BQ32" i="11"/>
  <c r="DB82" i="11" l="1"/>
  <c r="DZ82" i="11"/>
  <c r="EH77" i="11"/>
  <c r="CT77" i="11"/>
  <c r="DJ79" i="11"/>
  <c r="EO79" i="11"/>
  <c r="AI75" i="11"/>
  <c r="AP77" i="11"/>
  <c r="BG91" i="11"/>
  <c r="AX78" i="11"/>
  <c r="DR77" i="11"/>
  <c r="BY35" i="11"/>
  <c r="BQ33" i="11"/>
  <c r="DB83" i="11" l="1"/>
  <c r="DZ83" i="11"/>
  <c r="EH78" i="11"/>
  <c r="CT78" i="11"/>
  <c r="DJ80" i="11"/>
  <c r="EO80" i="11"/>
  <c r="AI76" i="11"/>
  <c r="AP78" i="11"/>
  <c r="BG92" i="11"/>
  <c r="AX79" i="11"/>
  <c r="DR78" i="11"/>
  <c r="BY36" i="11"/>
  <c r="BQ34" i="11"/>
  <c r="DB84" i="11" l="1"/>
  <c r="DZ84" i="11"/>
  <c r="EH79" i="11"/>
  <c r="CT79" i="11"/>
  <c r="DJ81" i="11"/>
  <c r="EO81" i="11"/>
  <c r="AI77" i="11"/>
  <c r="AP79" i="11"/>
  <c r="BG93" i="11"/>
  <c r="AX80" i="11"/>
  <c r="DR79" i="11"/>
  <c r="BY37" i="11"/>
  <c r="BQ35" i="11"/>
  <c r="DB85" i="11" l="1"/>
  <c r="DZ85" i="11"/>
  <c r="EH80" i="11"/>
  <c r="CT80" i="11"/>
  <c r="DJ82" i="11"/>
  <c r="EO82" i="11"/>
  <c r="AI78" i="11"/>
  <c r="AP80" i="11"/>
  <c r="BG94" i="11"/>
  <c r="AX81" i="11"/>
  <c r="DR80" i="11"/>
  <c r="BY38" i="11"/>
  <c r="BQ36" i="11"/>
  <c r="DB86" i="11" l="1"/>
  <c r="DZ86" i="11"/>
  <c r="EH81" i="11"/>
  <c r="CT81" i="11"/>
  <c r="DJ83" i="11"/>
  <c r="EO83" i="11"/>
  <c r="AI79" i="11"/>
  <c r="AP81" i="11"/>
  <c r="BG95" i="11"/>
  <c r="AX82" i="11"/>
  <c r="DR81" i="11"/>
  <c r="BY39" i="11"/>
  <c r="BQ37" i="11"/>
  <c r="DB87" i="11" l="1"/>
  <c r="DZ87" i="11"/>
  <c r="EH82" i="11"/>
  <c r="CT82" i="11"/>
  <c r="DJ84" i="11"/>
  <c r="EO84" i="11"/>
  <c r="AI80" i="11"/>
  <c r="AP82" i="11"/>
  <c r="BG96" i="11"/>
  <c r="AX83" i="11"/>
  <c r="DR82" i="11"/>
  <c r="BY40" i="11"/>
  <c r="BQ38" i="11"/>
  <c r="DB88" i="11" l="1"/>
  <c r="DZ88" i="11"/>
  <c r="EH83" i="11"/>
  <c r="CT83" i="11"/>
  <c r="DJ85" i="11"/>
  <c r="EO85" i="11"/>
  <c r="AI81" i="11"/>
  <c r="AP83" i="11"/>
  <c r="BG97" i="11"/>
  <c r="AX84" i="11"/>
  <c r="DR83" i="11"/>
  <c r="BY41" i="11"/>
  <c r="BQ39" i="11"/>
  <c r="DB89" i="11" l="1"/>
  <c r="DZ89" i="11"/>
  <c r="EH84" i="11"/>
  <c r="CT84" i="11"/>
  <c r="DJ86" i="11"/>
  <c r="EO86" i="11"/>
  <c r="AI82" i="11"/>
  <c r="AP84" i="11"/>
  <c r="BG98" i="11"/>
  <c r="AX85" i="11"/>
  <c r="DR84" i="11"/>
  <c r="BY42" i="11"/>
  <c r="BQ40" i="11"/>
  <c r="DB90" i="11" l="1"/>
  <c r="DZ90" i="11"/>
  <c r="EH85" i="11"/>
  <c r="CT85" i="11"/>
  <c r="DJ87" i="11"/>
  <c r="EO87" i="11"/>
  <c r="AI83" i="11"/>
  <c r="AP85" i="11"/>
  <c r="BG99" i="11"/>
  <c r="AX86" i="11"/>
  <c r="DR85" i="11"/>
  <c r="BY43" i="11"/>
  <c r="BQ41" i="11"/>
  <c r="DB91" i="11" l="1"/>
  <c r="DZ91" i="11"/>
  <c r="EH86" i="11"/>
  <c r="CT86" i="11"/>
  <c r="DJ88" i="11"/>
  <c r="EO88" i="11"/>
  <c r="AI84" i="11"/>
  <c r="AP86" i="11"/>
  <c r="BG100" i="11"/>
  <c r="AX87" i="11"/>
  <c r="DR86" i="11"/>
  <c r="BY44" i="11"/>
  <c r="BQ42" i="11"/>
  <c r="DB92" i="11" l="1"/>
  <c r="DZ92" i="11"/>
  <c r="EH87" i="11"/>
  <c r="CT87" i="11"/>
  <c r="DJ89" i="11"/>
  <c r="EO89" i="11"/>
  <c r="AI85" i="11"/>
  <c r="AP87" i="11"/>
  <c r="BG101" i="11"/>
  <c r="AX88" i="11"/>
  <c r="DR87" i="11"/>
  <c r="BY45" i="11"/>
  <c r="BQ43" i="11"/>
  <c r="DB93" i="11" l="1"/>
  <c r="DZ93" i="11"/>
  <c r="EH88" i="11"/>
  <c r="CT88" i="11"/>
  <c r="DJ90" i="11"/>
  <c r="EO90" i="11"/>
  <c r="AI86" i="11"/>
  <c r="AP88" i="11"/>
  <c r="BG102" i="11"/>
  <c r="AX89" i="11"/>
  <c r="DR88" i="11"/>
  <c r="BY46" i="11"/>
  <c r="BQ44" i="11"/>
  <c r="DB94" i="11" l="1"/>
  <c r="DZ94" i="11"/>
  <c r="EH89" i="11"/>
  <c r="CT89" i="11"/>
  <c r="DJ91" i="11"/>
  <c r="EO91" i="11"/>
  <c r="AI87" i="11"/>
  <c r="AP89" i="11"/>
  <c r="BG103" i="11"/>
  <c r="AX90" i="11"/>
  <c r="DR89" i="11"/>
  <c r="BY47" i="11"/>
  <c r="BQ45" i="11"/>
  <c r="DB95" i="11" l="1"/>
  <c r="DZ95" i="11"/>
  <c r="EH90" i="11"/>
  <c r="CT90" i="11"/>
  <c r="DJ92" i="11"/>
  <c r="EO92" i="11"/>
  <c r="AI88" i="11"/>
  <c r="AP90" i="11"/>
  <c r="BG104" i="11"/>
  <c r="AX91" i="11"/>
  <c r="DR90" i="11"/>
  <c r="BY48" i="11"/>
  <c r="BQ46" i="11"/>
  <c r="DB96" i="11" l="1"/>
  <c r="DZ96" i="11"/>
  <c r="EH91" i="11"/>
  <c r="CT91" i="11"/>
  <c r="DJ93" i="11"/>
  <c r="EO93" i="11"/>
  <c r="AI89" i="11"/>
  <c r="AP91" i="11"/>
  <c r="BG105" i="11"/>
  <c r="AX92" i="11"/>
  <c r="DR91" i="11"/>
  <c r="BY49" i="11"/>
  <c r="BQ47" i="11"/>
  <c r="DB97" i="11" l="1"/>
  <c r="DZ97" i="11"/>
  <c r="EH92" i="11"/>
  <c r="CT92" i="11"/>
  <c r="DJ94" i="11"/>
  <c r="EO94" i="11"/>
  <c r="AI90" i="11"/>
  <c r="AP92" i="11"/>
  <c r="BG106" i="11"/>
  <c r="AX93" i="11"/>
  <c r="DR92" i="11"/>
  <c r="BY50" i="11"/>
  <c r="BQ48" i="11"/>
  <c r="H5" i="11"/>
  <c r="I5" i="11" s="1"/>
  <c r="J5" i="11" s="1"/>
  <c r="H6" i="11"/>
  <c r="I6" i="11" s="1"/>
  <c r="J6" i="11" s="1"/>
  <c r="H7" i="11"/>
  <c r="I7" i="11" s="1"/>
  <c r="J7" i="11" s="1"/>
  <c r="H8" i="11"/>
  <c r="I8" i="11" s="1"/>
  <c r="J8" i="11" s="1"/>
  <c r="H9" i="11"/>
  <c r="I9" i="11" s="1"/>
  <c r="J9" i="11" s="1"/>
  <c r="H10" i="11"/>
  <c r="I10" i="11" s="1"/>
  <c r="J10" i="11" s="1"/>
  <c r="H11" i="11"/>
  <c r="I11" i="11" s="1"/>
  <c r="J11" i="11" s="1"/>
  <c r="H12" i="11"/>
  <c r="I12" i="11" s="1"/>
  <c r="J12" i="11" s="1"/>
  <c r="H13" i="11"/>
  <c r="I13" i="11" s="1"/>
  <c r="J13" i="11" s="1"/>
  <c r="H14" i="11"/>
  <c r="I14" i="11" s="1"/>
  <c r="J14" i="11" s="1"/>
  <c r="H15" i="11"/>
  <c r="I15" i="11" s="1"/>
  <c r="J15" i="11" s="1"/>
  <c r="H16" i="11"/>
  <c r="I16" i="11" s="1"/>
  <c r="J16" i="11" s="1"/>
  <c r="H17" i="11"/>
  <c r="I17" i="11" s="1"/>
  <c r="J17" i="11" s="1"/>
  <c r="H18" i="11"/>
  <c r="I18" i="11" s="1"/>
  <c r="H19" i="11"/>
  <c r="I19" i="11" s="1"/>
  <c r="H20" i="11"/>
  <c r="I20" i="11" s="1"/>
  <c r="J20" i="11" s="1"/>
  <c r="H21" i="11"/>
  <c r="I21" i="11" s="1"/>
  <c r="J21" i="11" s="1"/>
  <c r="H22" i="11"/>
  <c r="I22" i="11" s="1"/>
  <c r="J22" i="11" s="1"/>
  <c r="H23" i="11"/>
  <c r="I23" i="11" s="1"/>
  <c r="J23" i="11" s="1"/>
  <c r="H24" i="11"/>
  <c r="I24" i="11" s="1"/>
  <c r="J24" i="11" s="1"/>
  <c r="H25" i="11"/>
  <c r="I25" i="11" s="1"/>
  <c r="J25" i="11" s="1"/>
  <c r="H26" i="11"/>
  <c r="I26" i="11" s="1"/>
  <c r="J26" i="11" s="1"/>
  <c r="H27" i="11"/>
  <c r="I27" i="11" s="1"/>
  <c r="J27" i="11" s="1"/>
  <c r="H28" i="11"/>
  <c r="I28" i="11" s="1"/>
  <c r="J28" i="11" s="1"/>
  <c r="H29" i="11"/>
  <c r="I29" i="11" s="1"/>
  <c r="J29" i="11" s="1"/>
  <c r="H30" i="11"/>
  <c r="I30" i="11" s="1"/>
  <c r="J30" i="11" s="1"/>
  <c r="H31" i="11"/>
  <c r="I31" i="11" s="1"/>
  <c r="J31" i="11" s="1"/>
  <c r="H32" i="11"/>
  <c r="I32" i="11" s="1"/>
  <c r="J32" i="11" s="1"/>
  <c r="H33" i="11"/>
  <c r="I33" i="11" s="1"/>
  <c r="J33" i="11" s="1"/>
  <c r="H34" i="11"/>
  <c r="I34" i="11" s="1"/>
  <c r="J34" i="11" s="1"/>
  <c r="H35" i="11"/>
  <c r="I35" i="11" s="1"/>
  <c r="J35" i="11" s="1"/>
  <c r="H36" i="11"/>
  <c r="I36" i="11" s="1"/>
  <c r="J36" i="11" s="1"/>
  <c r="H37" i="11"/>
  <c r="I37" i="11" s="1"/>
  <c r="J37" i="11" s="1"/>
  <c r="H38" i="11"/>
  <c r="I38" i="11" s="1"/>
  <c r="J38" i="11" s="1"/>
  <c r="H39" i="11"/>
  <c r="I39" i="11" s="1"/>
  <c r="J39" i="11" s="1"/>
  <c r="H40" i="11"/>
  <c r="I40" i="11" s="1"/>
  <c r="J40" i="11" s="1"/>
  <c r="H41" i="11"/>
  <c r="I41" i="11" s="1"/>
  <c r="J41" i="11" s="1"/>
  <c r="H42" i="11"/>
  <c r="I42" i="11" s="1"/>
  <c r="J42" i="11" s="1"/>
  <c r="H43" i="11"/>
  <c r="I43" i="11" s="1"/>
  <c r="J43" i="11" s="1"/>
  <c r="H44" i="11"/>
  <c r="I44" i="11" s="1"/>
  <c r="J44" i="11" s="1"/>
  <c r="H45" i="11"/>
  <c r="I45" i="11" s="1"/>
  <c r="H46" i="11"/>
  <c r="I46" i="11" s="1"/>
  <c r="J46" i="11" s="1"/>
  <c r="H47" i="11"/>
  <c r="I47" i="11" s="1"/>
  <c r="J47" i="11" s="1"/>
  <c r="H48" i="11"/>
  <c r="I48" i="11" s="1"/>
  <c r="J48" i="11" s="1"/>
  <c r="H51" i="11"/>
  <c r="H52" i="11"/>
  <c r="I52" i="11" s="1"/>
  <c r="J52" i="11" s="1"/>
  <c r="H53" i="11"/>
  <c r="I53" i="11" s="1"/>
  <c r="J53" i="11" s="1"/>
  <c r="H54" i="11"/>
  <c r="I54" i="11" s="1"/>
  <c r="J54" i="11" s="1"/>
  <c r="H55" i="11"/>
  <c r="I55" i="11" s="1"/>
  <c r="J55" i="11" s="1"/>
  <c r="H56" i="11"/>
  <c r="I56" i="11" s="1"/>
  <c r="J56" i="11" s="1"/>
  <c r="H57" i="11"/>
  <c r="I57" i="11" s="1"/>
  <c r="J57" i="11" s="1"/>
  <c r="H58" i="11"/>
  <c r="I58" i="11" s="1"/>
  <c r="J58" i="11" s="1"/>
  <c r="H59" i="11"/>
  <c r="I59" i="11" s="1"/>
  <c r="J59" i="11" s="1"/>
  <c r="H60" i="11"/>
  <c r="I60" i="11" s="1"/>
  <c r="J60" i="11" s="1"/>
  <c r="H61" i="11"/>
  <c r="I61" i="11" s="1"/>
  <c r="J61" i="11" s="1"/>
  <c r="H62" i="11"/>
  <c r="I62" i="11" s="1"/>
  <c r="J62" i="11" s="1"/>
  <c r="H63" i="11"/>
  <c r="I63" i="11" s="1"/>
  <c r="J63" i="11" s="1"/>
  <c r="H64" i="11"/>
  <c r="I64" i="11" s="1"/>
  <c r="J64" i="11" s="1"/>
  <c r="H65" i="11"/>
  <c r="I65" i="11" s="1"/>
  <c r="J65" i="11" s="1"/>
  <c r="H66" i="11"/>
  <c r="I66" i="11" s="1"/>
  <c r="J66" i="11" s="1"/>
  <c r="H67" i="11"/>
  <c r="I67" i="11" s="1"/>
  <c r="J67" i="11" s="1"/>
  <c r="H68" i="11"/>
  <c r="I68" i="11" s="1"/>
  <c r="J68" i="11" s="1"/>
  <c r="H69" i="11"/>
  <c r="I69" i="11" s="1"/>
  <c r="J69" i="11" s="1"/>
  <c r="H70" i="11"/>
  <c r="I70" i="11" s="1"/>
  <c r="J70" i="11" s="1"/>
  <c r="H71" i="11"/>
  <c r="I71" i="11" s="1"/>
  <c r="J71" i="11" s="1"/>
  <c r="H72" i="11"/>
  <c r="I72" i="11" s="1"/>
  <c r="J72" i="11" s="1"/>
  <c r="H73" i="11"/>
  <c r="I73" i="11" s="1"/>
  <c r="J73" i="11" s="1"/>
  <c r="H74" i="11"/>
  <c r="I74" i="11" s="1"/>
  <c r="J74" i="11" s="1"/>
  <c r="H75" i="11"/>
  <c r="I75" i="11" s="1"/>
  <c r="J75" i="11" s="1"/>
  <c r="H76" i="11"/>
  <c r="I76" i="11" s="1"/>
  <c r="J76" i="11" s="1"/>
  <c r="H77" i="11"/>
  <c r="I77" i="11" s="1"/>
  <c r="J77" i="11" s="1"/>
  <c r="H78" i="11"/>
  <c r="I78" i="11" s="1"/>
  <c r="J78" i="11" s="1"/>
  <c r="H79" i="11"/>
  <c r="I79" i="11" s="1"/>
  <c r="J79" i="11" s="1"/>
  <c r="H80" i="11"/>
  <c r="I80" i="11" s="1"/>
  <c r="J80" i="11" s="1"/>
  <c r="H81" i="11"/>
  <c r="I81" i="11" s="1"/>
  <c r="J81" i="11" s="1"/>
  <c r="H82" i="11"/>
  <c r="I82" i="11" s="1"/>
  <c r="J82" i="11" s="1"/>
  <c r="H83" i="11"/>
  <c r="I83" i="11" s="1"/>
  <c r="J83" i="11" s="1"/>
  <c r="H84" i="11"/>
  <c r="I84" i="11" s="1"/>
  <c r="J84" i="11" s="1"/>
  <c r="H85" i="11"/>
  <c r="I85" i="11" s="1"/>
  <c r="J85" i="11" s="1"/>
  <c r="H86" i="11"/>
  <c r="I86" i="11" s="1"/>
  <c r="J86" i="11" s="1"/>
  <c r="H87" i="11"/>
  <c r="I87" i="11" s="1"/>
  <c r="J87" i="11" s="1"/>
  <c r="H88" i="11"/>
  <c r="I88" i="11" s="1"/>
  <c r="J88" i="11" s="1"/>
  <c r="H89" i="11"/>
  <c r="I89" i="11" s="1"/>
  <c r="J89" i="11" s="1"/>
  <c r="H90" i="11"/>
  <c r="I90" i="11" s="1"/>
  <c r="J90" i="11" s="1"/>
  <c r="H91" i="11"/>
  <c r="I91" i="11" s="1"/>
  <c r="J91" i="11" s="1"/>
  <c r="H92" i="11"/>
  <c r="I92" i="11" s="1"/>
  <c r="J92" i="11" s="1"/>
  <c r="H93" i="11"/>
  <c r="I93" i="11" s="1"/>
  <c r="J93" i="11" s="1"/>
  <c r="H94" i="11"/>
  <c r="I94" i="11" s="1"/>
  <c r="J94" i="11" s="1"/>
  <c r="H95" i="11"/>
  <c r="I95" i="11" s="1"/>
  <c r="J95" i="11" s="1"/>
  <c r="H96" i="11"/>
  <c r="I96" i="11" s="1"/>
  <c r="J96" i="11" s="1"/>
  <c r="H97" i="11"/>
  <c r="I97" i="11" s="1"/>
  <c r="J97" i="11" s="1"/>
  <c r="H98" i="11"/>
  <c r="I98" i="11" s="1"/>
  <c r="J98" i="11" s="1"/>
  <c r="H99" i="11"/>
  <c r="I99" i="11" s="1"/>
  <c r="J99" i="11" s="1"/>
  <c r="H100" i="11"/>
  <c r="I100" i="11" s="1"/>
  <c r="J100" i="11" s="1"/>
  <c r="H101" i="11"/>
  <c r="I101" i="11" s="1"/>
  <c r="J101" i="11" s="1"/>
  <c r="H102" i="11"/>
  <c r="I102" i="11" s="1"/>
  <c r="J102" i="11" s="1"/>
  <c r="H103" i="11"/>
  <c r="I103" i="11" s="1"/>
  <c r="J103" i="11" s="1"/>
  <c r="H104" i="11"/>
  <c r="I104" i="11" s="1"/>
  <c r="J104" i="11" s="1"/>
  <c r="H105" i="11"/>
  <c r="I105" i="11" s="1"/>
  <c r="J105" i="11" s="1"/>
  <c r="H106" i="11"/>
  <c r="H107" i="11"/>
  <c r="I107" i="11" s="1"/>
  <c r="J107" i="11" s="1"/>
  <c r="H108" i="11"/>
  <c r="I108" i="11" s="1"/>
  <c r="J108" i="11" s="1"/>
  <c r="H109" i="11"/>
  <c r="I109" i="11" s="1"/>
  <c r="J109" i="11" s="1"/>
  <c r="H110" i="11"/>
  <c r="I110" i="11" s="1"/>
  <c r="J110" i="11" s="1"/>
  <c r="H111" i="11"/>
  <c r="I111" i="11" s="1"/>
  <c r="J111" i="11" s="1"/>
  <c r="H112" i="11"/>
  <c r="I112" i="11" s="1"/>
  <c r="J112" i="11" s="1"/>
  <c r="H113" i="11"/>
  <c r="I113" i="11" s="1"/>
  <c r="J113" i="11" s="1"/>
  <c r="H114" i="11"/>
  <c r="I114" i="11" s="1"/>
  <c r="J114" i="11" s="1"/>
  <c r="H115" i="11"/>
  <c r="I115" i="11" s="1"/>
  <c r="J115" i="11" s="1"/>
  <c r="H116" i="11"/>
  <c r="I116" i="11" s="1"/>
  <c r="J116" i="11" s="1"/>
  <c r="H117" i="11"/>
  <c r="I117" i="11" s="1"/>
  <c r="J117" i="11" s="1"/>
  <c r="H118" i="11"/>
  <c r="I118" i="11" s="1"/>
  <c r="J118" i="11" s="1"/>
  <c r="H119" i="11"/>
  <c r="I119" i="11" s="1"/>
  <c r="J119" i="11" s="1"/>
  <c r="H120" i="11"/>
  <c r="I120" i="11" s="1"/>
  <c r="J120" i="11" s="1"/>
  <c r="H121" i="11"/>
  <c r="I121" i="11" s="1"/>
  <c r="J121" i="11" s="1"/>
  <c r="H122" i="11"/>
  <c r="I122" i="11" s="1"/>
  <c r="J122" i="11" s="1"/>
  <c r="H123" i="11"/>
  <c r="I123" i="11" s="1"/>
  <c r="J123" i="11" s="1"/>
  <c r="H124" i="11"/>
  <c r="I124" i="11" s="1"/>
  <c r="J124" i="11" s="1"/>
  <c r="H125" i="11"/>
  <c r="I125" i="11" s="1"/>
  <c r="J125" i="11" s="1"/>
  <c r="H126" i="11"/>
  <c r="I126" i="11" s="1"/>
  <c r="J126" i="11" s="1"/>
  <c r="H127" i="11"/>
  <c r="I127" i="11" s="1"/>
  <c r="J127" i="11" s="1"/>
  <c r="H128" i="11"/>
  <c r="I128" i="11" s="1"/>
  <c r="J128" i="11" s="1"/>
  <c r="H129" i="11"/>
  <c r="I129" i="11" s="1"/>
  <c r="J129" i="11" s="1"/>
  <c r="H130" i="11"/>
  <c r="I130" i="11" s="1"/>
  <c r="J130" i="11" s="1"/>
  <c r="H131" i="11"/>
  <c r="I131" i="11" s="1"/>
  <c r="J131" i="11" s="1"/>
  <c r="H132" i="11"/>
  <c r="I132" i="11" s="1"/>
  <c r="J132" i="11" s="1"/>
  <c r="H133" i="11"/>
  <c r="I133" i="11" s="1"/>
  <c r="J133" i="11" s="1"/>
  <c r="H134" i="11"/>
  <c r="I134" i="11" s="1"/>
  <c r="H135" i="11"/>
  <c r="I135" i="11" s="1"/>
  <c r="H136" i="11"/>
  <c r="I136" i="11" s="1"/>
  <c r="H137" i="11"/>
  <c r="I137" i="11" s="1"/>
  <c r="H138" i="11"/>
  <c r="I138" i="11" s="1"/>
  <c r="H139" i="11"/>
  <c r="I139" i="11" s="1"/>
  <c r="H140" i="11"/>
  <c r="I140" i="11" s="1"/>
  <c r="H141" i="11"/>
  <c r="I141" i="11" s="1"/>
  <c r="H142" i="11"/>
  <c r="I142" i="11" s="1"/>
  <c r="H143" i="11"/>
  <c r="I143" i="11" s="1"/>
  <c r="H144" i="11"/>
  <c r="I144" i="11" s="1"/>
  <c r="H145" i="11"/>
  <c r="I145" i="11" s="1"/>
  <c r="H146" i="11"/>
  <c r="I146" i="11" s="1"/>
  <c r="H147" i="11"/>
  <c r="I147" i="11" s="1"/>
  <c r="H148" i="11"/>
  <c r="I148" i="11" s="1"/>
  <c r="H149" i="11"/>
  <c r="I149" i="11" s="1"/>
  <c r="H150" i="11"/>
  <c r="I150" i="11" s="1"/>
  <c r="H151" i="11"/>
  <c r="I151" i="11" s="1"/>
  <c r="H152" i="11"/>
  <c r="I152" i="11" s="1"/>
  <c r="H153" i="11"/>
  <c r="I153" i="11" s="1"/>
  <c r="H154" i="11"/>
  <c r="I154" i="11" s="1"/>
  <c r="H155" i="11"/>
  <c r="I155" i="11" s="1"/>
  <c r="H156" i="11"/>
  <c r="I156" i="11" s="1"/>
  <c r="H157" i="11"/>
  <c r="I157" i="11" s="1"/>
  <c r="H158" i="11"/>
  <c r="I158" i="11" s="1"/>
  <c r="H159" i="11"/>
  <c r="I159" i="11" s="1"/>
  <c r="H160" i="11"/>
  <c r="I160" i="11" s="1"/>
  <c r="H161" i="11"/>
  <c r="I161" i="11" s="1"/>
  <c r="H162" i="11"/>
  <c r="I162" i="11" s="1"/>
  <c r="H163" i="11"/>
  <c r="I163" i="11" s="1"/>
  <c r="H164" i="11"/>
  <c r="I164" i="11" s="1"/>
  <c r="H165" i="11"/>
  <c r="I165" i="11" s="1"/>
  <c r="H166" i="11"/>
  <c r="I166" i="11" s="1"/>
  <c r="H167" i="11"/>
  <c r="I167" i="11" s="1"/>
  <c r="H168" i="11"/>
  <c r="I168" i="11" s="1"/>
  <c r="H169" i="11"/>
  <c r="I169" i="11" s="1"/>
  <c r="H170" i="11"/>
  <c r="I170" i="11" s="1"/>
  <c r="H171" i="11"/>
  <c r="I171" i="11" s="1"/>
  <c r="H172" i="11"/>
  <c r="I172" i="11" s="1"/>
  <c r="J172" i="11" s="1"/>
  <c r="H173" i="11"/>
  <c r="I173" i="11" s="1"/>
  <c r="J173" i="11" s="1"/>
  <c r="H174" i="11"/>
  <c r="I174" i="11" s="1"/>
  <c r="J174" i="11" s="1"/>
  <c r="H175" i="11"/>
  <c r="I175" i="11" s="1"/>
  <c r="J175" i="11" s="1"/>
  <c r="H176" i="11"/>
  <c r="I176" i="11" s="1"/>
  <c r="J176" i="11" s="1"/>
  <c r="H177" i="11"/>
  <c r="I177" i="11" s="1"/>
  <c r="J177" i="11" s="1"/>
  <c r="H178" i="11"/>
  <c r="I178" i="11" s="1"/>
  <c r="J178" i="11" s="1"/>
  <c r="H179" i="11"/>
  <c r="I179" i="11" s="1"/>
  <c r="J179" i="11" s="1"/>
  <c r="H180" i="11"/>
  <c r="I180" i="11" s="1"/>
  <c r="J180" i="11" s="1"/>
  <c r="H181" i="11"/>
  <c r="I181" i="11" s="1"/>
  <c r="J181" i="11" s="1"/>
  <c r="H182" i="11"/>
  <c r="I182" i="11" s="1"/>
  <c r="J182" i="11" s="1"/>
  <c r="H183" i="11"/>
  <c r="I183" i="11" s="1"/>
  <c r="H184" i="11"/>
  <c r="I184" i="11" s="1"/>
  <c r="H185" i="11"/>
  <c r="I185" i="11" s="1"/>
  <c r="J185" i="11" s="1"/>
  <c r="H186" i="11"/>
  <c r="I186" i="11" s="1"/>
  <c r="H187" i="11"/>
  <c r="I187" i="11" s="1"/>
  <c r="H188" i="11"/>
  <c r="I188" i="11" s="1"/>
  <c r="H189" i="11"/>
  <c r="I189" i="11" s="1"/>
  <c r="H190" i="11"/>
  <c r="I190" i="11" s="1"/>
  <c r="H191" i="11"/>
  <c r="I191" i="11" s="1"/>
  <c r="H192" i="11"/>
  <c r="I192" i="11" s="1"/>
  <c r="J192" i="11" s="1"/>
  <c r="H193" i="11"/>
  <c r="I193" i="11" s="1"/>
  <c r="J193" i="11" s="1"/>
  <c r="H194" i="11"/>
  <c r="I194" i="11" s="1"/>
  <c r="J194" i="11" s="1"/>
  <c r="H195" i="11"/>
  <c r="I195" i="11" s="1"/>
  <c r="J195" i="11" s="1"/>
  <c r="H196" i="11"/>
  <c r="I196" i="11" s="1"/>
  <c r="J196" i="11" s="1"/>
  <c r="H197" i="11"/>
  <c r="I197" i="11" s="1"/>
  <c r="J197" i="11" s="1"/>
  <c r="H198" i="11"/>
  <c r="I198" i="11" s="1"/>
  <c r="J198" i="11" s="1"/>
  <c r="H199" i="11"/>
  <c r="I199" i="11" s="1"/>
  <c r="J199" i="11" s="1"/>
  <c r="H200" i="11"/>
  <c r="I200" i="11" s="1"/>
  <c r="J200" i="11" s="1"/>
  <c r="H201" i="11"/>
  <c r="I201" i="11" s="1"/>
  <c r="J201" i="11" s="1"/>
  <c r="H202" i="11"/>
  <c r="I202" i="11" s="1"/>
  <c r="J202" i="11" s="1"/>
  <c r="H4" i="11"/>
  <c r="I4" i="11" s="1"/>
  <c r="J191" i="11" l="1"/>
  <c r="J190" i="11"/>
  <c r="J189" i="11"/>
  <c r="J188" i="11"/>
  <c r="J187" i="11"/>
  <c r="J186" i="11"/>
  <c r="J184" i="11"/>
  <c r="J183" i="11"/>
  <c r="J169" i="11"/>
  <c r="J165" i="11"/>
  <c r="J161" i="11"/>
  <c r="J157" i="11"/>
  <c r="J145" i="11"/>
  <c r="J141" i="11"/>
  <c r="J137" i="11"/>
  <c r="J168" i="11"/>
  <c r="J164" i="11"/>
  <c r="J160" i="11"/>
  <c r="J156" i="11"/>
  <c r="J152" i="11"/>
  <c r="J144" i="11"/>
  <c r="J140" i="11"/>
  <c r="J136" i="11"/>
  <c r="J171" i="11"/>
  <c r="J167" i="11"/>
  <c r="J163" i="11"/>
  <c r="J159" i="11"/>
  <c r="J147" i="11"/>
  <c r="J143" i="11"/>
  <c r="J139" i="11"/>
  <c r="J170" i="11"/>
  <c r="J166" i="11"/>
  <c r="J162" i="11"/>
  <c r="J158" i="11"/>
  <c r="J146" i="11"/>
  <c r="J142" i="11"/>
  <c r="J138" i="11"/>
  <c r="J155" i="11"/>
  <c r="J153" i="11"/>
  <c r="J154" i="11"/>
  <c r="J151" i="11"/>
  <c r="J150" i="11"/>
  <c r="J148" i="11"/>
  <c r="J149" i="11"/>
  <c r="J135" i="11"/>
  <c r="J134" i="11"/>
  <c r="I106" i="11"/>
  <c r="J106" i="11" s="1"/>
  <c r="DB98" i="11"/>
  <c r="J19" i="11"/>
  <c r="J45" i="11"/>
  <c r="DZ98" i="11"/>
  <c r="EH93" i="11"/>
  <c r="CT93" i="11"/>
  <c r="DJ95" i="11"/>
  <c r="J18" i="11"/>
  <c r="M4" i="11"/>
  <c r="EO95" i="11"/>
  <c r="AI91" i="11"/>
  <c r="AP93" i="11"/>
  <c r="BG107" i="11"/>
  <c r="AX94" i="11"/>
  <c r="DR93" i="11"/>
  <c r="BY51" i="11"/>
  <c r="BQ49" i="11"/>
  <c r="J4" i="11"/>
  <c r="K4" i="11"/>
  <c r="DB99" i="11" l="1"/>
  <c r="H49" i="11"/>
  <c r="I49" i="11" s="1"/>
  <c r="M19" i="11" s="1"/>
  <c r="DZ99" i="11"/>
  <c r="EH94" i="11"/>
  <c r="CT94" i="11"/>
  <c r="DJ96" i="11"/>
  <c r="EO96" i="11"/>
  <c r="AI92" i="11"/>
  <c r="AP94" i="11"/>
  <c r="BG108" i="11"/>
  <c r="AX95" i="11"/>
  <c r="DR94" i="11"/>
  <c r="BY52" i="11"/>
  <c r="BQ50" i="11"/>
  <c r="K5" i="11"/>
  <c r="DB100" i="11" l="1"/>
  <c r="H50" i="11"/>
  <c r="I50" i="11" s="1"/>
  <c r="I51" i="11"/>
  <c r="J51" i="11" s="1"/>
  <c r="DZ100" i="11"/>
  <c r="EH95" i="11"/>
  <c r="CT95" i="11"/>
  <c r="DJ97" i="11"/>
  <c r="EO97" i="11"/>
  <c r="AI93" i="11"/>
  <c r="AP95" i="11"/>
  <c r="BG109" i="11"/>
  <c r="AX96" i="11"/>
  <c r="DR95" i="11"/>
  <c r="BY53" i="11"/>
  <c r="BQ51" i="11"/>
  <c r="K6" i="11"/>
  <c r="J50" i="11" l="1"/>
  <c r="M50" i="11"/>
  <c r="DB101" i="11"/>
  <c r="DZ101" i="11"/>
  <c r="EH96" i="11"/>
  <c r="CT96" i="11"/>
  <c r="DJ98" i="11"/>
  <c r="EO98" i="11"/>
  <c r="AI94" i="11"/>
  <c r="AP96" i="11"/>
  <c r="BG110" i="11"/>
  <c r="AX97" i="11"/>
  <c r="DR96" i="11"/>
  <c r="BY54" i="11"/>
  <c r="BQ52" i="11"/>
  <c r="K7" i="11"/>
  <c r="DB102" i="11" l="1"/>
  <c r="DZ102" i="11"/>
  <c r="EH97" i="11"/>
  <c r="CT97" i="11"/>
  <c r="DJ99" i="11"/>
  <c r="EO99" i="11"/>
  <c r="AI95" i="11"/>
  <c r="AP97" i="11"/>
  <c r="BG111" i="11"/>
  <c r="AX98" i="11"/>
  <c r="DR97" i="11"/>
  <c r="BY55" i="11"/>
  <c r="BQ53" i="11"/>
  <c r="K8" i="11"/>
  <c r="DB103" i="11" l="1"/>
  <c r="DZ103" i="11"/>
  <c r="EH98" i="11"/>
  <c r="CT98" i="11"/>
  <c r="DJ100" i="11"/>
  <c r="EO100" i="11"/>
  <c r="AI96" i="11"/>
  <c r="AP98" i="11"/>
  <c r="BG112" i="11"/>
  <c r="AX99" i="11"/>
  <c r="DR98" i="11"/>
  <c r="BY56" i="11"/>
  <c r="BQ54" i="11"/>
  <c r="K9" i="11"/>
  <c r="DB104" i="11" l="1"/>
  <c r="DZ104" i="11"/>
  <c r="EH99" i="11"/>
  <c r="CT99" i="11"/>
  <c r="DJ101" i="11"/>
  <c r="EO101" i="11"/>
  <c r="AI97" i="11"/>
  <c r="AP99" i="11"/>
  <c r="BG113" i="11"/>
  <c r="AX100" i="11"/>
  <c r="DR99" i="11"/>
  <c r="BY57" i="11"/>
  <c r="BQ55" i="11"/>
  <c r="K10" i="11"/>
  <c r="DB105" i="11" l="1"/>
  <c r="DZ105" i="11"/>
  <c r="EH100" i="11"/>
  <c r="CT100" i="11"/>
  <c r="DJ102" i="11"/>
  <c r="EO102" i="11"/>
  <c r="AI98" i="11"/>
  <c r="AP100" i="11"/>
  <c r="BG114" i="11"/>
  <c r="AX101" i="11"/>
  <c r="DR100" i="11"/>
  <c r="BY58" i="11"/>
  <c r="BQ56" i="11"/>
  <c r="K11" i="11"/>
  <c r="DB106" i="11" l="1"/>
  <c r="DZ106" i="11"/>
  <c r="EH101" i="11"/>
  <c r="CT101" i="11"/>
  <c r="DJ103" i="11"/>
  <c r="EO103" i="11"/>
  <c r="AI99" i="11"/>
  <c r="AP101" i="11"/>
  <c r="BG115" i="11"/>
  <c r="AX102" i="11"/>
  <c r="DR101" i="11"/>
  <c r="BY59" i="11"/>
  <c r="BQ57" i="11"/>
  <c r="K12" i="11"/>
  <c r="DB107" i="11" l="1"/>
  <c r="DZ107" i="11"/>
  <c r="EH102" i="11"/>
  <c r="CT102" i="11"/>
  <c r="DJ104" i="11"/>
  <c r="EO104" i="11"/>
  <c r="AI100" i="11"/>
  <c r="AP102" i="11"/>
  <c r="BG116" i="11"/>
  <c r="AX103" i="11"/>
  <c r="DR102" i="11"/>
  <c r="BY60" i="11"/>
  <c r="BQ58" i="11"/>
  <c r="K13" i="11"/>
  <c r="DB108" i="11" l="1"/>
  <c r="DZ108" i="11"/>
  <c r="EH103" i="11"/>
  <c r="CT103" i="11"/>
  <c r="DJ105" i="11"/>
  <c r="EO105" i="11"/>
  <c r="AI101" i="11"/>
  <c r="AP103" i="11"/>
  <c r="BG117" i="11"/>
  <c r="AX104" i="11"/>
  <c r="DR103" i="11"/>
  <c r="BY61" i="11"/>
  <c r="BQ59" i="11"/>
  <c r="K14" i="11"/>
  <c r="DB109" i="11" l="1"/>
  <c r="DZ109" i="11"/>
  <c r="EH104" i="11"/>
  <c r="CT104" i="11"/>
  <c r="DJ106" i="11"/>
  <c r="EO106" i="11"/>
  <c r="AI102" i="11"/>
  <c r="AP104" i="11"/>
  <c r="BG118" i="11"/>
  <c r="AX105" i="11"/>
  <c r="DR104" i="11"/>
  <c r="BY62" i="11"/>
  <c r="BQ60" i="11"/>
  <c r="K15" i="11"/>
  <c r="DB110" i="11" l="1"/>
  <c r="DZ110" i="11"/>
  <c r="EH105" i="11"/>
  <c r="CT105" i="11"/>
  <c r="DJ107" i="11"/>
  <c r="EO107" i="11"/>
  <c r="AI103" i="11"/>
  <c r="AP105" i="11"/>
  <c r="BG119" i="11"/>
  <c r="AX106" i="11"/>
  <c r="DR105" i="11"/>
  <c r="BY63" i="11"/>
  <c r="BQ61" i="11"/>
  <c r="K16" i="11"/>
  <c r="DB111" i="11" l="1"/>
  <c r="DZ111" i="11"/>
  <c r="EH106" i="11"/>
  <c r="CT106" i="11"/>
  <c r="DJ108" i="11"/>
  <c r="EO108" i="11"/>
  <c r="AI104" i="11"/>
  <c r="AP106" i="11"/>
  <c r="BG120" i="11"/>
  <c r="AX107" i="11"/>
  <c r="DR106" i="11"/>
  <c r="BY64" i="11"/>
  <c r="BQ62" i="11"/>
  <c r="K17" i="11"/>
  <c r="DB112" i="11" l="1"/>
  <c r="DZ112" i="11"/>
  <c r="EH107" i="11"/>
  <c r="CT107" i="11"/>
  <c r="DJ109" i="11"/>
  <c r="EO109" i="11"/>
  <c r="AI105" i="11"/>
  <c r="AP107" i="11"/>
  <c r="BG121" i="11"/>
  <c r="AX108" i="11"/>
  <c r="DR107" i="11"/>
  <c r="BY65" i="11"/>
  <c r="BQ63" i="11"/>
  <c r="K18" i="11"/>
  <c r="DB113" i="11" l="1"/>
  <c r="DZ113" i="11"/>
  <c r="EH108" i="11"/>
  <c r="CT108" i="11"/>
  <c r="DJ110" i="11"/>
  <c r="EO110" i="11"/>
  <c r="AI106" i="11"/>
  <c r="AP108" i="11"/>
  <c r="BG122" i="11"/>
  <c r="AX109" i="11"/>
  <c r="DR108" i="11"/>
  <c r="BY66" i="11"/>
  <c r="BQ64" i="11"/>
  <c r="K19" i="11"/>
  <c r="DB114" i="11" l="1"/>
  <c r="DZ114" i="11"/>
  <c r="EH109" i="11"/>
  <c r="CT109" i="11"/>
  <c r="DJ111" i="11"/>
  <c r="EO111" i="11"/>
  <c r="AI107" i="11"/>
  <c r="AP109" i="11"/>
  <c r="BG123" i="11"/>
  <c r="AX110" i="11"/>
  <c r="DR109" i="11"/>
  <c r="BY67" i="11"/>
  <c r="BQ65" i="11"/>
  <c r="K20" i="11"/>
  <c r="DB115" i="11" l="1"/>
  <c r="DZ115" i="11"/>
  <c r="EH110" i="11"/>
  <c r="CT110" i="11"/>
  <c r="DJ112" i="11"/>
  <c r="EO112" i="11"/>
  <c r="AI108" i="11"/>
  <c r="AP110" i="11"/>
  <c r="BG124" i="11"/>
  <c r="AX111" i="11"/>
  <c r="DR110" i="11"/>
  <c r="BY68" i="11"/>
  <c r="BQ66" i="11"/>
  <c r="K21" i="11"/>
  <c r="DB116" i="11" l="1"/>
  <c r="DZ116" i="11"/>
  <c r="EH111" i="11"/>
  <c r="CT111" i="11"/>
  <c r="DJ113" i="11"/>
  <c r="EO113" i="11"/>
  <c r="AI109" i="11"/>
  <c r="AP111" i="11"/>
  <c r="BG125" i="11"/>
  <c r="AX112" i="11"/>
  <c r="DR111" i="11"/>
  <c r="BY69" i="11"/>
  <c r="BQ67" i="11"/>
  <c r="K22" i="11"/>
  <c r="DB117" i="11" l="1"/>
  <c r="DZ117" i="11"/>
  <c r="EH112" i="11"/>
  <c r="CT112" i="11"/>
  <c r="DJ114" i="11"/>
  <c r="EO114" i="11"/>
  <c r="AI110" i="11"/>
  <c r="AP112" i="11"/>
  <c r="BG126" i="11"/>
  <c r="AX113" i="11"/>
  <c r="DR112" i="11"/>
  <c r="BY70" i="11"/>
  <c r="BQ68" i="11"/>
  <c r="K23" i="11"/>
  <c r="DB118" i="11" l="1"/>
  <c r="DZ118" i="11"/>
  <c r="EH113" i="11"/>
  <c r="CT113" i="11"/>
  <c r="DJ115" i="11"/>
  <c r="EO115" i="11"/>
  <c r="AI111" i="11"/>
  <c r="AP113" i="11"/>
  <c r="BG127" i="11"/>
  <c r="AX114" i="11"/>
  <c r="DR113" i="11"/>
  <c r="BY71" i="11"/>
  <c r="BQ69" i="11"/>
  <c r="K24" i="11"/>
  <c r="DB119" i="11" l="1"/>
  <c r="DZ119" i="11"/>
  <c r="EH114" i="11"/>
  <c r="CT114" i="11"/>
  <c r="DJ116" i="11"/>
  <c r="EO116" i="11"/>
  <c r="AI112" i="11"/>
  <c r="AP114" i="11"/>
  <c r="BG128" i="11"/>
  <c r="AX115" i="11"/>
  <c r="DR114" i="11"/>
  <c r="BY72" i="11"/>
  <c r="BQ70" i="11"/>
  <c r="K25" i="11"/>
  <c r="DB120" i="11" l="1"/>
  <c r="DZ120" i="11"/>
  <c r="EH115" i="11"/>
  <c r="CT115" i="11"/>
  <c r="DJ117" i="11"/>
  <c r="EO117" i="11"/>
  <c r="AI113" i="11"/>
  <c r="AP115" i="11"/>
  <c r="BG129" i="11"/>
  <c r="AX116" i="11"/>
  <c r="DR115" i="11"/>
  <c r="BY73" i="11"/>
  <c r="BQ71" i="11"/>
  <c r="K26" i="11"/>
  <c r="DB121" i="11" l="1"/>
  <c r="DZ121" i="11"/>
  <c r="EH116" i="11"/>
  <c r="CT116" i="11"/>
  <c r="DJ118" i="11"/>
  <c r="EO118" i="11"/>
  <c r="AI114" i="11"/>
  <c r="AP116" i="11"/>
  <c r="BG130" i="11"/>
  <c r="AX117" i="11"/>
  <c r="DR116" i="11"/>
  <c r="BY74" i="11"/>
  <c r="BQ72" i="11"/>
  <c r="K27" i="11"/>
  <c r="DB122" i="11" l="1"/>
  <c r="DZ122" i="11"/>
  <c r="EH117" i="11"/>
  <c r="CT117" i="11"/>
  <c r="DJ119" i="11"/>
  <c r="EO119" i="11"/>
  <c r="AI115" i="11"/>
  <c r="AP117" i="11"/>
  <c r="BG131" i="11"/>
  <c r="AX118" i="11"/>
  <c r="DR117" i="11"/>
  <c r="BY75" i="11"/>
  <c r="BQ73" i="11"/>
  <c r="K28" i="11"/>
  <c r="DB123" i="11" l="1"/>
  <c r="DZ123" i="11"/>
  <c r="EH118" i="11"/>
  <c r="CT118" i="11"/>
  <c r="DJ120" i="11"/>
  <c r="EO120" i="11"/>
  <c r="AI116" i="11"/>
  <c r="AP118" i="11"/>
  <c r="BG132" i="11"/>
  <c r="AX119" i="11"/>
  <c r="DR118" i="11"/>
  <c r="BY76" i="11"/>
  <c r="BQ74" i="11"/>
  <c r="K29" i="11"/>
  <c r="DB124" i="11" l="1"/>
  <c r="DZ124" i="11"/>
  <c r="EH119" i="11"/>
  <c r="CT119" i="11"/>
  <c r="DJ121" i="11"/>
  <c r="EO121" i="11"/>
  <c r="AI117" i="11"/>
  <c r="AP119" i="11"/>
  <c r="BG133" i="11"/>
  <c r="AX120" i="11"/>
  <c r="DR119" i="11"/>
  <c r="BY77" i="11"/>
  <c r="BQ75" i="11"/>
  <c r="K30" i="11"/>
  <c r="DB125" i="11" l="1"/>
  <c r="DZ125" i="11"/>
  <c r="EH120" i="11"/>
  <c r="CT120" i="11"/>
  <c r="DJ122" i="11"/>
  <c r="EO122" i="11"/>
  <c r="AI118" i="11"/>
  <c r="AP120" i="11"/>
  <c r="BG134" i="11"/>
  <c r="AX121" i="11"/>
  <c r="DR120" i="11"/>
  <c r="BY78" i="11"/>
  <c r="BQ76" i="11"/>
  <c r="K31" i="11"/>
  <c r="DB126" i="11" l="1"/>
  <c r="DZ126" i="11"/>
  <c r="EH121" i="11"/>
  <c r="CT121" i="11"/>
  <c r="DJ123" i="11"/>
  <c r="EO123" i="11"/>
  <c r="AI119" i="11"/>
  <c r="AP121" i="11"/>
  <c r="BG135" i="11"/>
  <c r="AX122" i="11"/>
  <c r="DR121" i="11"/>
  <c r="BY79" i="11"/>
  <c r="BQ77" i="11"/>
  <c r="K32" i="11"/>
  <c r="DB127" i="11" l="1"/>
  <c r="DZ127" i="11"/>
  <c r="EH122" i="11"/>
  <c r="CT122" i="11"/>
  <c r="DJ124" i="11"/>
  <c r="EO124" i="11"/>
  <c r="AI120" i="11"/>
  <c r="AP122" i="11"/>
  <c r="BG136" i="11"/>
  <c r="AX123" i="11"/>
  <c r="DR122" i="11"/>
  <c r="BY80" i="11"/>
  <c r="BQ78" i="11"/>
  <c r="K33" i="11"/>
  <c r="DB128" i="11" l="1"/>
  <c r="DZ128" i="11"/>
  <c r="EH123" i="11"/>
  <c r="CT123" i="11"/>
  <c r="DJ125" i="11"/>
  <c r="EO125" i="11"/>
  <c r="AI121" i="11"/>
  <c r="AP123" i="11"/>
  <c r="BG137" i="11"/>
  <c r="AX124" i="11"/>
  <c r="DR123" i="11"/>
  <c r="BY81" i="11"/>
  <c r="BQ79" i="11"/>
  <c r="K34" i="11"/>
  <c r="DB129" i="11" l="1"/>
  <c r="DZ129" i="11"/>
  <c r="EH124" i="11"/>
  <c r="CT124" i="11"/>
  <c r="DJ126" i="11"/>
  <c r="EO126" i="11"/>
  <c r="AI122" i="11"/>
  <c r="AP124" i="11"/>
  <c r="BG138" i="11"/>
  <c r="AX125" i="11"/>
  <c r="DR124" i="11"/>
  <c r="BY82" i="11"/>
  <c r="BQ80" i="11"/>
  <c r="K35" i="11"/>
  <c r="DB130" i="11" l="1"/>
  <c r="DZ130" i="11"/>
  <c r="EH125" i="11"/>
  <c r="CT125" i="11"/>
  <c r="DJ127" i="11"/>
  <c r="EO127" i="11"/>
  <c r="AI123" i="11"/>
  <c r="AP125" i="11"/>
  <c r="BG139" i="11"/>
  <c r="AX126" i="11"/>
  <c r="DR125" i="11"/>
  <c r="BY83" i="11"/>
  <c r="BQ81" i="11"/>
  <c r="K36" i="11"/>
  <c r="DB131" i="11" l="1"/>
  <c r="DZ131" i="11"/>
  <c r="EH126" i="11"/>
  <c r="CT126" i="11"/>
  <c r="DJ128" i="11"/>
  <c r="EO128" i="11"/>
  <c r="AI124" i="11"/>
  <c r="AP126" i="11"/>
  <c r="BG140" i="11"/>
  <c r="AX127" i="11"/>
  <c r="DR126" i="11"/>
  <c r="BY84" i="11"/>
  <c r="BQ82" i="11"/>
  <c r="K37" i="11"/>
  <c r="DB132" i="11" l="1"/>
  <c r="DZ132" i="11"/>
  <c r="EH127" i="11"/>
  <c r="CT127" i="11"/>
  <c r="DJ129" i="11"/>
  <c r="EO129" i="11"/>
  <c r="AI125" i="11"/>
  <c r="AP127" i="11"/>
  <c r="BG141" i="11"/>
  <c r="AX128" i="11"/>
  <c r="DR127" i="11"/>
  <c r="BY85" i="11"/>
  <c r="BQ83" i="11"/>
  <c r="K38" i="11"/>
  <c r="DB133" i="11" l="1"/>
  <c r="DZ133" i="11"/>
  <c r="EH128" i="11"/>
  <c r="CT128" i="11"/>
  <c r="DJ130" i="11"/>
  <c r="EO130" i="11"/>
  <c r="AI126" i="11"/>
  <c r="AP128" i="11"/>
  <c r="BG142" i="11"/>
  <c r="AX129" i="11"/>
  <c r="DR128" i="11"/>
  <c r="BY86" i="11"/>
  <c r="BQ84" i="11"/>
  <c r="K39" i="11"/>
  <c r="DB134" i="11" l="1"/>
  <c r="DZ134" i="11"/>
  <c r="EH129" i="11"/>
  <c r="CT129" i="11"/>
  <c r="DJ131" i="11"/>
  <c r="EO131" i="11"/>
  <c r="AI127" i="11"/>
  <c r="AP129" i="11"/>
  <c r="BG143" i="11"/>
  <c r="AX130" i="11"/>
  <c r="DR129" i="11"/>
  <c r="BY87" i="11"/>
  <c r="BQ85" i="11"/>
  <c r="K40" i="11"/>
  <c r="DB135" i="11" l="1"/>
  <c r="DZ135" i="11"/>
  <c r="EH130" i="11"/>
  <c r="CT130" i="11"/>
  <c r="DJ132" i="11"/>
  <c r="EO132" i="11"/>
  <c r="AI128" i="11"/>
  <c r="AP130" i="11"/>
  <c r="BG144" i="11"/>
  <c r="AX131" i="11"/>
  <c r="DR130" i="11"/>
  <c r="BY88" i="11"/>
  <c r="BQ86" i="11"/>
  <c r="K41" i="11"/>
  <c r="DB136" i="11" l="1"/>
  <c r="DZ136" i="11"/>
  <c r="EH131" i="11"/>
  <c r="CT131" i="11"/>
  <c r="DJ133" i="11"/>
  <c r="EO133" i="11"/>
  <c r="AI129" i="11"/>
  <c r="AP131" i="11"/>
  <c r="BG145" i="11"/>
  <c r="AX132" i="11"/>
  <c r="DR131" i="11"/>
  <c r="BY89" i="11"/>
  <c r="BQ87" i="11"/>
  <c r="K42" i="11"/>
  <c r="DB137" i="11" l="1"/>
  <c r="DZ137" i="11"/>
  <c r="EH132" i="11"/>
  <c r="CT132" i="11"/>
  <c r="DJ134" i="11"/>
  <c r="EO134" i="11"/>
  <c r="AI130" i="11"/>
  <c r="AP132" i="11"/>
  <c r="BG146" i="11"/>
  <c r="AX133" i="11"/>
  <c r="DR132" i="11"/>
  <c r="BY90" i="11"/>
  <c r="BQ88" i="11"/>
  <c r="K43" i="11"/>
  <c r="DB138" i="11" l="1"/>
  <c r="DZ138" i="11"/>
  <c r="EH133" i="11"/>
  <c r="CT133" i="11"/>
  <c r="DJ135" i="11"/>
  <c r="EO135" i="11"/>
  <c r="AI131" i="11"/>
  <c r="AP133" i="11"/>
  <c r="BG147" i="11"/>
  <c r="AX134" i="11"/>
  <c r="DR133" i="11"/>
  <c r="BY91" i="11"/>
  <c r="BQ89" i="11"/>
  <c r="K44" i="11"/>
  <c r="DB139" i="11" l="1"/>
  <c r="DZ139" i="11"/>
  <c r="EH134" i="11"/>
  <c r="CT134" i="11"/>
  <c r="DJ136" i="11"/>
  <c r="EO136" i="11"/>
  <c r="AI132" i="11"/>
  <c r="AP134" i="11"/>
  <c r="BG148" i="11"/>
  <c r="AX135" i="11"/>
  <c r="DR134" i="11"/>
  <c r="BY92" i="11"/>
  <c r="BQ90" i="11"/>
  <c r="K45" i="11"/>
  <c r="DB140" i="11" l="1"/>
  <c r="DZ140" i="11"/>
  <c r="EH135" i="11"/>
  <c r="CT135" i="11"/>
  <c r="DJ137" i="11"/>
  <c r="EO137" i="11"/>
  <c r="AI133" i="11"/>
  <c r="AP135" i="11"/>
  <c r="BG149" i="11"/>
  <c r="AX136" i="11"/>
  <c r="DR135" i="11"/>
  <c r="BY93" i="11"/>
  <c r="BQ91" i="11"/>
  <c r="K46" i="11"/>
  <c r="DB141" i="11" l="1"/>
  <c r="DZ141" i="11"/>
  <c r="EH136" i="11"/>
  <c r="CT136" i="11"/>
  <c r="DJ138" i="11"/>
  <c r="EO138" i="11"/>
  <c r="AI134" i="11"/>
  <c r="AP136" i="11"/>
  <c r="BG150" i="11"/>
  <c r="AX137" i="11"/>
  <c r="DR136" i="11"/>
  <c r="BY94" i="11"/>
  <c r="BQ92" i="11"/>
  <c r="K47" i="11"/>
  <c r="E4" i="11"/>
  <c r="C4" i="11"/>
  <c r="C5" i="11" s="1"/>
  <c r="C6" i="11" s="1"/>
  <c r="DC6" i="11" s="1"/>
  <c r="DB142" i="11" l="1"/>
  <c r="EI6" i="11"/>
  <c r="EA6" i="11"/>
  <c r="DZ142" i="11"/>
  <c r="AJ4" i="11"/>
  <c r="AQ4" i="11"/>
  <c r="EH137" i="11"/>
  <c r="C7" i="11"/>
  <c r="DC7" i="11" s="1"/>
  <c r="DK6" i="11"/>
  <c r="CU6" i="11"/>
  <c r="DS6" i="11"/>
  <c r="BH6" i="11"/>
  <c r="BI6" i="11" s="1"/>
  <c r="AY6" i="11"/>
  <c r="BZ6" i="11"/>
  <c r="BR6" i="11"/>
  <c r="E5" i="11"/>
  <c r="X4" i="11"/>
  <c r="L4" i="11"/>
  <c r="CT137" i="11"/>
  <c r="DJ139" i="11"/>
  <c r="EO139" i="11"/>
  <c r="AI135" i="11"/>
  <c r="AP137" i="11"/>
  <c r="BG151" i="11"/>
  <c r="AX138" i="11"/>
  <c r="DR137" i="11"/>
  <c r="BY95" i="11"/>
  <c r="BQ93" i="11"/>
  <c r="K48" i="11"/>
  <c r="DB143" i="11" l="1"/>
  <c r="EI7" i="11"/>
  <c r="EA7" i="11"/>
  <c r="DZ143" i="11"/>
  <c r="AJ5" i="11"/>
  <c r="AQ5" i="11"/>
  <c r="EH138" i="11"/>
  <c r="E6" i="11"/>
  <c r="X5" i="11"/>
  <c r="L5" i="11"/>
  <c r="C8" i="11"/>
  <c r="DC8" i="11" s="1"/>
  <c r="DK7" i="11"/>
  <c r="DS7" i="11"/>
  <c r="BH7" i="11"/>
  <c r="BI7" i="11" s="1"/>
  <c r="AY7" i="11"/>
  <c r="CU7" i="11"/>
  <c r="BZ7" i="11"/>
  <c r="BR7" i="11"/>
  <c r="CT138" i="11"/>
  <c r="DJ140" i="11"/>
  <c r="EO140" i="11"/>
  <c r="AI136" i="11"/>
  <c r="AP138" i="11"/>
  <c r="BG152" i="11"/>
  <c r="AX139" i="11"/>
  <c r="DR138" i="11"/>
  <c r="BY96" i="11"/>
  <c r="BQ94" i="11"/>
  <c r="K49" i="11"/>
  <c r="DB144" i="11" l="1"/>
  <c r="DB145" i="11" s="1"/>
  <c r="EI8" i="11"/>
  <c r="EA8" i="11"/>
  <c r="DZ144" i="11"/>
  <c r="AJ6" i="11"/>
  <c r="AQ6" i="11"/>
  <c r="EH139" i="11"/>
  <c r="E7" i="11"/>
  <c r="X6" i="11"/>
  <c r="L6" i="11"/>
  <c r="C9" i="11"/>
  <c r="DC9" i="11" s="1"/>
  <c r="DK8" i="11"/>
  <c r="DS8" i="11"/>
  <c r="AY8" i="11"/>
  <c r="BH8" i="11"/>
  <c r="BI8" i="11" s="1"/>
  <c r="CU8" i="11"/>
  <c r="BZ8" i="11"/>
  <c r="BR8" i="11"/>
  <c r="CT139" i="11"/>
  <c r="DJ141" i="11"/>
  <c r="EO141" i="11"/>
  <c r="AI137" i="11"/>
  <c r="AP139" i="11"/>
  <c r="BG153" i="11"/>
  <c r="AX140" i="11"/>
  <c r="DR139" i="11"/>
  <c r="BY97" i="11"/>
  <c r="BQ95" i="11"/>
  <c r="K50" i="11"/>
  <c r="DB146" i="11" l="1"/>
  <c r="EI9" i="11"/>
  <c r="EA9" i="11"/>
  <c r="DZ145" i="11"/>
  <c r="AJ7" i="11"/>
  <c r="AQ7" i="11"/>
  <c r="EH140" i="11"/>
  <c r="E8" i="11"/>
  <c r="X7" i="11"/>
  <c r="L7" i="11"/>
  <c r="C10" i="11"/>
  <c r="DC10" i="11" s="1"/>
  <c r="DK9" i="11"/>
  <c r="DS9" i="11"/>
  <c r="AY9" i="11"/>
  <c r="BH9" i="11"/>
  <c r="BI9" i="11" s="1"/>
  <c r="CU9" i="11"/>
  <c r="BZ9" i="11"/>
  <c r="BR9" i="11"/>
  <c r="CT140" i="11"/>
  <c r="DJ142" i="11"/>
  <c r="EO142" i="11"/>
  <c r="AI138" i="11"/>
  <c r="AP140" i="11"/>
  <c r="BG154" i="11"/>
  <c r="AX141" i="11"/>
  <c r="DR140" i="11"/>
  <c r="BY98" i="11"/>
  <c r="BQ96" i="11"/>
  <c r="K51" i="11"/>
  <c r="DB147" i="11" l="1"/>
  <c r="EI10" i="11"/>
  <c r="EA10" i="11"/>
  <c r="DZ146" i="11"/>
  <c r="AJ8" i="11"/>
  <c r="AQ8" i="11"/>
  <c r="EH141" i="11"/>
  <c r="E9" i="11"/>
  <c r="X8" i="11"/>
  <c r="L8" i="11"/>
  <c r="C11" i="11"/>
  <c r="DK10" i="11"/>
  <c r="DS10" i="11"/>
  <c r="AY10" i="11"/>
  <c r="BH10" i="11"/>
  <c r="BI10" i="11" s="1"/>
  <c r="CU10" i="11"/>
  <c r="BZ10" i="11"/>
  <c r="BR10" i="11"/>
  <c r="CT141" i="11"/>
  <c r="DJ143" i="11"/>
  <c r="EO143" i="11"/>
  <c r="AI139" i="11"/>
  <c r="AP141" i="11"/>
  <c r="BG155" i="11"/>
  <c r="AX142" i="11"/>
  <c r="DR141" i="11"/>
  <c r="BY99" i="11"/>
  <c r="BQ97" i="11"/>
  <c r="K52" i="11"/>
  <c r="EA11" i="11" l="1"/>
  <c r="DC11" i="11"/>
  <c r="DB148" i="11"/>
  <c r="DZ147" i="11"/>
  <c r="AJ9" i="11"/>
  <c r="AQ9" i="11"/>
  <c r="EI11" i="11"/>
  <c r="C12" i="11"/>
  <c r="DC12" i="11" s="1"/>
  <c r="EH142" i="11"/>
  <c r="DK11" i="11"/>
  <c r="DS11" i="11"/>
  <c r="AY11" i="11"/>
  <c r="BH11" i="11"/>
  <c r="BI11" i="11" s="1"/>
  <c r="CU11" i="11"/>
  <c r="BZ11" i="11"/>
  <c r="BR11" i="11"/>
  <c r="E10" i="11"/>
  <c r="X9" i="11"/>
  <c r="L9" i="11"/>
  <c r="CT142" i="11"/>
  <c r="DJ144" i="11"/>
  <c r="EO144" i="11"/>
  <c r="AI140" i="11"/>
  <c r="AP142" i="11"/>
  <c r="BG156" i="11"/>
  <c r="AX143" i="11"/>
  <c r="DR142" i="11"/>
  <c r="BY100" i="11"/>
  <c r="BQ98" i="11"/>
  <c r="K53" i="11"/>
  <c r="DB149" i="11" l="1"/>
  <c r="EI12" i="11"/>
  <c r="EA12" i="11"/>
  <c r="DZ148" i="11"/>
  <c r="AJ10" i="11"/>
  <c r="AQ10" i="11"/>
  <c r="EH143" i="11"/>
  <c r="E11" i="11"/>
  <c r="X10" i="11"/>
  <c r="L10" i="11"/>
  <c r="DK12" i="11"/>
  <c r="CU12" i="11"/>
  <c r="DS12" i="11"/>
  <c r="AY12" i="11"/>
  <c r="BH12" i="11"/>
  <c r="BI12" i="11" s="1"/>
  <c r="BZ12" i="11"/>
  <c r="BR12" i="11"/>
  <c r="C13" i="11"/>
  <c r="DC13" i="11" s="1"/>
  <c r="CT143" i="11"/>
  <c r="DJ145" i="11"/>
  <c r="EO145" i="11"/>
  <c r="AI141" i="11"/>
  <c r="AP143" i="11"/>
  <c r="BG157" i="11"/>
  <c r="AX144" i="11"/>
  <c r="DR143" i="11"/>
  <c r="BY101" i="11"/>
  <c r="BQ99" i="11"/>
  <c r="K54" i="11"/>
  <c r="DB150" i="11" l="1"/>
  <c r="EI13" i="11"/>
  <c r="EA13" i="11"/>
  <c r="DZ149" i="11"/>
  <c r="AJ11" i="11"/>
  <c r="AQ11" i="11"/>
  <c r="EH144" i="11"/>
  <c r="DK13" i="11"/>
  <c r="BH13" i="11"/>
  <c r="BI13" i="11" s="1"/>
  <c r="AY13" i="11"/>
  <c r="CU13" i="11"/>
  <c r="DS13" i="11"/>
  <c r="BZ13" i="11"/>
  <c r="BR13" i="11"/>
  <c r="C14" i="11"/>
  <c r="DC14" i="11" s="1"/>
  <c r="E12" i="11"/>
  <c r="X11" i="11"/>
  <c r="L11" i="11"/>
  <c r="CT144" i="11"/>
  <c r="DJ146" i="11"/>
  <c r="EO146" i="11"/>
  <c r="AI142" i="11"/>
  <c r="AP144" i="11"/>
  <c r="BG158" i="11"/>
  <c r="AX145" i="11"/>
  <c r="DR144" i="11"/>
  <c r="BY102" i="11"/>
  <c r="BQ100" i="11"/>
  <c r="K55" i="11"/>
  <c r="DB151" i="11" l="1"/>
  <c r="EI14" i="11"/>
  <c r="EA14" i="11"/>
  <c r="DZ150" i="11"/>
  <c r="AJ12" i="11"/>
  <c r="AQ12" i="11"/>
  <c r="EH145" i="11"/>
  <c r="X12" i="11"/>
  <c r="L12" i="11"/>
  <c r="E13" i="11"/>
  <c r="DK14" i="11"/>
  <c r="BH14" i="11"/>
  <c r="BI14" i="11" s="1"/>
  <c r="CU14" i="11"/>
  <c r="AY14" i="11"/>
  <c r="DS14" i="11"/>
  <c r="BZ14" i="11"/>
  <c r="BR14" i="11"/>
  <c r="C15" i="11"/>
  <c r="DC15" i="11" s="1"/>
  <c r="CT145" i="11"/>
  <c r="DJ147" i="11"/>
  <c r="EO147" i="11"/>
  <c r="AI143" i="11"/>
  <c r="AP145" i="11"/>
  <c r="BG159" i="11"/>
  <c r="AX146" i="11"/>
  <c r="DR145" i="11"/>
  <c r="BY103" i="11"/>
  <c r="BQ101" i="11"/>
  <c r="K56" i="11"/>
  <c r="DB152" i="11" l="1"/>
  <c r="EI15" i="11"/>
  <c r="EA15" i="11"/>
  <c r="DZ151" i="11"/>
  <c r="AJ13" i="11"/>
  <c r="AQ13" i="11"/>
  <c r="EH146" i="11"/>
  <c r="DK15" i="11"/>
  <c r="CU15" i="11"/>
  <c r="BR15" i="11"/>
  <c r="BZ15" i="11"/>
  <c r="C16" i="11"/>
  <c r="DC16" i="11" s="1"/>
  <c r="BH15" i="11"/>
  <c r="BI15" i="11" s="1"/>
  <c r="AY15" i="11"/>
  <c r="DS15" i="11"/>
  <c r="L13" i="11"/>
  <c r="X13" i="11"/>
  <c r="E14" i="11"/>
  <c r="CT146" i="11"/>
  <c r="DJ148" i="11"/>
  <c r="EO148" i="11"/>
  <c r="AI144" i="11"/>
  <c r="AP146" i="11"/>
  <c r="BG160" i="11"/>
  <c r="AX147" i="11"/>
  <c r="DR146" i="11"/>
  <c r="BY104" i="11"/>
  <c r="BQ102" i="11"/>
  <c r="K57" i="11"/>
  <c r="DB153" i="11" l="1"/>
  <c r="EI16" i="11"/>
  <c r="EA16" i="11"/>
  <c r="DZ152" i="11"/>
  <c r="AJ14" i="11"/>
  <c r="AQ14" i="11"/>
  <c r="EH147" i="11"/>
  <c r="X14" i="11"/>
  <c r="L14" i="11"/>
  <c r="E15" i="11"/>
  <c r="DK16" i="11"/>
  <c r="CU16" i="11"/>
  <c r="BR16" i="11"/>
  <c r="BH16" i="11"/>
  <c r="BI16" i="11" s="1"/>
  <c r="BZ16" i="11"/>
  <c r="C17" i="11"/>
  <c r="DC17" i="11" s="1"/>
  <c r="DS16" i="11"/>
  <c r="AY16" i="11"/>
  <c r="CT147" i="11"/>
  <c r="DJ149" i="11"/>
  <c r="EO149" i="11"/>
  <c r="AI145" i="11"/>
  <c r="AP147" i="11"/>
  <c r="BG161" i="11"/>
  <c r="AX148" i="11"/>
  <c r="DR147" i="11"/>
  <c r="BY105" i="11"/>
  <c r="BQ103" i="11"/>
  <c r="K58" i="11"/>
  <c r="DB154" i="11" l="1"/>
  <c r="EI17" i="11"/>
  <c r="EA17" i="11"/>
  <c r="DZ153" i="11"/>
  <c r="AJ15" i="11"/>
  <c r="AQ15" i="11"/>
  <c r="EH148" i="11"/>
  <c r="X15" i="11"/>
  <c r="L15" i="11"/>
  <c r="E16" i="11"/>
  <c r="DK17" i="11"/>
  <c r="CU17" i="11"/>
  <c r="BR17" i="11"/>
  <c r="BH17" i="11"/>
  <c r="BI17" i="11" s="1"/>
  <c r="BZ17" i="11"/>
  <c r="C18" i="11"/>
  <c r="DC18" i="11" s="1"/>
  <c r="AY17" i="11"/>
  <c r="DS17" i="11"/>
  <c r="CT148" i="11"/>
  <c r="DJ150" i="11"/>
  <c r="EO150" i="11"/>
  <c r="AI146" i="11"/>
  <c r="AP148" i="11"/>
  <c r="BG162" i="11"/>
  <c r="AX149" i="11"/>
  <c r="DR148" i="11"/>
  <c r="BY106" i="11"/>
  <c r="BQ104" i="11"/>
  <c r="K59" i="11"/>
  <c r="DB155" i="11" l="1"/>
  <c r="EI18" i="11"/>
  <c r="EA18" i="11"/>
  <c r="DZ154" i="11"/>
  <c r="AJ16" i="11"/>
  <c r="AQ16" i="11"/>
  <c r="EH149" i="11"/>
  <c r="DK18" i="11"/>
  <c r="CU18" i="11"/>
  <c r="BR18" i="11"/>
  <c r="BH18" i="11"/>
  <c r="BI18" i="11" s="1"/>
  <c r="BZ18" i="11"/>
  <c r="C19" i="11"/>
  <c r="DC19" i="11" s="1"/>
  <c r="AY18" i="11"/>
  <c r="DS18" i="11"/>
  <c r="X16" i="11"/>
  <c r="E17" i="11"/>
  <c r="L16" i="11"/>
  <c r="CT149" i="11"/>
  <c r="DJ151" i="11"/>
  <c r="EO151" i="11"/>
  <c r="AI147" i="11"/>
  <c r="AP149" i="11"/>
  <c r="BG163" i="11"/>
  <c r="AX150" i="11"/>
  <c r="DR149" i="11"/>
  <c r="BY107" i="11"/>
  <c r="BQ105" i="11"/>
  <c r="K60" i="11"/>
  <c r="DB156" i="11" l="1"/>
  <c r="EI19" i="11"/>
  <c r="EA19" i="11"/>
  <c r="DZ155" i="11"/>
  <c r="AJ17" i="11"/>
  <c r="AQ17" i="11"/>
  <c r="EH150" i="11"/>
  <c r="DK19" i="11"/>
  <c r="CU19" i="11"/>
  <c r="BR19" i="11"/>
  <c r="BZ19" i="11"/>
  <c r="C20" i="11"/>
  <c r="DC20" i="11" s="1"/>
  <c r="BH19" i="11"/>
  <c r="BI19" i="11" s="1"/>
  <c r="DS19" i="11"/>
  <c r="AY19" i="11"/>
  <c r="X17" i="11"/>
  <c r="E18" i="11"/>
  <c r="L17" i="11"/>
  <c r="CT150" i="11"/>
  <c r="DJ152" i="11"/>
  <c r="EO152" i="11"/>
  <c r="AI148" i="11"/>
  <c r="AP150" i="11"/>
  <c r="BG164" i="11"/>
  <c r="AX151" i="11"/>
  <c r="DR150" i="11"/>
  <c r="BY108" i="11"/>
  <c r="BQ106" i="11"/>
  <c r="K61" i="11"/>
  <c r="DB157" i="11" l="1"/>
  <c r="EI20" i="11"/>
  <c r="EA20" i="11"/>
  <c r="DZ156" i="11"/>
  <c r="AJ18" i="11"/>
  <c r="AQ18" i="11"/>
  <c r="EH151" i="11"/>
  <c r="X18" i="11"/>
  <c r="E19" i="11"/>
  <c r="L18" i="11"/>
  <c r="DK20" i="11"/>
  <c r="CU20" i="11"/>
  <c r="BR20" i="11"/>
  <c r="BH20" i="11"/>
  <c r="BI20" i="11" s="1"/>
  <c r="BZ20" i="11"/>
  <c r="C21" i="11"/>
  <c r="DC21" i="11" s="1"/>
  <c r="AY20" i="11"/>
  <c r="DS20" i="11"/>
  <c r="CT151" i="11"/>
  <c r="DJ153" i="11"/>
  <c r="EO153" i="11"/>
  <c r="AI149" i="11"/>
  <c r="AP151" i="11"/>
  <c r="BG165" i="11"/>
  <c r="AX152" i="11"/>
  <c r="DR151" i="11"/>
  <c r="BY109" i="11"/>
  <c r="BQ107" i="11"/>
  <c r="K62" i="11"/>
  <c r="DB158" i="11" l="1"/>
  <c r="EI21" i="11"/>
  <c r="EA21" i="11"/>
  <c r="DZ157" i="11"/>
  <c r="AJ19" i="11"/>
  <c r="AQ19" i="11"/>
  <c r="EH152" i="11"/>
  <c r="DK21" i="11"/>
  <c r="CU21" i="11"/>
  <c r="BR21" i="11"/>
  <c r="BH21" i="11"/>
  <c r="BI21" i="11" s="1"/>
  <c r="BZ21" i="11"/>
  <c r="C22" i="11"/>
  <c r="DC22" i="11" s="1"/>
  <c r="DS21" i="11"/>
  <c r="AY21" i="11"/>
  <c r="X19" i="11"/>
  <c r="L19" i="11"/>
  <c r="E20" i="11"/>
  <c r="CT152" i="11"/>
  <c r="DJ154" i="11"/>
  <c r="EO154" i="11"/>
  <c r="AI150" i="11"/>
  <c r="AP152" i="11"/>
  <c r="BG166" i="11"/>
  <c r="AX153" i="11"/>
  <c r="DR152" i="11"/>
  <c r="BY110" i="11"/>
  <c r="BQ108" i="11"/>
  <c r="K63" i="11"/>
  <c r="DB159" i="11" l="1"/>
  <c r="EI22" i="11"/>
  <c r="EA22" i="11"/>
  <c r="DZ158" i="11"/>
  <c r="AJ20" i="11"/>
  <c r="AQ20" i="11"/>
  <c r="EH153" i="11"/>
  <c r="DK22" i="11"/>
  <c r="CU22" i="11"/>
  <c r="BR22" i="11"/>
  <c r="DS22" i="11"/>
  <c r="BH22" i="11"/>
  <c r="BI22" i="11" s="1"/>
  <c r="BZ22" i="11"/>
  <c r="C23" i="11"/>
  <c r="DC23" i="11" s="1"/>
  <c r="AY22" i="11"/>
  <c r="X20" i="11"/>
  <c r="L20" i="11"/>
  <c r="E21" i="11"/>
  <c r="CT153" i="11"/>
  <c r="DJ155" i="11"/>
  <c r="EO155" i="11"/>
  <c r="AI151" i="11"/>
  <c r="AP153" i="11"/>
  <c r="BG167" i="11"/>
  <c r="AX154" i="11"/>
  <c r="DR153" i="11"/>
  <c r="BY111" i="11"/>
  <c r="BQ109" i="11"/>
  <c r="K64" i="11"/>
  <c r="DB160" i="11" l="1"/>
  <c r="EI23" i="11"/>
  <c r="EA23" i="11"/>
  <c r="DZ159" i="11"/>
  <c r="AJ21" i="11"/>
  <c r="AQ21" i="11"/>
  <c r="EH154" i="11"/>
  <c r="X21" i="11"/>
  <c r="E22" i="11"/>
  <c r="L21" i="11"/>
  <c r="DK23" i="11"/>
  <c r="CU23" i="11"/>
  <c r="BR23" i="11"/>
  <c r="BZ23" i="11"/>
  <c r="C24" i="11"/>
  <c r="DC24" i="11" s="1"/>
  <c r="BH23" i="11"/>
  <c r="BI23" i="11" s="1"/>
  <c r="DS23" i="11"/>
  <c r="AY23" i="11"/>
  <c r="CT154" i="11"/>
  <c r="DJ156" i="11"/>
  <c r="EO156" i="11"/>
  <c r="AI152" i="11"/>
  <c r="AP154" i="11"/>
  <c r="BG168" i="11"/>
  <c r="AX155" i="11"/>
  <c r="DR154" i="11"/>
  <c r="BY112" i="11"/>
  <c r="BQ110" i="11"/>
  <c r="K65" i="11"/>
  <c r="DB161" i="11" l="1"/>
  <c r="EI24" i="11"/>
  <c r="EA24" i="11"/>
  <c r="DZ160" i="11"/>
  <c r="AJ22" i="11"/>
  <c r="AQ22" i="11"/>
  <c r="EH155" i="11"/>
  <c r="DK24" i="11"/>
  <c r="CU24" i="11"/>
  <c r="BR24" i="11"/>
  <c r="BH24" i="11"/>
  <c r="BI24" i="11" s="1"/>
  <c r="BZ24" i="11"/>
  <c r="C25" i="11"/>
  <c r="DC25" i="11" s="1"/>
  <c r="AY24" i="11"/>
  <c r="DS24" i="11"/>
  <c r="X22" i="11"/>
  <c r="L22" i="11"/>
  <c r="E23" i="11"/>
  <c r="CT155" i="11"/>
  <c r="DJ157" i="11"/>
  <c r="EO157" i="11"/>
  <c r="AI153" i="11"/>
  <c r="AP155" i="11"/>
  <c r="BG169" i="11"/>
  <c r="AX156" i="11"/>
  <c r="DR155" i="11"/>
  <c r="BY113" i="11"/>
  <c r="BQ111" i="11"/>
  <c r="K66" i="11"/>
  <c r="DB162" i="11" l="1"/>
  <c r="EI25" i="11"/>
  <c r="EA25" i="11"/>
  <c r="DZ161" i="11"/>
  <c r="AJ23" i="11"/>
  <c r="AQ23" i="11"/>
  <c r="EH156" i="11"/>
  <c r="DK25" i="11"/>
  <c r="CU25" i="11"/>
  <c r="BR25" i="11"/>
  <c r="AY25" i="11"/>
  <c r="BH25" i="11"/>
  <c r="BI25" i="11" s="1"/>
  <c r="BZ25" i="11"/>
  <c r="C26" i="11"/>
  <c r="DC26" i="11" s="1"/>
  <c r="DS25" i="11"/>
  <c r="X23" i="11"/>
  <c r="L23" i="11"/>
  <c r="E24" i="11"/>
  <c r="CT156" i="11"/>
  <c r="DJ158" i="11"/>
  <c r="EO158" i="11"/>
  <c r="AI154" i="11"/>
  <c r="AP156" i="11"/>
  <c r="BG170" i="11"/>
  <c r="AX157" i="11"/>
  <c r="DR156" i="11"/>
  <c r="BY114" i="11"/>
  <c r="BQ112" i="11"/>
  <c r="K67" i="11"/>
  <c r="DB163" i="11" l="1"/>
  <c r="EI26" i="11"/>
  <c r="EA26" i="11"/>
  <c r="DZ162" i="11"/>
  <c r="AJ24" i="11"/>
  <c r="AQ24" i="11"/>
  <c r="EH157" i="11"/>
  <c r="X24" i="11"/>
  <c r="L24" i="11"/>
  <c r="E25" i="11"/>
  <c r="DK26" i="11"/>
  <c r="CU26" i="11"/>
  <c r="BR26" i="11"/>
  <c r="BH26" i="11"/>
  <c r="BI26" i="11" s="1"/>
  <c r="BZ26" i="11"/>
  <c r="C27" i="11"/>
  <c r="DC27" i="11" s="1"/>
  <c r="AY26" i="11"/>
  <c r="DS26" i="11"/>
  <c r="CT157" i="11"/>
  <c r="DJ159" i="11"/>
  <c r="EO159" i="11"/>
  <c r="AI155" i="11"/>
  <c r="AP157" i="11"/>
  <c r="BG171" i="11"/>
  <c r="AX158" i="11"/>
  <c r="DR157" i="11"/>
  <c r="BY115" i="11"/>
  <c r="BQ113" i="11"/>
  <c r="K68" i="11"/>
  <c r="DB164" i="11" l="1"/>
  <c r="EI27" i="11"/>
  <c r="EA27" i="11"/>
  <c r="DZ163" i="11"/>
  <c r="AJ25" i="11"/>
  <c r="AQ25" i="11"/>
  <c r="EH158" i="11"/>
  <c r="DK27" i="11"/>
  <c r="CU27" i="11"/>
  <c r="BR27" i="11"/>
  <c r="AY27" i="11"/>
  <c r="BH27" i="11"/>
  <c r="BI27" i="11" s="1"/>
  <c r="BZ27" i="11"/>
  <c r="C28" i="11"/>
  <c r="DC28" i="11" s="1"/>
  <c r="DS27" i="11"/>
  <c r="X25" i="11"/>
  <c r="E26" i="11"/>
  <c r="L25" i="11"/>
  <c r="CT158" i="11"/>
  <c r="DJ160" i="11"/>
  <c r="EO160" i="11"/>
  <c r="AI156" i="11"/>
  <c r="AP158" i="11"/>
  <c r="BG172" i="11"/>
  <c r="AX159" i="11"/>
  <c r="DR158" i="11"/>
  <c r="BY116" i="11"/>
  <c r="BQ114" i="11"/>
  <c r="K69" i="11"/>
  <c r="DB165" i="11" l="1"/>
  <c r="EI28" i="11"/>
  <c r="EA28" i="11"/>
  <c r="DZ164" i="11"/>
  <c r="AJ26" i="11"/>
  <c r="AQ26" i="11"/>
  <c r="EH159" i="11"/>
  <c r="X26" i="11"/>
  <c r="E27" i="11"/>
  <c r="L26" i="11"/>
  <c r="DK28" i="11"/>
  <c r="CU28" i="11"/>
  <c r="BR28" i="11"/>
  <c r="BZ28" i="11"/>
  <c r="AY28" i="11"/>
  <c r="DS28" i="11"/>
  <c r="BH28" i="11"/>
  <c r="BI28" i="11" s="1"/>
  <c r="CT159" i="11"/>
  <c r="DJ161" i="11"/>
  <c r="EO161" i="11"/>
  <c r="AI157" i="11"/>
  <c r="AP159" i="11"/>
  <c r="BG173" i="11"/>
  <c r="AX160" i="11"/>
  <c r="DR159" i="11"/>
  <c r="BY117" i="11"/>
  <c r="BQ115" i="11"/>
  <c r="K70" i="11"/>
  <c r="DB166" i="11" l="1"/>
  <c r="DZ165" i="11"/>
  <c r="AJ27" i="11"/>
  <c r="AQ27" i="11"/>
  <c r="EH160" i="11"/>
  <c r="X27" i="11"/>
  <c r="L27" i="11"/>
  <c r="E28" i="11"/>
  <c r="CT160" i="11"/>
  <c r="DJ162" i="11"/>
  <c r="EO162" i="11"/>
  <c r="AI158" i="11"/>
  <c r="AP160" i="11"/>
  <c r="BG174" i="11"/>
  <c r="AX161" i="11"/>
  <c r="DR160" i="11"/>
  <c r="BY118" i="11"/>
  <c r="BQ116" i="11"/>
  <c r="K71" i="11"/>
  <c r="DB167" i="11" l="1"/>
  <c r="DZ166" i="11"/>
  <c r="AJ28" i="11"/>
  <c r="AQ28" i="11"/>
  <c r="EH161" i="11"/>
  <c r="X28" i="11"/>
  <c r="E29" i="11"/>
  <c r="L28" i="11"/>
  <c r="CT161" i="11"/>
  <c r="DJ163" i="11"/>
  <c r="EO163" i="11"/>
  <c r="AI159" i="11"/>
  <c r="AP161" i="11"/>
  <c r="BG175" i="11"/>
  <c r="AX162" i="11"/>
  <c r="DR161" i="11"/>
  <c r="BY119" i="11"/>
  <c r="BQ117" i="11"/>
  <c r="K72" i="11"/>
  <c r="CH6" i="8"/>
  <c r="CH7" i="8"/>
  <c r="CH8" i="8"/>
  <c r="CH9" i="8"/>
  <c r="CH10" i="8"/>
  <c r="CH11" i="8"/>
  <c r="CH12" i="8"/>
  <c r="CH13" i="8"/>
  <c r="CH14" i="8"/>
  <c r="CH15" i="8"/>
  <c r="CH16" i="8"/>
  <c r="CH17" i="8"/>
  <c r="CH18" i="8"/>
  <c r="CH19" i="8"/>
  <c r="CH20" i="8"/>
  <c r="CH21" i="8"/>
  <c r="CH22" i="8"/>
  <c r="CH23" i="8"/>
  <c r="CH24" i="8"/>
  <c r="CH25" i="8"/>
  <c r="CH26" i="8"/>
  <c r="CH27" i="8"/>
  <c r="CH28" i="8"/>
  <c r="CH29" i="8"/>
  <c r="CH30" i="8"/>
  <c r="CH31" i="8"/>
  <c r="CH32" i="8"/>
  <c r="CH33" i="8"/>
  <c r="CH34" i="8"/>
  <c r="CH35" i="8"/>
  <c r="CH36" i="8"/>
  <c r="CH37" i="8"/>
  <c r="CH38" i="8"/>
  <c r="CH39" i="8"/>
  <c r="CH40" i="8"/>
  <c r="CH41" i="8"/>
  <c r="CH42" i="8"/>
  <c r="CH43" i="8"/>
  <c r="CH44" i="8"/>
  <c r="CH45" i="8"/>
  <c r="CH46" i="8"/>
  <c r="CH47" i="8"/>
  <c r="CH48" i="8"/>
  <c r="CH49" i="8"/>
  <c r="CH50" i="8"/>
  <c r="CH51" i="8"/>
  <c r="CH52" i="8"/>
  <c r="CH53" i="8"/>
  <c r="CH54" i="8"/>
  <c r="CH55" i="8"/>
  <c r="CH56" i="8"/>
  <c r="CH57" i="8"/>
  <c r="CH58" i="8"/>
  <c r="CH59" i="8"/>
  <c r="CH60" i="8"/>
  <c r="CH61" i="8"/>
  <c r="CH62" i="8"/>
  <c r="CH63" i="8"/>
  <c r="CH64" i="8"/>
  <c r="CH65" i="8"/>
  <c r="CH66" i="8"/>
  <c r="CH67" i="8"/>
  <c r="CH68" i="8"/>
  <c r="CH69" i="8"/>
  <c r="CH70" i="8"/>
  <c r="CH71" i="8"/>
  <c r="CH72" i="8"/>
  <c r="CH73" i="8"/>
  <c r="CH74" i="8"/>
  <c r="CH75" i="8"/>
  <c r="CH76" i="8"/>
  <c r="CH77" i="8"/>
  <c r="CH78" i="8"/>
  <c r="CH79" i="8"/>
  <c r="CH80" i="8"/>
  <c r="CH82" i="8"/>
  <c r="CH83" i="8"/>
  <c r="CH84" i="8"/>
  <c r="CH85" i="8"/>
  <c r="CH86" i="8"/>
  <c r="CH87" i="8"/>
  <c r="CH88" i="8"/>
  <c r="CH89" i="8"/>
  <c r="CH90" i="8"/>
  <c r="CH91" i="8"/>
  <c r="CH92" i="8"/>
  <c r="CH93" i="8"/>
  <c r="CH94" i="8"/>
  <c r="CH95" i="8"/>
  <c r="CH96" i="8"/>
  <c r="CH97" i="8"/>
  <c r="CH98" i="8"/>
  <c r="CH99" i="8"/>
  <c r="CH100" i="8"/>
  <c r="CH101" i="8"/>
  <c r="CH102" i="8"/>
  <c r="CH103" i="8"/>
  <c r="CH104" i="8"/>
  <c r="CH105" i="8"/>
  <c r="CH106" i="8"/>
  <c r="CH107" i="8"/>
  <c r="CH108" i="8"/>
  <c r="CH109" i="8"/>
  <c r="CH110" i="8"/>
  <c r="CH111" i="8"/>
  <c r="CH112" i="8"/>
  <c r="CH113" i="8"/>
  <c r="CH114" i="8"/>
  <c r="CH115" i="8"/>
  <c r="CH116" i="8"/>
  <c r="CH117" i="8"/>
  <c r="CH118" i="8"/>
  <c r="CH119" i="8"/>
  <c r="CH120" i="8"/>
  <c r="CH121" i="8"/>
  <c r="CH122" i="8"/>
  <c r="CH123" i="8"/>
  <c r="CH124" i="8"/>
  <c r="CH125" i="8"/>
  <c r="CH126" i="8"/>
  <c r="CH127" i="8"/>
  <c r="CH128" i="8"/>
  <c r="CH129" i="8"/>
  <c r="CH130" i="8"/>
  <c r="CH131" i="8"/>
  <c r="CH132" i="8"/>
  <c r="CH133" i="8"/>
  <c r="CH134" i="8"/>
  <c r="CH135" i="8"/>
  <c r="CH136" i="8"/>
  <c r="CH137" i="8"/>
  <c r="CH138" i="8"/>
  <c r="CH139" i="8"/>
  <c r="CH140" i="8"/>
  <c r="CH141" i="8"/>
  <c r="CH142" i="8"/>
  <c r="CH143" i="8"/>
  <c r="CH144" i="8"/>
  <c r="CH145" i="8"/>
  <c r="CH146" i="8"/>
  <c r="CH147" i="8"/>
  <c r="CH148" i="8"/>
  <c r="CH149" i="8"/>
  <c r="CH150" i="8"/>
  <c r="CH151" i="8"/>
  <c r="CH152" i="8"/>
  <c r="CH153" i="8"/>
  <c r="CH155" i="8"/>
  <c r="CH156" i="8"/>
  <c r="CH157" i="8"/>
  <c r="CH158" i="8"/>
  <c r="CH159" i="8"/>
  <c r="CH160" i="8"/>
  <c r="CH161" i="8"/>
  <c r="CH162" i="8"/>
  <c r="CH163" i="8"/>
  <c r="CH164" i="8"/>
  <c r="CH165" i="8"/>
  <c r="CH166" i="8"/>
  <c r="CH167" i="8"/>
  <c r="CH168" i="8"/>
  <c r="CH169" i="8"/>
  <c r="CH170" i="8"/>
  <c r="CH171" i="8"/>
  <c r="CH172" i="8"/>
  <c r="CH173" i="8"/>
  <c r="CH174" i="8"/>
  <c r="CH175" i="8"/>
  <c r="CH176" i="8"/>
  <c r="CH177" i="8"/>
  <c r="CH178" i="8"/>
  <c r="CH179" i="8"/>
  <c r="CH180" i="8"/>
  <c r="CH181" i="8"/>
  <c r="CH182" i="8"/>
  <c r="CH183" i="8"/>
  <c r="CH184" i="8"/>
  <c r="CH185" i="8"/>
  <c r="CH186" i="8"/>
  <c r="CH187" i="8"/>
  <c r="CH188" i="8"/>
  <c r="CH189" i="8"/>
  <c r="CH190" i="8"/>
  <c r="DB168" i="11" l="1"/>
  <c r="DZ167" i="11"/>
  <c r="AJ29" i="11"/>
  <c r="AQ29" i="11"/>
  <c r="EH162" i="11"/>
  <c r="X29" i="11"/>
  <c r="L29" i="11"/>
  <c r="E30" i="11"/>
  <c r="CT162" i="11"/>
  <c r="DJ164" i="11"/>
  <c r="EO164" i="11"/>
  <c r="AI160" i="11"/>
  <c r="AP162" i="11"/>
  <c r="BG176" i="11"/>
  <c r="AX163" i="11"/>
  <c r="DR162" i="11"/>
  <c r="BY120" i="11"/>
  <c r="BQ118" i="11"/>
  <c r="K73" i="11"/>
  <c r="AX190" i="8"/>
  <c r="AX189" i="8"/>
  <c r="AX188" i="8"/>
  <c r="AQ190" i="8"/>
  <c r="AR190" i="8" s="1"/>
  <c r="AQ189" i="8"/>
  <c r="AR189" i="8" s="1"/>
  <c r="AQ188" i="8"/>
  <c r="AR188" i="8" s="1"/>
  <c r="CB190" i="8"/>
  <c r="CB189" i="8"/>
  <c r="CB188" i="8"/>
  <c r="BT190" i="8"/>
  <c r="BT189" i="8"/>
  <c r="BR190" i="8" s="1"/>
  <c r="BT188" i="8"/>
  <c r="BR189" i="8" s="1"/>
  <c r="BU189" i="8" s="1"/>
  <c r="BJ190" i="8"/>
  <c r="BM190" i="8" s="1"/>
  <c r="BJ189" i="8"/>
  <c r="BM189" i="8" s="1"/>
  <c r="BJ188" i="8"/>
  <c r="BM188" i="8" s="1"/>
  <c r="BC190" i="8"/>
  <c r="BF190" i="8" s="1"/>
  <c r="BC189" i="8"/>
  <c r="BC188" i="8"/>
  <c r="AG190" i="8"/>
  <c r="AJ190" i="8" s="1"/>
  <c r="AG189" i="8"/>
  <c r="AJ189" i="8" s="1"/>
  <c r="AK189" i="8" s="1"/>
  <c r="AG188" i="8"/>
  <c r="AJ188" i="8" s="1"/>
  <c r="Y190" i="8"/>
  <c r="AB190" i="8" s="1"/>
  <c r="Y189" i="8"/>
  <c r="AB189" i="8" s="1"/>
  <c r="Y188" i="8"/>
  <c r="AB188" i="8" s="1"/>
  <c r="Q190" i="8"/>
  <c r="T190" i="8" s="1"/>
  <c r="Q189" i="8"/>
  <c r="T189" i="8" s="1"/>
  <c r="Q188" i="8"/>
  <c r="T188" i="8" s="1"/>
  <c r="F190" i="8"/>
  <c r="J190" i="8" s="1"/>
  <c r="K190" i="8" s="1"/>
  <c r="F189" i="8"/>
  <c r="J189" i="8" s="1"/>
  <c r="F188" i="8"/>
  <c r="J188" i="8" s="1"/>
  <c r="K188" i="8" s="1"/>
  <c r="BU190" i="8" l="1"/>
  <c r="DB169" i="11"/>
  <c r="DZ168" i="11"/>
  <c r="AJ30" i="11"/>
  <c r="AQ30" i="11"/>
  <c r="EH163" i="11"/>
  <c r="X30" i="11"/>
  <c r="L30" i="11"/>
  <c r="E31" i="11"/>
  <c r="CT163" i="11"/>
  <c r="DJ165" i="11"/>
  <c r="EO165" i="11"/>
  <c r="AI161" i="11"/>
  <c r="AP163" i="11"/>
  <c r="BG177" i="11"/>
  <c r="AX164" i="11"/>
  <c r="DR163" i="11"/>
  <c r="BY121" i="11"/>
  <c r="BQ119" i="11"/>
  <c r="K74" i="11"/>
  <c r="AY190" i="8"/>
  <c r="AY189" i="8"/>
  <c r="AY188" i="8"/>
  <c r="BN190" i="8"/>
  <c r="BN189" i="8"/>
  <c r="BN188" i="8"/>
  <c r="AC190" i="8"/>
  <c r="AC189" i="8"/>
  <c r="AC188" i="8"/>
  <c r="U190" i="8"/>
  <c r="U189" i="8"/>
  <c r="U188" i="8"/>
  <c r="K189" i="8"/>
  <c r="BT187" i="8"/>
  <c r="BR188" i="8" s="1"/>
  <c r="BU188" i="8" s="1"/>
  <c r="BT186" i="8"/>
  <c r="BR187" i="8" s="1"/>
  <c r="BY187" i="8"/>
  <c r="CB187" i="8" s="1"/>
  <c r="BY186" i="8"/>
  <c r="CB186" i="8" s="1"/>
  <c r="CC186" i="8" s="1"/>
  <c r="BJ187" i="8"/>
  <c r="BM187" i="8" s="1"/>
  <c r="BJ186" i="8"/>
  <c r="BM186" i="8" s="1"/>
  <c r="BC187" i="8"/>
  <c r="BC186" i="8"/>
  <c r="AX186" i="8"/>
  <c r="AG187" i="8"/>
  <c r="AJ187" i="8" s="1"/>
  <c r="AG186" i="8"/>
  <c r="AJ186" i="8" s="1"/>
  <c r="AA186" i="8"/>
  <c r="Y187" i="8" s="1"/>
  <c r="AB187" i="8" s="1"/>
  <c r="Q187" i="8"/>
  <c r="T187" i="8" s="1"/>
  <c r="Q186" i="8"/>
  <c r="T186" i="8" s="1"/>
  <c r="F186" i="8"/>
  <c r="J186" i="8" s="1"/>
  <c r="K186" i="8" s="1"/>
  <c r="F187" i="8"/>
  <c r="J187" i="8" s="1"/>
  <c r="AQ186" i="8"/>
  <c r="BU187" i="8" l="1"/>
  <c r="DB170" i="11"/>
  <c r="DZ169" i="11"/>
  <c r="AJ31" i="11"/>
  <c r="AQ31" i="11"/>
  <c r="EH164" i="11"/>
  <c r="X31" i="11"/>
  <c r="E32" i="11"/>
  <c r="L31" i="11"/>
  <c r="CT164" i="11"/>
  <c r="DJ166" i="11"/>
  <c r="EO166" i="11"/>
  <c r="AI162" i="11"/>
  <c r="AP164" i="11"/>
  <c r="BG178" i="11"/>
  <c r="AX165" i="11"/>
  <c r="DR164" i="11"/>
  <c r="BY122" i="11"/>
  <c r="BQ120" i="11"/>
  <c r="K75" i="11"/>
  <c r="BN186" i="8"/>
  <c r="AY186" i="8"/>
  <c r="U186" i="8"/>
  <c r="AR186" i="8"/>
  <c r="BY159" i="8"/>
  <c r="CB159" i="8" s="1"/>
  <c r="CC159" i="8" s="1"/>
  <c r="BY160" i="8"/>
  <c r="CB160" i="8" s="1"/>
  <c r="CC160" i="8" s="1"/>
  <c r="BY161" i="8"/>
  <c r="CB161" i="8" s="1"/>
  <c r="CC161" i="8" s="1"/>
  <c r="BY162" i="8"/>
  <c r="CB162" i="8" s="1"/>
  <c r="CC162" i="8" s="1"/>
  <c r="BY163" i="8"/>
  <c r="CB163" i="8" s="1"/>
  <c r="CC163" i="8" s="1"/>
  <c r="BY164" i="8"/>
  <c r="CB164" i="8" s="1"/>
  <c r="CC164" i="8" s="1"/>
  <c r="BY165" i="8"/>
  <c r="CB165" i="8" s="1"/>
  <c r="CC165" i="8" s="1"/>
  <c r="BY166" i="8"/>
  <c r="CB166" i="8" s="1"/>
  <c r="CC166" i="8" s="1"/>
  <c r="BY167" i="8"/>
  <c r="CB167" i="8" s="1"/>
  <c r="CC167" i="8" s="1"/>
  <c r="BY168" i="8"/>
  <c r="CB168" i="8" s="1"/>
  <c r="CC168" i="8" s="1"/>
  <c r="BY169" i="8"/>
  <c r="CB169" i="8" s="1"/>
  <c r="CC169" i="8" s="1"/>
  <c r="BY170" i="8"/>
  <c r="CB170" i="8" s="1"/>
  <c r="CC170" i="8" s="1"/>
  <c r="BY171" i="8"/>
  <c r="CB171" i="8" s="1"/>
  <c r="CC171" i="8" s="1"/>
  <c r="BY172" i="8"/>
  <c r="CB172" i="8" s="1"/>
  <c r="CC172" i="8" s="1"/>
  <c r="BY173" i="8"/>
  <c r="CB173" i="8" s="1"/>
  <c r="CC173" i="8" s="1"/>
  <c r="BY174" i="8"/>
  <c r="CB174" i="8" s="1"/>
  <c r="CC174" i="8" s="1"/>
  <c r="BY175" i="8"/>
  <c r="CB175" i="8" s="1"/>
  <c r="CC175" i="8" s="1"/>
  <c r="BY176" i="8"/>
  <c r="CB176" i="8" s="1"/>
  <c r="CC176" i="8" s="1"/>
  <c r="BY177" i="8"/>
  <c r="CB177" i="8" s="1"/>
  <c r="CC177" i="8" s="1"/>
  <c r="BY178" i="8"/>
  <c r="CB178" i="8" s="1"/>
  <c r="CC178" i="8" s="1"/>
  <c r="BY179" i="8"/>
  <c r="CB179" i="8" s="1"/>
  <c r="CC179" i="8" s="1"/>
  <c r="BY180" i="8"/>
  <c r="CB180" i="8" s="1"/>
  <c r="CC180" i="8" s="1"/>
  <c r="BY181" i="8"/>
  <c r="CB181" i="8" s="1"/>
  <c r="CC181" i="8" s="1"/>
  <c r="BY182" i="8"/>
  <c r="CB182" i="8" s="1"/>
  <c r="CC182" i="8" s="1"/>
  <c r="BY183" i="8"/>
  <c r="CB183" i="8" s="1"/>
  <c r="CC183" i="8" s="1"/>
  <c r="BY184" i="8"/>
  <c r="CB184" i="8" s="1"/>
  <c r="CC184" i="8" s="1"/>
  <c r="BY185" i="8"/>
  <c r="CB185" i="8" s="1"/>
  <c r="CC185" i="8" s="1"/>
  <c r="BY158" i="8"/>
  <c r="CB158" i="8" s="1"/>
  <c r="BY157" i="8"/>
  <c r="CB157" i="8" s="1"/>
  <c r="BT185" i="8"/>
  <c r="BR186" i="8" s="1"/>
  <c r="BU186" i="8" s="1"/>
  <c r="BT184" i="8"/>
  <c r="BR185" i="8" s="1"/>
  <c r="BT183" i="8"/>
  <c r="BR184" i="8" s="1"/>
  <c r="BT182" i="8"/>
  <c r="BR183" i="8" s="1"/>
  <c r="BT181" i="8"/>
  <c r="BR182" i="8" s="1"/>
  <c r="BT180" i="8"/>
  <c r="BR181" i="8" s="1"/>
  <c r="BT179" i="8"/>
  <c r="BR180" i="8" s="1"/>
  <c r="BT178" i="8"/>
  <c r="BT177" i="8"/>
  <c r="BR178" i="8" s="1"/>
  <c r="BU178" i="8" s="1"/>
  <c r="BT176" i="8"/>
  <c r="BR159" i="8"/>
  <c r="BU159" i="8" s="1"/>
  <c r="BR160" i="8"/>
  <c r="BU160" i="8" s="1"/>
  <c r="BR161" i="8"/>
  <c r="BU161" i="8" s="1"/>
  <c r="BR162" i="8"/>
  <c r="BU162" i="8" s="1"/>
  <c r="BR163" i="8"/>
  <c r="BU163" i="8" s="1"/>
  <c r="BR164" i="8"/>
  <c r="BU164" i="8" s="1"/>
  <c r="BR165" i="8"/>
  <c r="BU165" i="8" s="1"/>
  <c r="BR166" i="8"/>
  <c r="BU166" i="8" s="1"/>
  <c r="BR167" i="8"/>
  <c r="BU167" i="8" s="1"/>
  <c r="BR168" i="8"/>
  <c r="BU168" i="8" s="1"/>
  <c r="BR169" i="8"/>
  <c r="BU169" i="8" s="1"/>
  <c r="BR170" i="8"/>
  <c r="BU170" i="8" s="1"/>
  <c r="BR171" i="8"/>
  <c r="BU171" i="8" s="1"/>
  <c r="BR172" i="8"/>
  <c r="BU172" i="8" s="1"/>
  <c r="BR173" i="8"/>
  <c r="BU173" i="8" s="1"/>
  <c r="BR174" i="8"/>
  <c r="BU174" i="8" s="1"/>
  <c r="BR175" i="8"/>
  <c r="BU175" i="8" s="1"/>
  <c r="BR176" i="8"/>
  <c r="BR177" i="8"/>
  <c r="BR179" i="8"/>
  <c r="BR158" i="8"/>
  <c r="BU158" i="8" s="1"/>
  <c r="BR157" i="8"/>
  <c r="BU157" i="8" s="1"/>
  <c r="BJ159" i="8"/>
  <c r="BM159" i="8" s="1"/>
  <c r="BN159" i="8" s="1"/>
  <c r="BJ160" i="8"/>
  <c r="BM160" i="8" s="1"/>
  <c r="BN160" i="8" s="1"/>
  <c r="BJ161" i="8"/>
  <c r="BM161" i="8" s="1"/>
  <c r="BN161" i="8" s="1"/>
  <c r="BJ162" i="8"/>
  <c r="BM162" i="8" s="1"/>
  <c r="BN162" i="8" s="1"/>
  <c r="BJ163" i="8"/>
  <c r="BM163" i="8" s="1"/>
  <c r="BN163" i="8" s="1"/>
  <c r="BJ164" i="8"/>
  <c r="BM164" i="8" s="1"/>
  <c r="BN164" i="8" s="1"/>
  <c r="BJ165" i="8"/>
  <c r="BM165" i="8" s="1"/>
  <c r="BN165" i="8" s="1"/>
  <c r="BJ166" i="8"/>
  <c r="BM166" i="8" s="1"/>
  <c r="BN166" i="8" s="1"/>
  <c r="BJ167" i="8"/>
  <c r="BM167" i="8" s="1"/>
  <c r="BN167" i="8" s="1"/>
  <c r="BJ168" i="8"/>
  <c r="BM168" i="8" s="1"/>
  <c r="BN168" i="8" s="1"/>
  <c r="BJ169" i="8"/>
  <c r="BM169" i="8" s="1"/>
  <c r="BN169" i="8" s="1"/>
  <c r="BJ170" i="8"/>
  <c r="BM170" i="8" s="1"/>
  <c r="BN170" i="8" s="1"/>
  <c r="BJ171" i="8"/>
  <c r="BM171" i="8" s="1"/>
  <c r="BN171" i="8" s="1"/>
  <c r="BJ172" i="8"/>
  <c r="BM172" i="8" s="1"/>
  <c r="BN172" i="8" s="1"/>
  <c r="BJ173" i="8"/>
  <c r="BM173" i="8" s="1"/>
  <c r="BN173" i="8" s="1"/>
  <c r="BJ174" i="8"/>
  <c r="BM174" i="8" s="1"/>
  <c r="BN174" i="8" s="1"/>
  <c r="BJ175" i="8"/>
  <c r="BM175" i="8" s="1"/>
  <c r="BN175" i="8" s="1"/>
  <c r="BJ176" i="8"/>
  <c r="BM176" i="8" s="1"/>
  <c r="BN176" i="8" s="1"/>
  <c r="BJ177" i="8"/>
  <c r="BM177" i="8" s="1"/>
  <c r="BN177" i="8" s="1"/>
  <c r="BJ178" i="8"/>
  <c r="BM178" i="8" s="1"/>
  <c r="BN178" i="8" s="1"/>
  <c r="BJ179" i="8"/>
  <c r="BM179" i="8" s="1"/>
  <c r="BN179" i="8" s="1"/>
  <c r="BJ180" i="8"/>
  <c r="BM180" i="8" s="1"/>
  <c r="BN180" i="8" s="1"/>
  <c r="BJ181" i="8"/>
  <c r="BM181" i="8" s="1"/>
  <c r="BN181" i="8" s="1"/>
  <c r="BJ182" i="8"/>
  <c r="BM182" i="8" s="1"/>
  <c r="BN182" i="8" s="1"/>
  <c r="BJ183" i="8"/>
  <c r="BM183" i="8" s="1"/>
  <c r="BN183" i="8" s="1"/>
  <c r="BJ184" i="8"/>
  <c r="BM184" i="8" s="1"/>
  <c r="BN184" i="8" s="1"/>
  <c r="BJ185" i="8"/>
  <c r="BM185" i="8" s="1"/>
  <c r="BN185" i="8" s="1"/>
  <c r="BJ158" i="8"/>
  <c r="BM158" i="8" s="1"/>
  <c r="BN158" i="8" s="1"/>
  <c r="BJ157" i="8"/>
  <c r="BM157" i="8" s="1"/>
  <c r="BC159" i="8"/>
  <c r="BC160" i="8"/>
  <c r="BC161" i="8"/>
  <c r="BC162" i="8"/>
  <c r="BC163" i="8"/>
  <c r="BC164" i="8"/>
  <c r="BC165" i="8"/>
  <c r="BC166" i="8"/>
  <c r="BC167" i="8"/>
  <c r="BC168" i="8"/>
  <c r="BC169" i="8"/>
  <c r="BC170" i="8"/>
  <c r="BC171" i="8"/>
  <c r="BC172" i="8"/>
  <c r="BC173" i="8"/>
  <c r="BC174" i="8"/>
  <c r="BF174" i="8" s="1"/>
  <c r="BC175" i="8"/>
  <c r="BC176" i="8"/>
  <c r="BC177" i="8"/>
  <c r="BC178" i="8"/>
  <c r="BC179" i="8"/>
  <c r="BC180" i="8"/>
  <c r="BC181" i="8"/>
  <c r="BC182" i="8"/>
  <c r="BC183" i="8"/>
  <c r="BC184" i="8"/>
  <c r="BC185" i="8"/>
  <c r="BC158" i="8"/>
  <c r="BC157" i="8"/>
  <c r="BF157" i="8" s="1"/>
  <c r="AX159" i="8"/>
  <c r="AY159" i="8" s="1"/>
  <c r="AX160" i="8"/>
  <c r="AY160" i="8" s="1"/>
  <c r="AX161" i="8"/>
  <c r="AY161" i="8" s="1"/>
  <c r="AX162" i="8"/>
  <c r="AY162" i="8" s="1"/>
  <c r="AX163" i="8"/>
  <c r="AY163" i="8" s="1"/>
  <c r="AX164" i="8"/>
  <c r="AY164" i="8" s="1"/>
  <c r="AX165" i="8"/>
  <c r="AY165" i="8" s="1"/>
  <c r="AX166" i="8"/>
  <c r="AY166" i="8" s="1"/>
  <c r="AX167" i="8"/>
  <c r="AY167" i="8" s="1"/>
  <c r="AX168" i="8"/>
  <c r="AY168" i="8" s="1"/>
  <c r="AX169" i="8"/>
  <c r="AY169" i="8" s="1"/>
  <c r="AX170" i="8"/>
  <c r="AY170" i="8" s="1"/>
  <c r="AX171" i="8"/>
  <c r="AY171" i="8" s="1"/>
  <c r="AX172" i="8"/>
  <c r="AY172" i="8" s="1"/>
  <c r="AX173" i="8"/>
  <c r="AY173" i="8" s="1"/>
  <c r="AX174" i="8"/>
  <c r="AY174" i="8" s="1"/>
  <c r="AX175" i="8"/>
  <c r="AY175" i="8" s="1"/>
  <c r="AX176" i="8"/>
  <c r="AY176" i="8" s="1"/>
  <c r="AX177" i="8"/>
  <c r="AY177" i="8" s="1"/>
  <c r="AX178" i="8"/>
  <c r="AY178" i="8" s="1"/>
  <c r="AX179" i="8"/>
  <c r="AY179" i="8" s="1"/>
  <c r="AX180" i="8"/>
  <c r="AY180" i="8" s="1"/>
  <c r="AX181" i="8"/>
  <c r="AY181" i="8" s="1"/>
  <c r="AX182" i="8"/>
  <c r="AY182" i="8" s="1"/>
  <c r="AX183" i="8"/>
  <c r="AY183" i="8" s="1"/>
  <c r="AX184" i="8"/>
  <c r="AY184" i="8" s="1"/>
  <c r="AX185" i="8"/>
  <c r="AY185" i="8" s="1"/>
  <c r="AX158" i="8"/>
  <c r="AX157" i="8"/>
  <c r="AY157" i="8" s="1"/>
  <c r="AQ159" i="8"/>
  <c r="AR159" i="8" s="1"/>
  <c r="AQ160" i="8"/>
  <c r="AR160" i="8" s="1"/>
  <c r="AQ161" i="8"/>
  <c r="AR161" i="8" s="1"/>
  <c r="AQ162" i="8"/>
  <c r="AR162" i="8" s="1"/>
  <c r="AQ163" i="8"/>
  <c r="AR163" i="8" s="1"/>
  <c r="AQ164" i="8"/>
  <c r="AR164" i="8" s="1"/>
  <c r="AQ165" i="8"/>
  <c r="AR165" i="8" s="1"/>
  <c r="AQ166" i="8"/>
  <c r="AR166" i="8" s="1"/>
  <c r="AQ167" i="8"/>
  <c r="AR167" i="8" s="1"/>
  <c r="AQ168" i="8"/>
  <c r="AR168" i="8" s="1"/>
  <c r="AQ169" i="8"/>
  <c r="AR169" i="8" s="1"/>
  <c r="AQ170" i="8"/>
  <c r="AR170" i="8" s="1"/>
  <c r="AQ171" i="8"/>
  <c r="AR171" i="8" s="1"/>
  <c r="AQ172" i="8"/>
  <c r="AR172" i="8" s="1"/>
  <c r="AQ173" i="8"/>
  <c r="AR173" i="8" s="1"/>
  <c r="AQ174" i="8"/>
  <c r="AR174" i="8" s="1"/>
  <c r="AQ175" i="8"/>
  <c r="AR175" i="8" s="1"/>
  <c r="AQ176" i="8"/>
  <c r="AR176" i="8" s="1"/>
  <c r="AQ177" i="8"/>
  <c r="AR177" i="8" s="1"/>
  <c r="AQ178" i="8"/>
  <c r="AR178" i="8" s="1"/>
  <c r="AQ179" i="8"/>
  <c r="AR179" i="8" s="1"/>
  <c r="AQ180" i="8"/>
  <c r="AR180" i="8" s="1"/>
  <c r="AQ181" i="8"/>
  <c r="AR181" i="8" s="1"/>
  <c r="AQ182" i="8"/>
  <c r="AR182" i="8" s="1"/>
  <c r="AQ183" i="8"/>
  <c r="AR183" i="8" s="1"/>
  <c r="AQ184" i="8"/>
  <c r="AR184" i="8" s="1"/>
  <c r="AQ185" i="8"/>
  <c r="AR185" i="8" s="1"/>
  <c r="AQ158" i="8"/>
  <c r="AQ157" i="8"/>
  <c r="AG159" i="8"/>
  <c r="AJ159" i="8" s="1"/>
  <c r="AK159" i="8" s="1"/>
  <c r="AG160" i="8"/>
  <c r="AJ160" i="8" s="1"/>
  <c r="AK160" i="8" s="1"/>
  <c r="AG161" i="8"/>
  <c r="AJ161" i="8" s="1"/>
  <c r="AK161" i="8" s="1"/>
  <c r="AG162" i="8"/>
  <c r="AJ162" i="8" s="1"/>
  <c r="AK162" i="8" s="1"/>
  <c r="AG163" i="8"/>
  <c r="AJ163" i="8" s="1"/>
  <c r="AK163" i="8" s="1"/>
  <c r="AG164" i="8"/>
  <c r="AJ164" i="8" s="1"/>
  <c r="AK164" i="8" s="1"/>
  <c r="AG165" i="8"/>
  <c r="AJ165" i="8" s="1"/>
  <c r="AK165" i="8" s="1"/>
  <c r="AG166" i="8"/>
  <c r="AJ166" i="8" s="1"/>
  <c r="AK166" i="8" s="1"/>
  <c r="AG167" i="8"/>
  <c r="AJ167" i="8" s="1"/>
  <c r="AK167" i="8" s="1"/>
  <c r="AG168" i="8"/>
  <c r="AJ168" i="8" s="1"/>
  <c r="AK168" i="8" s="1"/>
  <c r="AG169" i="8"/>
  <c r="AJ169" i="8" s="1"/>
  <c r="AK169" i="8" s="1"/>
  <c r="AG170" i="8"/>
  <c r="AJ170" i="8" s="1"/>
  <c r="AK170" i="8" s="1"/>
  <c r="AG171" i="8"/>
  <c r="AJ171" i="8" s="1"/>
  <c r="AK171" i="8" s="1"/>
  <c r="AG172" i="8"/>
  <c r="AJ172" i="8" s="1"/>
  <c r="AK172" i="8" s="1"/>
  <c r="AG173" i="8"/>
  <c r="AJ173" i="8" s="1"/>
  <c r="AK173" i="8" s="1"/>
  <c r="AG174" i="8"/>
  <c r="AJ174" i="8" s="1"/>
  <c r="AK174" i="8" s="1"/>
  <c r="AG175" i="8"/>
  <c r="AJ175" i="8" s="1"/>
  <c r="AK175" i="8" s="1"/>
  <c r="AG176" i="8"/>
  <c r="AJ176" i="8" s="1"/>
  <c r="AK176" i="8" s="1"/>
  <c r="AG177" i="8"/>
  <c r="AJ177" i="8" s="1"/>
  <c r="AK177" i="8" s="1"/>
  <c r="AG178" i="8"/>
  <c r="AJ178" i="8" s="1"/>
  <c r="AK178" i="8" s="1"/>
  <c r="AG179" i="8"/>
  <c r="AJ179" i="8" s="1"/>
  <c r="AK179" i="8" s="1"/>
  <c r="AG180" i="8"/>
  <c r="AJ180" i="8" s="1"/>
  <c r="AK180" i="8" s="1"/>
  <c r="AG181" i="8"/>
  <c r="AJ181" i="8" s="1"/>
  <c r="AK181" i="8" s="1"/>
  <c r="AG182" i="8"/>
  <c r="AJ182" i="8" s="1"/>
  <c r="AK182" i="8" s="1"/>
  <c r="AG183" i="8"/>
  <c r="AJ183" i="8" s="1"/>
  <c r="AK183" i="8" s="1"/>
  <c r="AG184" i="8"/>
  <c r="AJ184" i="8" s="1"/>
  <c r="AK184" i="8" s="1"/>
  <c r="AG185" i="8"/>
  <c r="AJ185" i="8" s="1"/>
  <c r="AK185" i="8" s="1"/>
  <c r="AG158" i="8"/>
  <c r="AJ158" i="8" s="1"/>
  <c r="AG157" i="8"/>
  <c r="AJ157" i="8" s="1"/>
  <c r="AK157" i="8" s="1"/>
  <c r="AA176" i="8"/>
  <c r="Y177" i="8" s="1"/>
  <c r="AA184" i="8"/>
  <c r="Y185" i="8" s="1"/>
  <c r="AA182" i="8"/>
  <c r="Y183" i="8" s="1"/>
  <c r="AA185" i="8"/>
  <c r="Y186" i="8" s="1"/>
  <c r="AB186" i="8" s="1"/>
  <c r="AA183" i="8"/>
  <c r="Y184" i="8" s="1"/>
  <c r="AA181" i="8"/>
  <c r="Y182" i="8" s="1"/>
  <c r="AA180" i="8"/>
  <c r="Y181" i="8" s="1"/>
  <c r="AA179" i="8"/>
  <c r="Y180" i="8" s="1"/>
  <c r="AA178" i="8"/>
  <c r="Y179" i="8" s="1"/>
  <c r="AA177" i="8"/>
  <c r="Y178" i="8" s="1"/>
  <c r="AA175" i="8"/>
  <c r="Y176" i="8" s="1"/>
  <c r="AA174" i="8"/>
  <c r="Y175" i="8" s="1"/>
  <c r="AB175" i="8" s="1"/>
  <c r="AC175" i="8" s="1"/>
  <c r="AA173" i="8"/>
  <c r="Y174" i="8" s="1"/>
  <c r="AA172" i="8"/>
  <c r="Y173" i="8" s="1"/>
  <c r="AA171" i="8"/>
  <c r="Y172" i="8" s="1"/>
  <c r="AA170" i="8"/>
  <c r="Y171" i="8" s="1"/>
  <c r="AB171" i="8" s="1"/>
  <c r="AC171" i="8" s="1"/>
  <c r="AA169" i="8"/>
  <c r="Y170" i="8" s="1"/>
  <c r="AA168" i="8"/>
  <c r="Y169" i="8" s="1"/>
  <c r="AB169" i="8" s="1"/>
  <c r="AC169" i="8" s="1"/>
  <c r="AA167" i="8"/>
  <c r="Y168" i="8" s="1"/>
  <c r="AA166" i="8"/>
  <c r="Y167" i="8" s="1"/>
  <c r="AB167" i="8" s="1"/>
  <c r="AC167" i="8" s="1"/>
  <c r="AA165" i="8"/>
  <c r="Y166" i="8" s="1"/>
  <c r="AA164" i="8"/>
  <c r="Y165" i="8" s="1"/>
  <c r="AA163" i="8"/>
  <c r="Y164" i="8" s="1"/>
  <c r="AA162" i="8"/>
  <c r="Y163" i="8" s="1"/>
  <c r="AB163" i="8" s="1"/>
  <c r="AC163" i="8" s="1"/>
  <c r="AA161" i="8"/>
  <c r="Y162" i="8" s="1"/>
  <c r="AA160" i="8"/>
  <c r="Y161" i="8" s="1"/>
  <c r="AB161" i="8" s="1"/>
  <c r="AC161" i="8" s="1"/>
  <c r="AA159" i="8"/>
  <c r="Y160" i="8" s="1"/>
  <c r="AA158" i="8"/>
  <c r="Y159" i="8" s="1"/>
  <c r="AB159" i="8" s="1"/>
  <c r="AA157" i="8"/>
  <c r="Y158" i="8" s="1"/>
  <c r="Q159" i="8"/>
  <c r="T159" i="8" s="1"/>
  <c r="Q160" i="8"/>
  <c r="T160" i="8" s="1"/>
  <c r="U160" i="8" s="1"/>
  <c r="Q161" i="8"/>
  <c r="T161" i="8" s="1"/>
  <c r="U161" i="8" s="1"/>
  <c r="Q162" i="8"/>
  <c r="T162" i="8" s="1"/>
  <c r="U162" i="8" s="1"/>
  <c r="Q163" i="8"/>
  <c r="T163" i="8" s="1"/>
  <c r="U163" i="8" s="1"/>
  <c r="Q164" i="8"/>
  <c r="T164" i="8" s="1"/>
  <c r="U164" i="8" s="1"/>
  <c r="Q165" i="8"/>
  <c r="T165" i="8" s="1"/>
  <c r="U165" i="8" s="1"/>
  <c r="Q166" i="8"/>
  <c r="T166" i="8" s="1"/>
  <c r="U166" i="8" s="1"/>
  <c r="Q167" i="8"/>
  <c r="T167" i="8" s="1"/>
  <c r="U167" i="8" s="1"/>
  <c r="Q168" i="8"/>
  <c r="T168" i="8" s="1"/>
  <c r="U168" i="8" s="1"/>
  <c r="Q169" i="8"/>
  <c r="T169" i="8" s="1"/>
  <c r="U169" i="8" s="1"/>
  <c r="Q170" i="8"/>
  <c r="T170" i="8" s="1"/>
  <c r="U170" i="8" s="1"/>
  <c r="Q171" i="8"/>
  <c r="T171" i="8" s="1"/>
  <c r="U171" i="8" s="1"/>
  <c r="Q172" i="8"/>
  <c r="T172" i="8" s="1"/>
  <c r="U172" i="8" s="1"/>
  <c r="Q173" i="8"/>
  <c r="T173" i="8" s="1"/>
  <c r="U173" i="8" s="1"/>
  <c r="Q174" i="8"/>
  <c r="T174" i="8" s="1"/>
  <c r="U174" i="8" s="1"/>
  <c r="Q175" i="8"/>
  <c r="T175" i="8" s="1"/>
  <c r="U175" i="8" s="1"/>
  <c r="Q176" i="8"/>
  <c r="T176" i="8" s="1"/>
  <c r="U176" i="8" s="1"/>
  <c r="Q177" i="8"/>
  <c r="T177" i="8" s="1"/>
  <c r="U177" i="8" s="1"/>
  <c r="Q178" i="8"/>
  <c r="T178" i="8" s="1"/>
  <c r="U178" i="8" s="1"/>
  <c r="Q179" i="8"/>
  <c r="T179" i="8" s="1"/>
  <c r="U179" i="8" s="1"/>
  <c r="Q180" i="8"/>
  <c r="T180" i="8" s="1"/>
  <c r="U180" i="8" s="1"/>
  <c r="Q181" i="8"/>
  <c r="T181" i="8" s="1"/>
  <c r="U181" i="8" s="1"/>
  <c r="Q182" i="8"/>
  <c r="T182" i="8" s="1"/>
  <c r="U182" i="8" s="1"/>
  <c r="Q183" i="8"/>
  <c r="T183" i="8" s="1"/>
  <c r="U183" i="8" s="1"/>
  <c r="Q184" i="8"/>
  <c r="T184" i="8" s="1"/>
  <c r="U184" i="8" s="1"/>
  <c r="Q185" i="8"/>
  <c r="T185" i="8" s="1"/>
  <c r="U185" i="8" s="1"/>
  <c r="Q158" i="8"/>
  <c r="T158" i="8" s="1"/>
  <c r="Q157" i="8"/>
  <c r="T157" i="8" s="1"/>
  <c r="U157" i="8" s="1"/>
  <c r="F159" i="8"/>
  <c r="J159" i="8" s="1"/>
  <c r="F160" i="8"/>
  <c r="J160" i="8" s="1"/>
  <c r="K160" i="8" s="1"/>
  <c r="F161" i="8"/>
  <c r="J161" i="8" s="1"/>
  <c r="K161" i="8" s="1"/>
  <c r="F162" i="8"/>
  <c r="J162" i="8" s="1"/>
  <c r="K162" i="8" s="1"/>
  <c r="F163" i="8"/>
  <c r="J163" i="8" s="1"/>
  <c r="K163" i="8" s="1"/>
  <c r="F164" i="8"/>
  <c r="J164" i="8" s="1"/>
  <c r="K164" i="8" s="1"/>
  <c r="F165" i="8"/>
  <c r="J165" i="8" s="1"/>
  <c r="K165" i="8" s="1"/>
  <c r="F166" i="8"/>
  <c r="J166" i="8" s="1"/>
  <c r="K166" i="8" s="1"/>
  <c r="F167" i="8"/>
  <c r="J167" i="8" s="1"/>
  <c r="K167" i="8" s="1"/>
  <c r="F168" i="8"/>
  <c r="J168" i="8" s="1"/>
  <c r="K168" i="8" s="1"/>
  <c r="F169" i="8"/>
  <c r="J169" i="8" s="1"/>
  <c r="K169" i="8" s="1"/>
  <c r="F170" i="8"/>
  <c r="J170" i="8" s="1"/>
  <c r="K170" i="8" s="1"/>
  <c r="F171" i="8"/>
  <c r="J171" i="8" s="1"/>
  <c r="K171" i="8" s="1"/>
  <c r="F172" i="8"/>
  <c r="J172" i="8" s="1"/>
  <c r="K172" i="8" s="1"/>
  <c r="F173" i="8"/>
  <c r="J173" i="8" s="1"/>
  <c r="K173" i="8" s="1"/>
  <c r="F174" i="8"/>
  <c r="J174" i="8" s="1"/>
  <c r="K174" i="8" s="1"/>
  <c r="F175" i="8"/>
  <c r="J175" i="8" s="1"/>
  <c r="K175" i="8" s="1"/>
  <c r="F176" i="8"/>
  <c r="J176" i="8" s="1"/>
  <c r="K176" i="8" s="1"/>
  <c r="F177" i="8"/>
  <c r="J177" i="8" s="1"/>
  <c r="K177" i="8" s="1"/>
  <c r="F178" i="8"/>
  <c r="J178" i="8" s="1"/>
  <c r="K178" i="8" s="1"/>
  <c r="F179" i="8"/>
  <c r="J179" i="8" s="1"/>
  <c r="K179" i="8" s="1"/>
  <c r="F180" i="8"/>
  <c r="J180" i="8" s="1"/>
  <c r="K180" i="8" s="1"/>
  <c r="F181" i="8"/>
  <c r="J181" i="8" s="1"/>
  <c r="K181" i="8" s="1"/>
  <c r="F182" i="8"/>
  <c r="J182" i="8" s="1"/>
  <c r="K182" i="8" s="1"/>
  <c r="F183" i="8"/>
  <c r="J183" i="8" s="1"/>
  <c r="K183" i="8" s="1"/>
  <c r="F184" i="8"/>
  <c r="J184" i="8" s="1"/>
  <c r="K184" i="8" s="1"/>
  <c r="F185" i="8"/>
  <c r="J185" i="8" s="1"/>
  <c r="K185" i="8" s="1"/>
  <c r="F158" i="8"/>
  <c r="J158" i="8" s="1"/>
  <c r="AB165" i="8" l="1"/>
  <c r="AC165" i="8" s="1"/>
  <c r="AB173" i="8"/>
  <c r="AC173" i="8" s="1"/>
  <c r="AB176" i="8"/>
  <c r="AC176" i="8" s="1"/>
  <c r="AB185" i="8"/>
  <c r="AC185" i="8" s="1"/>
  <c r="AB178" i="8"/>
  <c r="AC178" i="8" s="1"/>
  <c r="AB180" i="8"/>
  <c r="AC180" i="8" s="1"/>
  <c r="AB158" i="8"/>
  <c r="AC158" i="8" s="1"/>
  <c r="AB162" i="8"/>
  <c r="AC162" i="8" s="1"/>
  <c r="AB166" i="8"/>
  <c r="AC166" i="8" s="1"/>
  <c r="AB170" i="8"/>
  <c r="AC170" i="8" s="1"/>
  <c r="AB174" i="8"/>
  <c r="AC174" i="8" s="1"/>
  <c r="AB179" i="8"/>
  <c r="AC179" i="8" s="1"/>
  <c r="AB184" i="8"/>
  <c r="AC184" i="8" s="1"/>
  <c r="AB160" i="8"/>
  <c r="AC160" i="8" s="1"/>
  <c r="AB164" i="8"/>
  <c r="AC164" i="8" s="1"/>
  <c r="AB168" i="8"/>
  <c r="AC168" i="8" s="1"/>
  <c r="AB172" i="8"/>
  <c r="AC172" i="8" s="1"/>
  <c r="AB181" i="8"/>
  <c r="AC181" i="8" s="1"/>
  <c r="AB177" i="8"/>
  <c r="AC177" i="8" s="1"/>
  <c r="DB171" i="11"/>
  <c r="DZ170" i="11"/>
  <c r="AJ32" i="11"/>
  <c r="AQ32" i="11"/>
  <c r="EH165" i="11"/>
  <c r="X32" i="11"/>
  <c r="E33" i="11"/>
  <c r="L32" i="11"/>
  <c r="CT165" i="11"/>
  <c r="DJ167" i="11"/>
  <c r="EO167" i="11"/>
  <c r="AI163" i="11"/>
  <c r="AP165" i="11"/>
  <c r="BG179" i="11"/>
  <c r="AX166" i="11"/>
  <c r="DR165" i="11"/>
  <c r="BY123" i="11"/>
  <c r="BQ121" i="11"/>
  <c r="K76" i="11"/>
  <c r="K159" i="8"/>
  <c r="BI157" i="8"/>
  <c r="CC158" i="8"/>
  <c r="U159" i="8"/>
  <c r="AC159" i="8"/>
  <c r="AB183" i="8"/>
  <c r="AC183" i="8" s="1"/>
  <c r="BB157" i="8"/>
  <c r="BU176" i="8"/>
  <c r="BU181" i="8"/>
  <c r="BU183" i="8"/>
  <c r="AC186" i="8"/>
  <c r="CC157" i="8"/>
  <c r="BU185" i="8"/>
  <c r="BU184" i="8"/>
  <c r="BU182" i="8"/>
  <c r="BU180" i="8"/>
  <c r="BU179" i="8"/>
  <c r="BU177" i="8"/>
  <c r="BN157" i="8"/>
  <c r="AY158" i="8"/>
  <c r="AR158" i="8"/>
  <c r="AR157" i="8"/>
  <c r="AK158" i="8"/>
  <c r="AB182" i="8"/>
  <c r="AC182" i="8" s="1"/>
  <c r="U158" i="8"/>
  <c r="K158" i="8"/>
  <c r="AQ156" i="8"/>
  <c r="AR156" i="8" s="1"/>
  <c r="AQ155" i="8"/>
  <c r="AR155" i="8" s="1"/>
  <c r="AQ154" i="8"/>
  <c r="AR154" i="8" s="1"/>
  <c r="AQ153" i="8"/>
  <c r="AR153" i="8" s="1"/>
  <c r="AQ152" i="8"/>
  <c r="AR152" i="8" s="1"/>
  <c r="AQ151" i="8"/>
  <c r="AR151" i="8" s="1"/>
  <c r="AQ150" i="8"/>
  <c r="AR150" i="8" s="1"/>
  <c r="AQ149" i="8"/>
  <c r="AR149" i="8" s="1"/>
  <c r="AQ148" i="8"/>
  <c r="AR148" i="8" s="1"/>
  <c r="AQ147" i="8"/>
  <c r="AR147" i="8" s="1"/>
  <c r="AQ146" i="8"/>
  <c r="AR146" i="8" s="1"/>
  <c r="AQ145" i="8"/>
  <c r="AR145" i="8" s="1"/>
  <c r="AQ144" i="8"/>
  <c r="AR144" i="8" s="1"/>
  <c r="AQ143" i="8"/>
  <c r="AR143" i="8" s="1"/>
  <c r="AQ142" i="8"/>
  <c r="AR142" i="8" s="1"/>
  <c r="AQ141" i="8"/>
  <c r="AR141" i="8" s="1"/>
  <c r="AX141" i="8"/>
  <c r="AY141" i="8" s="1"/>
  <c r="AX142" i="8"/>
  <c r="AY142" i="8" s="1"/>
  <c r="AX143" i="8"/>
  <c r="AY143" i="8" s="1"/>
  <c r="AX144" i="8"/>
  <c r="AY144" i="8" s="1"/>
  <c r="AX145" i="8"/>
  <c r="AY145" i="8" s="1"/>
  <c r="AX146" i="8"/>
  <c r="AY146" i="8" s="1"/>
  <c r="AX147" i="8"/>
  <c r="AY147" i="8" s="1"/>
  <c r="AX148" i="8"/>
  <c r="AY148" i="8" s="1"/>
  <c r="AX149" i="8"/>
  <c r="AY149" i="8" s="1"/>
  <c r="AX150" i="8"/>
  <c r="AY150" i="8" s="1"/>
  <c r="AX151" i="8"/>
  <c r="AY151" i="8" s="1"/>
  <c r="AX152" i="8"/>
  <c r="AY152" i="8" s="1"/>
  <c r="AX153" i="8"/>
  <c r="AY153" i="8" s="1"/>
  <c r="AX154" i="8"/>
  <c r="AY154" i="8" s="1"/>
  <c r="AX155" i="8"/>
  <c r="AY155" i="8" s="1"/>
  <c r="AX156" i="8"/>
  <c r="AY156" i="8" s="1"/>
  <c r="BR141" i="8"/>
  <c r="BU141" i="8" s="1"/>
  <c r="BR142" i="8"/>
  <c r="BU142" i="8" s="1"/>
  <c r="BR143" i="8"/>
  <c r="BU143" i="8" s="1"/>
  <c r="BR144" i="8"/>
  <c r="BU144" i="8" s="1"/>
  <c r="BR145" i="8"/>
  <c r="BU145" i="8" s="1"/>
  <c r="BR146" i="8"/>
  <c r="BU146" i="8" s="1"/>
  <c r="BR147" i="8"/>
  <c r="BU147" i="8" s="1"/>
  <c r="BR148" i="8"/>
  <c r="BU148" i="8" s="1"/>
  <c r="BR149" i="8"/>
  <c r="BU149" i="8" s="1"/>
  <c r="BR150" i="8"/>
  <c r="BU150" i="8" s="1"/>
  <c r="BR151" i="8"/>
  <c r="BU151" i="8" s="1"/>
  <c r="BR152" i="8"/>
  <c r="BU152" i="8" s="1"/>
  <c r="BR153" i="8"/>
  <c r="BU153" i="8" s="1"/>
  <c r="BR154" i="8"/>
  <c r="BU154" i="8" s="1"/>
  <c r="BR155" i="8"/>
  <c r="BU155" i="8" s="1"/>
  <c r="BR156" i="8"/>
  <c r="BU156" i="8" s="1"/>
  <c r="BY141" i="8"/>
  <c r="CB141" i="8" s="1"/>
  <c r="CC141" i="8" s="1"/>
  <c r="BY142" i="8"/>
  <c r="CB142" i="8" s="1"/>
  <c r="CC142" i="8" s="1"/>
  <c r="BY143" i="8"/>
  <c r="CB143" i="8" s="1"/>
  <c r="CC143" i="8" s="1"/>
  <c r="BY144" i="8"/>
  <c r="CB144" i="8" s="1"/>
  <c r="CC144" i="8" s="1"/>
  <c r="BY145" i="8"/>
  <c r="CB145" i="8" s="1"/>
  <c r="CC145" i="8" s="1"/>
  <c r="BY146" i="8"/>
  <c r="CB146" i="8" s="1"/>
  <c r="CC146" i="8" s="1"/>
  <c r="BY147" i="8"/>
  <c r="BY148" i="8"/>
  <c r="BY149" i="8"/>
  <c r="BY150" i="8"/>
  <c r="BY151" i="8"/>
  <c r="BY152" i="8"/>
  <c r="BY153" i="8"/>
  <c r="BY154" i="8"/>
  <c r="CB154" i="8" s="1"/>
  <c r="CC154" i="8" s="1"/>
  <c r="BY155" i="8"/>
  <c r="CB155" i="8" s="1"/>
  <c r="CC155" i="8" s="1"/>
  <c r="BY156" i="8"/>
  <c r="CB156" i="8" s="1"/>
  <c r="CC156" i="8" s="1"/>
  <c r="BJ141" i="8"/>
  <c r="BM141" i="8" s="1"/>
  <c r="BN141" i="8" s="1"/>
  <c r="BJ142" i="8"/>
  <c r="BM142" i="8" s="1"/>
  <c r="BN142" i="8" s="1"/>
  <c r="BJ143" i="8"/>
  <c r="BM143" i="8" s="1"/>
  <c r="BN143" i="8" s="1"/>
  <c r="BJ144" i="8"/>
  <c r="BM144" i="8" s="1"/>
  <c r="BN144" i="8" s="1"/>
  <c r="BJ145" i="8"/>
  <c r="BM145" i="8" s="1"/>
  <c r="BN145" i="8" s="1"/>
  <c r="BJ146" i="8"/>
  <c r="BM146" i="8" s="1"/>
  <c r="BN146" i="8" s="1"/>
  <c r="BJ147" i="8"/>
  <c r="BM147" i="8" s="1"/>
  <c r="BN147" i="8" s="1"/>
  <c r="BJ148" i="8"/>
  <c r="BM148" i="8" s="1"/>
  <c r="BN148" i="8" s="1"/>
  <c r="BJ149" i="8"/>
  <c r="BM149" i="8" s="1"/>
  <c r="BN149" i="8" s="1"/>
  <c r="BJ150" i="8"/>
  <c r="BM150" i="8" s="1"/>
  <c r="BN150" i="8" s="1"/>
  <c r="BJ151" i="8"/>
  <c r="BM151" i="8" s="1"/>
  <c r="BN151" i="8" s="1"/>
  <c r="BJ152" i="8"/>
  <c r="BM152" i="8" s="1"/>
  <c r="BN152" i="8" s="1"/>
  <c r="BJ153" i="8"/>
  <c r="BM153" i="8" s="1"/>
  <c r="BN153" i="8" s="1"/>
  <c r="BJ154" i="8"/>
  <c r="BM154" i="8" s="1"/>
  <c r="BN154" i="8" s="1"/>
  <c r="BJ155" i="8"/>
  <c r="BM155" i="8" s="1"/>
  <c r="BN155" i="8" s="1"/>
  <c r="BJ156" i="8"/>
  <c r="BM156" i="8" s="1"/>
  <c r="BN156" i="8" s="1"/>
  <c r="BC141" i="8"/>
  <c r="BC142" i="8"/>
  <c r="BC143" i="8"/>
  <c r="BC144" i="8"/>
  <c r="BC145" i="8"/>
  <c r="BC146" i="8"/>
  <c r="BF146" i="8" s="1"/>
  <c r="BC147" i="8"/>
  <c r="BC148" i="8"/>
  <c r="BF148" i="8" s="1"/>
  <c r="BC149" i="8"/>
  <c r="BC150" i="8"/>
  <c r="BF150" i="8" s="1"/>
  <c r="BC151" i="8"/>
  <c r="BC152" i="8"/>
  <c r="BC153" i="8"/>
  <c r="BC154" i="8"/>
  <c r="BC155" i="8"/>
  <c r="BC156" i="8"/>
  <c r="I156" i="8"/>
  <c r="F157" i="8" s="1"/>
  <c r="J157" i="8" s="1"/>
  <c r="I155" i="8"/>
  <c r="F156" i="8" s="1"/>
  <c r="I154" i="8"/>
  <c r="F155" i="8" s="1"/>
  <c r="AG141" i="8"/>
  <c r="AJ141" i="8" s="1"/>
  <c r="AK141" i="8" s="1"/>
  <c r="AG142" i="8"/>
  <c r="AJ142" i="8" s="1"/>
  <c r="AK142" i="8" s="1"/>
  <c r="AG143" i="8"/>
  <c r="AJ143" i="8" s="1"/>
  <c r="AK143" i="8" s="1"/>
  <c r="AG144" i="8"/>
  <c r="AJ144" i="8" s="1"/>
  <c r="AK144" i="8" s="1"/>
  <c r="AG145" i="8"/>
  <c r="AJ145" i="8" s="1"/>
  <c r="AK145" i="8" s="1"/>
  <c r="AG146" i="8"/>
  <c r="AJ146" i="8" s="1"/>
  <c r="AK146" i="8" s="1"/>
  <c r="AG147" i="8"/>
  <c r="AJ147" i="8" s="1"/>
  <c r="AK147" i="8" s="1"/>
  <c r="AG148" i="8"/>
  <c r="AJ148" i="8" s="1"/>
  <c r="AK148" i="8" s="1"/>
  <c r="AG149" i="8"/>
  <c r="AJ149" i="8" s="1"/>
  <c r="AK149" i="8" s="1"/>
  <c r="AG150" i="8"/>
  <c r="AJ150" i="8" s="1"/>
  <c r="AK150" i="8" s="1"/>
  <c r="AG151" i="8"/>
  <c r="AJ151" i="8" s="1"/>
  <c r="AK151" i="8" s="1"/>
  <c r="AG152" i="8"/>
  <c r="AJ152" i="8" s="1"/>
  <c r="AK152" i="8" s="1"/>
  <c r="AG153" i="8"/>
  <c r="AJ153" i="8" s="1"/>
  <c r="AK153" i="8" s="1"/>
  <c r="AG154" i="8"/>
  <c r="AJ154" i="8" s="1"/>
  <c r="AK154" i="8" s="1"/>
  <c r="AG155" i="8"/>
  <c r="AJ155" i="8" s="1"/>
  <c r="AK155" i="8" s="1"/>
  <c r="AG156" i="8"/>
  <c r="AJ156" i="8" s="1"/>
  <c r="AK156" i="8" s="1"/>
  <c r="AA145" i="8"/>
  <c r="AA156" i="8"/>
  <c r="Y157" i="8" s="1"/>
  <c r="AB157" i="8" s="1"/>
  <c r="AC157" i="8" s="1"/>
  <c r="AA155" i="8"/>
  <c r="Y156" i="8" s="1"/>
  <c r="AB156" i="8" s="1"/>
  <c r="AC156" i="8" s="1"/>
  <c r="AA154" i="8"/>
  <c r="Y155" i="8" s="1"/>
  <c r="AA153" i="8"/>
  <c r="Y154" i="8" s="1"/>
  <c r="AA152" i="8"/>
  <c r="Y153" i="8" s="1"/>
  <c r="AA151" i="8"/>
  <c r="Y152" i="8" s="1"/>
  <c r="AA150" i="8"/>
  <c r="Y151" i="8" s="1"/>
  <c r="AA149" i="8"/>
  <c r="Y150" i="8" s="1"/>
  <c r="AA148" i="8"/>
  <c r="Y149" i="8" s="1"/>
  <c r="AA147" i="8"/>
  <c r="Y148" i="8" s="1"/>
  <c r="AA146" i="8"/>
  <c r="Y147" i="8" s="1"/>
  <c r="AA144" i="8"/>
  <c r="Y145" i="8" s="1"/>
  <c r="AA143" i="8"/>
  <c r="Y144" i="8" s="1"/>
  <c r="AA142" i="8"/>
  <c r="Y143" i="8" s="1"/>
  <c r="AA141" i="8"/>
  <c r="Y142" i="8" s="1"/>
  <c r="Q141" i="8"/>
  <c r="T141" i="8" s="1"/>
  <c r="U141" i="8" s="1"/>
  <c r="Q142" i="8"/>
  <c r="T142" i="8" s="1"/>
  <c r="U142" i="8" s="1"/>
  <c r="Q143" i="8"/>
  <c r="T143" i="8" s="1"/>
  <c r="U143" i="8" s="1"/>
  <c r="Q144" i="8"/>
  <c r="T144" i="8" s="1"/>
  <c r="U144" i="8" s="1"/>
  <c r="Q145" i="8"/>
  <c r="T145" i="8" s="1"/>
  <c r="U145" i="8" s="1"/>
  <c r="Q146" i="8"/>
  <c r="T146" i="8" s="1"/>
  <c r="U146" i="8" s="1"/>
  <c r="Q147" i="8"/>
  <c r="T147" i="8" s="1"/>
  <c r="U147" i="8" s="1"/>
  <c r="Q148" i="8"/>
  <c r="T148" i="8" s="1"/>
  <c r="U148" i="8" s="1"/>
  <c r="Q149" i="8"/>
  <c r="T149" i="8" s="1"/>
  <c r="U149" i="8" s="1"/>
  <c r="Q150" i="8"/>
  <c r="T150" i="8" s="1"/>
  <c r="U150" i="8" s="1"/>
  <c r="Q151" i="8"/>
  <c r="T151" i="8" s="1"/>
  <c r="U151" i="8" s="1"/>
  <c r="Q152" i="8"/>
  <c r="T152" i="8" s="1"/>
  <c r="U152" i="8" s="1"/>
  <c r="Q153" i="8"/>
  <c r="T153" i="8" s="1"/>
  <c r="U153" i="8" s="1"/>
  <c r="Q154" i="8"/>
  <c r="T154" i="8" s="1"/>
  <c r="U154" i="8" s="1"/>
  <c r="Q155" i="8"/>
  <c r="T155" i="8" s="1"/>
  <c r="U155" i="8" s="1"/>
  <c r="Q156" i="8"/>
  <c r="T156" i="8" s="1"/>
  <c r="U156" i="8" s="1"/>
  <c r="I150" i="8"/>
  <c r="F151" i="8" s="1"/>
  <c r="I153" i="8"/>
  <c r="F154" i="8" s="1"/>
  <c r="I152" i="8"/>
  <c r="F153" i="8" s="1"/>
  <c r="I151" i="8"/>
  <c r="I149" i="8"/>
  <c r="F150" i="8" s="1"/>
  <c r="I146" i="8"/>
  <c r="F147" i="8" s="1"/>
  <c r="I147" i="8"/>
  <c r="F148" i="8" s="1"/>
  <c r="I148" i="8"/>
  <c r="F149" i="8" s="1"/>
  <c r="I145" i="8"/>
  <c r="F146" i="8" s="1"/>
  <c r="I143" i="8"/>
  <c r="F144" i="8" s="1"/>
  <c r="J144" i="8" s="1"/>
  <c r="K144" i="8" s="1"/>
  <c r="I142" i="8"/>
  <c r="F143" i="8" s="1"/>
  <c r="F141" i="8"/>
  <c r="F145" i="8"/>
  <c r="F152" i="8"/>
  <c r="I141" i="8"/>
  <c r="F142" i="8" s="1"/>
  <c r="H152" i="8"/>
  <c r="G152" i="8"/>
  <c r="J150" i="8" l="1"/>
  <c r="K150" i="8" s="1"/>
  <c r="AB142" i="8"/>
  <c r="AC142" i="8" s="1"/>
  <c r="AB147" i="8"/>
  <c r="AC147" i="8" s="1"/>
  <c r="AB151" i="8"/>
  <c r="AC151" i="8" s="1"/>
  <c r="AB155" i="8"/>
  <c r="AC155" i="8" s="1"/>
  <c r="J152" i="8"/>
  <c r="K152" i="8" s="1"/>
  <c r="AB144" i="8"/>
  <c r="AC144" i="8" s="1"/>
  <c r="AB149" i="8"/>
  <c r="AC149" i="8" s="1"/>
  <c r="AB153" i="8"/>
  <c r="AC153" i="8" s="1"/>
  <c r="CH154" i="8"/>
  <c r="J147" i="8"/>
  <c r="K147" i="8" s="1"/>
  <c r="AB143" i="8"/>
  <c r="AC143" i="8" s="1"/>
  <c r="AB148" i="8"/>
  <c r="AC148" i="8" s="1"/>
  <c r="AB152" i="8"/>
  <c r="AC152" i="8" s="1"/>
  <c r="J142" i="8"/>
  <c r="K142" i="8" s="1"/>
  <c r="J141" i="8"/>
  <c r="K141" i="8" s="1"/>
  <c r="J151" i="8"/>
  <c r="K151" i="8" s="1"/>
  <c r="AB150" i="8"/>
  <c r="AC150" i="8" s="1"/>
  <c r="AB154" i="8"/>
  <c r="AC154" i="8" s="1"/>
  <c r="DB172" i="11"/>
  <c r="DZ171" i="11"/>
  <c r="AJ33" i="11"/>
  <c r="AQ33" i="11"/>
  <c r="EH166" i="11"/>
  <c r="X33" i="11"/>
  <c r="E34" i="11"/>
  <c r="L33" i="11"/>
  <c r="CT166" i="11"/>
  <c r="DJ168" i="11"/>
  <c r="EO168" i="11"/>
  <c r="AI164" i="11"/>
  <c r="AP166" i="11"/>
  <c r="BG180" i="11"/>
  <c r="AX167" i="11"/>
  <c r="DR166" i="11"/>
  <c r="BY124" i="11"/>
  <c r="BQ122" i="11"/>
  <c r="K77" i="11"/>
  <c r="J149" i="8"/>
  <c r="K149" i="8" s="1"/>
  <c r="J148" i="8"/>
  <c r="K148" i="8" s="1"/>
  <c r="J145" i="8"/>
  <c r="K145" i="8" s="1"/>
  <c r="J143" i="8"/>
  <c r="K143" i="8" s="1"/>
  <c r="AB145" i="8"/>
  <c r="AC145" i="8" s="1"/>
  <c r="K157" i="8"/>
  <c r="J156" i="8"/>
  <c r="K156" i="8" s="1"/>
  <c r="J155" i="8"/>
  <c r="K155" i="8" s="1"/>
  <c r="J154" i="8"/>
  <c r="K154" i="8" s="1"/>
  <c r="Y146" i="8"/>
  <c r="AB146" i="8" s="1"/>
  <c r="AC146" i="8" s="1"/>
  <c r="J153" i="8"/>
  <c r="K153" i="8" s="1"/>
  <c r="J146" i="8"/>
  <c r="K146" i="8" s="1"/>
  <c r="BR137" i="8"/>
  <c r="BU137" i="8" s="1"/>
  <c r="BR138" i="8"/>
  <c r="BU138" i="8" s="1"/>
  <c r="BR139" i="8"/>
  <c r="BU139" i="8" s="1"/>
  <c r="BR140" i="8"/>
  <c r="BU140" i="8" s="1"/>
  <c r="BY137" i="8"/>
  <c r="CB137" i="8" s="1"/>
  <c r="CC137" i="8" s="1"/>
  <c r="BY138" i="8"/>
  <c r="CB138" i="8" s="1"/>
  <c r="CC138" i="8" s="1"/>
  <c r="BY139" i="8"/>
  <c r="CB139" i="8" s="1"/>
  <c r="CC139" i="8" s="1"/>
  <c r="BY140" i="8"/>
  <c r="CB140" i="8" s="1"/>
  <c r="CC140" i="8" s="1"/>
  <c r="BJ137" i="8"/>
  <c r="BM137" i="8" s="1"/>
  <c r="BN137" i="8" s="1"/>
  <c r="BJ138" i="8"/>
  <c r="BM138" i="8" s="1"/>
  <c r="BN138" i="8" s="1"/>
  <c r="BJ139" i="8"/>
  <c r="BM139" i="8" s="1"/>
  <c r="BN139" i="8" s="1"/>
  <c r="BJ140" i="8"/>
  <c r="BM140" i="8" s="1"/>
  <c r="BN140" i="8" s="1"/>
  <c r="BC137" i="8"/>
  <c r="BC138" i="8"/>
  <c r="BC139" i="8"/>
  <c r="BC140" i="8"/>
  <c r="AG137" i="8"/>
  <c r="AJ137" i="8" s="1"/>
  <c r="AK137" i="8" s="1"/>
  <c r="AG138" i="8"/>
  <c r="AJ138" i="8" s="1"/>
  <c r="AK138" i="8" s="1"/>
  <c r="AG139" i="8"/>
  <c r="AJ139" i="8" s="1"/>
  <c r="AK139" i="8" s="1"/>
  <c r="AG140" i="8"/>
  <c r="AJ140" i="8" s="1"/>
  <c r="AK140" i="8" s="1"/>
  <c r="AA140" i="8"/>
  <c r="Y141" i="8" s="1"/>
  <c r="AB141" i="8" s="1"/>
  <c r="AA139" i="8"/>
  <c r="Y140" i="8" s="1"/>
  <c r="AA138" i="8"/>
  <c r="Y139" i="8" s="1"/>
  <c r="AA137" i="8"/>
  <c r="Y138" i="8" s="1"/>
  <c r="AB138" i="8" s="1"/>
  <c r="AC138" i="8" s="1"/>
  <c r="Q137" i="8"/>
  <c r="T137" i="8" s="1"/>
  <c r="U137" i="8" s="1"/>
  <c r="Q138" i="8"/>
  <c r="T138" i="8" s="1"/>
  <c r="U138" i="8" s="1"/>
  <c r="Q139" i="8"/>
  <c r="T139" i="8" s="1"/>
  <c r="U139" i="8" s="1"/>
  <c r="Q140" i="8"/>
  <c r="T140" i="8" s="1"/>
  <c r="U140" i="8" s="1"/>
  <c r="F138" i="8"/>
  <c r="J138" i="8" s="1"/>
  <c r="K138" i="8" s="1"/>
  <c r="F139" i="8"/>
  <c r="J139" i="8" s="1"/>
  <c r="K139" i="8" s="1"/>
  <c r="F140" i="8"/>
  <c r="J140" i="8" s="1"/>
  <c r="K140" i="8" s="1"/>
  <c r="AX130" i="8"/>
  <c r="AY130" i="8" s="1"/>
  <c r="AX131" i="8"/>
  <c r="AY131" i="8" s="1"/>
  <c r="AX132" i="8"/>
  <c r="AY132" i="8" s="1"/>
  <c r="AX133" i="8"/>
  <c r="AY133" i="8" s="1"/>
  <c r="AX134" i="8"/>
  <c r="AY134" i="8" s="1"/>
  <c r="AX135" i="8"/>
  <c r="AY135" i="8" s="1"/>
  <c r="AX136" i="8"/>
  <c r="AY136" i="8" s="1"/>
  <c r="AX137" i="8"/>
  <c r="AY137" i="8" s="1"/>
  <c r="AX138" i="8"/>
  <c r="AY138" i="8" s="1"/>
  <c r="AX139" i="8"/>
  <c r="AY139" i="8" s="1"/>
  <c r="AX140" i="8"/>
  <c r="AY140" i="8" s="1"/>
  <c r="AX129" i="8"/>
  <c r="AX128" i="8"/>
  <c r="AY128" i="8" s="1"/>
  <c r="AX127" i="8"/>
  <c r="AQ140" i="8"/>
  <c r="AB139" i="8" l="1"/>
  <c r="AC139" i="8" s="1"/>
  <c r="AB140" i="8"/>
  <c r="AC140" i="8" s="1"/>
  <c r="DB173" i="11"/>
  <c r="DZ172" i="11"/>
  <c r="AJ34" i="11"/>
  <c r="AQ34" i="11"/>
  <c r="EH167" i="11"/>
  <c r="X34" i="11"/>
  <c r="L34" i="11"/>
  <c r="E35" i="11"/>
  <c r="CT167" i="11"/>
  <c r="DJ169" i="11"/>
  <c r="EO169" i="11"/>
  <c r="AI165" i="11"/>
  <c r="AP167" i="11"/>
  <c r="BG181" i="11"/>
  <c r="AX168" i="11"/>
  <c r="DR167" i="11"/>
  <c r="BY125" i="11"/>
  <c r="BQ123" i="11"/>
  <c r="K78" i="11"/>
  <c r="BB127" i="8"/>
  <c r="AC141" i="8"/>
  <c r="AY129" i="8"/>
  <c r="AY127" i="8"/>
  <c r="AR140" i="8"/>
  <c r="AQ139" i="8"/>
  <c r="AR139" i="8" s="1"/>
  <c r="AQ138" i="8"/>
  <c r="AR138" i="8" s="1"/>
  <c r="AQ137" i="8"/>
  <c r="AR137" i="8" s="1"/>
  <c r="AQ136" i="8"/>
  <c r="AR136" i="8" s="1"/>
  <c r="AQ135" i="8"/>
  <c r="AR135" i="8" s="1"/>
  <c r="AQ134" i="8"/>
  <c r="AR134" i="8" s="1"/>
  <c r="AQ133" i="8"/>
  <c r="AR133" i="8" s="1"/>
  <c r="AQ132" i="8"/>
  <c r="AR132" i="8" s="1"/>
  <c r="AQ131" i="8"/>
  <c r="AR131" i="8" s="1"/>
  <c r="AQ130" i="8"/>
  <c r="AR130" i="8" s="1"/>
  <c r="AQ129" i="8"/>
  <c r="AR129" i="8" s="1"/>
  <c r="AQ128" i="8"/>
  <c r="AR128" i="8" s="1"/>
  <c r="AQ127" i="8"/>
  <c r="AR127" i="8" s="1"/>
  <c r="DB174" i="11" l="1"/>
  <c r="DZ173" i="11"/>
  <c r="AJ35" i="11"/>
  <c r="AQ35" i="11"/>
  <c r="EH168" i="11"/>
  <c r="X35" i="11"/>
  <c r="E36" i="11"/>
  <c r="L35" i="11"/>
  <c r="CT168" i="11"/>
  <c r="DJ170" i="11"/>
  <c r="EO170" i="11"/>
  <c r="AI166" i="11"/>
  <c r="AP168" i="11"/>
  <c r="BG182" i="11"/>
  <c r="AX169" i="11"/>
  <c r="DR168" i="11"/>
  <c r="BY126" i="11"/>
  <c r="BQ124" i="11"/>
  <c r="K79" i="11"/>
  <c r="BR129" i="8"/>
  <c r="BU129" i="8" s="1"/>
  <c r="BR130" i="8"/>
  <c r="BU130" i="8" s="1"/>
  <c r="BR131" i="8"/>
  <c r="BU131" i="8" s="1"/>
  <c r="BR132" i="8"/>
  <c r="BU132" i="8" s="1"/>
  <c r="BR133" i="8"/>
  <c r="BU133" i="8" s="1"/>
  <c r="BR134" i="8"/>
  <c r="BU134" i="8" s="1"/>
  <c r="BR135" i="8"/>
  <c r="BU135" i="8" s="1"/>
  <c r="BR136" i="8"/>
  <c r="BU136" i="8" s="1"/>
  <c r="BR128" i="8"/>
  <c r="BU128" i="8" s="1"/>
  <c r="BY129" i="8"/>
  <c r="CB129" i="8" s="1"/>
  <c r="CC129" i="8" s="1"/>
  <c r="BY130" i="8"/>
  <c r="CB130" i="8" s="1"/>
  <c r="CC130" i="8" s="1"/>
  <c r="BY131" i="8"/>
  <c r="CB131" i="8" s="1"/>
  <c r="CC131" i="8" s="1"/>
  <c r="BY132" i="8"/>
  <c r="CB132" i="8" s="1"/>
  <c r="CC132" i="8" s="1"/>
  <c r="BY133" i="8"/>
  <c r="CB133" i="8" s="1"/>
  <c r="CC133" i="8" s="1"/>
  <c r="BY134" i="8"/>
  <c r="CB134" i="8" s="1"/>
  <c r="CC134" i="8" s="1"/>
  <c r="BY135" i="8"/>
  <c r="CB135" i="8" s="1"/>
  <c r="CC135" i="8" s="1"/>
  <c r="BY136" i="8"/>
  <c r="CB136" i="8" s="1"/>
  <c r="CC136" i="8" s="1"/>
  <c r="BY128" i="8"/>
  <c r="CB128" i="8" s="1"/>
  <c r="CC128" i="8" s="1"/>
  <c r="BY127" i="8"/>
  <c r="CB127" i="8" s="1"/>
  <c r="BJ129" i="8"/>
  <c r="BM129" i="8" s="1"/>
  <c r="BN129" i="8" s="1"/>
  <c r="BJ130" i="8"/>
  <c r="BM130" i="8" s="1"/>
  <c r="BN130" i="8" s="1"/>
  <c r="BJ131" i="8"/>
  <c r="BM131" i="8" s="1"/>
  <c r="BN131" i="8" s="1"/>
  <c r="BJ132" i="8"/>
  <c r="BM132" i="8" s="1"/>
  <c r="BN132" i="8" s="1"/>
  <c r="BJ133" i="8"/>
  <c r="BM133" i="8" s="1"/>
  <c r="BN133" i="8" s="1"/>
  <c r="BJ134" i="8"/>
  <c r="BM134" i="8" s="1"/>
  <c r="BN134" i="8" s="1"/>
  <c r="BJ135" i="8"/>
  <c r="BM135" i="8" s="1"/>
  <c r="BN135" i="8" s="1"/>
  <c r="BJ136" i="8"/>
  <c r="BM136" i="8" s="1"/>
  <c r="BN136" i="8" s="1"/>
  <c r="BJ128" i="8"/>
  <c r="BM128" i="8" s="1"/>
  <c r="BJ127" i="8"/>
  <c r="BM127" i="8" s="1"/>
  <c r="BC129" i="8"/>
  <c r="BF129" i="8" s="1"/>
  <c r="BC130" i="8"/>
  <c r="BC131" i="8"/>
  <c r="BC132" i="8"/>
  <c r="BC133" i="8"/>
  <c r="BC134" i="8"/>
  <c r="BC135" i="8"/>
  <c r="BC136" i="8"/>
  <c r="BC128" i="8"/>
  <c r="BC127" i="8"/>
  <c r="AG129" i="8"/>
  <c r="AJ129" i="8" s="1"/>
  <c r="AK129" i="8" s="1"/>
  <c r="AG130" i="8"/>
  <c r="AJ130" i="8" s="1"/>
  <c r="AK130" i="8" s="1"/>
  <c r="AG131" i="8"/>
  <c r="AJ131" i="8" s="1"/>
  <c r="AK131" i="8" s="1"/>
  <c r="AG132" i="8"/>
  <c r="AJ132" i="8" s="1"/>
  <c r="AK132" i="8" s="1"/>
  <c r="AG133" i="8"/>
  <c r="AJ133" i="8" s="1"/>
  <c r="AK133" i="8" s="1"/>
  <c r="AG134" i="8"/>
  <c r="AJ134" i="8" s="1"/>
  <c r="AK134" i="8" s="1"/>
  <c r="AG135" i="8"/>
  <c r="AJ135" i="8" s="1"/>
  <c r="AK135" i="8" s="1"/>
  <c r="AG136" i="8"/>
  <c r="AJ136" i="8" s="1"/>
  <c r="AK136" i="8" s="1"/>
  <c r="AG128" i="8"/>
  <c r="AJ128" i="8" s="1"/>
  <c r="AG127" i="8"/>
  <c r="AJ127" i="8" s="1"/>
  <c r="AA130" i="8"/>
  <c r="Y131" i="8" s="1"/>
  <c r="AA136" i="8"/>
  <c r="Y137" i="8" s="1"/>
  <c r="AB137" i="8" s="1"/>
  <c r="AC137" i="8" s="1"/>
  <c r="AA135" i="8"/>
  <c r="Y136" i="8" s="1"/>
  <c r="AA134" i="8"/>
  <c r="Y135" i="8" s="1"/>
  <c r="AA133" i="8"/>
  <c r="Y134" i="8" s="1"/>
  <c r="AA132" i="8"/>
  <c r="Y133" i="8" s="1"/>
  <c r="AB133" i="8" s="1"/>
  <c r="AC133" i="8" s="1"/>
  <c r="AA131" i="8"/>
  <c r="Y132" i="8" s="1"/>
  <c r="AA129" i="8"/>
  <c r="Y130" i="8" s="1"/>
  <c r="AA128" i="8"/>
  <c r="Y129" i="8" s="1"/>
  <c r="AA127" i="8"/>
  <c r="Y128" i="8" s="1"/>
  <c r="Q129" i="8"/>
  <c r="T129" i="8" s="1"/>
  <c r="U129" i="8" s="1"/>
  <c r="Q130" i="8"/>
  <c r="T130" i="8" s="1"/>
  <c r="U130" i="8" s="1"/>
  <c r="Q131" i="8"/>
  <c r="T131" i="8" s="1"/>
  <c r="U131" i="8" s="1"/>
  <c r="Q132" i="8"/>
  <c r="T132" i="8" s="1"/>
  <c r="U132" i="8" s="1"/>
  <c r="Q133" i="8"/>
  <c r="T133" i="8" s="1"/>
  <c r="U133" i="8" s="1"/>
  <c r="Q134" i="8"/>
  <c r="T134" i="8" s="1"/>
  <c r="U134" i="8" s="1"/>
  <c r="Q135" i="8"/>
  <c r="T135" i="8" s="1"/>
  <c r="U135" i="8" s="1"/>
  <c r="Q136" i="8"/>
  <c r="T136" i="8" s="1"/>
  <c r="U136" i="8" s="1"/>
  <c r="Q128" i="8"/>
  <c r="T128" i="8" s="1"/>
  <c r="F129" i="8"/>
  <c r="F131" i="8"/>
  <c r="F128" i="8"/>
  <c r="J128" i="8" s="1"/>
  <c r="I136" i="8"/>
  <c r="F137" i="8" s="1"/>
  <c r="J137" i="8" s="1"/>
  <c r="K137" i="8" s="1"/>
  <c r="I135" i="8"/>
  <c r="F136" i="8" s="1"/>
  <c r="I134" i="8"/>
  <c r="F135" i="8" s="1"/>
  <c r="I133" i="8"/>
  <c r="F134" i="8" s="1"/>
  <c r="I132" i="8"/>
  <c r="F133" i="8" s="1"/>
  <c r="I131" i="8"/>
  <c r="F132" i="8" s="1"/>
  <c r="I129" i="8"/>
  <c r="F130" i="8" s="1"/>
  <c r="J130" i="8" s="1"/>
  <c r="K130" i="8" s="1"/>
  <c r="J131" i="8" l="1"/>
  <c r="K131" i="8" s="1"/>
  <c r="J133" i="8"/>
  <c r="K133" i="8" s="1"/>
  <c r="J132" i="8"/>
  <c r="K132" i="8" s="1"/>
  <c r="J134" i="8"/>
  <c r="K134" i="8" s="1"/>
  <c r="J136" i="8"/>
  <c r="K136" i="8" s="1"/>
  <c r="AB129" i="8"/>
  <c r="AC129" i="8" s="1"/>
  <c r="AB132" i="8"/>
  <c r="AC132" i="8" s="1"/>
  <c r="AB134" i="8"/>
  <c r="AC134" i="8" s="1"/>
  <c r="AB136" i="8"/>
  <c r="AC136" i="8" s="1"/>
  <c r="J135" i="8"/>
  <c r="K135" i="8" s="1"/>
  <c r="AB128" i="8"/>
  <c r="AC128" i="8" s="1"/>
  <c r="J129" i="8"/>
  <c r="K129" i="8" s="1"/>
  <c r="AB135" i="8"/>
  <c r="AC135" i="8" s="1"/>
  <c r="DB175" i="11"/>
  <c r="DZ174" i="11"/>
  <c r="AJ36" i="11"/>
  <c r="AQ36" i="11"/>
  <c r="EH169" i="11"/>
  <c r="X36" i="11"/>
  <c r="L36" i="11"/>
  <c r="E37" i="11"/>
  <c r="CT169" i="11"/>
  <c r="DJ171" i="11"/>
  <c r="EO171" i="11"/>
  <c r="AI167" i="11"/>
  <c r="AP169" i="11"/>
  <c r="BG183" i="11"/>
  <c r="AX170" i="11"/>
  <c r="DR169" i="11"/>
  <c r="BY127" i="11"/>
  <c r="BQ125" i="11"/>
  <c r="K80" i="11"/>
  <c r="BI127" i="8"/>
  <c r="AB131" i="8"/>
  <c r="AC131" i="8" s="1"/>
  <c r="CC127" i="8"/>
  <c r="BN128" i="8"/>
  <c r="BN127" i="8"/>
  <c r="AK128" i="8"/>
  <c r="AK127" i="8"/>
  <c r="AB130" i="8"/>
  <c r="AC130" i="8" s="1"/>
  <c r="U128" i="8"/>
  <c r="K128" i="8"/>
  <c r="DB176" i="11" l="1"/>
  <c r="DZ175" i="11"/>
  <c r="AJ37" i="11"/>
  <c r="AQ37" i="11"/>
  <c r="EH170" i="11"/>
  <c r="X37" i="11"/>
  <c r="L37" i="11"/>
  <c r="E38" i="11"/>
  <c r="CT170" i="11"/>
  <c r="DJ172" i="11"/>
  <c r="EO172" i="11"/>
  <c r="AI168" i="11"/>
  <c r="AP170" i="11"/>
  <c r="BG184" i="11"/>
  <c r="AX171" i="11"/>
  <c r="DR170" i="11"/>
  <c r="BY128" i="11"/>
  <c r="BQ126" i="11"/>
  <c r="K81" i="11"/>
  <c r="DB177" i="11" l="1"/>
  <c r="DZ176" i="11"/>
  <c r="AJ38" i="11"/>
  <c r="AQ38" i="11"/>
  <c r="EH171" i="11"/>
  <c r="X38" i="11"/>
  <c r="L38" i="11"/>
  <c r="E39" i="11"/>
  <c r="CT171" i="11"/>
  <c r="DJ173" i="11"/>
  <c r="EO173" i="11"/>
  <c r="AI169" i="11"/>
  <c r="AP171" i="11"/>
  <c r="BG185" i="11"/>
  <c r="AX172" i="11"/>
  <c r="DR171" i="11"/>
  <c r="BY129" i="11"/>
  <c r="BQ127" i="11"/>
  <c r="K82" i="11"/>
  <c r="DB178" i="11" l="1"/>
  <c r="DZ177" i="11"/>
  <c r="AJ39" i="11"/>
  <c r="AQ39" i="11"/>
  <c r="EH172" i="11"/>
  <c r="X39" i="11"/>
  <c r="L39" i="11"/>
  <c r="E40" i="11"/>
  <c r="CT172" i="11"/>
  <c r="DJ174" i="11"/>
  <c r="EO174" i="11"/>
  <c r="AI170" i="11"/>
  <c r="AP172" i="11"/>
  <c r="BG186" i="11"/>
  <c r="AX173" i="11"/>
  <c r="DR172" i="11"/>
  <c r="BY130" i="11"/>
  <c r="BQ128" i="11"/>
  <c r="K83" i="11"/>
  <c r="DB179" i="11" l="1"/>
  <c r="DZ178" i="11"/>
  <c r="AJ40" i="11"/>
  <c r="AQ40" i="11"/>
  <c r="EH173" i="11"/>
  <c r="X40" i="11"/>
  <c r="L40" i="11"/>
  <c r="E41" i="11"/>
  <c r="CT173" i="11"/>
  <c r="DJ175" i="11"/>
  <c r="EO175" i="11"/>
  <c r="AI171" i="11"/>
  <c r="AP173" i="11"/>
  <c r="BG187" i="11"/>
  <c r="AX174" i="11"/>
  <c r="DR173" i="11"/>
  <c r="BY131" i="11"/>
  <c r="BQ129" i="11"/>
  <c r="K84" i="11"/>
  <c r="AX111" i="8"/>
  <c r="AX119" i="8"/>
  <c r="AY119" i="8" s="1"/>
  <c r="AX120" i="8"/>
  <c r="AY120" i="8" s="1"/>
  <c r="AX121" i="8"/>
  <c r="AY121" i="8" s="1"/>
  <c r="AX122" i="8"/>
  <c r="AY122" i="8" s="1"/>
  <c r="AX123" i="8"/>
  <c r="AY123" i="8" s="1"/>
  <c r="AX124" i="8"/>
  <c r="AY124" i="8" s="1"/>
  <c r="AX125" i="8"/>
  <c r="AY125" i="8" s="1"/>
  <c r="AX126" i="8"/>
  <c r="AY126" i="8" s="1"/>
  <c r="AQ111" i="8"/>
  <c r="AQ119" i="8"/>
  <c r="AR119" i="8" s="1"/>
  <c r="AQ120" i="8"/>
  <c r="AR120" i="8" s="1"/>
  <c r="AQ121" i="8"/>
  <c r="AR121" i="8" s="1"/>
  <c r="AQ122" i="8"/>
  <c r="AR122" i="8" s="1"/>
  <c r="AQ123" i="8"/>
  <c r="AR123" i="8" s="1"/>
  <c r="AQ124" i="8"/>
  <c r="AR124" i="8" s="1"/>
  <c r="AQ125" i="8"/>
  <c r="AR125" i="8" s="1"/>
  <c r="AQ126" i="8"/>
  <c r="AR126" i="8" s="1"/>
  <c r="BT120" i="8"/>
  <c r="BR123" i="8"/>
  <c r="BU123" i="8" s="1"/>
  <c r="BR124" i="8"/>
  <c r="BU124" i="8" s="1"/>
  <c r="BR125" i="8"/>
  <c r="BU125" i="8" s="1"/>
  <c r="BR126" i="8"/>
  <c r="BT121" i="8"/>
  <c r="BR122" i="8" s="1"/>
  <c r="BU122" i="8" s="1"/>
  <c r="BT126" i="8"/>
  <c r="BR127" i="8" s="1"/>
  <c r="BU127" i="8" s="1"/>
  <c r="BT119" i="8"/>
  <c r="BR120" i="8" s="1"/>
  <c r="BT118" i="8"/>
  <c r="BR119" i="8" s="1"/>
  <c r="BU126" i="8" l="1"/>
  <c r="BU119" i="8"/>
  <c r="DB180" i="11"/>
  <c r="DZ179" i="11"/>
  <c r="AJ41" i="11"/>
  <c r="AQ41" i="11"/>
  <c r="EH174" i="11"/>
  <c r="X41" i="11"/>
  <c r="L41" i="11"/>
  <c r="E42" i="11"/>
  <c r="CT174" i="11"/>
  <c r="DJ176" i="11"/>
  <c r="EO176" i="11"/>
  <c r="AI172" i="11"/>
  <c r="AP174" i="11"/>
  <c r="BG188" i="11"/>
  <c r="AX175" i="11"/>
  <c r="DR174" i="11"/>
  <c r="BY132" i="11"/>
  <c r="BQ130" i="11"/>
  <c r="K85" i="11"/>
  <c r="BU120" i="8"/>
  <c r="BR121" i="8"/>
  <c r="BU121" i="8" s="1"/>
  <c r="BT116" i="8"/>
  <c r="BR117" i="8" s="1"/>
  <c r="BT117" i="8"/>
  <c r="BR118" i="8" s="1"/>
  <c r="BU118" i="8" s="1"/>
  <c r="BY116" i="8"/>
  <c r="BY117" i="8"/>
  <c r="BY118" i="8"/>
  <c r="BY119" i="8"/>
  <c r="CB119" i="8" s="1"/>
  <c r="CC119" i="8" s="1"/>
  <c r="BY120" i="8"/>
  <c r="BY121" i="8"/>
  <c r="BY122" i="8"/>
  <c r="BY123" i="8"/>
  <c r="BY124" i="8"/>
  <c r="BY125" i="8"/>
  <c r="BY126" i="8"/>
  <c r="BJ116" i="8"/>
  <c r="BJ117" i="8"/>
  <c r="BJ118" i="8"/>
  <c r="BJ119" i="8"/>
  <c r="BJ120" i="8"/>
  <c r="BM120" i="8" s="1"/>
  <c r="BN120" i="8" s="1"/>
  <c r="BJ121" i="8"/>
  <c r="BM121" i="8" s="1"/>
  <c r="BN121" i="8" s="1"/>
  <c r="BJ122" i="8"/>
  <c r="BM122" i="8" s="1"/>
  <c r="BN122" i="8" s="1"/>
  <c r="BJ123" i="8"/>
  <c r="BM123" i="8" s="1"/>
  <c r="BN123" i="8" s="1"/>
  <c r="BJ124" i="8"/>
  <c r="BM124" i="8" s="1"/>
  <c r="BN124" i="8" s="1"/>
  <c r="BJ125" i="8"/>
  <c r="BM125" i="8" s="1"/>
  <c r="BN125" i="8" s="1"/>
  <c r="BJ126" i="8"/>
  <c r="BM126" i="8" s="1"/>
  <c r="BN126" i="8" s="1"/>
  <c r="BC116" i="8"/>
  <c r="BC117" i="8"/>
  <c r="BC118" i="8"/>
  <c r="BC119" i="8"/>
  <c r="BF119" i="8" s="1"/>
  <c r="BC120" i="8"/>
  <c r="BC121" i="8"/>
  <c r="BC122" i="8"/>
  <c r="BC123" i="8"/>
  <c r="BC124" i="8"/>
  <c r="BC125" i="8"/>
  <c r="BC126" i="8"/>
  <c r="AG116" i="8"/>
  <c r="AG117" i="8"/>
  <c r="AG118" i="8"/>
  <c r="AG119" i="8"/>
  <c r="AJ119" i="8" s="1"/>
  <c r="AK119" i="8" s="1"/>
  <c r="AG120" i="8"/>
  <c r="AJ120" i="8" s="1"/>
  <c r="AK120" i="8" s="1"/>
  <c r="AG121" i="8"/>
  <c r="AJ121" i="8" s="1"/>
  <c r="AK121" i="8" s="1"/>
  <c r="AG122" i="8"/>
  <c r="AJ122" i="8" s="1"/>
  <c r="AK122" i="8" s="1"/>
  <c r="AG123" i="8"/>
  <c r="AJ123" i="8" s="1"/>
  <c r="AK123" i="8" s="1"/>
  <c r="AG124" i="8"/>
  <c r="AJ124" i="8" s="1"/>
  <c r="AK124" i="8" s="1"/>
  <c r="AG125" i="8"/>
  <c r="AJ125" i="8" s="1"/>
  <c r="AK125" i="8" s="1"/>
  <c r="AG126" i="8"/>
  <c r="AJ126" i="8" s="1"/>
  <c r="AK126" i="8" s="1"/>
  <c r="AA126" i="8"/>
  <c r="Y127" i="8" s="1"/>
  <c r="AB127" i="8" s="1"/>
  <c r="AA125" i="8"/>
  <c r="Y126" i="8" s="1"/>
  <c r="AA124" i="8"/>
  <c r="Y125" i="8" s="1"/>
  <c r="AA123" i="8"/>
  <c r="Y124" i="8" s="1"/>
  <c r="AA122" i="8"/>
  <c r="Y123" i="8" s="1"/>
  <c r="AB123" i="8" s="1"/>
  <c r="AC123" i="8" s="1"/>
  <c r="AA121" i="8"/>
  <c r="Y122" i="8" s="1"/>
  <c r="AA120" i="8"/>
  <c r="Y121" i="8" s="1"/>
  <c r="AA119" i="8"/>
  <c r="Y120" i="8" s="1"/>
  <c r="AA116" i="8"/>
  <c r="Y117" i="8" s="1"/>
  <c r="AA117" i="8"/>
  <c r="Y118" i="8" s="1"/>
  <c r="AA118" i="8"/>
  <c r="Y119" i="8" s="1"/>
  <c r="AB119" i="8" s="1"/>
  <c r="AC119" i="8" s="1"/>
  <c r="I126" i="8"/>
  <c r="F127" i="8" s="1"/>
  <c r="J127" i="8" s="1"/>
  <c r="K127" i="8" s="1"/>
  <c r="I125" i="8"/>
  <c r="F126" i="8" s="1"/>
  <c r="I124" i="8"/>
  <c r="F125" i="8" s="1"/>
  <c r="I123" i="8"/>
  <c r="F124" i="8" s="1"/>
  <c r="I122" i="8"/>
  <c r="F123" i="8" s="1"/>
  <c r="I121" i="8"/>
  <c r="F122" i="8" s="1"/>
  <c r="I120" i="8"/>
  <c r="F121" i="8" s="1"/>
  <c r="I117" i="8"/>
  <c r="F118" i="8" s="1"/>
  <c r="I118" i="8"/>
  <c r="F119" i="8" s="1"/>
  <c r="I119" i="8"/>
  <c r="F120" i="8" s="1"/>
  <c r="I116" i="8"/>
  <c r="F117" i="8" s="1"/>
  <c r="S126" i="8"/>
  <c r="Q127" i="8" s="1"/>
  <c r="T127" i="8" s="1"/>
  <c r="Q116" i="8"/>
  <c r="Q117" i="8"/>
  <c r="Q118" i="8"/>
  <c r="Q119" i="8"/>
  <c r="Q120" i="8"/>
  <c r="Q121" i="8"/>
  <c r="T121" i="8" s="1"/>
  <c r="U121" i="8" s="1"/>
  <c r="Q122" i="8"/>
  <c r="T122" i="8" s="1"/>
  <c r="U122" i="8" s="1"/>
  <c r="Q123" i="8"/>
  <c r="T123" i="8" s="1"/>
  <c r="U123" i="8" s="1"/>
  <c r="Q124" i="8"/>
  <c r="T124" i="8" s="1"/>
  <c r="U124" i="8" s="1"/>
  <c r="Q125" i="8"/>
  <c r="T125" i="8" s="1"/>
  <c r="U125" i="8" s="1"/>
  <c r="Q126" i="8"/>
  <c r="J121" i="8" l="1"/>
  <c r="K121" i="8" s="1"/>
  <c r="AB126" i="8"/>
  <c r="AC126" i="8" s="1"/>
  <c r="AB122" i="8"/>
  <c r="AC122" i="8" s="1"/>
  <c r="T126" i="8"/>
  <c r="U126" i="8" s="1"/>
  <c r="J124" i="8"/>
  <c r="K124" i="8" s="1"/>
  <c r="AB121" i="8"/>
  <c r="AC121" i="8" s="1"/>
  <c r="AB125" i="8"/>
  <c r="AC125" i="8" s="1"/>
  <c r="J123" i="8"/>
  <c r="K123" i="8" s="1"/>
  <c r="J125" i="8"/>
  <c r="K125" i="8" s="1"/>
  <c r="AB120" i="8"/>
  <c r="AC120" i="8" s="1"/>
  <c r="AB124" i="8"/>
  <c r="AC124" i="8" s="1"/>
  <c r="BU117" i="8"/>
  <c r="J120" i="8"/>
  <c r="K120" i="8" s="1"/>
  <c r="J122" i="8"/>
  <c r="K122" i="8" s="1"/>
  <c r="J126" i="8"/>
  <c r="K126" i="8" s="1"/>
  <c r="DB181" i="11"/>
  <c r="DZ180" i="11"/>
  <c r="AJ42" i="11"/>
  <c r="AQ42" i="11"/>
  <c r="EH175" i="11"/>
  <c r="X42" i="11"/>
  <c r="L42" i="11"/>
  <c r="E43" i="11"/>
  <c r="CT175" i="11"/>
  <c r="DJ177" i="11"/>
  <c r="EO177" i="11"/>
  <c r="AI173" i="11"/>
  <c r="AP175" i="11"/>
  <c r="BG189" i="11"/>
  <c r="AX176" i="11"/>
  <c r="DR175" i="11"/>
  <c r="BY133" i="11"/>
  <c r="BQ131" i="11"/>
  <c r="K86" i="11"/>
  <c r="U127" i="8"/>
  <c r="AC127" i="8"/>
  <c r="BY114" i="8"/>
  <c r="BY115" i="8"/>
  <c r="BT115" i="8"/>
  <c r="BR116" i="8" s="1"/>
  <c r="BU116" i="8" s="1"/>
  <c r="BT114" i="8"/>
  <c r="BR115" i="8" s="1"/>
  <c r="BJ112" i="8"/>
  <c r="BJ113" i="8"/>
  <c r="BJ114" i="8"/>
  <c r="BJ115" i="8"/>
  <c r="BC112" i="8"/>
  <c r="BC113" i="8"/>
  <c r="BC114" i="8"/>
  <c r="BC115" i="8"/>
  <c r="AA114" i="8"/>
  <c r="Y115" i="8" s="1"/>
  <c r="AA115" i="8"/>
  <c r="Y116" i="8" s="1"/>
  <c r="Q114" i="8"/>
  <c r="Q115" i="8"/>
  <c r="I114" i="8"/>
  <c r="F115" i="8" s="1"/>
  <c r="I115" i="8"/>
  <c r="F116" i="8" s="1"/>
  <c r="I113" i="8"/>
  <c r="F114" i="8" s="1"/>
  <c r="AG114" i="8"/>
  <c r="AG115" i="8"/>
  <c r="AG112" i="8"/>
  <c r="AG113" i="8"/>
  <c r="AA112" i="8"/>
  <c r="Y113" i="8" s="1"/>
  <c r="AA113" i="8"/>
  <c r="Y114" i="8" s="1"/>
  <c r="AA111" i="8"/>
  <c r="Y112" i="8" s="1"/>
  <c r="Q112" i="8"/>
  <c r="Q113" i="8"/>
  <c r="I111" i="8"/>
  <c r="F112" i="8" s="1"/>
  <c r="I112" i="8"/>
  <c r="F113" i="8" s="1"/>
  <c r="BY112" i="8"/>
  <c r="BY113" i="8"/>
  <c r="BT113" i="8"/>
  <c r="BR114" i="8" s="1"/>
  <c r="BT112" i="8"/>
  <c r="BR113" i="8" s="1"/>
  <c r="BU113" i="8" s="1"/>
  <c r="BT111" i="8"/>
  <c r="BR112" i="8" s="1"/>
  <c r="BT110" i="8"/>
  <c r="BR111" i="8" s="1"/>
  <c r="BT109" i="8"/>
  <c r="BR110" i="8" s="1"/>
  <c r="BT108" i="8"/>
  <c r="BR109" i="8" s="1"/>
  <c r="BT106" i="8"/>
  <c r="BR107" i="8" s="1"/>
  <c r="BT107" i="8"/>
  <c r="BR108" i="8" s="1"/>
  <c r="BT105" i="8"/>
  <c r="BR106" i="8" s="1"/>
  <c r="BY105" i="8"/>
  <c r="CB105" i="8" s="1"/>
  <c r="CC105" i="8" s="1"/>
  <c r="BY106" i="8"/>
  <c r="CB106" i="8" s="1"/>
  <c r="CC106" i="8" s="1"/>
  <c r="BY107" i="8"/>
  <c r="CB107" i="8" s="1"/>
  <c r="CC107" i="8" s="1"/>
  <c r="BY108" i="8"/>
  <c r="CB108" i="8" s="1"/>
  <c r="CC108" i="8" s="1"/>
  <c r="BY109" i="8"/>
  <c r="CB109" i="8" s="1"/>
  <c r="CC109" i="8" s="1"/>
  <c r="BY110" i="8"/>
  <c r="CB110" i="8" s="1"/>
  <c r="CC110" i="8" s="1"/>
  <c r="BY111" i="8"/>
  <c r="BJ105" i="8"/>
  <c r="BM105" i="8" s="1"/>
  <c r="BJ106" i="8"/>
  <c r="BM106" i="8" s="1"/>
  <c r="BN106" i="8" s="1"/>
  <c r="BJ107" i="8"/>
  <c r="BM107" i="8" s="1"/>
  <c r="BN107" i="8" s="1"/>
  <c r="BJ108" i="8"/>
  <c r="BM108" i="8" s="1"/>
  <c r="BN108" i="8" s="1"/>
  <c r="BJ109" i="8"/>
  <c r="BM109" i="8" s="1"/>
  <c r="BN109" i="8" s="1"/>
  <c r="BJ110" i="8"/>
  <c r="BM110" i="8" s="1"/>
  <c r="BN110" i="8" s="1"/>
  <c r="BJ111" i="8"/>
  <c r="AX105" i="8"/>
  <c r="AY105" i="8" s="1"/>
  <c r="AX106" i="8"/>
  <c r="AY106" i="8" s="1"/>
  <c r="AX107" i="8"/>
  <c r="AY107" i="8" s="1"/>
  <c r="AX108" i="8"/>
  <c r="AY108" i="8" s="1"/>
  <c r="AX109" i="8"/>
  <c r="AY109" i="8" s="1"/>
  <c r="AX110" i="8"/>
  <c r="AY110" i="8" s="1"/>
  <c r="AQ109" i="8"/>
  <c r="AR109" i="8" s="1"/>
  <c r="AQ110" i="8"/>
  <c r="AR110" i="8" s="1"/>
  <c r="AQ105" i="8"/>
  <c r="AR105" i="8" s="1"/>
  <c r="AQ106" i="8"/>
  <c r="AR106" i="8" s="1"/>
  <c r="AQ107" i="8"/>
  <c r="AR107" i="8" s="1"/>
  <c r="AQ108" i="8"/>
  <c r="AR108" i="8" s="1"/>
  <c r="BU114" i="8" l="1"/>
  <c r="BU109" i="8"/>
  <c r="BU106" i="8"/>
  <c r="BU108" i="8"/>
  <c r="BU110" i="8"/>
  <c r="BU115" i="8"/>
  <c r="BU107" i="8"/>
  <c r="BU112" i="8"/>
  <c r="DB182" i="11"/>
  <c r="DZ181" i="11"/>
  <c r="AJ43" i="11"/>
  <c r="AQ43" i="11"/>
  <c r="EH176" i="11"/>
  <c r="X43" i="11"/>
  <c r="E44" i="11"/>
  <c r="L43" i="11"/>
  <c r="CT176" i="11"/>
  <c r="DJ178" i="11"/>
  <c r="EO178" i="11"/>
  <c r="AI174" i="11"/>
  <c r="AP176" i="11"/>
  <c r="BG190" i="11"/>
  <c r="AX177" i="11"/>
  <c r="DR176" i="11"/>
  <c r="BY134" i="11"/>
  <c r="BQ132" i="11"/>
  <c r="K87" i="11"/>
  <c r="BN105" i="8"/>
  <c r="BU111" i="8"/>
  <c r="BC105" i="8"/>
  <c r="BC106" i="8"/>
  <c r="BC107" i="8"/>
  <c r="BC108" i="8"/>
  <c r="BC109" i="8"/>
  <c r="BC110" i="8"/>
  <c r="BC111" i="8"/>
  <c r="BF111" i="8" s="1"/>
  <c r="AG105" i="8"/>
  <c r="AJ105" i="8" s="1"/>
  <c r="AG106" i="8"/>
  <c r="AJ106" i="8" s="1"/>
  <c r="AK106" i="8" s="1"/>
  <c r="AG107" i="8"/>
  <c r="AJ107" i="8" s="1"/>
  <c r="AK107" i="8" s="1"/>
  <c r="AG108" i="8"/>
  <c r="AJ108" i="8" s="1"/>
  <c r="AK108" i="8" s="1"/>
  <c r="AG109" i="8"/>
  <c r="AJ109" i="8" s="1"/>
  <c r="AK109" i="8" s="1"/>
  <c r="AG110" i="8"/>
  <c r="AJ110" i="8" s="1"/>
  <c r="AK110" i="8" s="1"/>
  <c r="AG111" i="8"/>
  <c r="AA110" i="8"/>
  <c r="Y111" i="8" s="1"/>
  <c r="AA109" i="8"/>
  <c r="Y110" i="8" s="1"/>
  <c r="AA108" i="8"/>
  <c r="Y109" i="8" s="1"/>
  <c r="AA107" i="8"/>
  <c r="Y108" i="8" s="1"/>
  <c r="AB108" i="8" s="1"/>
  <c r="AC108" i="8" s="1"/>
  <c r="AA106" i="8"/>
  <c r="Y107" i="8" s="1"/>
  <c r="AA105" i="8"/>
  <c r="Y106" i="8" s="1"/>
  <c r="Q105" i="8"/>
  <c r="T105" i="8" s="1"/>
  <c r="Q106" i="8"/>
  <c r="T106" i="8" s="1"/>
  <c r="U106" i="8" s="1"/>
  <c r="Q107" i="8"/>
  <c r="T107" i="8" s="1"/>
  <c r="U107" i="8" s="1"/>
  <c r="Q108" i="8"/>
  <c r="T108" i="8" s="1"/>
  <c r="U108" i="8" s="1"/>
  <c r="Q109" i="8"/>
  <c r="T109" i="8" s="1"/>
  <c r="U109" i="8" s="1"/>
  <c r="Q110" i="8"/>
  <c r="Q111" i="8"/>
  <c r="F106" i="8"/>
  <c r="J106" i="8" s="1"/>
  <c r="K106" i="8" s="1"/>
  <c r="F107" i="8"/>
  <c r="J107" i="8" s="1"/>
  <c r="K107" i="8" s="1"/>
  <c r="F108" i="8"/>
  <c r="J108" i="8" s="1"/>
  <c r="K108" i="8" s="1"/>
  <c r="F109" i="8"/>
  <c r="I110" i="8"/>
  <c r="F111" i="8" s="1"/>
  <c r="I109" i="8"/>
  <c r="F110" i="8" s="1"/>
  <c r="AB106" i="8" l="1"/>
  <c r="AC106" i="8" s="1"/>
  <c r="AB110" i="8"/>
  <c r="AC110" i="8" s="1"/>
  <c r="J110" i="8"/>
  <c r="K110" i="8" s="1"/>
  <c r="AB107" i="8"/>
  <c r="AC107" i="8" s="1"/>
  <c r="AB109" i="8"/>
  <c r="AC109" i="8" s="1"/>
  <c r="DB183" i="11"/>
  <c r="DZ182" i="11"/>
  <c r="AJ44" i="11"/>
  <c r="AQ44" i="11"/>
  <c r="EH177" i="11"/>
  <c r="X44" i="11"/>
  <c r="L44" i="11"/>
  <c r="E45" i="11"/>
  <c r="CT177" i="11"/>
  <c r="DJ179" i="11"/>
  <c r="EO179" i="11"/>
  <c r="AI175" i="11"/>
  <c r="AP177" i="11"/>
  <c r="BG191" i="11"/>
  <c r="AX178" i="11"/>
  <c r="DR177" i="11"/>
  <c r="BY135" i="11"/>
  <c r="BQ133" i="11"/>
  <c r="K88" i="11"/>
  <c r="AK105" i="8"/>
  <c r="U105" i="8"/>
  <c r="J109" i="8"/>
  <c r="K109" i="8" s="1"/>
  <c r="F105" i="8"/>
  <c r="J105" i="8" s="1"/>
  <c r="K105" i="8" s="1"/>
  <c r="DB184" i="11" l="1"/>
  <c r="DZ183" i="11"/>
  <c r="AJ45" i="11"/>
  <c r="AQ45" i="11"/>
  <c r="EH178" i="11"/>
  <c r="X45" i="11"/>
  <c r="E46" i="11"/>
  <c r="L45" i="11"/>
  <c r="CT178" i="11"/>
  <c r="DJ180" i="11"/>
  <c r="EO180" i="11"/>
  <c r="AI176" i="11"/>
  <c r="AP178" i="11"/>
  <c r="BG192" i="11"/>
  <c r="AX179" i="11"/>
  <c r="DR178" i="11"/>
  <c r="BY136" i="11"/>
  <c r="BQ134" i="11"/>
  <c r="K89" i="11"/>
  <c r="BT104" i="8"/>
  <c r="BR105" i="8" s="1"/>
  <c r="BU105" i="8" s="1"/>
  <c r="BT103" i="8"/>
  <c r="BT102" i="8"/>
  <c r="BT101" i="8"/>
  <c r="BT100" i="8"/>
  <c r="BT99" i="8"/>
  <c r="BT98" i="8"/>
  <c r="BT97" i="8"/>
  <c r="BT96" i="8"/>
  <c r="DB185" i="11" l="1"/>
  <c r="DZ184" i="11"/>
  <c r="AJ46" i="11"/>
  <c r="AQ46" i="11"/>
  <c r="EH179" i="11"/>
  <c r="X46" i="11"/>
  <c r="L46" i="11"/>
  <c r="E47" i="11"/>
  <c r="CT179" i="11"/>
  <c r="DJ181" i="11"/>
  <c r="EO181" i="11"/>
  <c r="AI177" i="11"/>
  <c r="AP179" i="11"/>
  <c r="BG193" i="11"/>
  <c r="AX180" i="11"/>
  <c r="DR179" i="11"/>
  <c r="BY137" i="11"/>
  <c r="BQ135" i="11"/>
  <c r="K90" i="11"/>
  <c r="BR98" i="8"/>
  <c r="BU98" i="8" s="1"/>
  <c r="BR99" i="8"/>
  <c r="BU99" i="8" s="1"/>
  <c r="BR100" i="8"/>
  <c r="BU100" i="8" s="1"/>
  <c r="BR101" i="8"/>
  <c r="BU101" i="8" s="1"/>
  <c r="BR102" i="8"/>
  <c r="BU102" i="8" s="1"/>
  <c r="BR103" i="8"/>
  <c r="BU103" i="8" s="1"/>
  <c r="BR104" i="8"/>
  <c r="BU104" i="8" s="1"/>
  <c r="BR97" i="8"/>
  <c r="BU97" i="8" s="1"/>
  <c r="AX98" i="8"/>
  <c r="AY98" i="8" s="1"/>
  <c r="AX99" i="8"/>
  <c r="AY99" i="8" s="1"/>
  <c r="AX100" i="8"/>
  <c r="AY100" i="8" s="1"/>
  <c r="AX101" i="8"/>
  <c r="AY101" i="8" s="1"/>
  <c r="AX102" i="8"/>
  <c r="AY102" i="8" s="1"/>
  <c r="AX103" i="8"/>
  <c r="AY103" i="8" s="1"/>
  <c r="AX104" i="8"/>
  <c r="AY104" i="8" s="1"/>
  <c r="AX97" i="8"/>
  <c r="AY97" i="8" s="1"/>
  <c r="AX96" i="8"/>
  <c r="AY96" i="8" s="1"/>
  <c r="AQ98" i="8"/>
  <c r="AQ99" i="8"/>
  <c r="AR99" i="8" s="1"/>
  <c r="AQ100" i="8"/>
  <c r="AR100" i="8" s="1"/>
  <c r="AQ101" i="8"/>
  <c r="AR101" i="8" s="1"/>
  <c r="AQ102" i="8"/>
  <c r="AR102" i="8" s="1"/>
  <c r="AQ103" i="8"/>
  <c r="AR103" i="8" s="1"/>
  <c r="AQ104" i="8"/>
  <c r="AR104" i="8" s="1"/>
  <c r="AQ97" i="8"/>
  <c r="AQ96" i="8"/>
  <c r="AR96" i="8" s="1"/>
  <c r="F104" i="8"/>
  <c r="J104" i="8" s="1"/>
  <c r="K104" i="8" s="1"/>
  <c r="I102" i="8"/>
  <c r="F103" i="8" s="1"/>
  <c r="J103" i="8" s="1"/>
  <c r="K103" i="8" s="1"/>
  <c r="I101" i="8"/>
  <c r="F102" i="8" s="1"/>
  <c r="I100" i="8"/>
  <c r="F101" i="8" s="1"/>
  <c r="I99" i="8"/>
  <c r="F100" i="8" s="1"/>
  <c r="I98" i="8"/>
  <c r="F99" i="8" s="1"/>
  <c r="I97" i="8"/>
  <c r="F98" i="8" s="1"/>
  <c r="I96" i="8"/>
  <c r="F97" i="8" s="1"/>
  <c r="BY98" i="8"/>
  <c r="CB98" i="8" s="1"/>
  <c r="BY99" i="8"/>
  <c r="CB99" i="8" s="1"/>
  <c r="CC99" i="8" s="1"/>
  <c r="BY100" i="8"/>
  <c r="CB100" i="8" s="1"/>
  <c r="CC100" i="8" s="1"/>
  <c r="BY101" i="8"/>
  <c r="CB101" i="8" s="1"/>
  <c r="CC101" i="8" s="1"/>
  <c r="BY102" i="8"/>
  <c r="CB102" i="8" s="1"/>
  <c r="CC102" i="8" s="1"/>
  <c r="BY103" i="8"/>
  <c r="CB103" i="8" s="1"/>
  <c r="CC103" i="8" s="1"/>
  <c r="BY104" i="8"/>
  <c r="CB104" i="8" s="1"/>
  <c r="CC104" i="8" s="1"/>
  <c r="BY97" i="8"/>
  <c r="BY96" i="8"/>
  <c r="BJ98" i="8"/>
  <c r="BM98" i="8" s="1"/>
  <c r="BJ99" i="8"/>
  <c r="BM99" i="8" s="1"/>
  <c r="BN99" i="8" s="1"/>
  <c r="BJ100" i="8"/>
  <c r="BM100" i="8" s="1"/>
  <c r="BN100" i="8" s="1"/>
  <c r="BJ101" i="8"/>
  <c r="BM101" i="8" s="1"/>
  <c r="BN101" i="8" s="1"/>
  <c r="BJ102" i="8"/>
  <c r="BM102" i="8" s="1"/>
  <c r="BN102" i="8" s="1"/>
  <c r="BJ103" i="8"/>
  <c r="BM103" i="8" s="1"/>
  <c r="BN103" i="8" s="1"/>
  <c r="BJ104" i="8"/>
  <c r="BM104" i="8" s="1"/>
  <c r="BN104" i="8" s="1"/>
  <c r="BJ97" i="8"/>
  <c r="BM97" i="8" s="1"/>
  <c r="BN97" i="8" s="1"/>
  <c r="BJ96" i="8"/>
  <c r="BM96" i="8" s="1"/>
  <c r="BC98" i="8"/>
  <c r="BC99" i="8"/>
  <c r="BC100" i="8"/>
  <c r="BC101" i="8"/>
  <c r="BF101" i="8" s="1"/>
  <c r="BC102" i="8"/>
  <c r="BC103" i="8"/>
  <c r="BC104" i="8"/>
  <c r="BC97" i="8"/>
  <c r="BC96" i="8"/>
  <c r="AG98" i="8"/>
  <c r="AJ98" i="8" s="1"/>
  <c r="AG99" i="8"/>
  <c r="AJ99" i="8" s="1"/>
  <c r="AK99" i="8" s="1"/>
  <c r="AG100" i="8"/>
  <c r="AJ100" i="8" s="1"/>
  <c r="AK100" i="8" s="1"/>
  <c r="AG101" i="8"/>
  <c r="AJ101" i="8" s="1"/>
  <c r="AK101" i="8" s="1"/>
  <c r="AG102" i="8"/>
  <c r="AJ102" i="8" s="1"/>
  <c r="AK102" i="8" s="1"/>
  <c r="AG103" i="8"/>
  <c r="AJ103" i="8" s="1"/>
  <c r="AK103" i="8" s="1"/>
  <c r="AG104" i="8"/>
  <c r="AJ104" i="8" s="1"/>
  <c r="AK104" i="8" s="1"/>
  <c r="AG97" i="8"/>
  <c r="AJ97" i="8" s="1"/>
  <c r="AG96" i="8"/>
  <c r="AJ96" i="8" s="1"/>
  <c r="AK96" i="8" s="1"/>
  <c r="AA104" i="8"/>
  <c r="Y105" i="8" s="1"/>
  <c r="AB105" i="8" s="1"/>
  <c r="AA103" i="8"/>
  <c r="Y104" i="8" s="1"/>
  <c r="AA102" i="8"/>
  <c r="Y103" i="8" s="1"/>
  <c r="AA101" i="8"/>
  <c r="Y102" i="8" s="1"/>
  <c r="AA100" i="8"/>
  <c r="Y101" i="8" s="1"/>
  <c r="AA99" i="8"/>
  <c r="Y100" i="8" s="1"/>
  <c r="AA98" i="8"/>
  <c r="Y99" i="8" s="1"/>
  <c r="AA97" i="8"/>
  <c r="Y98" i="8" s="1"/>
  <c r="AA96" i="8"/>
  <c r="Y97" i="8" s="1"/>
  <c r="Q98" i="8"/>
  <c r="T98" i="8" s="1"/>
  <c r="U98" i="8" s="1"/>
  <c r="Q99" i="8"/>
  <c r="T99" i="8" s="1"/>
  <c r="U99" i="8" s="1"/>
  <c r="Q100" i="8"/>
  <c r="T100" i="8" s="1"/>
  <c r="U100" i="8" s="1"/>
  <c r="Q101" i="8"/>
  <c r="T101" i="8" s="1"/>
  <c r="U101" i="8" s="1"/>
  <c r="Q102" i="8"/>
  <c r="T102" i="8" s="1"/>
  <c r="U102" i="8" s="1"/>
  <c r="Q103" i="8"/>
  <c r="T103" i="8" s="1"/>
  <c r="U103" i="8" s="1"/>
  <c r="Q104" i="8"/>
  <c r="T104" i="8" s="1"/>
  <c r="U104" i="8" s="1"/>
  <c r="Q97" i="8"/>
  <c r="T97" i="8" s="1"/>
  <c r="Q96" i="8"/>
  <c r="T96" i="8" s="1"/>
  <c r="J97" i="8" l="1"/>
  <c r="AB99" i="8"/>
  <c r="AC99" i="8" s="1"/>
  <c r="J101" i="8"/>
  <c r="K101" i="8" s="1"/>
  <c r="J99" i="8"/>
  <c r="K99" i="8" s="1"/>
  <c r="AB98" i="8"/>
  <c r="AC98" i="8" s="1"/>
  <c r="AB100" i="8"/>
  <c r="AC100" i="8" s="1"/>
  <c r="AB102" i="8"/>
  <c r="AC102" i="8" s="1"/>
  <c r="AB104" i="8"/>
  <c r="AC104" i="8" s="1"/>
  <c r="J100" i="8"/>
  <c r="K100" i="8" s="1"/>
  <c r="AB97" i="8"/>
  <c r="AC97" i="8" s="1"/>
  <c r="AB101" i="8"/>
  <c r="AC101" i="8" s="1"/>
  <c r="J98" i="8"/>
  <c r="K98" i="8" s="1"/>
  <c r="J102" i="8"/>
  <c r="K102" i="8" s="1"/>
  <c r="AB103" i="8"/>
  <c r="AC103" i="8" s="1"/>
  <c r="DB186" i="11"/>
  <c r="DZ185" i="11"/>
  <c r="AJ47" i="11"/>
  <c r="AQ47" i="11"/>
  <c r="EH180" i="11"/>
  <c r="X47" i="11"/>
  <c r="E48" i="11"/>
  <c r="L47" i="11"/>
  <c r="CT180" i="11"/>
  <c r="DJ182" i="11"/>
  <c r="EO182" i="11"/>
  <c r="AI178" i="11"/>
  <c r="AP180" i="11"/>
  <c r="BG194" i="11"/>
  <c r="AX181" i="11"/>
  <c r="DR180" i="11"/>
  <c r="BY138" i="11"/>
  <c r="BQ136" i="11"/>
  <c r="K91" i="11"/>
  <c r="BN98" i="8"/>
  <c r="AC105" i="8"/>
  <c r="AR98" i="8"/>
  <c r="AR97" i="8"/>
  <c r="K97" i="8"/>
  <c r="CC98" i="8"/>
  <c r="BN96" i="8"/>
  <c r="AK98" i="8"/>
  <c r="AK97" i="8"/>
  <c r="U97" i="8"/>
  <c r="U96" i="8"/>
  <c r="BT75" i="8"/>
  <c r="DB187" i="11" l="1"/>
  <c r="DZ186" i="11"/>
  <c r="AJ48" i="11"/>
  <c r="AQ48" i="11"/>
  <c r="EH181" i="11"/>
  <c r="X48" i="11"/>
  <c r="E49" i="11"/>
  <c r="L48" i="11"/>
  <c r="CT181" i="11"/>
  <c r="DJ183" i="11"/>
  <c r="EO183" i="11"/>
  <c r="AI179" i="11"/>
  <c r="AP181" i="11"/>
  <c r="BG195" i="11"/>
  <c r="AX182" i="11"/>
  <c r="DR181" i="11"/>
  <c r="BY139" i="11"/>
  <c r="BQ137" i="11"/>
  <c r="K92" i="11"/>
  <c r="AQ91" i="8"/>
  <c r="AR91" i="8" s="1"/>
  <c r="AQ92" i="8"/>
  <c r="AR92" i="8" s="1"/>
  <c r="AQ93" i="8"/>
  <c r="AR93" i="8" s="1"/>
  <c r="AQ94" i="8"/>
  <c r="AR94" i="8" s="1"/>
  <c r="AQ95" i="8"/>
  <c r="AR95" i="8" s="1"/>
  <c r="BT92" i="8"/>
  <c r="BT91" i="8"/>
  <c r="BT78" i="8"/>
  <c r="BT84" i="8"/>
  <c r="BT95" i="8"/>
  <c r="BR96" i="8" s="1"/>
  <c r="BU96" i="8" s="1"/>
  <c r="BJ94" i="8"/>
  <c r="BM94" i="8" s="1"/>
  <c r="BJ95" i="8"/>
  <c r="BM95" i="8" s="1"/>
  <c r="BN95" i="8" s="1"/>
  <c r="AX95" i="8"/>
  <c r="BC94" i="8"/>
  <c r="BC95" i="8"/>
  <c r="AX80" i="8"/>
  <c r="AY80" i="8" s="1"/>
  <c r="AX81" i="8"/>
  <c r="AY81" i="8" s="1"/>
  <c r="AX82" i="8"/>
  <c r="AY82" i="8" s="1"/>
  <c r="AX83" i="8"/>
  <c r="AY83" i="8" s="1"/>
  <c r="AX84" i="8"/>
  <c r="AY84" i="8" s="1"/>
  <c r="AX85" i="8"/>
  <c r="AY85" i="8" s="1"/>
  <c r="AX86" i="8"/>
  <c r="AY86" i="8" s="1"/>
  <c r="AX87" i="8"/>
  <c r="AY87" i="8" s="1"/>
  <c r="AX88" i="8"/>
  <c r="AY88" i="8" s="1"/>
  <c r="AX89" i="8"/>
  <c r="AY89" i="8" s="1"/>
  <c r="AX90" i="8"/>
  <c r="AY90" i="8" s="1"/>
  <c r="AX91" i="8"/>
  <c r="AY91" i="8" s="1"/>
  <c r="AX92" i="8"/>
  <c r="AY92" i="8" s="1"/>
  <c r="AX93" i="8"/>
  <c r="AY93" i="8" s="1"/>
  <c r="AX94" i="8"/>
  <c r="AY94" i="8" s="1"/>
  <c r="AG94" i="8"/>
  <c r="AJ94" i="8" s="1"/>
  <c r="AK94" i="8" s="1"/>
  <c r="AG95" i="8"/>
  <c r="AJ95" i="8" s="1"/>
  <c r="AK95" i="8" s="1"/>
  <c r="AA94" i="8"/>
  <c r="AA95" i="8"/>
  <c r="Y96" i="8" s="1"/>
  <c r="AB96" i="8" s="1"/>
  <c r="Q94" i="8"/>
  <c r="Q95" i="8"/>
  <c r="I95" i="8"/>
  <c r="F96" i="8" s="1"/>
  <c r="J96" i="8" s="1"/>
  <c r="I94" i="8"/>
  <c r="F95" i="8" s="1"/>
  <c r="J95" i="8" l="1"/>
  <c r="K95" i="8" s="1"/>
  <c r="DB188" i="11"/>
  <c r="DZ187" i="11"/>
  <c r="AJ49" i="11"/>
  <c r="AQ49" i="11"/>
  <c r="EH182" i="11"/>
  <c r="X49" i="11"/>
  <c r="L49" i="11"/>
  <c r="E50" i="11"/>
  <c r="CT182" i="11"/>
  <c r="DJ184" i="11"/>
  <c r="EO184" i="11"/>
  <c r="AI180" i="11"/>
  <c r="AP182" i="11"/>
  <c r="BG196" i="11"/>
  <c r="AX183" i="11"/>
  <c r="DR182" i="11"/>
  <c r="BY140" i="11"/>
  <c r="BQ138" i="11"/>
  <c r="K93" i="11"/>
  <c r="BN94" i="8"/>
  <c r="K96" i="8"/>
  <c r="AC96" i="8"/>
  <c r="AY95" i="8"/>
  <c r="Y95" i="8"/>
  <c r="AB95" i="8" s="1"/>
  <c r="AC95" i="8" s="1"/>
  <c r="BT94" i="8"/>
  <c r="BR95" i="8" s="1"/>
  <c r="BU95" i="8" s="1"/>
  <c r="DB189" i="11" l="1"/>
  <c r="DZ188" i="11"/>
  <c r="AJ50" i="11"/>
  <c r="AQ50" i="11"/>
  <c r="EH183" i="11"/>
  <c r="X50" i="11"/>
  <c r="L50" i="11"/>
  <c r="E51" i="11"/>
  <c r="CT183" i="11"/>
  <c r="DJ185" i="11"/>
  <c r="EO185" i="11"/>
  <c r="AI181" i="11"/>
  <c r="AP183" i="11"/>
  <c r="BG197" i="11"/>
  <c r="AX184" i="11"/>
  <c r="DR183" i="11"/>
  <c r="BY141" i="11"/>
  <c r="BQ139" i="11"/>
  <c r="K94" i="11"/>
  <c r="BR93" i="8"/>
  <c r="BT93" i="8"/>
  <c r="BR94" i="8" s="1"/>
  <c r="BU94" i="8" s="1"/>
  <c r="BR92" i="8"/>
  <c r="BU92" i="8" s="1"/>
  <c r="BJ91" i="8"/>
  <c r="BM91" i="8" s="1"/>
  <c r="BN91" i="8" s="1"/>
  <c r="BJ92" i="8"/>
  <c r="BM92" i="8" s="1"/>
  <c r="BN92" i="8" s="1"/>
  <c r="BJ93" i="8"/>
  <c r="BM93" i="8" s="1"/>
  <c r="BN93" i="8" s="1"/>
  <c r="BC91" i="8"/>
  <c r="BC92" i="8"/>
  <c r="BC93" i="8"/>
  <c r="AG91" i="8"/>
  <c r="AJ91" i="8" s="1"/>
  <c r="AG92" i="8"/>
  <c r="AJ92" i="8" s="1"/>
  <c r="AK92" i="8" s="1"/>
  <c r="AG93" i="8"/>
  <c r="AJ93" i="8" s="1"/>
  <c r="AK93" i="8" s="1"/>
  <c r="AA93" i="8"/>
  <c r="Y94" i="8" s="1"/>
  <c r="AB94" i="8" s="1"/>
  <c r="AA92" i="8"/>
  <c r="Y93" i="8" s="1"/>
  <c r="AB93" i="8" s="1"/>
  <c r="AC93" i="8" s="1"/>
  <c r="AA91" i="8"/>
  <c r="Y92" i="8" s="1"/>
  <c r="Q91" i="8"/>
  <c r="T91" i="8" s="1"/>
  <c r="Q92" i="8"/>
  <c r="Q93" i="8"/>
  <c r="I93" i="8"/>
  <c r="F94" i="8" s="1"/>
  <c r="J94" i="8" s="1"/>
  <c r="I92" i="8"/>
  <c r="F93" i="8" s="1"/>
  <c r="I91" i="8"/>
  <c r="F92" i="8" s="1"/>
  <c r="J93" i="8" l="1"/>
  <c r="K93" i="8" s="1"/>
  <c r="J92" i="8"/>
  <c r="K92" i="8" s="1"/>
  <c r="BU93" i="8"/>
  <c r="AB92" i="8"/>
  <c r="AC92" i="8" s="1"/>
  <c r="DB190" i="11"/>
  <c r="DZ189" i="11"/>
  <c r="AJ51" i="11"/>
  <c r="AQ51" i="11"/>
  <c r="EH184" i="11"/>
  <c r="X51" i="11"/>
  <c r="L51" i="11"/>
  <c r="E52" i="11"/>
  <c r="CT184" i="11"/>
  <c r="DJ186" i="11"/>
  <c r="EO186" i="11"/>
  <c r="AI182" i="11"/>
  <c r="AP184" i="11"/>
  <c r="BG198" i="11"/>
  <c r="AX185" i="11"/>
  <c r="DR184" i="11"/>
  <c r="BY142" i="11"/>
  <c r="BQ140" i="11"/>
  <c r="K95" i="11"/>
  <c r="AK91" i="8"/>
  <c r="U91" i="8"/>
  <c r="K94" i="8"/>
  <c r="AC94" i="8"/>
  <c r="AQ80" i="8"/>
  <c r="AR80" i="8" s="1"/>
  <c r="AQ81" i="8"/>
  <c r="AR81" i="8" s="1"/>
  <c r="AQ82" i="8"/>
  <c r="AR82" i="8" s="1"/>
  <c r="AQ83" i="8"/>
  <c r="AR83" i="8" s="1"/>
  <c r="AQ84" i="8"/>
  <c r="AR84" i="8" s="1"/>
  <c r="AQ85" i="8"/>
  <c r="AR85" i="8" s="1"/>
  <c r="AQ86" i="8"/>
  <c r="AR86" i="8" s="1"/>
  <c r="AQ87" i="8"/>
  <c r="AR87" i="8" s="1"/>
  <c r="AQ88" i="8"/>
  <c r="AR88" i="8" s="1"/>
  <c r="AQ89" i="8"/>
  <c r="AR89" i="8" s="1"/>
  <c r="AQ90" i="8"/>
  <c r="AR90" i="8" s="1"/>
  <c r="BT88" i="8"/>
  <c r="BR89" i="8" s="1"/>
  <c r="BT89" i="8"/>
  <c r="BR90" i="8" s="1"/>
  <c r="BT90" i="8"/>
  <c r="BR91" i="8" s="1"/>
  <c r="BU91" i="8" s="1"/>
  <c r="BJ88" i="8"/>
  <c r="BM88" i="8" s="1"/>
  <c r="BN88" i="8" s="1"/>
  <c r="BJ89" i="8"/>
  <c r="BM89" i="8" s="1"/>
  <c r="BN89" i="8" s="1"/>
  <c r="BJ90" i="8"/>
  <c r="BM90" i="8" s="1"/>
  <c r="BN90" i="8" s="1"/>
  <c r="BC88" i="8"/>
  <c r="BC89" i="8"/>
  <c r="BC90" i="8"/>
  <c r="AG88" i="8"/>
  <c r="AJ88" i="8" s="1"/>
  <c r="AK88" i="8" s="1"/>
  <c r="AG89" i="8"/>
  <c r="AJ89" i="8" s="1"/>
  <c r="AK89" i="8" s="1"/>
  <c r="AG90" i="8"/>
  <c r="AJ90" i="8" s="1"/>
  <c r="AK90" i="8" s="1"/>
  <c r="AA90" i="8"/>
  <c r="Y91" i="8" s="1"/>
  <c r="AB91" i="8" s="1"/>
  <c r="AC91" i="8" s="1"/>
  <c r="AA89" i="8"/>
  <c r="Y90" i="8" s="1"/>
  <c r="AA88" i="8"/>
  <c r="Y89" i="8" s="1"/>
  <c r="Q88" i="8"/>
  <c r="Q89" i="8"/>
  <c r="Q90" i="8"/>
  <c r="T90" i="8" s="1"/>
  <c r="U90" i="8" s="1"/>
  <c r="I88" i="8"/>
  <c r="F89" i="8" s="1"/>
  <c r="F88" i="8"/>
  <c r="I89" i="8"/>
  <c r="F90" i="8" s="1"/>
  <c r="I90" i="8"/>
  <c r="F91" i="8" s="1"/>
  <c r="J91" i="8" s="1"/>
  <c r="K91" i="8" s="1"/>
  <c r="J90" i="8" l="1"/>
  <c r="K90" i="8" s="1"/>
  <c r="AB89" i="8"/>
  <c r="AC89" i="8" s="1"/>
  <c r="AB90" i="8"/>
  <c r="AC90" i="8" s="1"/>
  <c r="BU89" i="8"/>
  <c r="J88" i="8"/>
  <c r="K88" i="8" s="1"/>
  <c r="BU90" i="8"/>
  <c r="DB191" i="11"/>
  <c r="DZ190" i="11"/>
  <c r="AJ52" i="11"/>
  <c r="AQ52" i="11"/>
  <c r="EH185" i="11"/>
  <c r="X52" i="11"/>
  <c r="L52" i="11"/>
  <c r="E53" i="11"/>
  <c r="CT185" i="11"/>
  <c r="DJ187" i="11"/>
  <c r="EO187" i="11"/>
  <c r="AI183" i="11"/>
  <c r="AP185" i="11"/>
  <c r="BG199" i="11"/>
  <c r="AX186" i="11"/>
  <c r="DR185" i="11"/>
  <c r="BY143" i="11"/>
  <c r="BQ141" i="11"/>
  <c r="K96" i="11"/>
  <c r="J89" i="8"/>
  <c r="K89" i="8" s="1"/>
  <c r="BT79" i="8"/>
  <c r="BT87" i="8"/>
  <c r="BR88" i="8" s="1"/>
  <c r="BU88" i="8" s="1"/>
  <c r="BT86" i="8"/>
  <c r="BR87" i="8" s="1"/>
  <c r="BT85" i="8"/>
  <c r="BR86" i="8" s="1"/>
  <c r="BR85" i="8"/>
  <c r="BT83" i="8"/>
  <c r="BR84" i="8" s="1"/>
  <c r="BT82" i="8"/>
  <c r="BT81" i="8"/>
  <c r="BT80" i="8"/>
  <c r="BJ85" i="8"/>
  <c r="BM85" i="8" s="1"/>
  <c r="BJ86" i="8"/>
  <c r="BM86" i="8" s="1"/>
  <c r="BN86" i="8" s="1"/>
  <c r="BJ87" i="8"/>
  <c r="BM87" i="8" s="1"/>
  <c r="BN87" i="8" s="1"/>
  <c r="BC85" i="8"/>
  <c r="BC86" i="8"/>
  <c r="BC87" i="8"/>
  <c r="AG85" i="8"/>
  <c r="AJ85" i="8" s="1"/>
  <c r="AG86" i="8"/>
  <c r="AJ86" i="8" s="1"/>
  <c r="AK86" i="8" s="1"/>
  <c r="AG87" i="8"/>
  <c r="AJ87" i="8" s="1"/>
  <c r="AK87" i="8" s="1"/>
  <c r="AA87" i="8"/>
  <c r="Y88" i="8" s="1"/>
  <c r="AB88" i="8" s="1"/>
  <c r="AC88" i="8" s="1"/>
  <c r="AA86" i="8"/>
  <c r="Y87" i="8" s="1"/>
  <c r="AB87" i="8" s="1"/>
  <c r="AC87" i="8" s="1"/>
  <c r="AA85" i="8"/>
  <c r="Y86" i="8" s="1"/>
  <c r="Q85" i="8"/>
  <c r="T85" i="8" s="1"/>
  <c r="U85" i="8" s="1"/>
  <c r="Q86" i="8"/>
  <c r="Q87" i="8"/>
  <c r="T87" i="8" s="1"/>
  <c r="U87" i="8" s="1"/>
  <c r="I86" i="8"/>
  <c r="F87" i="8" s="1"/>
  <c r="J87" i="8" s="1"/>
  <c r="K87" i="8" s="1"/>
  <c r="I85" i="8"/>
  <c r="F86" i="8" s="1"/>
  <c r="J86" i="8" l="1"/>
  <c r="K86" i="8" s="1"/>
  <c r="AB86" i="8"/>
  <c r="AC86" i="8" s="1"/>
  <c r="DB192" i="11"/>
  <c r="DZ191" i="11"/>
  <c r="AJ53" i="11"/>
  <c r="AQ53" i="11"/>
  <c r="EH186" i="11"/>
  <c r="X53" i="11"/>
  <c r="E54" i="11"/>
  <c r="L53" i="11"/>
  <c r="CT186" i="11"/>
  <c r="DJ188" i="11"/>
  <c r="EO188" i="11"/>
  <c r="AI184" i="11"/>
  <c r="AP186" i="11"/>
  <c r="BG200" i="11"/>
  <c r="AX187" i="11"/>
  <c r="DR186" i="11"/>
  <c r="BY144" i="11"/>
  <c r="BQ142" i="11"/>
  <c r="K97" i="11"/>
  <c r="BN85" i="8"/>
  <c r="BU87" i="8"/>
  <c r="BU86" i="8"/>
  <c r="BU85" i="8"/>
  <c r="AK85" i="8"/>
  <c r="BM84" i="8"/>
  <c r="BN84" i="8" s="1"/>
  <c r="BJ84" i="8"/>
  <c r="BC84" i="8"/>
  <c r="AG84" i="8"/>
  <c r="AJ84" i="8" s="1"/>
  <c r="AA84" i="8"/>
  <c r="Y85" i="8" s="1"/>
  <c r="AB85" i="8" s="1"/>
  <c r="Q84" i="8"/>
  <c r="I84" i="8"/>
  <c r="F85" i="8" s="1"/>
  <c r="J85" i="8" s="1"/>
  <c r="K85" i="8" s="1"/>
  <c r="DB193" i="11" l="1"/>
  <c r="DZ192" i="11"/>
  <c r="AJ54" i="11"/>
  <c r="AQ54" i="11"/>
  <c r="EH187" i="11"/>
  <c r="X54" i="11"/>
  <c r="L54" i="11"/>
  <c r="E55" i="11"/>
  <c r="CT187" i="11"/>
  <c r="DJ189" i="11"/>
  <c r="EO189" i="11"/>
  <c r="AI185" i="11"/>
  <c r="AP187" i="11"/>
  <c r="BG201" i="11"/>
  <c r="AX188" i="11"/>
  <c r="DR187" i="11"/>
  <c r="BY145" i="11"/>
  <c r="BQ143" i="11"/>
  <c r="K98" i="11"/>
  <c r="AC85" i="8"/>
  <c r="AK84" i="8"/>
  <c r="BR81" i="8"/>
  <c r="BU81" i="8" s="1"/>
  <c r="BR82" i="8"/>
  <c r="BU82" i="8" s="1"/>
  <c r="BR83" i="8"/>
  <c r="BU83" i="8" s="1"/>
  <c r="BJ81" i="8"/>
  <c r="BM81" i="8" s="1"/>
  <c r="BJ82" i="8"/>
  <c r="BM82" i="8" s="1"/>
  <c r="BN82" i="8" s="1"/>
  <c r="BJ83" i="8"/>
  <c r="BM83" i="8" s="1"/>
  <c r="BN83" i="8" s="1"/>
  <c r="BC81" i="8"/>
  <c r="BC82" i="8"/>
  <c r="BC83" i="8"/>
  <c r="BF83" i="8" s="1"/>
  <c r="AG81" i="8"/>
  <c r="AJ81" i="8" s="1"/>
  <c r="AG82" i="8"/>
  <c r="AJ82" i="8" s="1"/>
  <c r="AK82" i="8" s="1"/>
  <c r="AG83" i="8"/>
  <c r="AJ83" i="8" s="1"/>
  <c r="AK83" i="8" s="1"/>
  <c r="AA83" i="8"/>
  <c r="Y84" i="8" s="1"/>
  <c r="AB84" i="8" s="1"/>
  <c r="AC84" i="8" s="1"/>
  <c r="AA82" i="8"/>
  <c r="Y83" i="8" s="1"/>
  <c r="AA81" i="8"/>
  <c r="Y82" i="8" s="1"/>
  <c r="Q81" i="8"/>
  <c r="Q82" i="8"/>
  <c r="Q83" i="8"/>
  <c r="I83" i="8"/>
  <c r="F84" i="8" s="1"/>
  <c r="J84" i="8" s="1"/>
  <c r="K84" i="8" s="1"/>
  <c r="I82" i="8"/>
  <c r="F83" i="8" s="1"/>
  <c r="I81" i="8"/>
  <c r="F82" i="8" s="1"/>
  <c r="J82" i="8" s="1"/>
  <c r="K82" i="8" s="1"/>
  <c r="AB83" i="8" l="1"/>
  <c r="AC83" i="8" s="1"/>
  <c r="AB82" i="8"/>
  <c r="AC82" i="8" s="1"/>
  <c r="J83" i="8"/>
  <c r="K83" i="8" s="1"/>
  <c r="DB194" i="11"/>
  <c r="DZ193" i="11"/>
  <c r="AJ55" i="11"/>
  <c r="AQ55" i="11"/>
  <c r="EH188" i="11"/>
  <c r="X55" i="11"/>
  <c r="L55" i="11"/>
  <c r="E56" i="11"/>
  <c r="CT188" i="11"/>
  <c r="DJ190" i="11"/>
  <c r="EO190" i="11"/>
  <c r="AI186" i="11"/>
  <c r="AP188" i="11"/>
  <c r="BG202" i="11"/>
  <c r="BG203" i="11" s="1"/>
  <c r="AX189" i="11"/>
  <c r="DR188" i="11"/>
  <c r="BY146" i="11"/>
  <c r="BQ144" i="11"/>
  <c r="K99" i="11"/>
  <c r="BN81" i="8"/>
  <c r="AK81" i="8"/>
  <c r="BG204" i="11" l="1"/>
  <c r="DB195" i="11"/>
  <c r="DZ194" i="11"/>
  <c r="AJ56" i="11"/>
  <c r="AQ56" i="11"/>
  <c r="EH189" i="11"/>
  <c r="X56" i="11"/>
  <c r="L56" i="11"/>
  <c r="E57" i="11"/>
  <c r="CT189" i="11"/>
  <c r="DJ191" i="11"/>
  <c r="EO191" i="11"/>
  <c r="AI187" i="11"/>
  <c r="AP189" i="11"/>
  <c r="AX190" i="11"/>
  <c r="DR189" i="11"/>
  <c r="BY147" i="11"/>
  <c r="BQ145" i="11"/>
  <c r="K100" i="11"/>
  <c r="BJ80" i="8"/>
  <c r="BM80" i="8" s="1"/>
  <c r="BN80" i="8" s="1"/>
  <c r="BC80" i="8"/>
  <c r="AG80" i="8"/>
  <c r="AJ80" i="8" s="1"/>
  <c r="AA80" i="8"/>
  <c r="Y81" i="8" s="1"/>
  <c r="AB81" i="8" s="1"/>
  <c r="Q80" i="8"/>
  <c r="I80" i="8"/>
  <c r="F81" i="8" s="1"/>
  <c r="J81" i="8" s="1"/>
  <c r="K81" i="8" s="1"/>
  <c r="BG205" i="11" l="1"/>
  <c r="DB196" i="11"/>
  <c r="DZ195" i="11"/>
  <c r="AJ57" i="11"/>
  <c r="AQ57" i="11"/>
  <c r="EH190" i="11"/>
  <c r="X57" i="11"/>
  <c r="L57" i="11"/>
  <c r="E58" i="11"/>
  <c r="CT190" i="11"/>
  <c r="DJ192" i="11"/>
  <c r="EO192" i="11"/>
  <c r="AI188" i="11"/>
  <c r="AP190" i="11"/>
  <c r="AX191" i="11"/>
  <c r="DR190" i="11"/>
  <c r="BY148" i="11"/>
  <c r="BQ146" i="11"/>
  <c r="K101" i="11"/>
  <c r="AC81" i="8"/>
  <c r="AK80" i="8"/>
  <c r="BR80" i="8"/>
  <c r="BU80" i="8" s="1"/>
  <c r="BG206" i="11" l="1"/>
  <c r="DB197" i="11"/>
  <c r="DZ196" i="11"/>
  <c r="AJ58" i="11"/>
  <c r="AQ58" i="11"/>
  <c r="EH191" i="11"/>
  <c r="X58" i="11"/>
  <c r="L58" i="11"/>
  <c r="E59" i="11"/>
  <c r="CT191" i="11"/>
  <c r="DJ193" i="11"/>
  <c r="EO193" i="11"/>
  <c r="AI189" i="11"/>
  <c r="AP191" i="11"/>
  <c r="AX192" i="11"/>
  <c r="DR191" i="11"/>
  <c r="BY149" i="11"/>
  <c r="BQ147" i="11"/>
  <c r="K102" i="11"/>
  <c r="BY79" i="8"/>
  <c r="BJ79" i="8"/>
  <c r="BM79" i="8" s="1"/>
  <c r="BN79" i="8" s="1"/>
  <c r="AG79" i="8"/>
  <c r="AJ79" i="8" s="1"/>
  <c r="AK79" i="8" s="1"/>
  <c r="AA79" i="8"/>
  <c r="Y80" i="8" s="1"/>
  <c r="AB80" i="8" s="1"/>
  <c r="AC80" i="8" s="1"/>
  <c r="Q79" i="8"/>
  <c r="H79" i="8"/>
  <c r="G79" i="8"/>
  <c r="I79" i="8"/>
  <c r="F80" i="8" s="1"/>
  <c r="J80" i="8" s="1"/>
  <c r="F79" i="8"/>
  <c r="BC79" i="8"/>
  <c r="AQ73" i="8"/>
  <c r="AR73" i="8"/>
  <c r="AQ74" i="8"/>
  <c r="AR74" i="8" s="1"/>
  <c r="AQ75" i="8"/>
  <c r="AR75" i="8" s="1"/>
  <c r="AQ76" i="8"/>
  <c r="AR76" i="8" s="1"/>
  <c r="AQ77" i="8"/>
  <c r="AR77" i="8" s="1"/>
  <c r="AQ78" i="8"/>
  <c r="AR78" i="8" s="1"/>
  <c r="AQ79" i="8"/>
  <c r="AR79" i="8" s="1"/>
  <c r="AX74" i="8"/>
  <c r="AY74" i="8" s="1"/>
  <c r="AX75" i="8"/>
  <c r="AY75" i="8" s="1"/>
  <c r="AX76" i="8"/>
  <c r="AY76" i="8" s="1"/>
  <c r="AX77" i="8"/>
  <c r="AY77" i="8" s="1"/>
  <c r="AX78" i="8"/>
  <c r="AY78" i="8" s="1"/>
  <c r="AX79" i="8"/>
  <c r="AY79" i="8" s="1"/>
  <c r="BG207" i="11" l="1"/>
  <c r="DB198" i="11"/>
  <c r="DZ197" i="11"/>
  <c r="AJ59" i="11"/>
  <c r="AQ59" i="11"/>
  <c r="EH192" i="11"/>
  <c r="X59" i="11"/>
  <c r="E60" i="11"/>
  <c r="L59" i="11"/>
  <c r="CT192" i="11"/>
  <c r="DJ194" i="11"/>
  <c r="EO194" i="11"/>
  <c r="AI190" i="11"/>
  <c r="AP192" i="11"/>
  <c r="AX193" i="11"/>
  <c r="DR192" i="11"/>
  <c r="BY150" i="11"/>
  <c r="BQ148" i="11"/>
  <c r="K103" i="11"/>
  <c r="K80" i="8"/>
  <c r="J79" i="8"/>
  <c r="K79" i="8" s="1"/>
  <c r="CH81" i="8"/>
  <c r="BR79" i="8"/>
  <c r="BU79" i="8" s="1"/>
  <c r="BT77" i="8"/>
  <c r="BR78" i="8" s="1"/>
  <c r="BT76" i="8"/>
  <c r="BR77" i="8" s="1"/>
  <c r="BT74" i="8"/>
  <c r="BR75" i="8" s="1"/>
  <c r="BU75" i="8" s="1"/>
  <c r="BT73" i="8"/>
  <c r="BR74" i="8" s="1"/>
  <c r="BT67" i="8"/>
  <c r="BT68" i="8"/>
  <c r="BT69" i="8"/>
  <c r="BT70" i="8"/>
  <c r="BT71" i="8"/>
  <c r="BT72" i="8"/>
  <c r="BT62" i="8"/>
  <c r="BY74" i="8"/>
  <c r="BY75" i="8"/>
  <c r="BY76" i="8"/>
  <c r="BY77" i="8"/>
  <c r="BY78" i="8"/>
  <c r="BJ74" i="8"/>
  <c r="BM74" i="8" s="1"/>
  <c r="BN74" i="8" s="1"/>
  <c r="BJ75" i="8"/>
  <c r="BM75" i="8" s="1"/>
  <c r="BN75" i="8" s="1"/>
  <c r="BJ76" i="8"/>
  <c r="BM76" i="8" s="1"/>
  <c r="BN76" i="8" s="1"/>
  <c r="BJ77" i="8"/>
  <c r="BM77" i="8" s="1"/>
  <c r="BN77" i="8" s="1"/>
  <c r="BJ78" i="8"/>
  <c r="BM78" i="8" s="1"/>
  <c r="BN78" i="8" s="1"/>
  <c r="BC74" i="8"/>
  <c r="BC75" i="8"/>
  <c r="BC76" i="8"/>
  <c r="BC77" i="8"/>
  <c r="BC78" i="8"/>
  <c r="AG74" i="8"/>
  <c r="AJ74" i="8" s="1"/>
  <c r="AK74" i="8" s="1"/>
  <c r="AG75" i="8"/>
  <c r="AJ75" i="8" s="1"/>
  <c r="AK75" i="8" s="1"/>
  <c r="AG76" i="8"/>
  <c r="AJ76" i="8" s="1"/>
  <c r="AK76" i="8" s="1"/>
  <c r="AG77" i="8"/>
  <c r="AJ77" i="8" s="1"/>
  <c r="AK77" i="8" s="1"/>
  <c r="AG78" i="8"/>
  <c r="AJ78" i="8" s="1"/>
  <c r="AK78" i="8" s="1"/>
  <c r="AA78" i="8"/>
  <c r="Y79" i="8" s="1"/>
  <c r="AB79" i="8" s="1"/>
  <c r="AC79" i="8" s="1"/>
  <c r="AA77" i="8"/>
  <c r="Y78" i="8" s="1"/>
  <c r="AA76" i="8"/>
  <c r="Y77" i="8" s="1"/>
  <c r="AA75" i="8"/>
  <c r="Y76" i="8" s="1"/>
  <c r="AA74" i="8"/>
  <c r="Y75" i="8" s="1"/>
  <c r="AA73" i="8"/>
  <c r="Y74" i="8" s="1"/>
  <c r="AB74" i="8" s="1"/>
  <c r="AC74" i="8" s="1"/>
  <c r="Q75" i="8"/>
  <c r="T75" i="8" s="1"/>
  <c r="U75" i="8" s="1"/>
  <c r="Q76" i="8"/>
  <c r="T76" i="8" s="1"/>
  <c r="U76" i="8" s="1"/>
  <c r="Q77" i="8"/>
  <c r="T77" i="8" s="1"/>
  <c r="U77" i="8" s="1"/>
  <c r="Q78" i="8"/>
  <c r="T78" i="8" s="1"/>
  <c r="U78" i="8" s="1"/>
  <c r="F75" i="8"/>
  <c r="F77" i="8"/>
  <c r="J77" i="8" s="1"/>
  <c r="K77" i="8" s="1"/>
  <c r="F78" i="8"/>
  <c r="J78" i="8" s="1"/>
  <c r="K78" i="8" s="1"/>
  <c r="I75" i="8"/>
  <c r="F76" i="8" s="1"/>
  <c r="J76" i="8" s="1"/>
  <c r="K76" i="8" s="1"/>
  <c r="BG208" i="11" l="1"/>
  <c r="AB75" i="8"/>
  <c r="AC75" i="8" s="1"/>
  <c r="AB77" i="8"/>
  <c r="AC77" i="8" s="1"/>
  <c r="AB76" i="8"/>
  <c r="AC76" i="8" s="1"/>
  <c r="BU74" i="8"/>
  <c r="J75" i="8"/>
  <c r="K75" i="8" s="1"/>
  <c r="AB78" i="8"/>
  <c r="AC78" i="8" s="1"/>
  <c r="BU77" i="8"/>
  <c r="DB199" i="11"/>
  <c r="DZ198" i="11"/>
  <c r="AJ60" i="11"/>
  <c r="AQ60" i="11"/>
  <c r="EH193" i="11"/>
  <c r="X60" i="11"/>
  <c r="L60" i="11"/>
  <c r="E61" i="11"/>
  <c r="CT193" i="11"/>
  <c r="DJ195" i="11"/>
  <c r="EO195" i="11"/>
  <c r="AI191" i="11"/>
  <c r="AP193" i="11"/>
  <c r="AX194" i="11"/>
  <c r="DR193" i="11"/>
  <c r="BY151" i="11"/>
  <c r="BQ149" i="11"/>
  <c r="K104" i="11"/>
  <c r="BR76" i="8"/>
  <c r="BU76" i="8" s="1"/>
  <c r="BR73" i="8"/>
  <c r="BU73" i="8" s="1"/>
  <c r="BY67" i="8"/>
  <c r="BY68" i="8"/>
  <c r="BY69" i="8"/>
  <c r="BY70" i="8"/>
  <c r="BY71" i="8"/>
  <c r="BY72" i="8"/>
  <c r="BY73" i="8"/>
  <c r="BY66" i="8"/>
  <c r="BY65" i="8"/>
  <c r="BY64" i="8"/>
  <c r="BY63" i="8"/>
  <c r="BJ73" i="8"/>
  <c r="BM73" i="8" s="1"/>
  <c r="BC73" i="8"/>
  <c r="AG73" i="8"/>
  <c r="AJ73" i="8" s="1"/>
  <c r="AK73" i="8" s="1"/>
  <c r="S73" i="8"/>
  <c r="Q74" i="8" s="1"/>
  <c r="T74" i="8" s="1"/>
  <c r="U74" i="8" s="1"/>
  <c r="I73" i="8"/>
  <c r="F74" i="8" s="1"/>
  <c r="J74" i="8" s="1"/>
  <c r="K74" i="8" s="1"/>
  <c r="AX67" i="8"/>
  <c r="AY67" i="8" s="1"/>
  <c r="AX68" i="8"/>
  <c r="AY68" i="8" s="1"/>
  <c r="AX69" i="8"/>
  <c r="AY69" i="8" s="1"/>
  <c r="AX70" i="8"/>
  <c r="AY70" i="8" s="1"/>
  <c r="AX71" i="8"/>
  <c r="AY71" i="8" s="1"/>
  <c r="AX72" i="8"/>
  <c r="AY72" i="8" s="1"/>
  <c r="AX73" i="8"/>
  <c r="AY73" i="8" s="1"/>
  <c r="AX66" i="8"/>
  <c r="AY66" i="8" s="1"/>
  <c r="BG209" i="11" l="1"/>
  <c r="DB200" i="11"/>
  <c r="DZ199" i="11"/>
  <c r="AJ61" i="11"/>
  <c r="AQ61" i="11"/>
  <c r="EH194" i="11"/>
  <c r="X61" i="11"/>
  <c r="E62" i="11"/>
  <c r="L61" i="11"/>
  <c r="CT194" i="11"/>
  <c r="DJ196" i="11"/>
  <c r="EO196" i="11"/>
  <c r="AI192" i="11"/>
  <c r="AP194" i="11"/>
  <c r="AX195" i="11"/>
  <c r="DR194" i="11"/>
  <c r="BY152" i="11"/>
  <c r="BQ150" i="11"/>
  <c r="K105" i="11"/>
  <c r="BN73" i="8"/>
  <c r="AQ67" i="8"/>
  <c r="AR67" i="8" s="1"/>
  <c r="AQ68" i="8"/>
  <c r="AR68" i="8" s="1"/>
  <c r="AQ69" i="8"/>
  <c r="AR69" i="8" s="1"/>
  <c r="AQ70" i="8"/>
  <c r="AR70" i="8" s="1"/>
  <c r="AQ71" i="8"/>
  <c r="AR71" i="8" s="1"/>
  <c r="AQ72" i="8"/>
  <c r="AR72" i="8" s="1"/>
  <c r="AQ66" i="8"/>
  <c r="AR66" i="8" s="1"/>
  <c r="BR67" i="8"/>
  <c r="BU67" i="8" s="1"/>
  <c r="BR68" i="8"/>
  <c r="BU68" i="8" s="1"/>
  <c r="BR69" i="8"/>
  <c r="BU69" i="8" s="1"/>
  <c r="BR70" i="8"/>
  <c r="BU70" i="8" s="1"/>
  <c r="BR71" i="8"/>
  <c r="BU71" i="8" s="1"/>
  <c r="BR72" i="8"/>
  <c r="BU72" i="8" s="1"/>
  <c r="BR66" i="8"/>
  <c r="BR65" i="8"/>
  <c r="BR63" i="8"/>
  <c r="BT63" i="8"/>
  <c r="BR64" i="8" s="1"/>
  <c r="BJ67" i="8"/>
  <c r="BJ68" i="8"/>
  <c r="BM68" i="8" s="1"/>
  <c r="BN68" i="8" s="1"/>
  <c r="BJ69" i="8"/>
  <c r="BM69" i="8" s="1"/>
  <c r="BN69" i="8" s="1"/>
  <c r="BJ70" i="8"/>
  <c r="BM70" i="8" s="1"/>
  <c r="BN70" i="8" s="1"/>
  <c r="BJ71" i="8"/>
  <c r="BM71" i="8" s="1"/>
  <c r="BN71" i="8" s="1"/>
  <c r="BJ72" i="8"/>
  <c r="BM72" i="8" s="1"/>
  <c r="BN72" i="8" s="1"/>
  <c r="BJ66" i="8"/>
  <c r="BJ65" i="8"/>
  <c r="BJ64" i="8"/>
  <c r="BJ63" i="8"/>
  <c r="BC67" i="8"/>
  <c r="BC68" i="8"/>
  <c r="BC69" i="8"/>
  <c r="BC70" i="8"/>
  <c r="BC71" i="8"/>
  <c r="BC72" i="8"/>
  <c r="BF72" i="8" s="1"/>
  <c r="BC66" i="8"/>
  <c r="BF66" i="8" s="1"/>
  <c r="BC65" i="8"/>
  <c r="BC64" i="8"/>
  <c r="BC63" i="8"/>
  <c r="AG67" i="8"/>
  <c r="AJ67" i="8" s="1"/>
  <c r="AK67" i="8" s="1"/>
  <c r="AG68" i="8"/>
  <c r="AJ68" i="8" s="1"/>
  <c r="AK68" i="8" s="1"/>
  <c r="AG69" i="8"/>
  <c r="AJ69" i="8" s="1"/>
  <c r="AK69" i="8" s="1"/>
  <c r="AG70" i="8"/>
  <c r="AJ70" i="8" s="1"/>
  <c r="AK70" i="8" s="1"/>
  <c r="AG71" i="8"/>
  <c r="AJ71" i="8" s="1"/>
  <c r="AK71" i="8" s="1"/>
  <c r="AG72" i="8"/>
  <c r="AJ72" i="8" s="1"/>
  <c r="AK72" i="8" s="1"/>
  <c r="AG66" i="8"/>
  <c r="AJ66" i="8" s="1"/>
  <c r="AG65" i="8"/>
  <c r="AG64" i="8"/>
  <c r="AG63" i="8"/>
  <c r="Y69" i="8"/>
  <c r="Y66" i="8"/>
  <c r="Y65" i="8"/>
  <c r="Y64" i="8"/>
  <c r="Y63" i="8"/>
  <c r="AA72" i="8"/>
  <c r="Y73" i="8" s="1"/>
  <c r="AB73" i="8" s="1"/>
  <c r="AC73" i="8" s="1"/>
  <c r="AA71" i="8"/>
  <c r="Y72" i="8" s="1"/>
  <c r="AB72" i="8" s="1"/>
  <c r="AC72" i="8" s="1"/>
  <c r="AA70" i="8"/>
  <c r="Y71" i="8" s="1"/>
  <c r="AA69" i="8"/>
  <c r="AB69" i="8" s="1"/>
  <c r="AC69" i="8" s="1"/>
  <c r="AA67" i="8"/>
  <c r="Y68" i="8" s="1"/>
  <c r="AB68" i="8" s="1"/>
  <c r="AC68" i="8" s="1"/>
  <c r="AA66" i="8"/>
  <c r="S67" i="8"/>
  <c r="Q68" i="8" s="1"/>
  <c r="S68" i="8"/>
  <c r="Q69" i="8" s="1"/>
  <c r="S69" i="8"/>
  <c r="S70" i="8"/>
  <c r="S71" i="8"/>
  <c r="Q72" i="8" s="1"/>
  <c r="S72" i="8"/>
  <c r="Q73" i="8" s="1"/>
  <c r="S66" i="8"/>
  <c r="Q67" i="8" s="1"/>
  <c r="Q70" i="8"/>
  <c r="Q71" i="8"/>
  <c r="Q66" i="8"/>
  <c r="Q65" i="8"/>
  <c r="Q64" i="8"/>
  <c r="Q63" i="8"/>
  <c r="I71" i="8"/>
  <c r="F72" i="8" s="1"/>
  <c r="I72" i="8"/>
  <c r="F73" i="8" s="1"/>
  <c r="J73" i="8" s="1"/>
  <c r="K73" i="8" s="1"/>
  <c r="I70" i="8"/>
  <c r="F71" i="8" s="1"/>
  <c r="I69" i="8"/>
  <c r="F70" i="8" s="1"/>
  <c r="J70" i="8" s="1"/>
  <c r="K70" i="8" s="1"/>
  <c r="I68" i="8"/>
  <c r="F69" i="8" s="1"/>
  <c r="I67" i="8"/>
  <c r="F68" i="8" s="1"/>
  <c r="F67" i="8"/>
  <c r="F66" i="8"/>
  <c r="F65" i="8"/>
  <c r="F64" i="8"/>
  <c r="AB66" i="8" l="1"/>
  <c r="BG210" i="11"/>
  <c r="J68" i="8"/>
  <c r="K68" i="8" s="1"/>
  <c r="Y67" i="8"/>
  <c r="AB67" i="8" s="1"/>
  <c r="AC67" i="8" s="1"/>
  <c r="J67" i="8"/>
  <c r="K67" i="8" s="1"/>
  <c r="AB71" i="8"/>
  <c r="AC71" i="8" s="1"/>
  <c r="DB201" i="11"/>
  <c r="DZ200" i="11"/>
  <c r="AJ62" i="11"/>
  <c r="AQ62" i="11"/>
  <c r="EH195" i="11"/>
  <c r="X62" i="11"/>
  <c r="L62" i="11"/>
  <c r="E63" i="11"/>
  <c r="CT195" i="11"/>
  <c r="DJ197" i="11"/>
  <c r="EO197" i="11"/>
  <c r="AI193" i="11"/>
  <c r="AP195" i="11"/>
  <c r="AX196" i="11"/>
  <c r="DR195" i="11"/>
  <c r="BY153" i="11"/>
  <c r="BQ151" i="11"/>
  <c r="K106" i="11"/>
  <c r="Y70" i="8"/>
  <c r="AB70" i="8" s="1"/>
  <c r="AC70" i="8" s="1"/>
  <c r="AK66" i="8"/>
  <c r="AC66" i="8"/>
  <c r="J71" i="8"/>
  <c r="K71" i="8" s="1"/>
  <c r="J72" i="8"/>
  <c r="K72" i="8" s="1"/>
  <c r="J69" i="8"/>
  <c r="K69" i="8" s="1"/>
  <c r="BY61" i="8"/>
  <c r="BY62" i="8"/>
  <c r="BJ61" i="8"/>
  <c r="BJ62" i="8"/>
  <c r="BC61" i="8"/>
  <c r="BC62" i="8"/>
  <c r="AG61" i="8"/>
  <c r="AG62" i="8"/>
  <c r="Y62" i="8"/>
  <c r="Q61" i="8"/>
  <c r="Q62" i="8"/>
  <c r="F62" i="8"/>
  <c r="F63" i="8"/>
  <c r="BT61" i="8"/>
  <c r="BR62" i="8" s="1"/>
  <c r="BT60" i="8"/>
  <c r="BR61" i="8" s="1"/>
  <c r="BY59" i="8"/>
  <c r="BY60" i="8"/>
  <c r="BJ59" i="8"/>
  <c r="BM59" i="8" s="1"/>
  <c r="BJ60" i="8"/>
  <c r="BC59" i="8"/>
  <c r="BC60" i="8"/>
  <c r="AG59" i="8"/>
  <c r="AJ59" i="8" s="1"/>
  <c r="AG60" i="8"/>
  <c r="AJ60" i="8" s="1"/>
  <c r="AK60" i="8" s="1"/>
  <c r="AA60" i="8"/>
  <c r="Y61" i="8" s="1"/>
  <c r="AA59" i="8"/>
  <c r="Y60" i="8" s="1"/>
  <c r="Q59" i="8"/>
  <c r="Q60" i="8"/>
  <c r="I60" i="8"/>
  <c r="F61" i="8" s="1"/>
  <c r="J61" i="8" s="1"/>
  <c r="I59" i="8"/>
  <c r="F60" i="8" s="1"/>
  <c r="BG211" i="11" l="1"/>
  <c r="AB60" i="8"/>
  <c r="AC60" i="8" s="1"/>
  <c r="J60" i="8"/>
  <c r="K60" i="8" s="1"/>
  <c r="DB202" i="11"/>
  <c r="DB203" i="11" s="1"/>
  <c r="DZ201" i="11"/>
  <c r="AJ63" i="11"/>
  <c r="AQ63" i="11"/>
  <c r="EH196" i="11"/>
  <c r="X63" i="11"/>
  <c r="L63" i="11"/>
  <c r="E64" i="11"/>
  <c r="CT196" i="11"/>
  <c r="DJ198" i="11"/>
  <c r="EO198" i="11"/>
  <c r="AI194" i="11"/>
  <c r="AP196" i="11"/>
  <c r="AX197" i="11"/>
  <c r="DR196" i="11"/>
  <c r="BY154" i="11"/>
  <c r="BQ152" i="11"/>
  <c r="K107" i="11"/>
  <c r="AK59" i="8"/>
  <c r="K61" i="8"/>
  <c r="BN59" i="8"/>
  <c r="AX60" i="8"/>
  <c r="AY60" i="8" s="1"/>
  <c r="AX59" i="8"/>
  <c r="AY59" i="8" s="1"/>
  <c r="AX58" i="8"/>
  <c r="AY58" i="8" s="1"/>
  <c r="AX57" i="8"/>
  <c r="AY57" i="8" s="1"/>
  <c r="AX56" i="8"/>
  <c r="AY56" i="8" s="1"/>
  <c r="AX55" i="8"/>
  <c r="AY55" i="8" s="1"/>
  <c r="AX54" i="8"/>
  <c r="AY54" i="8" s="1"/>
  <c r="AX53" i="8"/>
  <c r="AY53" i="8" s="1"/>
  <c r="AQ59" i="8"/>
  <c r="AR59" i="8" s="1"/>
  <c r="AQ60" i="8"/>
  <c r="AR60" i="8" s="1"/>
  <c r="AQ53" i="8"/>
  <c r="AR53" i="8" s="1"/>
  <c r="AQ54" i="8"/>
  <c r="AR54" i="8" s="1"/>
  <c r="AQ55" i="8"/>
  <c r="AR55" i="8" s="1"/>
  <c r="AQ56" i="8"/>
  <c r="AR56" i="8" s="1"/>
  <c r="AQ57" i="8"/>
  <c r="AR57" i="8" s="1"/>
  <c r="AQ58" i="8"/>
  <c r="AR58" i="8" s="1"/>
  <c r="DB204" i="11" l="1"/>
  <c r="BG212" i="11"/>
  <c r="DZ202" i="11"/>
  <c r="DZ203" i="11" s="1"/>
  <c r="AJ64" i="11"/>
  <c r="AQ64" i="11"/>
  <c r="EH197" i="11"/>
  <c r="X64" i="11"/>
  <c r="E65" i="11"/>
  <c r="L64" i="11"/>
  <c r="CT197" i="11"/>
  <c r="DJ199" i="11"/>
  <c r="EO199" i="11"/>
  <c r="AI195" i="11"/>
  <c r="AP197" i="11"/>
  <c r="AX198" i="11"/>
  <c r="DR197" i="11"/>
  <c r="BY155" i="11"/>
  <c r="BQ153" i="11"/>
  <c r="K108" i="11"/>
  <c r="BY58" i="8"/>
  <c r="BT59" i="8"/>
  <c r="BR60" i="8" s="1"/>
  <c r="BJ58" i="8"/>
  <c r="BM58" i="8" s="1"/>
  <c r="BC58" i="8"/>
  <c r="BF58" i="8" s="1"/>
  <c r="Q58" i="8"/>
  <c r="I58" i="8"/>
  <c r="F59" i="8" s="1"/>
  <c r="J59" i="8" s="1"/>
  <c r="K59" i="8" s="1"/>
  <c r="AG58" i="8"/>
  <c r="AJ58" i="8" s="1"/>
  <c r="AK58" i="8" s="1"/>
  <c r="AA58" i="8"/>
  <c r="Y59" i="8" s="1"/>
  <c r="AB59" i="8" s="1"/>
  <c r="AC59" i="8" s="1"/>
  <c r="DZ204" i="11" l="1"/>
  <c r="BG213" i="11"/>
  <c r="DB205" i="11"/>
  <c r="AJ65" i="11"/>
  <c r="AQ65" i="11"/>
  <c r="EH198" i="11"/>
  <c r="X65" i="11"/>
  <c r="L65" i="11"/>
  <c r="E66" i="11"/>
  <c r="CT198" i="11"/>
  <c r="DJ200" i="11"/>
  <c r="EO200" i="11"/>
  <c r="AI196" i="11"/>
  <c r="AP198" i="11"/>
  <c r="AX199" i="11"/>
  <c r="DR198" i="11"/>
  <c r="BY156" i="11"/>
  <c r="BQ154" i="11"/>
  <c r="K109" i="11"/>
  <c r="BN58" i="8"/>
  <c r="BY56" i="8"/>
  <c r="CB56" i="8" s="1"/>
  <c r="BY57" i="8"/>
  <c r="BT58" i="8"/>
  <c r="BR59" i="8" s="1"/>
  <c r="BU59" i="8" s="1"/>
  <c r="BT57" i="8"/>
  <c r="BR58" i="8" s="1"/>
  <c r="BJ56" i="8"/>
  <c r="BM56" i="8" s="1"/>
  <c r="BN56" i="8" s="1"/>
  <c r="BJ57" i="8"/>
  <c r="BM57" i="8" s="1"/>
  <c r="BN57" i="8" s="1"/>
  <c r="BC56" i="8"/>
  <c r="BC57" i="8"/>
  <c r="AG56" i="8"/>
  <c r="AJ56" i="8" s="1"/>
  <c r="AK56" i="8" s="1"/>
  <c r="AG57" i="8"/>
  <c r="AJ57" i="8" s="1"/>
  <c r="AK57" i="8" s="1"/>
  <c r="AA57" i="8"/>
  <c r="Y58" i="8" s="1"/>
  <c r="AB58" i="8" s="1"/>
  <c r="AC58" i="8" s="1"/>
  <c r="AA56" i="8"/>
  <c r="Y57" i="8" s="1"/>
  <c r="Q56" i="8"/>
  <c r="T56" i="8" s="1"/>
  <c r="U56" i="8" s="1"/>
  <c r="Q57" i="8"/>
  <c r="T57" i="8" s="1"/>
  <c r="U57" i="8" s="1"/>
  <c r="F57" i="8"/>
  <c r="I57" i="8"/>
  <c r="F58" i="8" s="1"/>
  <c r="J58" i="8" s="1"/>
  <c r="K58" i="8" s="1"/>
  <c r="DB206" i="11" l="1"/>
  <c r="BG214" i="11"/>
  <c r="DZ205" i="11"/>
  <c r="BU58" i="8"/>
  <c r="J57" i="8"/>
  <c r="K57" i="8" s="1"/>
  <c r="AB57" i="8"/>
  <c r="AC57" i="8" s="1"/>
  <c r="AJ66" i="11"/>
  <c r="AQ66" i="11"/>
  <c r="EH199" i="11"/>
  <c r="X66" i="11"/>
  <c r="E67" i="11"/>
  <c r="L66" i="11"/>
  <c r="CT199" i="11"/>
  <c r="DJ201" i="11"/>
  <c r="EO201" i="11"/>
  <c r="AI197" i="11"/>
  <c r="AP199" i="11"/>
  <c r="AX200" i="11"/>
  <c r="DR199" i="11"/>
  <c r="BY157" i="11"/>
  <c r="BQ155" i="11"/>
  <c r="K110" i="11"/>
  <c r="CC56" i="8"/>
  <c r="BY53" i="8"/>
  <c r="CB53" i="8" s="1"/>
  <c r="CC53" i="8" s="1"/>
  <c r="BY54" i="8"/>
  <c r="CB54" i="8" s="1"/>
  <c r="CC54" i="8" s="1"/>
  <c r="BY55" i="8"/>
  <c r="CB55" i="8" s="1"/>
  <c r="CC55" i="8" s="1"/>
  <c r="BJ53" i="8"/>
  <c r="BM53" i="8" s="1"/>
  <c r="BJ54" i="8"/>
  <c r="BM54" i="8" s="1"/>
  <c r="BN54" i="8" s="1"/>
  <c r="BJ55" i="8"/>
  <c r="BM55" i="8" s="1"/>
  <c r="BN55" i="8" s="1"/>
  <c r="BC53" i="8"/>
  <c r="BC54" i="8"/>
  <c r="BC55" i="8"/>
  <c r="AG53" i="8"/>
  <c r="AJ53" i="8" s="1"/>
  <c r="AG54" i="8"/>
  <c r="AJ54" i="8" s="1"/>
  <c r="AK54" i="8" s="1"/>
  <c r="AG55" i="8"/>
  <c r="AJ55" i="8" s="1"/>
  <c r="AK55" i="8" s="1"/>
  <c r="AA55" i="8"/>
  <c r="Y56" i="8" s="1"/>
  <c r="AB56" i="8" s="1"/>
  <c r="AC56" i="8" s="1"/>
  <c r="AA54" i="8"/>
  <c r="Y55" i="8" s="1"/>
  <c r="AA53" i="8"/>
  <c r="Y54" i="8" s="1"/>
  <c r="AB54" i="8" s="1"/>
  <c r="AC54" i="8" s="1"/>
  <c r="Q53" i="8"/>
  <c r="T53" i="8" s="1"/>
  <c r="Q54" i="8"/>
  <c r="T54" i="8" s="1"/>
  <c r="U54" i="8" s="1"/>
  <c r="Q55" i="8"/>
  <c r="T55" i="8" s="1"/>
  <c r="U55" i="8" s="1"/>
  <c r="F55" i="8"/>
  <c r="I55" i="8"/>
  <c r="F56" i="8" s="1"/>
  <c r="J56" i="8" s="1"/>
  <c r="K56" i="8" s="1"/>
  <c r="I53" i="8"/>
  <c r="F54" i="8" s="1"/>
  <c r="J54" i="8" s="1"/>
  <c r="K54" i="8" s="1"/>
  <c r="BT53" i="8"/>
  <c r="BR54" i="8" s="1"/>
  <c r="BT54" i="8"/>
  <c r="BR55" i="8" s="1"/>
  <c r="BT55" i="8"/>
  <c r="BR56" i="8" s="1"/>
  <c r="BT56" i="8"/>
  <c r="BR57" i="8" s="1"/>
  <c r="BU57" i="8" s="1"/>
  <c r="BU54" i="8" l="1"/>
  <c r="DZ206" i="11"/>
  <c r="BG215" i="11"/>
  <c r="DB207" i="11"/>
  <c r="BU55" i="8"/>
  <c r="J55" i="8"/>
  <c r="K55" i="8" s="1"/>
  <c r="BU56" i="8"/>
  <c r="AB55" i="8"/>
  <c r="AC55" i="8" s="1"/>
  <c r="AJ67" i="11"/>
  <c r="AQ67" i="11"/>
  <c r="EH200" i="11"/>
  <c r="X67" i="11"/>
  <c r="E68" i="11"/>
  <c r="L67" i="11"/>
  <c r="CT200" i="11"/>
  <c r="DJ202" i="11"/>
  <c r="DJ203" i="11" s="1"/>
  <c r="EO202" i="11"/>
  <c r="EO203" i="11" s="1"/>
  <c r="EO204" i="11" s="1"/>
  <c r="EO205" i="11" s="1"/>
  <c r="EO206" i="11" s="1"/>
  <c r="EO207" i="11" s="1"/>
  <c r="EO208" i="11" s="1"/>
  <c r="EO209" i="11" s="1"/>
  <c r="EO210" i="11" s="1"/>
  <c r="EO211" i="11" s="1"/>
  <c r="EO212" i="11" s="1"/>
  <c r="EO213" i="11" s="1"/>
  <c r="EO214" i="11" s="1"/>
  <c r="EO215" i="11" s="1"/>
  <c r="EO216" i="11" s="1"/>
  <c r="EO217" i="11" s="1"/>
  <c r="EO218" i="11" s="1"/>
  <c r="EO219" i="11" s="1"/>
  <c r="EO220" i="11" s="1"/>
  <c r="EO221" i="11" s="1"/>
  <c r="EO222" i="11" s="1"/>
  <c r="EO223" i="11" s="1"/>
  <c r="EO224" i="11" s="1"/>
  <c r="EO225" i="11" s="1"/>
  <c r="EO226" i="11" s="1"/>
  <c r="EO227" i="11" s="1"/>
  <c r="EO228" i="11" s="1"/>
  <c r="EO229" i="11" s="1"/>
  <c r="EO230" i="11" s="1"/>
  <c r="EO231" i="11" s="1"/>
  <c r="EO232" i="11" s="1"/>
  <c r="EO233" i="11" s="1"/>
  <c r="EO234" i="11" s="1"/>
  <c r="EO235" i="11" s="1"/>
  <c r="EO236" i="11" s="1"/>
  <c r="EO237" i="11" s="1"/>
  <c r="EO238" i="11" s="1"/>
  <c r="EO239" i="11" s="1"/>
  <c r="EO240" i="11" s="1"/>
  <c r="AI198" i="11"/>
  <c r="AP200" i="11"/>
  <c r="AX201" i="11"/>
  <c r="DR200" i="11"/>
  <c r="BY158" i="11"/>
  <c r="BQ156" i="11"/>
  <c r="K111" i="11"/>
  <c r="AK53" i="8"/>
  <c r="BN53" i="8"/>
  <c r="U53" i="8"/>
  <c r="AX52" i="8"/>
  <c r="AY52" i="8" s="1"/>
  <c r="AX51" i="8"/>
  <c r="AY51" i="8" s="1"/>
  <c r="AQ52" i="8"/>
  <c r="AR52" i="8" s="1"/>
  <c r="AQ51" i="8"/>
  <c r="AR51" i="8" s="1"/>
  <c r="BY52" i="8"/>
  <c r="CB52" i="8" s="1"/>
  <c r="CC52" i="8" s="1"/>
  <c r="BJ52" i="8"/>
  <c r="BM52" i="8" s="1"/>
  <c r="BC52" i="8"/>
  <c r="AG52" i="8"/>
  <c r="AJ52" i="8" s="1"/>
  <c r="AA52" i="8"/>
  <c r="Y53" i="8" s="1"/>
  <c r="AB53" i="8" s="1"/>
  <c r="AC53" i="8" s="1"/>
  <c r="I52" i="8"/>
  <c r="F53" i="8" s="1"/>
  <c r="J53" i="8" s="1"/>
  <c r="K53" i="8" s="1"/>
  <c r="Q52" i="8"/>
  <c r="T52" i="8" s="1"/>
  <c r="DB208" i="11" l="1"/>
  <c r="BG216" i="11"/>
  <c r="DJ204" i="11"/>
  <c r="DZ207" i="11"/>
  <c r="AJ68" i="11"/>
  <c r="AQ68" i="11"/>
  <c r="EH201" i="11"/>
  <c r="X68" i="11"/>
  <c r="E69" i="11"/>
  <c r="L68" i="11"/>
  <c r="CT201" i="11"/>
  <c r="AI199" i="11"/>
  <c r="AP201" i="11"/>
  <c r="AX202" i="11"/>
  <c r="AX203" i="11" s="1"/>
  <c r="DR201" i="11"/>
  <c r="BY159" i="11"/>
  <c r="BQ157" i="11"/>
  <c r="K112" i="11"/>
  <c r="BN52" i="8"/>
  <c r="AK52" i="8"/>
  <c r="U52" i="8"/>
  <c r="BT52" i="8"/>
  <c r="BR53" i="8" s="1"/>
  <c r="BU53" i="8" s="1"/>
  <c r="BT51" i="8"/>
  <c r="BR52" i="8" s="1"/>
  <c r="BU52" i="8" s="1"/>
  <c r="BY51" i="8"/>
  <c r="CB51" i="8" s="1"/>
  <c r="CC51" i="8" s="1"/>
  <c r="BJ51" i="8"/>
  <c r="BM51" i="8" s="1"/>
  <c r="BC51" i="8"/>
  <c r="I51" i="8"/>
  <c r="F52" i="8" s="1"/>
  <c r="J52" i="8" s="1"/>
  <c r="K52" i="8" s="1"/>
  <c r="Q51" i="8"/>
  <c r="T51" i="8" s="1"/>
  <c r="AG51" i="8"/>
  <c r="AJ51" i="8" s="1"/>
  <c r="AA51" i="8"/>
  <c r="Y52" i="8" s="1"/>
  <c r="AB52" i="8" s="1"/>
  <c r="AC52" i="8" s="1"/>
  <c r="DZ208" i="11" l="1"/>
  <c r="BG217" i="11"/>
  <c r="DJ205" i="11"/>
  <c r="AX204" i="11"/>
  <c r="DB209" i="11"/>
  <c r="AJ69" i="11"/>
  <c r="AQ69" i="11"/>
  <c r="EH202" i="11"/>
  <c r="EH203" i="11" s="1"/>
  <c r="X69" i="11"/>
  <c r="L69" i="11"/>
  <c r="E70" i="11"/>
  <c r="CT202" i="11"/>
  <c r="CT203" i="11" s="1"/>
  <c r="AI200" i="11"/>
  <c r="AP202" i="11"/>
  <c r="AP203" i="11" s="1"/>
  <c r="DR202" i="11"/>
  <c r="DR203" i="11" s="1"/>
  <c r="BY160" i="11"/>
  <c r="BQ158" i="11"/>
  <c r="K113" i="11"/>
  <c r="BN51" i="8"/>
  <c r="U51" i="8"/>
  <c r="AK51" i="8"/>
  <c r="AX50" i="8"/>
  <c r="AY50" i="8" s="1"/>
  <c r="AX49" i="8"/>
  <c r="AY49" i="8" s="1"/>
  <c r="AX48" i="8"/>
  <c r="AY48" i="8" s="1"/>
  <c r="AX47" i="8"/>
  <c r="AY47" i="8" s="1"/>
  <c r="AX46" i="8"/>
  <c r="AY46" i="8" s="1"/>
  <c r="AX45" i="8"/>
  <c r="AY45" i="8" s="1"/>
  <c r="AQ45" i="8"/>
  <c r="AR45" i="8" s="1"/>
  <c r="AQ46" i="8"/>
  <c r="AR46" i="8" s="1"/>
  <c r="AQ47" i="8"/>
  <c r="AR47" i="8" s="1"/>
  <c r="AQ48" i="8"/>
  <c r="AR48" i="8" s="1"/>
  <c r="AQ49" i="8"/>
  <c r="AR49" i="8" s="1"/>
  <c r="AQ50" i="8"/>
  <c r="AR50" i="8" s="1"/>
  <c r="BY49" i="8"/>
  <c r="CB49" i="8" s="1"/>
  <c r="CC49" i="8" s="1"/>
  <c r="BY50" i="8"/>
  <c r="CB50" i="8" s="1"/>
  <c r="CC50" i="8" s="1"/>
  <c r="BY48" i="8"/>
  <c r="BY47" i="8"/>
  <c r="BT50" i="8"/>
  <c r="BR51" i="8" s="1"/>
  <c r="BU51" i="8" s="1"/>
  <c r="BT49" i="8"/>
  <c r="BR50" i="8" s="1"/>
  <c r="BJ49" i="8"/>
  <c r="BM49" i="8" s="1"/>
  <c r="BJ50" i="8"/>
  <c r="BM50" i="8" s="1"/>
  <c r="BN50" i="8" s="1"/>
  <c r="BC49" i="8"/>
  <c r="BC50" i="8"/>
  <c r="AG49" i="8"/>
  <c r="AJ49" i="8" s="1"/>
  <c r="AG50" i="8"/>
  <c r="AJ50" i="8" s="1"/>
  <c r="AK50" i="8" s="1"/>
  <c r="AA50" i="8"/>
  <c r="Y51" i="8" s="1"/>
  <c r="AB51" i="8" s="1"/>
  <c r="AC51" i="8" s="1"/>
  <c r="AA49" i="8"/>
  <c r="Y50" i="8" s="1"/>
  <c r="Q49" i="8"/>
  <c r="T49" i="8" s="1"/>
  <c r="U49" i="8" s="1"/>
  <c r="Q50" i="8"/>
  <c r="I50" i="8"/>
  <c r="F51" i="8" s="1"/>
  <c r="J51" i="8" s="1"/>
  <c r="K51" i="8" s="1"/>
  <c r="I49" i="8"/>
  <c r="F50" i="8" s="1"/>
  <c r="AX205" i="11" l="1"/>
  <c r="EH204" i="11"/>
  <c r="DJ206" i="11"/>
  <c r="DR204" i="11"/>
  <c r="BG218" i="11"/>
  <c r="AP204" i="11"/>
  <c r="DZ209" i="11"/>
  <c r="CT204" i="11"/>
  <c r="DB210" i="11"/>
  <c r="J50" i="8"/>
  <c r="K50" i="8" s="1"/>
  <c r="BU50" i="8"/>
  <c r="AJ70" i="11"/>
  <c r="AQ70" i="11"/>
  <c r="X70" i="11"/>
  <c r="L70" i="11"/>
  <c r="E71" i="11"/>
  <c r="AI201" i="11"/>
  <c r="BY161" i="11"/>
  <c r="BQ159" i="11"/>
  <c r="K114" i="11"/>
  <c r="AB50" i="8"/>
  <c r="AC50" i="8" s="1"/>
  <c r="BN49" i="8"/>
  <c r="AK49" i="8"/>
  <c r="CB46" i="8"/>
  <c r="CC46" i="8" s="1"/>
  <c r="CB47" i="8"/>
  <c r="CC47" i="8" s="1"/>
  <c r="CB48" i="8"/>
  <c r="CC48" i="8" s="1"/>
  <c r="BJ45" i="8"/>
  <c r="BM45" i="8" s="1"/>
  <c r="BN45" i="8" s="1"/>
  <c r="BJ46" i="8"/>
  <c r="BM46" i="8" s="1"/>
  <c r="BN46" i="8" s="1"/>
  <c r="BJ47" i="8"/>
  <c r="BM47" i="8" s="1"/>
  <c r="BN47" i="8" s="1"/>
  <c r="BJ48" i="8"/>
  <c r="BM48" i="8" s="1"/>
  <c r="BN48" i="8" s="1"/>
  <c r="BC45" i="8"/>
  <c r="BC46" i="8"/>
  <c r="BC47" i="8"/>
  <c r="BC48" i="8"/>
  <c r="AG45" i="8"/>
  <c r="AJ45" i="8" s="1"/>
  <c r="AK45" i="8" s="1"/>
  <c r="AG46" i="8"/>
  <c r="AJ46" i="8" s="1"/>
  <c r="AK46" i="8" s="1"/>
  <c r="AG47" i="8"/>
  <c r="AJ47" i="8" s="1"/>
  <c r="AK47" i="8" s="1"/>
  <c r="AG48" i="8"/>
  <c r="AJ48" i="8" s="1"/>
  <c r="AK48" i="8" s="1"/>
  <c r="AA48" i="8"/>
  <c r="Y49" i="8" s="1"/>
  <c r="AB49" i="8" s="1"/>
  <c r="AC49" i="8" s="1"/>
  <c r="AA47" i="8"/>
  <c r="Y48" i="8" s="1"/>
  <c r="AA46" i="8"/>
  <c r="Y47" i="8" s="1"/>
  <c r="AA45" i="8"/>
  <c r="Y46" i="8" s="1"/>
  <c r="Q45" i="8"/>
  <c r="Q46" i="8"/>
  <c r="T46" i="8" s="1"/>
  <c r="U46" i="8" s="1"/>
  <c r="Q47" i="8"/>
  <c r="T47" i="8" s="1"/>
  <c r="U47" i="8" s="1"/>
  <c r="Q48" i="8"/>
  <c r="DR205" i="11" l="1"/>
  <c r="DZ210" i="11"/>
  <c r="DJ207" i="11"/>
  <c r="AP205" i="11"/>
  <c r="EH205" i="11"/>
  <c r="CT205" i="11"/>
  <c r="DB211" i="11"/>
  <c r="BG219" i="11"/>
  <c r="AX206" i="11"/>
  <c r="AB46" i="8"/>
  <c r="AC46" i="8" s="1"/>
  <c r="AB48" i="8"/>
  <c r="AC48" i="8" s="1"/>
  <c r="AB47" i="8"/>
  <c r="AC47" i="8" s="1"/>
  <c r="AJ71" i="11"/>
  <c r="AQ71" i="11"/>
  <c r="X71" i="11"/>
  <c r="E72" i="11"/>
  <c r="L71" i="11"/>
  <c r="AI202" i="11"/>
  <c r="AI203" i="11" s="1"/>
  <c r="BY162" i="11"/>
  <c r="BQ160" i="11"/>
  <c r="K115" i="11"/>
  <c r="F47" i="8"/>
  <c r="I48" i="8"/>
  <c r="F49" i="8" s="1"/>
  <c r="J49" i="8" s="1"/>
  <c r="K49" i="8" s="1"/>
  <c r="I47" i="8"/>
  <c r="F48" i="8" s="1"/>
  <c r="I45" i="8"/>
  <c r="F46" i="8" s="1"/>
  <c r="J46" i="8" s="1"/>
  <c r="K46" i="8" s="1"/>
  <c r="AP206" i="11" l="1"/>
  <c r="BG220" i="11"/>
  <c r="DJ208" i="11"/>
  <c r="CT206" i="11"/>
  <c r="AI204" i="11"/>
  <c r="DZ211" i="11"/>
  <c r="AX207" i="11"/>
  <c r="EH206" i="11"/>
  <c r="DR206" i="11"/>
  <c r="DB212" i="11"/>
  <c r="J48" i="8"/>
  <c r="K48" i="8" s="1"/>
  <c r="AJ72" i="11"/>
  <c r="AQ72" i="11"/>
  <c r="X72" i="11"/>
  <c r="L72" i="11"/>
  <c r="E73" i="11"/>
  <c r="BY163" i="11"/>
  <c r="BQ161" i="11"/>
  <c r="K116" i="11"/>
  <c r="J47" i="8"/>
  <c r="K47" i="8" s="1"/>
  <c r="BR46" i="8"/>
  <c r="BT47" i="8"/>
  <c r="BR48" i="8" s="1"/>
  <c r="BT46" i="8"/>
  <c r="BR47" i="8" s="1"/>
  <c r="BT48" i="8"/>
  <c r="BR49" i="8" s="1"/>
  <c r="BU49" i="8" s="1"/>
  <c r="CT207" i="11" l="1"/>
  <c r="DJ209" i="11"/>
  <c r="EH207" i="11"/>
  <c r="BG221" i="11"/>
  <c r="AX208" i="11"/>
  <c r="DZ212" i="11"/>
  <c r="DR207" i="11"/>
  <c r="AI205" i="11"/>
  <c r="AP207" i="11"/>
  <c r="DB213" i="11"/>
  <c r="BU48" i="8"/>
  <c r="BU47" i="8"/>
  <c r="BU46" i="8"/>
  <c r="AJ73" i="11"/>
  <c r="AQ73" i="11"/>
  <c r="X73" i="11"/>
  <c r="L73" i="11"/>
  <c r="E74" i="11"/>
  <c r="BY164" i="11"/>
  <c r="BQ162" i="11"/>
  <c r="K117" i="11"/>
  <c r="BR45" i="8"/>
  <c r="BU45" i="8" s="1"/>
  <c r="BG222" i="11" l="1"/>
  <c r="EH208" i="11"/>
  <c r="DB214" i="11"/>
  <c r="DZ213" i="11"/>
  <c r="DJ210" i="11"/>
  <c r="AI206" i="11"/>
  <c r="DR208" i="11"/>
  <c r="AX209" i="11"/>
  <c r="AP208" i="11"/>
  <c r="CT208" i="11"/>
  <c r="AJ74" i="11"/>
  <c r="AQ74" i="11"/>
  <c r="X74" i="11"/>
  <c r="E75" i="11"/>
  <c r="L74" i="11"/>
  <c r="BY165" i="11"/>
  <c r="BQ163" i="11"/>
  <c r="K118" i="11"/>
  <c r="AX44" i="8"/>
  <c r="AY44" i="8" s="1"/>
  <c r="AX43" i="8"/>
  <c r="AY43" i="8" s="1"/>
  <c r="AQ44" i="8"/>
  <c r="AR44" i="8" s="1"/>
  <c r="AQ43" i="8"/>
  <c r="AR43" i="8" s="1"/>
  <c r="I43" i="8"/>
  <c r="F44" i="8" s="1"/>
  <c r="I44" i="8"/>
  <c r="F45" i="8" s="1"/>
  <c r="J45" i="8" s="1"/>
  <c r="K45" i="8" s="1"/>
  <c r="I42" i="8"/>
  <c r="F43" i="8" s="1"/>
  <c r="I41" i="8"/>
  <c r="I40" i="8"/>
  <c r="I39" i="8"/>
  <c r="I38" i="8"/>
  <c r="Q43" i="8"/>
  <c r="Q44" i="8"/>
  <c r="AG43" i="8"/>
  <c r="AJ43" i="8" s="1"/>
  <c r="AG44" i="8"/>
  <c r="AJ44" i="8" s="1"/>
  <c r="AK44" i="8" s="1"/>
  <c r="AA44" i="8"/>
  <c r="Y45" i="8" s="1"/>
  <c r="AB45" i="8" s="1"/>
  <c r="AC45" i="8" s="1"/>
  <c r="AA43" i="8"/>
  <c r="Y44" i="8" s="1"/>
  <c r="AB44" i="8" s="1"/>
  <c r="AC44" i="8" s="1"/>
  <c r="BC43" i="8"/>
  <c r="BC44" i="8"/>
  <c r="BJ43" i="8"/>
  <c r="BJ44" i="8"/>
  <c r="BM44" i="8" s="1"/>
  <c r="BN44" i="8" s="1"/>
  <c r="BR44" i="8"/>
  <c r="BU44" i="8" s="1"/>
  <c r="AX210" i="11" l="1"/>
  <c r="DZ214" i="11"/>
  <c r="DR209" i="11"/>
  <c r="DB215" i="11"/>
  <c r="CT209" i="11"/>
  <c r="AI207" i="11"/>
  <c r="EH209" i="11"/>
  <c r="AP209" i="11"/>
  <c r="DJ211" i="11"/>
  <c r="BG223" i="11"/>
  <c r="J43" i="8"/>
  <c r="K43" i="8" s="1"/>
  <c r="J44" i="8"/>
  <c r="K44" i="8" s="1"/>
  <c r="AJ75" i="11"/>
  <c r="AQ75" i="11"/>
  <c r="X75" i="11"/>
  <c r="L75" i="11"/>
  <c r="E76" i="11"/>
  <c r="BY166" i="11"/>
  <c r="BQ164" i="11"/>
  <c r="K119" i="11"/>
  <c r="AK43" i="8"/>
  <c r="AX42" i="8"/>
  <c r="AY42" i="8" s="1"/>
  <c r="AX41" i="8"/>
  <c r="AX40" i="8"/>
  <c r="AX39" i="8"/>
  <c r="AX38" i="8"/>
  <c r="AX37" i="8"/>
  <c r="AX36" i="8"/>
  <c r="AY36" i="8" s="1"/>
  <c r="AX35" i="8"/>
  <c r="AY35" i="8" s="1"/>
  <c r="AQ42" i="8"/>
  <c r="AQ41" i="8"/>
  <c r="AQ40" i="8"/>
  <c r="AQ39" i="8"/>
  <c r="AQ38" i="8"/>
  <c r="AQ37" i="8"/>
  <c r="AQ36" i="8"/>
  <c r="AR36" i="8" s="1"/>
  <c r="AQ35" i="8"/>
  <c r="AR35" i="8" s="1"/>
  <c r="BT42" i="8"/>
  <c r="BR43" i="8" s="1"/>
  <c r="BU43" i="8" s="1"/>
  <c r="BT41" i="8"/>
  <c r="BR42" i="8" s="1"/>
  <c r="BT40" i="8"/>
  <c r="BR41" i="8" s="1"/>
  <c r="BT39" i="8"/>
  <c r="BR40" i="8" s="1"/>
  <c r="BT38" i="8"/>
  <c r="BR39" i="8" s="1"/>
  <c r="BT37" i="8"/>
  <c r="BR38" i="8" s="1"/>
  <c r="BU38" i="8" s="1"/>
  <c r="BT36" i="8"/>
  <c r="BR37" i="8" s="1"/>
  <c r="BT35" i="8"/>
  <c r="BR36" i="8" s="1"/>
  <c r="BU36" i="8" s="1"/>
  <c r="BJ37" i="8"/>
  <c r="BJ38" i="8"/>
  <c r="BJ39" i="8"/>
  <c r="BJ40" i="8"/>
  <c r="BJ41" i="8"/>
  <c r="BJ42" i="8"/>
  <c r="BJ36" i="8"/>
  <c r="BM36" i="8" s="1"/>
  <c r="BJ35" i="8"/>
  <c r="BM35" i="8" s="1"/>
  <c r="BC37" i="8"/>
  <c r="BC38" i="8"/>
  <c r="BC39" i="8"/>
  <c r="BC40" i="8"/>
  <c r="BC41" i="8"/>
  <c r="BC42" i="8"/>
  <c r="BC36" i="8"/>
  <c r="BC35" i="8"/>
  <c r="AG37" i="8"/>
  <c r="AJ37" i="8" s="1"/>
  <c r="AG38" i="8"/>
  <c r="AJ38" i="8" s="1"/>
  <c r="AG39" i="8"/>
  <c r="AJ39" i="8" s="1"/>
  <c r="AG40" i="8"/>
  <c r="AJ40" i="8" s="1"/>
  <c r="AG41" i="8"/>
  <c r="AJ41" i="8" s="1"/>
  <c r="AG42" i="8"/>
  <c r="AJ42" i="8" s="1"/>
  <c r="AK42" i="8" s="1"/>
  <c r="AG36" i="8"/>
  <c r="AJ36" i="8" s="1"/>
  <c r="AG35" i="8"/>
  <c r="AJ35" i="8" s="1"/>
  <c r="AK35" i="8" s="1"/>
  <c r="AA42" i="8"/>
  <c r="Y43" i="8" s="1"/>
  <c r="AB43" i="8" s="1"/>
  <c r="AC43" i="8" s="1"/>
  <c r="AA41" i="8"/>
  <c r="Y42" i="8" s="1"/>
  <c r="AA40" i="8"/>
  <c r="Y41" i="8" s="1"/>
  <c r="AA39" i="8"/>
  <c r="Y40" i="8" s="1"/>
  <c r="AA38" i="8"/>
  <c r="Y39" i="8" s="1"/>
  <c r="AA37" i="8"/>
  <c r="Y38" i="8" s="1"/>
  <c r="AA36" i="8"/>
  <c r="Y37" i="8" s="1"/>
  <c r="AA35" i="8"/>
  <c r="Y36" i="8" s="1"/>
  <c r="F39" i="8"/>
  <c r="F40" i="8"/>
  <c r="F41" i="8"/>
  <c r="F42" i="8"/>
  <c r="I37" i="8"/>
  <c r="F38" i="8" s="1"/>
  <c r="J38" i="8" s="1"/>
  <c r="I36" i="8"/>
  <c r="F37" i="8" s="1"/>
  <c r="I35" i="8"/>
  <c r="F36" i="8" s="1"/>
  <c r="J36" i="8" s="1"/>
  <c r="Q37" i="8"/>
  <c r="Q38" i="8"/>
  <c r="Q39" i="8"/>
  <c r="Q40" i="8"/>
  <c r="Q41" i="8"/>
  <c r="Q42" i="8"/>
  <c r="Q36" i="8"/>
  <c r="Q35" i="8"/>
  <c r="AP210" i="11" l="1"/>
  <c r="DB216" i="11"/>
  <c r="EH210" i="11"/>
  <c r="DR210" i="11"/>
  <c r="BG224" i="11"/>
  <c r="AI208" i="11"/>
  <c r="DZ215" i="11"/>
  <c r="DJ212" i="11"/>
  <c r="CT210" i="11"/>
  <c r="AX211" i="11"/>
  <c r="BU37" i="8"/>
  <c r="BU41" i="8"/>
  <c r="AB36" i="8"/>
  <c r="AB42" i="8"/>
  <c r="AC42" i="8" s="1"/>
  <c r="BU42" i="8"/>
  <c r="BU40" i="8"/>
  <c r="AJ76" i="11"/>
  <c r="AQ76" i="11"/>
  <c r="X76" i="11"/>
  <c r="L76" i="11"/>
  <c r="E77" i="11"/>
  <c r="BY167" i="11"/>
  <c r="BQ165" i="11"/>
  <c r="K120" i="11"/>
  <c r="BU39" i="8"/>
  <c r="AR42" i="8"/>
  <c r="BN36" i="8"/>
  <c r="BN35" i="8"/>
  <c r="AK36" i="8"/>
  <c r="AC36" i="8"/>
  <c r="K36" i="8"/>
  <c r="BT34" i="8"/>
  <c r="BR35" i="8" s="1"/>
  <c r="BU35" i="8" s="1"/>
  <c r="BT33" i="8"/>
  <c r="BR34" i="8" s="1"/>
  <c r="BT32" i="8"/>
  <c r="BR33" i="8" s="1"/>
  <c r="BT31" i="8"/>
  <c r="BR32" i="8" s="1"/>
  <c r="BU32" i="8" s="1"/>
  <c r="BT29" i="8"/>
  <c r="BT30" i="8"/>
  <c r="BR31" i="8" s="1"/>
  <c r="BJ31" i="8"/>
  <c r="BM31" i="8" s="1"/>
  <c r="BN31" i="8" s="1"/>
  <c r="BJ32" i="8"/>
  <c r="BM32" i="8" s="1"/>
  <c r="BN32" i="8" s="1"/>
  <c r="BJ33" i="8"/>
  <c r="BM33" i="8" s="1"/>
  <c r="BN33" i="8" s="1"/>
  <c r="BJ34" i="8"/>
  <c r="BM34" i="8" s="1"/>
  <c r="BN34" i="8" s="1"/>
  <c r="BC31" i="8"/>
  <c r="BF31" i="8" s="1"/>
  <c r="BC32" i="8"/>
  <c r="BC33" i="8"/>
  <c r="BC34" i="8"/>
  <c r="AX34" i="8"/>
  <c r="AY34" i="8" s="1"/>
  <c r="AX33" i="8"/>
  <c r="AY33" i="8" s="1"/>
  <c r="AX32" i="8"/>
  <c r="AY32" i="8" s="1"/>
  <c r="AX31" i="8"/>
  <c r="AY31" i="8" s="1"/>
  <c r="AQ31" i="8"/>
  <c r="AR31" i="8" s="1"/>
  <c r="AQ32" i="8"/>
  <c r="AR32" i="8" s="1"/>
  <c r="AQ33" i="8"/>
  <c r="AR33" i="8" s="1"/>
  <c r="AQ34" i="8"/>
  <c r="AR34" i="8" s="1"/>
  <c r="AG31" i="8"/>
  <c r="AJ31" i="8" s="1"/>
  <c r="AG32" i="8"/>
  <c r="AJ32" i="8" s="1"/>
  <c r="AK32" i="8" s="1"/>
  <c r="AG33" i="8"/>
  <c r="AJ33" i="8" s="1"/>
  <c r="AK33" i="8" s="1"/>
  <c r="AG34" i="8"/>
  <c r="AJ34" i="8" s="1"/>
  <c r="AK34" i="8" s="1"/>
  <c r="AA34" i="8"/>
  <c r="Y35" i="8" s="1"/>
  <c r="AB35" i="8" s="1"/>
  <c r="AC35" i="8" s="1"/>
  <c r="AA33" i="8"/>
  <c r="Y34" i="8" s="1"/>
  <c r="AB34" i="8" s="1"/>
  <c r="AC34" i="8" s="1"/>
  <c r="AA32" i="8"/>
  <c r="Y33" i="8" s="1"/>
  <c r="AA31" i="8"/>
  <c r="Y32" i="8" s="1"/>
  <c r="Q34" i="8"/>
  <c r="Q31" i="8"/>
  <c r="T31" i="8" s="1"/>
  <c r="U31" i="8" s="1"/>
  <c r="Q32" i="8"/>
  <c r="T32" i="8" s="1"/>
  <c r="U32" i="8" s="1"/>
  <c r="Q33" i="8"/>
  <c r="I34" i="8"/>
  <c r="F35" i="8" s="1"/>
  <c r="J35" i="8" s="1"/>
  <c r="K35" i="8" s="1"/>
  <c r="I33" i="8"/>
  <c r="F34" i="8" s="1"/>
  <c r="I32" i="8"/>
  <c r="I30" i="8"/>
  <c r="F31" i="8" s="1"/>
  <c r="I31" i="8"/>
  <c r="F32" i="8" s="1"/>
  <c r="DJ213" i="11" l="1"/>
  <c r="DR211" i="11"/>
  <c r="DZ216" i="11"/>
  <c r="EH211" i="11"/>
  <c r="AI209" i="11"/>
  <c r="DB217" i="11"/>
  <c r="AX212" i="11"/>
  <c r="BG225" i="11"/>
  <c r="AP211" i="11"/>
  <c r="CT211" i="11"/>
  <c r="BU31" i="8"/>
  <c r="AB33" i="8"/>
  <c r="AC33" i="8" s="1"/>
  <c r="J32" i="8"/>
  <c r="K32" i="8" s="1"/>
  <c r="AB32" i="8"/>
  <c r="AC32" i="8" s="1"/>
  <c r="BU33" i="8"/>
  <c r="AJ77" i="11"/>
  <c r="AQ77" i="11"/>
  <c r="X77" i="11"/>
  <c r="E78" i="11"/>
  <c r="L77" i="11"/>
  <c r="BY168" i="11"/>
  <c r="BQ166" i="11"/>
  <c r="K121" i="11"/>
  <c r="AK31" i="8"/>
  <c r="BU34" i="8"/>
  <c r="J34" i="8"/>
  <c r="K34" i="8" s="1"/>
  <c r="F33" i="8"/>
  <c r="J33" i="8" s="1"/>
  <c r="K33" i="8" s="1"/>
  <c r="AX30" i="8"/>
  <c r="AY30" i="8" s="1"/>
  <c r="AX29" i="8"/>
  <c r="AY29" i="8" s="1"/>
  <c r="AQ29" i="8"/>
  <c r="AQ30" i="8"/>
  <c r="AR30" i="8" s="1"/>
  <c r="BR30" i="8"/>
  <c r="BU30" i="8" s="1"/>
  <c r="BC30" i="8"/>
  <c r="BJ29" i="8"/>
  <c r="BM29" i="8" s="1"/>
  <c r="BN29" i="8" s="1"/>
  <c r="BJ30" i="8"/>
  <c r="BM30" i="8" s="1"/>
  <c r="BN30" i="8" s="1"/>
  <c r="BC28" i="8"/>
  <c r="BF28" i="8" s="1"/>
  <c r="BC29" i="8"/>
  <c r="AG29" i="8"/>
  <c r="AJ29" i="8" s="1"/>
  <c r="AK29" i="8" s="1"/>
  <c r="AG30" i="8"/>
  <c r="AJ30" i="8" s="1"/>
  <c r="AK30" i="8" s="1"/>
  <c r="AA30" i="8"/>
  <c r="AA29" i="8"/>
  <c r="Y30" i="8" s="1"/>
  <c r="Q29" i="8"/>
  <c r="T29" i="8" s="1"/>
  <c r="U29" i="8" s="1"/>
  <c r="Q30" i="8"/>
  <c r="T30" i="8" s="1"/>
  <c r="U30" i="8" s="1"/>
  <c r="I29" i="8"/>
  <c r="F30" i="8" s="1"/>
  <c r="J30" i="8" s="1"/>
  <c r="K30" i="8" s="1"/>
  <c r="EH212" i="11" l="1"/>
  <c r="AX213" i="11"/>
  <c r="DZ217" i="11"/>
  <c r="BG226" i="11"/>
  <c r="CT212" i="11"/>
  <c r="DB218" i="11"/>
  <c r="DR212" i="11"/>
  <c r="AP212" i="11"/>
  <c r="AI210" i="11"/>
  <c r="DJ214" i="11"/>
  <c r="AJ78" i="11"/>
  <c r="AQ78" i="11"/>
  <c r="X78" i="11"/>
  <c r="E79" i="11"/>
  <c r="L78" i="11"/>
  <c r="BY169" i="11"/>
  <c r="BQ167" i="11"/>
  <c r="K122" i="11"/>
  <c r="AB30" i="8"/>
  <c r="AC30" i="8" s="1"/>
  <c r="Y31" i="8"/>
  <c r="AB31" i="8" s="1"/>
  <c r="AC31" i="8" s="1"/>
  <c r="AR29" i="8"/>
  <c r="BJ28" i="8"/>
  <c r="BT28" i="8"/>
  <c r="BR29" i="8" s="1"/>
  <c r="BU29" i="8" s="1"/>
  <c r="AX28" i="8"/>
  <c r="AY28" i="8" s="1"/>
  <c r="AQ28" i="8"/>
  <c r="AR28" i="8" s="1"/>
  <c r="AG28" i="8"/>
  <c r="AJ28" i="8" s="1"/>
  <c r="AK28" i="8" s="1"/>
  <c r="AA28" i="8"/>
  <c r="Y29" i="8" s="1"/>
  <c r="AB29" i="8" s="1"/>
  <c r="AC29" i="8" s="1"/>
  <c r="Q28" i="8"/>
  <c r="I28" i="8"/>
  <c r="F29" i="8" s="1"/>
  <c r="J29" i="8" s="1"/>
  <c r="K29" i="8" s="1"/>
  <c r="BG227" i="11" l="1"/>
  <c r="AP213" i="11"/>
  <c r="DZ218" i="11"/>
  <c r="DB219" i="11"/>
  <c r="AX214" i="11"/>
  <c r="DR213" i="11"/>
  <c r="AI211" i="11"/>
  <c r="CT213" i="11"/>
  <c r="EH213" i="11"/>
  <c r="DJ215" i="11"/>
  <c r="AJ79" i="11"/>
  <c r="AQ79" i="11"/>
  <c r="X79" i="11"/>
  <c r="L79" i="11"/>
  <c r="E80" i="11"/>
  <c r="BY170" i="11"/>
  <c r="BQ168" i="11"/>
  <c r="K123" i="11"/>
  <c r="AX26" i="8"/>
  <c r="AX27" i="8"/>
  <c r="AX25" i="8"/>
  <c r="AY25" i="8" s="1"/>
  <c r="AA27" i="8"/>
  <c r="Y28" i="8" s="1"/>
  <c r="AA26" i="8"/>
  <c r="Y27" i="8" s="1"/>
  <c r="AA25" i="8"/>
  <c r="Y26" i="8" s="1"/>
  <c r="AQ27" i="8"/>
  <c r="AQ26" i="8"/>
  <c r="AQ25" i="8"/>
  <c r="AR25" i="8" s="1"/>
  <c r="BT27" i="8"/>
  <c r="BR28" i="8" s="1"/>
  <c r="BU28" i="8" s="1"/>
  <c r="BT26" i="8"/>
  <c r="BR27" i="8" s="1"/>
  <c r="BU27" i="8" s="1"/>
  <c r="BJ26" i="8"/>
  <c r="BJ27" i="8"/>
  <c r="BJ25" i="8"/>
  <c r="BM25" i="8" s="1"/>
  <c r="BC25" i="8"/>
  <c r="BC26" i="8"/>
  <c r="BC27" i="8"/>
  <c r="AG26" i="8"/>
  <c r="AJ26" i="8" s="1"/>
  <c r="AK26" i="8" s="1"/>
  <c r="AG27" i="8"/>
  <c r="AJ27" i="8" s="1"/>
  <c r="AG25" i="8"/>
  <c r="AJ25" i="8" s="1"/>
  <c r="Q25" i="8"/>
  <c r="Q26" i="8"/>
  <c r="Q27" i="8"/>
  <c r="I27" i="8"/>
  <c r="F28" i="8" s="1"/>
  <c r="I26" i="8"/>
  <c r="F27" i="8" s="1"/>
  <c r="I25" i="8"/>
  <c r="F26" i="8" s="1"/>
  <c r="BR25" i="8"/>
  <c r="BU25" i="8" s="1"/>
  <c r="BR26" i="8"/>
  <c r="BU26" i="8" s="1"/>
  <c r="DB220" i="11" l="1"/>
  <c r="AI212" i="11"/>
  <c r="DZ219" i="11"/>
  <c r="DJ216" i="11"/>
  <c r="DR214" i="11"/>
  <c r="AP214" i="11"/>
  <c r="EH214" i="11"/>
  <c r="AX215" i="11"/>
  <c r="BG228" i="11"/>
  <c r="CT214" i="11"/>
  <c r="AJ80" i="11"/>
  <c r="AQ80" i="11"/>
  <c r="X80" i="11"/>
  <c r="E81" i="11"/>
  <c r="L80" i="11"/>
  <c r="BY171" i="11"/>
  <c r="BQ169" i="11"/>
  <c r="K124" i="11"/>
  <c r="BN25" i="8"/>
  <c r="AK25" i="8"/>
  <c r="BJ24" i="8"/>
  <c r="BM24" i="8" s="1"/>
  <c r="BC24" i="8"/>
  <c r="AG24" i="8"/>
  <c r="AJ24" i="8" s="1"/>
  <c r="AA24" i="8"/>
  <c r="Y25" i="8" s="1"/>
  <c r="AB25" i="8" s="1"/>
  <c r="Q24" i="8"/>
  <c r="I24" i="8"/>
  <c r="F25" i="8" s="1"/>
  <c r="J25" i="8" s="1"/>
  <c r="K25" i="8" s="1"/>
  <c r="AQ24" i="8"/>
  <c r="AR24" i="8" s="1"/>
  <c r="AX24" i="8"/>
  <c r="AY24" i="8" s="1"/>
  <c r="DJ217" i="11" l="1"/>
  <c r="EH215" i="11"/>
  <c r="DZ220" i="11"/>
  <c r="AX216" i="11"/>
  <c r="CT215" i="11"/>
  <c r="AP215" i="11"/>
  <c r="AI213" i="11"/>
  <c r="BG229" i="11"/>
  <c r="DR215" i="11"/>
  <c r="DB221" i="11"/>
  <c r="AJ81" i="11"/>
  <c r="AQ81" i="11"/>
  <c r="X81" i="11"/>
  <c r="L81" i="11"/>
  <c r="E82" i="11"/>
  <c r="BY172" i="11"/>
  <c r="BQ170" i="11"/>
  <c r="K125" i="11"/>
  <c r="AC25" i="8"/>
  <c r="BN24" i="8"/>
  <c r="AK24" i="8"/>
  <c r="BR24" i="8"/>
  <c r="BU24" i="8" s="1"/>
  <c r="BG230" i="11" l="1"/>
  <c r="DZ221" i="11"/>
  <c r="AP216" i="11"/>
  <c r="EH216" i="11"/>
  <c r="AX217" i="11"/>
  <c r="AI214" i="11"/>
  <c r="DR216" i="11"/>
  <c r="CT216" i="11"/>
  <c r="DJ218" i="11"/>
  <c r="DB222" i="11"/>
  <c r="AJ82" i="11"/>
  <c r="AQ82" i="11"/>
  <c r="X82" i="11"/>
  <c r="E83" i="11"/>
  <c r="L82" i="11"/>
  <c r="BY173" i="11"/>
  <c r="BQ171" i="11"/>
  <c r="K126" i="11"/>
  <c r="BJ23" i="8"/>
  <c r="BM23" i="8" s="1"/>
  <c r="BC23" i="8"/>
  <c r="BF23" i="8" s="1"/>
  <c r="AX23" i="8"/>
  <c r="AY23" i="8" s="1"/>
  <c r="AQ23" i="8"/>
  <c r="AR23" i="8" s="1"/>
  <c r="AG23" i="8"/>
  <c r="AJ23" i="8" s="1"/>
  <c r="AK23" i="8" s="1"/>
  <c r="AA23" i="8"/>
  <c r="Y24" i="8" s="1"/>
  <c r="AB24" i="8" s="1"/>
  <c r="AC24" i="8" s="1"/>
  <c r="Q23" i="8"/>
  <c r="I23" i="8"/>
  <c r="F24" i="8" s="1"/>
  <c r="J24" i="8" s="1"/>
  <c r="K24" i="8" s="1"/>
  <c r="EH217" i="11" l="1"/>
  <c r="AP217" i="11"/>
  <c r="DR217" i="11"/>
  <c r="DB223" i="11"/>
  <c r="AI215" i="11"/>
  <c r="DZ222" i="11"/>
  <c r="CT217" i="11"/>
  <c r="DJ219" i="11"/>
  <c r="AX218" i="11"/>
  <c r="BG231" i="11"/>
  <c r="AJ83" i="11"/>
  <c r="AQ83" i="11"/>
  <c r="X83" i="11"/>
  <c r="L83" i="11"/>
  <c r="E84" i="11"/>
  <c r="BY174" i="11"/>
  <c r="BQ172" i="11"/>
  <c r="K127" i="11"/>
  <c r="BN23" i="8"/>
  <c r="BR23" i="8"/>
  <c r="BU23" i="8" s="1"/>
  <c r="DB224" i="11" l="1"/>
  <c r="DZ223" i="11"/>
  <c r="AP218" i="11"/>
  <c r="DJ220" i="11"/>
  <c r="DR218" i="11"/>
  <c r="CT218" i="11"/>
  <c r="AX219" i="11"/>
  <c r="AI216" i="11"/>
  <c r="EH218" i="11"/>
  <c r="BG232" i="11"/>
  <c r="AJ84" i="11"/>
  <c r="AQ84" i="11"/>
  <c r="X84" i="11"/>
  <c r="E85" i="11"/>
  <c r="L84" i="11"/>
  <c r="BY175" i="11"/>
  <c r="BQ173" i="11"/>
  <c r="K128" i="11"/>
  <c r="AX22" i="8"/>
  <c r="AY22" i="8" s="1"/>
  <c r="BR22" i="8"/>
  <c r="BU22" i="8" s="1"/>
  <c r="BJ22" i="8"/>
  <c r="BM22" i="8" s="1"/>
  <c r="BC22" i="8"/>
  <c r="AQ22" i="8"/>
  <c r="AR22" i="8" s="1"/>
  <c r="AG22" i="8"/>
  <c r="AJ22" i="8" s="1"/>
  <c r="AK22" i="8" s="1"/>
  <c r="AA22" i="8"/>
  <c r="Y23" i="8" s="1"/>
  <c r="AB23" i="8" s="1"/>
  <c r="Q22" i="8"/>
  <c r="I22" i="8"/>
  <c r="F23" i="8" s="1"/>
  <c r="J23" i="8" s="1"/>
  <c r="K23" i="8" s="1"/>
  <c r="DJ221" i="11" l="1"/>
  <c r="AP219" i="11"/>
  <c r="AI217" i="11"/>
  <c r="AX220" i="11"/>
  <c r="BG233" i="11"/>
  <c r="CT219" i="11"/>
  <c r="DZ224" i="11"/>
  <c r="EH219" i="11"/>
  <c r="DR219" i="11"/>
  <c r="DB225" i="11"/>
  <c r="AJ85" i="11"/>
  <c r="AQ85" i="11"/>
  <c r="X85" i="11"/>
  <c r="E86" i="11"/>
  <c r="L85" i="11"/>
  <c r="BY176" i="11"/>
  <c r="BQ174" i="11"/>
  <c r="K129" i="11"/>
  <c r="AC23" i="8"/>
  <c r="BN22" i="8"/>
  <c r="BR21" i="8"/>
  <c r="BU21" i="8" s="1"/>
  <c r="AX21" i="8"/>
  <c r="AY21" i="8" s="1"/>
  <c r="AQ21" i="8"/>
  <c r="AR21" i="8" s="1"/>
  <c r="BJ21" i="8"/>
  <c r="BM21" i="8" s="1"/>
  <c r="BC21" i="8"/>
  <c r="AG21" i="8"/>
  <c r="AJ21" i="8" s="1"/>
  <c r="AA21" i="8"/>
  <c r="Y22" i="8" s="1"/>
  <c r="AB22" i="8" s="1"/>
  <c r="AC22" i="8" s="1"/>
  <c r="I21" i="8"/>
  <c r="F22" i="8" s="1"/>
  <c r="J22" i="8" s="1"/>
  <c r="K22" i="8" s="1"/>
  <c r="Q21" i="8"/>
  <c r="T21" i="8" s="1"/>
  <c r="U21" i="8" s="1"/>
  <c r="EH220" i="11" l="1"/>
  <c r="AX221" i="11"/>
  <c r="AI218" i="11"/>
  <c r="CT220" i="11"/>
  <c r="AP220" i="11"/>
  <c r="DZ225" i="11"/>
  <c r="DB226" i="11"/>
  <c r="DR220" i="11"/>
  <c r="BG234" i="11"/>
  <c r="DJ222" i="11"/>
  <c r="AJ86" i="11"/>
  <c r="AQ86" i="11"/>
  <c r="X86" i="11"/>
  <c r="L86" i="11"/>
  <c r="E87" i="11"/>
  <c r="BY177" i="11"/>
  <c r="BQ175" i="11"/>
  <c r="K130" i="11"/>
  <c r="BN21" i="8"/>
  <c r="AK21" i="8"/>
  <c r="AX18" i="8"/>
  <c r="AY18" i="8" s="1"/>
  <c r="AX19" i="8"/>
  <c r="AY19" i="8" s="1"/>
  <c r="AX20" i="8"/>
  <c r="AY20" i="8" s="1"/>
  <c r="AQ18" i="8"/>
  <c r="AR18" i="8" s="1"/>
  <c r="AQ19" i="8"/>
  <c r="AR19" i="8" s="1"/>
  <c r="AQ20" i="8"/>
  <c r="AR20" i="8" s="1"/>
  <c r="BR18" i="8"/>
  <c r="BU18" i="8" s="1"/>
  <c r="BR19" i="8"/>
  <c r="BU19" i="8" s="1"/>
  <c r="BR20" i="8"/>
  <c r="BU20" i="8" s="1"/>
  <c r="BJ18" i="8"/>
  <c r="BM18" i="8" s="1"/>
  <c r="BN18" i="8" s="1"/>
  <c r="BJ19" i="8"/>
  <c r="BM19" i="8" s="1"/>
  <c r="BN19" i="8" s="1"/>
  <c r="BJ20" i="8"/>
  <c r="BM20" i="8" s="1"/>
  <c r="BN20" i="8" s="1"/>
  <c r="BC18" i="8"/>
  <c r="BC19" i="8"/>
  <c r="BC20" i="8"/>
  <c r="AG18" i="8"/>
  <c r="AJ18" i="8" s="1"/>
  <c r="AK18" i="8" s="1"/>
  <c r="AG19" i="8"/>
  <c r="AJ19" i="8" s="1"/>
  <c r="AK19" i="8" s="1"/>
  <c r="AG20" i="8"/>
  <c r="AJ20" i="8" s="1"/>
  <c r="AK20" i="8" s="1"/>
  <c r="AA20" i="8"/>
  <c r="Y21" i="8" s="1"/>
  <c r="AB21" i="8" s="1"/>
  <c r="AC21" i="8" s="1"/>
  <c r="AA19" i="8"/>
  <c r="Y20" i="8" s="1"/>
  <c r="AA18" i="8"/>
  <c r="Y19" i="8" s="1"/>
  <c r="Q18" i="8"/>
  <c r="Q19" i="8"/>
  <c r="Q20" i="8"/>
  <c r="T20" i="8" s="1"/>
  <c r="U20" i="8" s="1"/>
  <c r="I18" i="8"/>
  <c r="I19" i="8"/>
  <c r="F20" i="8" s="1"/>
  <c r="I20" i="8"/>
  <c r="F21" i="8" s="1"/>
  <c r="J21" i="8" s="1"/>
  <c r="K21" i="8" s="1"/>
  <c r="CT221" i="11" l="1"/>
  <c r="DB227" i="11"/>
  <c r="AI219" i="11"/>
  <c r="DR221" i="11"/>
  <c r="DJ223" i="11"/>
  <c r="DZ226" i="11"/>
  <c r="AX222" i="11"/>
  <c r="BG235" i="11"/>
  <c r="AP221" i="11"/>
  <c r="EH221" i="11"/>
  <c r="AB20" i="8"/>
  <c r="AC20" i="8" s="1"/>
  <c r="AB19" i="8"/>
  <c r="AC19" i="8" s="1"/>
  <c r="AJ87" i="11"/>
  <c r="AQ87" i="11"/>
  <c r="X87" i="11"/>
  <c r="L87" i="11"/>
  <c r="E88" i="11"/>
  <c r="BY178" i="11"/>
  <c r="BQ176" i="11"/>
  <c r="K131" i="11"/>
  <c r="J20" i="8"/>
  <c r="K20" i="8" s="1"/>
  <c r="F19" i="8"/>
  <c r="J19" i="8" s="1"/>
  <c r="K19" i="8" s="1"/>
  <c r="AX17" i="8"/>
  <c r="AY17" i="8" s="1"/>
  <c r="AQ17" i="8"/>
  <c r="AR17" i="8" s="1"/>
  <c r="BR17" i="8"/>
  <c r="BU17" i="8" s="1"/>
  <c r="BJ17" i="8"/>
  <c r="BM17" i="8" s="1"/>
  <c r="BN17" i="8" s="1"/>
  <c r="BC17" i="8"/>
  <c r="AG17" i="8"/>
  <c r="AJ17" i="8" s="1"/>
  <c r="AA17" i="8"/>
  <c r="Y18" i="8" s="1"/>
  <c r="AB18" i="8" s="1"/>
  <c r="Q17" i="8"/>
  <c r="T17" i="8" s="1"/>
  <c r="U17" i="8" s="1"/>
  <c r="I17" i="8"/>
  <c r="F18" i="8" s="1"/>
  <c r="J18" i="8" s="1"/>
  <c r="K18" i="8" s="1"/>
  <c r="DR222" i="11" l="1"/>
  <c r="AI220" i="11"/>
  <c r="AX223" i="11"/>
  <c r="EH222" i="11"/>
  <c r="DB228" i="11"/>
  <c r="BG236" i="11"/>
  <c r="DZ227" i="11"/>
  <c r="AP222" i="11"/>
  <c r="DJ224" i="11"/>
  <c r="CT222" i="11"/>
  <c r="AJ88" i="11"/>
  <c r="AQ88" i="11"/>
  <c r="X88" i="11"/>
  <c r="L88" i="11"/>
  <c r="E89" i="11"/>
  <c r="BY179" i="11"/>
  <c r="BQ177" i="11"/>
  <c r="K132" i="11"/>
  <c r="AC18" i="8"/>
  <c r="AK17" i="8"/>
  <c r="AX16" i="8"/>
  <c r="AY16" i="8" s="1"/>
  <c r="AQ16" i="8"/>
  <c r="AR16" i="8" s="1"/>
  <c r="BR16" i="8"/>
  <c r="BU16" i="8" s="1"/>
  <c r="Q16" i="8"/>
  <c r="BC16" i="8"/>
  <c r="BJ16" i="8"/>
  <c r="BM16" i="8" s="1"/>
  <c r="BN16" i="8" s="1"/>
  <c r="AG16" i="8"/>
  <c r="AJ16" i="8" s="1"/>
  <c r="AA16" i="8"/>
  <c r="Y17" i="8" s="1"/>
  <c r="AB17" i="8" s="1"/>
  <c r="AC17" i="8" s="1"/>
  <c r="I16" i="8"/>
  <c r="F17" i="8" s="1"/>
  <c r="J17" i="8" s="1"/>
  <c r="K17" i="8" s="1"/>
  <c r="EH223" i="11" l="1"/>
  <c r="AX224" i="11"/>
  <c r="CT223" i="11"/>
  <c r="BG237" i="11"/>
  <c r="AI221" i="11"/>
  <c r="AP223" i="11"/>
  <c r="DJ225" i="11"/>
  <c r="DB229" i="11"/>
  <c r="DR223" i="11"/>
  <c r="DZ228" i="11"/>
  <c r="AJ89" i="11"/>
  <c r="AQ89" i="11"/>
  <c r="X89" i="11"/>
  <c r="L89" i="11"/>
  <c r="E90" i="11"/>
  <c r="BY180" i="11"/>
  <c r="BQ178" i="11"/>
  <c r="K133" i="11"/>
  <c r="AK16" i="8"/>
  <c r="I15" i="8"/>
  <c r="F16" i="8" s="1"/>
  <c r="J16" i="8" s="1"/>
  <c r="K16" i="8" s="1"/>
  <c r="I14" i="8"/>
  <c r="F15" i="8" s="1"/>
  <c r="Q15" i="8"/>
  <c r="T15" i="8" s="1"/>
  <c r="U15" i="8" s="1"/>
  <c r="BR15" i="8"/>
  <c r="BU15" i="8" s="1"/>
  <c r="BJ15" i="8"/>
  <c r="BM15" i="8" s="1"/>
  <c r="BN15" i="8" s="1"/>
  <c r="BC15" i="8"/>
  <c r="AG15" i="8"/>
  <c r="AJ15" i="8" s="1"/>
  <c r="AK15" i="8" s="1"/>
  <c r="AA15" i="8"/>
  <c r="Y16" i="8" s="1"/>
  <c r="AB16" i="8" s="1"/>
  <c r="AC16" i="8" s="1"/>
  <c r="AX15" i="8"/>
  <c r="AY15" i="8" s="1"/>
  <c r="AQ15" i="8"/>
  <c r="AR15" i="8" s="1"/>
  <c r="BG238" i="11" l="1"/>
  <c r="CT224" i="11"/>
  <c r="DZ229" i="11"/>
  <c r="AP224" i="11"/>
  <c r="AX225" i="11"/>
  <c r="DB230" i="11"/>
  <c r="DJ226" i="11"/>
  <c r="AI222" i="11"/>
  <c r="EH224" i="11"/>
  <c r="DR224" i="11"/>
  <c r="J15" i="8"/>
  <c r="K15" i="8" s="1"/>
  <c r="AJ90" i="11"/>
  <c r="AQ90" i="11"/>
  <c r="X90" i="11"/>
  <c r="E91" i="11"/>
  <c r="L90" i="11"/>
  <c r="BY181" i="11"/>
  <c r="BQ179" i="11"/>
  <c r="K134" i="11"/>
  <c r="AX14" i="8"/>
  <c r="AY14" i="8" s="1"/>
  <c r="AQ14" i="8"/>
  <c r="AP225" i="11" l="1"/>
  <c r="DZ230" i="11"/>
  <c r="AI223" i="11"/>
  <c r="DB231" i="11"/>
  <c r="CT225" i="11"/>
  <c r="DJ227" i="11"/>
  <c r="EH225" i="11"/>
  <c r="AX226" i="11"/>
  <c r="BG239" i="11"/>
  <c r="DR225" i="11"/>
  <c r="AJ91" i="11"/>
  <c r="AQ91" i="11"/>
  <c r="X91" i="11"/>
  <c r="L91" i="11"/>
  <c r="E92" i="11"/>
  <c r="BY182" i="11"/>
  <c r="BQ180" i="11"/>
  <c r="K135" i="11"/>
  <c r="AR14" i="8"/>
  <c r="BY14" i="8"/>
  <c r="BR14" i="8"/>
  <c r="BU14" i="8" s="1"/>
  <c r="BJ14" i="8"/>
  <c r="BM14" i="8" s="1"/>
  <c r="BN14" i="8" s="1"/>
  <c r="BC14" i="8"/>
  <c r="AG14" i="8"/>
  <c r="AJ14" i="8" s="1"/>
  <c r="AK14" i="8" s="1"/>
  <c r="AA14" i="8"/>
  <c r="Y15" i="8" s="1"/>
  <c r="AB15" i="8" s="1"/>
  <c r="AC15" i="8" s="1"/>
  <c r="Q14" i="8"/>
  <c r="T14" i="8" s="1"/>
  <c r="U14" i="8" s="1"/>
  <c r="DB232" i="11" l="1"/>
  <c r="EH226" i="11"/>
  <c r="AI224" i="11"/>
  <c r="DR226" i="11"/>
  <c r="DJ228" i="11"/>
  <c r="DZ231" i="11"/>
  <c r="AX227" i="11"/>
  <c r="BG240" i="11"/>
  <c r="CT226" i="11"/>
  <c r="AP226" i="11"/>
  <c r="AJ92" i="11"/>
  <c r="AQ92" i="11"/>
  <c r="X92" i="11"/>
  <c r="L92" i="11"/>
  <c r="E93" i="11"/>
  <c r="BY183" i="11"/>
  <c r="BQ181" i="11"/>
  <c r="K136" i="11"/>
  <c r="AX10" i="8"/>
  <c r="AX11" i="8"/>
  <c r="AX12" i="8"/>
  <c r="AX13" i="8"/>
  <c r="BY10" i="8"/>
  <c r="BY11" i="8"/>
  <c r="BY12" i="8"/>
  <c r="BY13" i="8"/>
  <c r="BR12" i="8"/>
  <c r="BU12" i="8" s="1"/>
  <c r="BR13" i="8"/>
  <c r="BU13" i="8" s="1"/>
  <c r="BJ11" i="8"/>
  <c r="BM11" i="8" s="1"/>
  <c r="BJ12" i="8"/>
  <c r="BM12" i="8" s="1"/>
  <c r="BJ13" i="8"/>
  <c r="BM13" i="8" s="1"/>
  <c r="BC11" i="8"/>
  <c r="BF11" i="8" s="1"/>
  <c r="BC12" i="8"/>
  <c r="BC13" i="8"/>
  <c r="I13" i="8"/>
  <c r="F14" i="8" s="1"/>
  <c r="J14" i="8" s="1"/>
  <c r="K14" i="8" s="1"/>
  <c r="F11" i="8"/>
  <c r="I12" i="8"/>
  <c r="F13" i="8" s="1"/>
  <c r="I11" i="8"/>
  <c r="F12" i="8" s="1"/>
  <c r="Q11" i="8"/>
  <c r="Q12" i="8"/>
  <c r="Q13" i="8"/>
  <c r="AA13" i="8"/>
  <c r="Y14" i="8" s="1"/>
  <c r="AB14" i="8" s="1"/>
  <c r="AC14" i="8" s="1"/>
  <c r="AA12" i="8"/>
  <c r="Y13" i="8" s="1"/>
  <c r="AA11" i="8"/>
  <c r="Y12" i="8" s="1"/>
  <c r="AG11" i="8"/>
  <c r="AG12" i="8"/>
  <c r="AG13" i="8"/>
  <c r="DR227" i="11" l="1"/>
  <c r="AI225" i="11"/>
  <c r="AX228" i="11"/>
  <c r="AP227" i="11"/>
  <c r="DZ232" i="11"/>
  <c r="EH227" i="11"/>
  <c r="CT227" i="11"/>
  <c r="DJ229" i="11"/>
  <c r="DB233" i="11"/>
  <c r="AJ93" i="11"/>
  <c r="AQ93" i="11"/>
  <c r="X93" i="11"/>
  <c r="L93" i="11"/>
  <c r="E94" i="11"/>
  <c r="BY184" i="11"/>
  <c r="BQ182" i="11"/>
  <c r="K137" i="11"/>
  <c r="AJ13" i="8"/>
  <c r="AK13" i="8" s="1"/>
  <c r="BR11" i="8"/>
  <c r="BU11" i="8" s="1"/>
  <c r="BR10" i="8"/>
  <c r="BU10" i="8" s="1"/>
  <c r="BJ10" i="8"/>
  <c r="BC10" i="8"/>
  <c r="AX7" i="8"/>
  <c r="AX8" i="8"/>
  <c r="AX9" i="8"/>
  <c r="AG10" i="8"/>
  <c r="AA10" i="8"/>
  <c r="Y11" i="8" s="1"/>
  <c r="F10" i="8"/>
  <c r="Q10" i="8"/>
  <c r="AX229" i="11" l="1"/>
  <c r="EH228" i="11"/>
  <c r="AI226" i="11"/>
  <c r="DB234" i="11"/>
  <c r="DR228" i="11"/>
  <c r="CT228" i="11"/>
  <c r="DZ233" i="11"/>
  <c r="DJ230" i="11"/>
  <c r="AP228" i="11"/>
  <c r="AJ94" i="11"/>
  <c r="AQ94" i="11"/>
  <c r="X94" i="11"/>
  <c r="E95" i="11"/>
  <c r="L94" i="11"/>
  <c r="BY185" i="11"/>
  <c r="BQ183" i="11"/>
  <c r="K138" i="11"/>
  <c r="AA4" i="8"/>
  <c r="AA5" i="8"/>
  <c r="AA6" i="8"/>
  <c r="Y7" i="8" s="1"/>
  <c r="AA7" i="8"/>
  <c r="Y8" i="8" s="1"/>
  <c r="AA8" i="8"/>
  <c r="AA9" i="8"/>
  <c r="Y10" i="8" s="1"/>
  <c r="AB10" i="8" s="1"/>
  <c r="AC10" i="8" s="1"/>
  <c r="BY8" i="8"/>
  <c r="BY9" i="8"/>
  <c r="BY7" i="8"/>
  <c r="BR8" i="8"/>
  <c r="BU8" i="8" s="1"/>
  <c r="BR9" i="8"/>
  <c r="BU9" i="8" s="1"/>
  <c r="BR7" i="8"/>
  <c r="BU7" i="8" s="1"/>
  <c r="BJ8" i="8"/>
  <c r="BJ9" i="8"/>
  <c r="BJ7" i="8"/>
  <c r="BC8" i="8"/>
  <c r="BF8" i="8" s="1"/>
  <c r="BC9" i="8"/>
  <c r="BC7" i="8"/>
  <c r="AG8" i="8"/>
  <c r="AJ8" i="8" s="1"/>
  <c r="AK8" i="8" s="1"/>
  <c r="AG9" i="8"/>
  <c r="AJ9" i="8" s="1"/>
  <c r="AK9" i="8" s="1"/>
  <c r="AG7" i="8"/>
  <c r="Y9" i="8"/>
  <c r="F8" i="8"/>
  <c r="F9" i="8"/>
  <c r="F7" i="8"/>
  <c r="Q8" i="8"/>
  <c r="Q9" i="8"/>
  <c r="Q7" i="8"/>
  <c r="DB235" i="11" l="1"/>
  <c r="DZ234" i="11"/>
  <c r="AI227" i="11"/>
  <c r="CT229" i="11"/>
  <c r="EH229" i="11"/>
  <c r="DJ231" i="11"/>
  <c r="AP229" i="11"/>
  <c r="DR229" i="11"/>
  <c r="AX230" i="11"/>
  <c r="AJ95" i="11"/>
  <c r="AQ95" i="11"/>
  <c r="X95" i="11"/>
  <c r="L95" i="11"/>
  <c r="E96" i="11"/>
  <c r="BY186" i="11"/>
  <c r="BQ184" i="11"/>
  <c r="K139" i="11"/>
  <c r="AB9" i="8"/>
  <c r="AC9" i="8" s="1"/>
  <c r="CB3" i="8"/>
  <c r="BU3" i="8"/>
  <c r="BV3" i="8" s="1"/>
  <c r="BG3" i="8"/>
  <c r="AJ3" i="8"/>
  <c r="AL3" i="8" s="1"/>
  <c r="AB3" i="8"/>
  <c r="AC3" i="8" s="1"/>
  <c r="AB4" i="8"/>
  <c r="AC4" i="8" s="1"/>
  <c r="T3" i="8"/>
  <c r="V3" i="8" s="1"/>
  <c r="T8" i="8"/>
  <c r="U8" i="8" s="1"/>
  <c r="T9" i="8"/>
  <c r="U9" i="8" s="1"/>
  <c r="T10" i="8"/>
  <c r="U10" i="8" s="1"/>
  <c r="T11" i="8"/>
  <c r="U11" i="8" s="1"/>
  <c r="T12" i="8"/>
  <c r="U12" i="8" s="1"/>
  <c r="CT230" i="11" l="1"/>
  <c r="AI228" i="11"/>
  <c r="DR230" i="11"/>
  <c r="DJ232" i="11"/>
  <c r="DZ235" i="11"/>
  <c r="AP230" i="11"/>
  <c r="AX231" i="11"/>
  <c r="EH230" i="11"/>
  <c r="DB236" i="11"/>
  <c r="AD3" i="8"/>
  <c r="AJ96" i="11"/>
  <c r="AQ96" i="11"/>
  <c r="X96" i="11"/>
  <c r="L96" i="11"/>
  <c r="E97" i="11"/>
  <c r="BY187" i="11"/>
  <c r="BQ185" i="11"/>
  <c r="K140" i="11"/>
  <c r="CD3" i="8"/>
  <c r="CC3" i="8"/>
  <c r="AK3" i="8"/>
  <c r="AD4" i="8"/>
  <c r="U3" i="8"/>
  <c r="DR231" i="11" l="1"/>
  <c r="AI229" i="11"/>
  <c r="EH231" i="11"/>
  <c r="AX232" i="11"/>
  <c r="AP231" i="11"/>
  <c r="DB237" i="11"/>
  <c r="DZ236" i="11"/>
  <c r="CT231" i="11"/>
  <c r="DJ233" i="11"/>
  <c r="AJ97" i="11"/>
  <c r="AQ97" i="11"/>
  <c r="X97" i="11"/>
  <c r="L97" i="11"/>
  <c r="E98" i="11"/>
  <c r="BY188" i="11"/>
  <c r="BQ186" i="11"/>
  <c r="K141" i="11"/>
  <c r="J4" i="8"/>
  <c r="L4" i="8" s="1"/>
  <c r="J5" i="8"/>
  <c r="K5" i="8" s="1"/>
  <c r="J6" i="8"/>
  <c r="K6" i="8" s="1"/>
  <c r="J7" i="8"/>
  <c r="K7" i="8" s="1"/>
  <c r="J8" i="8"/>
  <c r="K8" i="8" s="1"/>
  <c r="J9" i="8"/>
  <c r="G3" i="8"/>
  <c r="CH5" i="8" s="1"/>
  <c r="E3" i="8"/>
  <c r="AX233" i="11" l="1"/>
  <c r="EH232" i="11"/>
  <c r="CT232" i="11"/>
  <c r="DB238" i="11"/>
  <c r="AI230" i="11"/>
  <c r="DZ237" i="11"/>
  <c r="DJ234" i="11"/>
  <c r="AP232" i="11"/>
  <c r="DR232" i="11"/>
  <c r="AJ98" i="11"/>
  <c r="AQ98" i="11"/>
  <c r="X98" i="11"/>
  <c r="E99" i="11"/>
  <c r="L98" i="11"/>
  <c r="BY189" i="11"/>
  <c r="BQ187" i="11"/>
  <c r="K142" i="11"/>
  <c r="BH3" i="8"/>
  <c r="BI3" i="8" s="1"/>
  <c r="BW3" i="8"/>
  <c r="BX3" i="8" s="1"/>
  <c r="J3" i="8"/>
  <c r="L3" i="8" s="1"/>
  <c r="L5" i="8" s="1"/>
  <c r="L6" i="8" s="1"/>
  <c r="L7" i="8" s="1"/>
  <c r="L8" i="8" s="1"/>
  <c r="L9" i="8" s="1"/>
  <c r="L10" i="8" s="1"/>
  <c r="K4" i="8"/>
  <c r="K9" i="8"/>
  <c r="CF218" i="8"/>
  <c r="BX218" i="8"/>
  <c r="BI218" i="8"/>
  <c r="BB218" i="8"/>
  <c r="AN218" i="8"/>
  <c r="AF218" i="8"/>
  <c r="CF188" i="8"/>
  <c r="BI188" i="8"/>
  <c r="BX127" i="8"/>
  <c r="BI96" i="8"/>
  <c r="CF96" i="8"/>
  <c r="AU96" i="8"/>
  <c r="BI35" i="8"/>
  <c r="BX35" i="8"/>
  <c r="CF35" i="8"/>
  <c r="BQ35" i="8"/>
  <c r="BB35" i="8"/>
  <c r="BN13" i="8"/>
  <c r="AY13" i="8"/>
  <c r="AQ13" i="8"/>
  <c r="AR13" i="8" s="1"/>
  <c r="T13" i="8"/>
  <c r="U13" i="8" s="1"/>
  <c r="J13" i="8"/>
  <c r="K13" i="8" s="1"/>
  <c r="BN12" i="8"/>
  <c r="AY12" i="8"/>
  <c r="AQ12" i="8"/>
  <c r="AR12" i="8" s="1"/>
  <c r="AJ12" i="8"/>
  <c r="AK12" i="8" s="1"/>
  <c r="J12" i="8"/>
  <c r="K12" i="8" s="1"/>
  <c r="BN11" i="8"/>
  <c r="AY11" i="8"/>
  <c r="AQ11" i="8"/>
  <c r="AR11" i="8" s="1"/>
  <c r="AJ11" i="8"/>
  <c r="AK11" i="8" s="1"/>
  <c r="AB12" i="8"/>
  <c r="AC12" i="8" s="1"/>
  <c r="J11" i="8"/>
  <c r="AY10" i="8"/>
  <c r="AQ10" i="8"/>
  <c r="AR10" i="8" s="1"/>
  <c r="AJ10" i="8"/>
  <c r="AK10" i="8" s="1"/>
  <c r="AB11" i="8"/>
  <c r="AC11" i="8" s="1"/>
  <c r="AY9" i="8"/>
  <c r="AQ9" i="8"/>
  <c r="AR9" i="8" s="1"/>
  <c r="AY8" i="8"/>
  <c r="AQ8" i="8"/>
  <c r="AR8" i="8" s="1"/>
  <c r="AY7" i="8"/>
  <c r="AQ7" i="8"/>
  <c r="AR7" i="8" s="1"/>
  <c r="AJ7" i="8"/>
  <c r="AK7" i="8" s="1"/>
  <c r="AB8" i="8"/>
  <c r="AB7" i="8"/>
  <c r="AC7" i="8" s="1"/>
  <c r="BY6" i="8"/>
  <c r="CB6" i="8" s="1"/>
  <c r="CC6" i="8" s="1"/>
  <c r="BJ6" i="8"/>
  <c r="BC6" i="8"/>
  <c r="AX6" i="8"/>
  <c r="AY6" i="8" s="1"/>
  <c r="AQ6" i="8"/>
  <c r="AR6" i="8" s="1"/>
  <c r="AG6" i="8"/>
  <c r="AJ6" i="8" s="1"/>
  <c r="AK6" i="8" s="1"/>
  <c r="Y6" i="8"/>
  <c r="AB6" i="8" s="1"/>
  <c r="AC6" i="8" s="1"/>
  <c r="Q6" i="8"/>
  <c r="BY5" i="8"/>
  <c r="CB5" i="8" s="1"/>
  <c r="CC5" i="8" s="1"/>
  <c r="BR6" i="8"/>
  <c r="BU6" i="8" s="1"/>
  <c r="BJ5" i="8"/>
  <c r="BC5" i="8"/>
  <c r="AX5" i="8"/>
  <c r="AY5" i="8" s="1"/>
  <c r="AQ5" i="8"/>
  <c r="AR5" i="8" s="1"/>
  <c r="AG5" i="8"/>
  <c r="AJ5" i="8" s="1"/>
  <c r="Y5" i="8"/>
  <c r="AB5" i="8" s="1"/>
  <c r="Q5" i="8"/>
  <c r="BY4" i="8"/>
  <c r="CB4" i="8" s="1"/>
  <c r="BR5" i="8"/>
  <c r="BU5" i="8" s="1"/>
  <c r="BR4" i="8"/>
  <c r="BU4" i="8" s="1"/>
  <c r="BJ4" i="8"/>
  <c r="BC4" i="8"/>
  <c r="BG4" i="8" s="1"/>
  <c r="AX4" i="8"/>
  <c r="AQ4" i="8"/>
  <c r="AR4" i="8" s="1"/>
  <c r="AG4" i="8"/>
  <c r="AJ4" i="8" s="1"/>
  <c r="Q4" i="8"/>
  <c r="T4" i="8" s="1"/>
  <c r="E4" i="8"/>
  <c r="AX3" i="8"/>
  <c r="AY3" i="8" s="1"/>
  <c r="AQ3" i="8"/>
  <c r="AS3" i="8" s="1"/>
  <c r="AT3" i="8" s="1"/>
  <c r="AU3" i="8" s="1"/>
  <c r="C3" i="8"/>
  <c r="AP233" i="11" l="1"/>
  <c r="DB239" i="11"/>
  <c r="DJ235" i="11"/>
  <c r="CT233" i="11"/>
  <c r="EH233" i="11"/>
  <c r="DZ238" i="11"/>
  <c r="DR233" i="11"/>
  <c r="AI231" i="11"/>
  <c r="AX234" i="11"/>
  <c r="K3" i="8"/>
  <c r="AJ99" i="11"/>
  <c r="AQ99" i="11"/>
  <c r="X99" i="11"/>
  <c r="E100" i="11"/>
  <c r="L99" i="11"/>
  <c r="BY190" i="11"/>
  <c r="BQ188" i="11"/>
  <c r="K143" i="11"/>
  <c r="CC4" i="8"/>
  <c r="CD4" i="8"/>
  <c r="AL4" i="8"/>
  <c r="AL5" i="8" s="1"/>
  <c r="AK4" i="8"/>
  <c r="BX4" i="8"/>
  <c r="BV4" i="8"/>
  <c r="BV5" i="8" s="1"/>
  <c r="BV6" i="8" s="1"/>
  <c r="C4" i="8"/>
  <c r="AE4" i="8" s="1"/>
  <c r="W3" i="8"/>
  <c r="X3" i="8" s="1"/>
  <c r="AM3" i="8"/>
  <c r="AN3" i="8" s="1"/>
  <c r="AE3" i="8"/>
  <c r="AF3" i="8" s="1"/>
  <c r="CE3" i="8"/>
  <c r="CF3" i="8" s="1"/>
  <c r="L11" i="8"/>
  <c r="BH4" i="8"/>
  <c r="AM4" i="8"/>
  <c r="E5" i="8"/>
  <c r="E6" i="8" s="1"/>
  <c r="E7" i="8" s="1"/>
  <c r="E8" i="8" s="1"/>
  <c r="E9" i="8" s="1"/>
  <c r="E10" i="8" s="1"/>
  <c r="E11" i="8" s="1"/>
  <c r="E12" i="8" s="1"/>
  <c r="E13" i="8" s="1"/>
  <c r="E14" i="8" s="1"/>
  <c r="E15" i="8" s="1"/>
  <c r="E16" i="8" s="1"/>
  <c r="E17" i="8" s="1"/>
  <c r="E18" i="8" s="1"/>
  <c r="E19" i="8" s="1"/>
  <c r="E20" i="8" s="1"/>
  <c r="E21" i="8" s="1"/>
  <c r="BG5" i="8"/>
  <c r="BG6" i="8" s="1"/>
  <c r="BI4" i="8"/>
  <c r="BB4" i="8"/>
  <c r="AY4" i="8"/>
  <c r="AZ3" i="8"/>
  <c r="AZ4" i="8" s="1"/>
  <c r="BA4" i="8" s="1"/>
  <c r="AU188" i="8"/>
  <c r="AR3" i="8"/>
  <c r="AC5" i="8"/>
  <c r="AD5" i="8"/>
  <c r="X218" i="8"/>
  <c r="V4" i="8"/>
  <c r="U4" i="8"/>
  <c r="X4" i="8"/>
  <c r="M4" i="8"/>
  <c r="N4" i="8" s="1"/>
  <c r="M3" i="8"/>
  <c r="O188" i="8"/>
  <c r="P188" i="8" s="1"/>
  <c r="AC8" i="8"/>
  <c r="AK5" i="8"/>
  <c r="AN4" i="8"/>
  <c r="AS4" i="8"/>
  <c r="L12" i="8"/>
  <c r="AU4" i="8"/>
  <c r="AB13" i="8"/>
  <c r="AC13" i="8" s="1"/>
  <c r="K11" i="8"/>
  <c r="CF4" i="8"/>
  <c r="BQ4" i="8"/>
  <c r="O4" i="8"/>
  <c r="P4" i="8" s="1"/>
  <c r="O35" i="8"/>
  <c r="P35" i="8" s="1"/>
  <c r="X35" i="8"/>
  <c r="AU35" i="8"/>
  <c r="BI65" i="8"/>
  <c r="BQ65" i="8"/>
  <c r="O65" i="8"/>
  <c r="P65" i="8" s="1"/>
  <c r="AU65" i="8"/>
  <c r="AN65" i="8"/>
  <c r="X65" i="8"/>
  <c r="CF65" i="8"/>
  <c r="BB65" i="8"/>
  <c r="BQ96" i="8"/>
  <c r="AN96" i="8"/>
  <c r="BX65" i="8"/>
  <c r="BX96" i="8"/>
  <c r="AN127" i="8"/>
  <c r="BB96" i="8"/>
  <c r="AU127" i="8"/>
  <c r="O127" i="8"/>
  <c r="P127" i="8" s="1"/>
  <c r="X127" i="8"/>
  <c r="X96" i="8"/>
  <c r="CF127" i="8"/>
  <c r="BQ127" i="8"/>
  <c r="O157" i="8"/>
  <c r="P157" i="8" s="1"/>
  <c r="AU157" i="8"/>
  <c r="X157" i="8"/>
  <c r="BQ157" i="8"/>
  <c r="AN157" i="8"/>
  <c r="AN188" i="8"/>
  <c r="CF157" i="8"/>
  <c r="BQ188" i="8"/>
  <c r="X188" i="8"/>
  <c r="AF188" i="8"/>
  <c r="BB188" i="8"/>
  <c r="BX188" i="8"/>
  <c r="BQ218" i="8"/>
  <c r="O218" i="8"/>
  <c r="P218" i="8" s="1"/>
  <c r="AU218" i="8"/>
  <c r="BW218" i="5"/>
  <c r="BS218" i="5"/>
  <c r="BQ219" i="5" s="1"/>
  <c r="BS219" i="5"/>
  <c r="BQ220" i="5" s="1"/>
  <c r="BS220" i="5"/>
  <c r="BQ221" i="5" s="1"/>
  <c r="BS221" i="5"/>
  <c r="BQ222" i="5" s="1"/>
  <c r="BS222" i="5"/>
  <c r="BQ223" i="5" s="1"/>
  <c r="BS223" i="5"/>
  <c r="BQ224" i="5" s="1"/>
  <c r="BS224" i="5"/>
  <c r="BQ225" i="5" s="1"/>
  <c r="BS225" i="5"/>
  <c r="AI232" i="11" l="1"/>
  <c r="CT234" i="11"/>
  <c r="DR234" i="11"/>
  <c r="DJ236" i="11"/>
  <c r="DZ239" i="11"/>
  <c r="DB240" i="11"/>
  <c r="AP234" i="11"/>
  <c r="AX235" i="11"/>
  <c r="EH234" i="11"/>
  <c r="CE4" i="8"/>
  <c r="BA3" i="8"/>
  <c r="BB3" i="8" s="1"/>
  <c r="CD5" i="8"/>
  <c r="BW4" i="8"/>
  <c r="AJ100" i="11"/>
  <c r="AQ100" i="11"/>
  <c r="X100" i="11"/>
  <c r="L100" i="11"/>
  <c r="E101" i="11"/>
  <c r="BY191" i="11"/>
  <c r="BQ189" i="11"/>
  <c r="K144" i="11"/>
  <c r="E22" i="8"/>
  <c r="E23" i="8" s="1"/>
  <c r="E24" i="8" s="1"/>
  <c r="E25" i="8" s="1"/>
  <c r="E26" i="8" s="1"/>
  <c r="E27" i="8" s="1"/>
  <c r="E28" i="8" s="1"/>
  <c r="E29" i="8" s="1"/>
  <c r="E30" i="8" s="1"/>
  <c r="E31" i="8" s="1"/>
  <c r="E32" i="8" s="1"/>
  <c r="E33" i="8" s="1"/>
  <c r="E34" i="8" s="1"/>
  <c r="E35" i="8" s="1"/>
  <c r="E36" i="8" s="1"/>
  <c r="E37" i="8" s="1"/>
  <c r="E38" i="8" s="1"/>
  <c r="E39" i="8" s="1"/>
  <c r="E40" i="8" s="1"/>
  <c r="E41" i="8" s="1"/>
  <c r="E42" i="8" s="1"/>
  <c r="E43" i="8" s="1"/>
  <c r="E44" i="8" s="1"/>
  <c r="E45" i="8" s="1"/>
  <c r="E46" i="8" s="1"/>
  <c r="E47" i="8" s="1"/>
  <c r="E48" i="8" s="1"/>
  <c r="E49" i="8" s="1"/>
  <c r="E50" i="8" s="1"/>
  <c r="E51" i="8" s="1"/>
  <c r="E52" i="8" s="1"/>
  <c r="E53" i="8" s="1"/>
  <c r="E54" i="8" s="1"/>
  <c r="E55" i="8" s="1"/>
  <c r="E56" i="8" s="1"/>
  <c r="E57" i="8" s="1"/>
  <c r="E58" i="8" s="1"/>
  <c r="E59" i="8" s="1"/>
  <c r="E60" i="8" s="1"/>
  <c r="E61" i="8" s="1"/>
  <c r="E62" i="8" s="1"/>
  <c r="E63" i="8" s="1"/>
  <c r="E64" i="8" s="1"/>
  <c r="E65" i="8" s="1"/>
  <c r="E66" i="8" s="1"/>
  <c r="E67" i="8" s="1"/>
  <c r="E68" i="8" s="1"/>
  <c r="E69" i="8" s="1"/>
  <c r="E70" i="8" s="1"/>
  <c r="E71" i="8" s="1"/>
  <c r="E72" i="8" s="1"/>
  <c r="E73" i="8" s="1"/>
  <c r="E74" i="8" s="1"/>
  <c r="E75" i="8" s="1"/>
  <c r="E76" i="8" s="1"/>
  <c r="E77" i="8" s="1"/>
  <c r="E78" i="8" s="1"/>
  <c r="E79" i="8" s="1"/>
  <c r="E80" i="8" s="1"/>
  <c r="E81" i="8" s="1"/>
  <c r="E82" i="8" s="1"/>
  <c r="E83" i="8" s="1"/>
  <c r="E84" i="8" s="1"/>
  <c r="E85" i="8" s="1"/>
  <c r="E86" i="8" s="1"/>
  <c r="E87" i="8" s="1"/>
  <c r="E88" i="8" s="1"/>
  <c r="E89" i="8" s="1"/>
  <c r="E90" i="8" s="1"/>
  <c r="E91" i="8" s="1"/>
  <c r="E92" i="8" s="1"/>
  <c r="E93" i="8" s="1"/>
  <c r="E94" i="8" s="1"/>
  <c r="E95" i="8" s="1"/>
  <c r="E96" i="8" s="1"/>
  <c r="E97" i="8" s="1"/>
  <c r="E98" i="8" s="1"/>
  <c r="E99" i="8" s="1"/>
  <c r="E100" i="8" s="1"/>
  <c r="E101" i="8" s="1"/>
  <c r="E102" i="8" s="1"/>
  <c r="E103" i="8" s="1"/>
  <c r="E104" i="8" s="1"/>
  <c r="E105" i="8" s="1"/>
  <c r="E106" i="8" s="1"/>
  <c r="E107" i="8" s="1"/>
  <c r="E108" i="8" s="1"/>
  <c r="E109" i="8" s="1"/>
  <c r="E110" i="8" s="1"/>
  <c r="E111" i="8" s="1"/>
  <c r="E112" i="8" s="1"/>
  <c r="E113" i="8" s="1"/>
  <c r="E114" i="8" s="1"/>
  <c r="E115" i="8" s="1"/>
  <c r="E116" i="8" s="1"/>
  <c r="E117" i="8" s="1"/>
  <c r="E118" i="8" s="1"/>
  <c r="E119" i="8" s="1"/>
  <c r="E120" i="8" s="1"/>
  <c r="E121" i="8" s="1"/>
  <c r="E122" i="8" s="1"/>
  <c r="E123" i="8" s="1"/>
  <c r="E124" i="8" s="1"/>
  <c r="E125" i="8" s="1"/>
  <c r="E126" i="8" s="1"/>
  <c r="E127" i="8" s="1"/>
  <c r="E128" i="8" s="1"/>
  <c r="E129" i="8" s="1"/>
  <c r="E130" i="8" s="1"/>
  <c r="E131" i="8" s="1"/>
  <c r="E132" i="8" s="1"/>
  <c r="E133" i="8" s="1"/>
  <c r="E134" i="8" s="1"/>
  <c r="E135" i="8" s="1"/>
  <c r="E136" i="8" s="1"/>
  <c r="E137" i="8" s="1"/>
  <c r="E138" i="8" s="1"/>
  <c r="E139" i="8" s="1"/>
  <c r="E140" i="8" s="1"/>
  <c r="E141" i="8" s="1"/>
  <c r="E142" i="8" s="1"/>
  <c r="E143" i="8" s="1"/>
  <c r="E144" i="8" s="1"/>
  <c r="E145" i="8" s="1"/>
  <c r="E146" i="8" s="1"/>
  <c r="E147" i="8" s="1"/>
  <c r="E148" i="8" s="1"/>
  <c r="E149" i="8" s="1"/>
  <c r="E150" i="8" s="1"/>
  <c r="E151" i="8" s="1"/>
  <c r="E152" i="8" s="1"/>
  <c r="E153" i="8" s="1"/>
  <c r="E154" i="8" s="1"/>
  <c r="E155" i="8" s="1"/>
  <c r="E156" i="8" s="1"/>
  <c r="E157" i="8" s="1"/>
  <c r="E158" i="8" s="1"/>
  <c r="E159" i="8" s="1"/>
  <c r="E160" i="8" s="1"/>
  <c r="E161" i="8" s="1"/>
  <c r="E162" i="8" s="1"/>
  <c r="E163" i="8" s="1"/>
  <c r="E164" i="8" s="1"/>
  <c r="E165" i="8" s="1"/>
  <c r="E166" i="8" s="1"/>
  <c r="E167" i="8" s="1"/>
  <c r="E168" i="8" s="1"/>
  <c r="E169" i="8" s="1"/>
  <c r="E170" i="8" s="1"/>
  <c r="E171" i="8" s="1"/>
  <c r="E172" i="8" s="1"/>
  <c r="E173" i="8" s="1"/>
  <c r="E174" i="8" s="1"/>
  <c r="E175" i="8" s="1"/>
  <c r="E176" i="8" s="1"/>
  <c r="E177" i="8" s="1"/>
  <c r="E178" i="8" s="1"/>
  <c r="E179" i="8" s="1"/>
  <c r="E180" i="8" s="1"/>
  <c r="E181" i="8" s="1"/>
  <c r="E182" i="8" s="1"/>
  <c r="E183" i="8" s="1"/>
  <c r="E184" i="8" s="1"/>
  <c r="E185" i="8" s="1"/>
  <c r="E186" i="8" s="1"/>
  <c r="E187" i="8" s="1"/>
  <c r="E188" i="8" s="1"/>
  <c r="E189" i="8" s="1"/>
  <c r="E190" i="8" s="1"/>
  <c r="C5" i="8"/>
  <c r="AM5" i="8" s="1"/>
  <c r="N3" i="8"/>
  <c r="P3" i="8" s="1"/>
  <c r="O3" i="8"/>
  <c r="BW5" i="8"/>
  <c r="BW6" i="8"/>
  <c r="BV7" i="8"/>
  <c r="BH5" i="8"/>
  <c r="AZ5" i="8"/>
  <c r="AZ6" i="8" s="1"/>
  <c r="AE5" i="8"/>
  <c r="AD6" i="8"/>
  <c r="W4" i="8"/>
  <c r="V5" i="8"/>
  <c r="O96" i="8"/>
  <c r="P96" i="8" s="1"/>
  <c r="AF157" i="8"/>
  <c r="AF65" i="8"/>
  <c r="CD6" i="8"/>
  <c r="CE5" i="8"/>
  <c r="AL6" i="8"/>
  <c r="AF96" i="8"/>
  <c r="AT4" i="8"/>
  <c r="AS5" i="8"/>
  <c r="AF35" i="8"/>
  <c r="AF4" i="8"/>
  <c r="BX157" i="8"/>
  <c r="AN35" i="8"/>
  <c r="L13" i="8"/>
  <c r="L14" i="8" s="1"/>
  <c r="L15" i="8" s="1"/>
  <c r="L16" i="8" s="1"/>
  <c r="L17" i="8" s="1"/>
  <c r="AF127" i="8"/>
  <c r="BG7" i="8"/>
  <c r="BH6" i="8"/>
  <c r="AW225" i="5"/>
  <c r="AX225" i="5" s="1"/>
  <c r="AW224" i="5"/>
  <c r="AW222" i="5"/>
  <c r="AW221" i="5"/>
  <c r="AW220" i="5"/>
  <c r="AP224" i="5"/>
  <c r="AQ224" i="5" s="1"/>
  <c r="AP225" i="5"/>
  <c r="AQ225" i="5" s="1"/>
  <c r="AP222" i="5"/>
  <c r="AP221" i="5"/>
  <c r="AP220" i="5"/>
  <c r="CE218" i="5"/>
  <c r="Z225" i="5"/>
  <c r="BX218" i="5"/>
  <c r="BX219" i="5"/>
  <c r="BX220" i="5"/>
  <c r="BX221" i="5"/>
  <c r="BX222" i="5"/>
  <c r="BX223" i="5"/>
  <c r="BX224" i="5"/>
  <c r="BX225" i="5"/>
  <c r="BH218" i="5"/>
  <c r="BI218" i="5"/>
  <c r="BL218" i="5" s="1"/>
  <c r="BI219" i="5"/>
  <c r="BI220" i="5"/>
  <c r="BL220" i="5" s="1"/>
  <c r="BM220" i="5" s="1"/>
  <c r="BI221" i="5"/>
  <c r="BL221" i="5" s="1"/>
  <c r="BM221" i="5" s="1"/>
  <c r="BI222" i="5"/>
  <c r="BL222" i="5" s="1"/>
  <c r="BM222" i="5" s="1"/>
  <c r="BB218" i="5"/>
  <c r="BB219" i="5"/>
  <c r="BB220" i="5"/>
  <c r="BB221" i="5"/>
  <c r="BB222" i="5"/>
  <c r="BB223" i="5"/>
  <c r="BB224" i="5"/>
  <c r="BB225" i="5"/>
  <c r="AF218" i="5"/>
  <c r="AF219" i="5"/>
  <c r="AF220" i="5"/>
  <c r="AF221" i="5"/>
  <c r="AF222" i="5"/>
  <c r="AF223" i="5"/>
  <c r="AF224" i="5"/>
  <c r="AF225" i="5"/>
  <c r="AI225" i="5" s="1"/>
  <c r="X219" i="5"/>
  <c r="X220" i="5"/>
  <c r="X221" i="5"/>
  <c r="X222" i="5"/>
  <c r="X223" i="5"/>
  <c r="X224" i="5"/>
  <c r="X225" i="5"/>
  <c r="AA225" i="5" s="1"/>
  <c r="AB225" i="5" s="1"/>
  <c r="F220" i="5"/>
  <c r="F221" i="5"/>
  <c r="I221" i="5" s="1"/>
  <c r="F222" i="5"/>
  <c r="I222" i="5" s="1"/>
  <c r="F219" i="5"/>
  <c r="F218" i="5"/>
  <c r="P225" i="5"/>
  <c r="P220" i="5"/>
  <c r="S220" i="5" s="1"/>
  <c r="P221" i="5"/>
  <c r="S221" i="5" s="1"/>
  <c r="T221" i="5" s="1"/>
  <c r="P222" i="5"/>
  <c r="S222" i="5" s="1"/>
  <c r="T222" i="5" s="1"/>
  <c r="P223" i="5"/>
  <c r="P224" i="5"/>
  <c r="S224" i="5" s="1"/>
  <c r="T224" i="5" s="1"/>
  <c r="P219" i="5"/>
  <c r="P218" i="5"/>
  <c r="AX236" i="11" l="1"/>
  <c r="DJ237" i="11"/>
  <c r="AP235" i="11"/>
  <c r="DR235" i="11"/>
  <c r="CT235" i="11"/>
  <c r="EH235" i="11"/>
  <c r="DZ240" i="11"/>
  <c r="AI233" i="11"/>
  <c r="AJ101" i="11"/>
  <c r="AQ101" i="11"/>
  <c r="X101" i="11"/>
  <c r="L101" i="11"/>
  <c r="E102" i="11"/>
  <c r="BY192" i="11"/>
  <c r="BQ190" i="11"/>
  <c r="K145" i="11"/>
  <c r="N218" i="5"/>
  <c r="O218" i="5" s="1"/>
  <c r="J221" i="5"/>
  <c r="BP218" i="5"/>
  <c r="T220" i="5"/>
  <c r="W218" i="5"/>
  <c r="AJ225" i="5"/>
  <c r="AM218" i="5"/>
  <c r="C6" i="8"/>
  <c r="AE6" i="8" s="1"/>
  <c r="M5" i="8"/>
  <c r="N5" i="8" s="1"/>
  <c r="AE218" i="5"/>
  <c r="L18" i="8"/>
  <c r="BA5" i="8"/>
  <c r="BW7" i="8"/>
  <c r="BV8" i="8"/>
  <c r="AD7" i="8"/>
  <c r="V6" i="8"/>
  <c r="W5" i="8"/>
  <c r="AL7" i="8"/>
  <c r="BH7" i="8"/>
  <c r="BG8" i="8"/>
  <c r="AT5" i="8"/>
  <c r="AS6" i="8"/>
  <c r="CD7" i="8"/>
  <c r="AZ7" i="8"/>
  <c r="BA6" i="8"/>
  <c r="AX224" i="5"/>
  <c r="AX222" i="5"/>
  <c r="AX221" i="5"/>
  <c r="BA218" i="5"/>
  <c r="AX220" i="5"/>
  <c r="AQ222" i="5"/>
  <c r="AQ221" i="5"/>
  <c r="AT218" i="5"/>
  <c r="AQ220" i="5"/>
  <c r="J222" i="5"/>
  <c r="BS217" i="5"/>
  <c r="BQ218" i="5" s="1"/>
  <c r="BS216" i="5"/>
  <c r="BQ217" i="5" s="1"/>
  <c r="BS215" i="5"/>
  <c r="BQ216" i="5" s="1"/>
  <c r="BS214" i="5"/>
  <c r="BQ215" i="5" s="1"/>
  <c r="BS213" i="5"/>
  <c r="BQ214" i="5" s="1"/>
  <c r="BS212" i="5"/>
  <c r="BQ213" i="5" s="1"/>
  <c r="BS211" i="5"/>
  <c r="BQ212" i="5" s="1"/>
  <c r="BS209" i="5"/>
  <c r="BQ210" i="5" s="1"/>
  <c r="BS210" i="5"/>
  <c r="BQ211" i="5" s="1"/>
  <c r="BT211" i="5" s="1"/>
  <c r="BS208" i="5"/>
  <c r="BQ209" i="5" s="1"/>
  <c r="BT209" i="5" s="1"/>
  <c r="BX208" i="5"/>
  <c r="CA208" i="5" s="1"/>
  <c r="CB208" i="5" s="1"/>
  <c r="BX209" i="5"/>
  <c r="BX210" i="5"/>
  <c r="BX211" i="5"/>
  <c r="BX212" i="5"/>
  <c r="BX213" i="5"/>
  <c r="BX214" i="5"/>
  <c r="BX215" i="5"/>
  <c r="BX216" i="5"/>
  <c r="BX217" i="5"/>
  <c r="BI208" i="5"/>
  <c r="BL208" i="5" s="1"/>
  <c r="BM208" i="5" s="1"/>
  <c r="BI209" i="5"/>
  <c r="BL209" i="5" s="1"/>
  <c r="BM209" i="5" s="1"/>
  <c r="BI210" i="5"/>
  <c r="BL210" i="5" s="1"/>
  <c r="BM210" i="5" s="1"/>
  <c r="BI211" i="5"/>
  <c r="BL211" i="5" s="1"/>
  <c r="BM211" i="5" s="1"/>
  <c r="BI212" i="5"/>
  <c r="BL212" i="5" s="1"/>
  <c r="BM212" i="5" s="1"/>
  <c r="BI213" i="5"/>
  <c r="BL213" i="5" s="1"/>
  <c r="BM213" i="5" s="1"/>
  <c r="BI214" i="5"/>
  <c r="BI215" i="5"/>
  <c r="BI216" i="5"/>
  <c r="BI217" i="5"/>
  <c r="AP214" i="5"/>
  <c r="AQ214" i="5" s="1"/>
  <c r="AW214" i="5"/>
  <c r="AX214" i="5" s="1"/>
  <c r="AW213" i="5"/>
  <c r="AX213" i="5" s="1"/>
  <c r="BB208" i="5"/>
  <c r="BB209" i="5"/>
  <c r="BB210" i="5"/>
  <c r="BB211" i="5"/>
  <c r="BB212" i="5"/>
  <c r="BB213" i="5"/>
  <c r="BB214" i="5"/>
  <c r="BB215" i="5"/>
  <c r="BB216" i="5"/>
  <c r="BB217" i="5"/>
  <c r="F208" i="5"/>
  <c r="I208" i="5" s="1"/>
  <c r="J208" i="5" s="1"/>
  <c r="F209" i="5"/>
  <c r="I209" i="5" s="1"/>
  <c r="J209" i="5" s="1"/>
  <c r="F210" i="5"/>
  <c r="I210" i="5" s="1"/>
  <c r="J210" i="5" s="1"/>
  <c r="F211" i="5"/>
  <c r="I211" i="5" s="1"/>
  <c r="J211" i="5" s="1"/>
  <c r="F212" i="5"/>
  <c r="I212" i="5" s="1"/>
  <c r="J212" i="5" s="1"/>
  <c r="F213" i="5"/>
  <c r="I213" i="5" s="1"/>
  <c r="J213" i="5" s="1"/>
  <c r="F214" i="5"/>
  <c r="F215" i="5"/>
  <c r="F216" i="5"/>
  <c r="F217" i="5"/>
  <c r="AF208" i="5"/>
  <c r="AI208" i="5" s="1"/>
  <c r="AJ208" i="5" s="1"/>
  <c r="AF209" i="5"/>
  <c r="AI209" i="5" s="1"/>
  <c r="AJ209" i="5" s="1"/>
  <c r="AF210" i="5"/>
  <c r="AI210" i="5" s="1"/>
  <c r="AJ210" i="5" s="1"/>
  <c r="AF211" i="5"/>
  <c r="AI211" i="5" s="1"/>
  <c r="AJ211" i="5" s="1"/>
  <c r="AF212" i="5"/>
  <c r="AI212" i="5" s="1"/>
  <c r="AJ212" i="5" s="1"/>
  <c r="AF213" i="5"/>
  <c r="AI213" i="5" s="1"/>
  <c r="AJ213" i="5" s="1"/>
  <c r="AF214" i="5"/>
  <c r="AF215" i="5"/>
  <c r="AF216" i="5"/>
  <c r="AF217" i="5"/>
  <c r="Z214" i="5"/>
  <c r="X215" i="5" s="1"/>
  <c r="Z215" i="5"/>
  <c r="X216" i="5" s="1"/>
  <c r="Z216" i="5"/>
  <c r="X217" i="5" s="1"/>
  <c r="Z217" i="5"/>
  <c r="X218" i="5" s="1"/>
  <c r="Z213" i="5"/>
  <c r="X214" i="5" s="1"/>
  <c r="Z212" i="5"/>
  <c r="X213" i="5" s="1"/>
  <c r="Z211" i="5"/>
  <c r="X212" i="5" s="1"/>
  <c r="AA212" i="5" s="1"/>
  <c r="AB212" i="5" s="1"/>
  <c r="Z210" i="5"/>
  <c r="X211" i="5" s="1"/>
  <c r="Z209" i="5"/>
  <c r="X210" i="5" s="1"/>
  <c r="Z208" i="5"/>
  <c r="X209" i="5" s="1"/>
  <c r="P208" i="5"/>
  <c r="P209" i="5"/>
  <c r="P210" i="5"/>
  <c r="P211" i="5"/>
  <c r="S211" i="5" s="1"/>
  <c r="T211" i="5" s="1"/>
  <c r="P212" i="5"/>
  <c r="S212" i="5" s="1"/>
  <c r="T212" i="5" s="1"/>
  <c r="P213" i="5"/>
  <c r="S213" i="5" s="1"/>
  <c r="P214" i="5"/>
  <c r="P215" i="5"/>
  <c r="P216" i="5"/>
  <c r="P217" i="5"/>
  <c r="DR236" i="11" l="1"/>
  <c r="AP236" i="11"/>
  <c r="EH236" i="11"/>
  <c r="DJ238" i="11"/>
  <c r="CT236" i="11"/>
  <c r="AX237" i="11"/>
  <c r="AI234" i="11"/>
  <c r="AM6" i="8"/>
  <c r="BT210" i="5"/>
  <c r="AA210" i="5"/>
  <c r="AB210" i="5" s="1"/>
  <c r="BT212" i="5"/>
  <c r="BT214" i="5"/>
  <c r="CE6" i="8"/>
  <c r="AA211" i="5"/>
  <c r="AB211" i="5" s="1"/>
  <c r="BT213" i="5"/>
  <c r="AA209" i="5"/>
  <c r="AB209" i="5" s="1"/>
  <c r="AA213" i="5"/>
  <c r="AB213" i="5" s="1"/>
  <c r="AJ102" i="11"/>
  <c r="AQ102" i="11"/>
  <c r="X102" i="11"/>
  <c r="E103" i="11"/>
  <c r="L102" i="11"/>
  <c r="BY193" i="11"/>
  <c r="BQ191" i="11"/>
  <c r="K146" i="11"/>
  <c r="C7" i="8"/>
  <c r="CE7" i="8" s="1"/>
  <c r="M6" i="8"/>
  <c r="N6" i="8" s="1"/>
  <c r="L19" i="8"/>
  <c r="BV9" i="8"/>
  <c r="BW8" i="8"/>
  <c r="AD8" i="8"/>
  <c r="V7" i="8"/>
  <c r="W6" i="8"/>
  <c r="CD8" i="8"/>
  <c r="AS7" i="8"/>
  <c r="AT6" i="8"/>
  <c r="BG9" i="8"/>
  <c r="BH8" i="8"/>
  <c r="BA7" i="8"/>
  <c r="AZ8" i="8"/>
  <c r="AL8" i="8"/>
  <c r="I190" i="5"/>
  <c r="J190" i="5" s="1"/>
  <c r="I192" i="5"/>
  <c r="J192" i="5" s="1"/>
  <c r="I189" i="5"/>
  <c r="F193" i="5"/>
  <c r="I193" i="5" s="1"/>
  <c r="J193" i="5" s="1"/>
  <c r="F194" i="5"/>
  <c r="F195" i="5"/>
  <c r="I195" i="5" s="1"/>
  <c r="J195" i="5" s="1"/>
  <c r="F196" i="5"/>
  <c r="I196" i="5" s="1"/>
  <c r="F197" i="5"/>
  <c r="F198" i="5"/>
  <c r="F199" i="5"/>
  <c r="F200" i="5"/>
  <c r="I200" i="5" s="1"/>
  <c r="J200" i="5" s="1"/>
  <c r="F202" i="5"/>
  <c r="F203" i="5"/>
  <c r="F204" i="5"/>
  <c r="F205" i="5"/>
  <c r="I205" i="5" s="1"/>
  <c r="J205" i="5" s="1"/>
  <c r="F206" i="5"/>
  <c r="I206" i="5" s="1"/>
  <c r="J206" i="5" s="1"/>
  <c r="F207" i="5"/>
  <c r="I207" i="5" s="1"/>
  <c r="J207" i="5" s="1"/>
  <c r="AI235" i="11" l="1"/>
  <c r="EH237" i="11"/>
  <c r="AP237" i="11"/>
  <c r="AX238" i="11"/>
  <c r="CT237" i="11"/>
  <c r="DR237" i="11"/>
  <c r="DJ239" i="11"/>
  <c r="AE7" i="8"/>
  <c r="AM7" i="8"/>
  <c r="AJ103" i="11"/>
  <c r="AQ103" i="11"/>
  <c r="X103" i="11"/>
  <c r="E104" i="11"/>
  <c r="L103" i="11"/>
  <c r="BY194" i="11"/>
  <c r="BQ192" i="11"/>
  <c r="K147" i="11"/>
  <c r="J189" i="5"/>
  <c r="C8" i="8"/>
  <c r="CE8" i="8" s="1"/>
  <c r="M7" i="8"/>
  <c r="N7" i="8" s="1"/>
  <c r="L20" i="8"/>
  <c r="BV10" i="8"/>
  <c r="BW9" i="8"/>
  <c r="AD9" i="8"/>
  <c r="V8" i="8"/>
  <c r="W7" i="8"/>
  <c r="BG10" i="8"/>
  <c r="BH9" i="8"/>
  <c r="CD9" i="8"/>
  <c r="AL9" i="8"/>
  <c r="BA8" i="8"/>
  <c r="AZ9" i="8"/>
  <c r="AS8" i="8"/>
  <c r="AT7" i="8"/>
  <c r="AP213" i="5"/>
  <c r="AQ213" i="5" s="1"/>
  <c r="AX239" i="11" l="1"/>
  <c r="AP238" i="11"/>
  <c r="DR238" i="11"/>
  <c r="EH238" i="11"/>
  <c r="DJ240" i="11"/>
  <c r="CT238" i="11"/>
  <c r="AI236" i="11"/>
  <c r="AE8" i="8"/>
  <c r="AM8" i="8"/>
  <c r="AJ104" i="11"/>
  <c r="AQ104" i="11"/>
  <c r="X104" i="11"/>
  <c r="E105" i="11"/>
  <c r="L104" i="11"/>
  <c r="BY195" i="11"/>
  <c r="BQ193" i="11"/>
  <c r="K148" i="11"/>
  <c r="M8" i="8"/>
  <c r="N8" i="8" s="1"/>
  <c r="C9" i="8"/>
  <c r="CE9" i="8" s="1"/>
  <c r="L21" i="8"/>
  <c r="BW10" i="8"/>
  <c r="BV11" i="8"/>
  <c r="AD10" i="8"/>
  <c r="W8" i="8"/>
  <c r="V9" i="8"/>
  <c r="BA9" i="8"/>
  <c r="AZ10" i="8"/>
  <c r="BG11" i="8"/>
  <c r="BH10" i="8"/>
  <c r="CD10" i="8"/>
  <c r="AT8" i="8"/>
  <c r="AS9" i="8"/>
  <c r="AM9" i="8"/>
  <c r="AL10" i="8"/>
  <c r="G194" i="5"/>
  <c r="I194" i="5" s="1"/>
  <c r="EH239" i="11" l="1"/>
  <c r="DR239" i="11"/>
  <c r="AP239" i="11"/>
  <c r="AI237" i="11"/>
  <c r="AX240" i="11"/>
  <c r="CT239" i="11"/>
  <c r="AE9" i="8"/>
  <c r="AJ105" i="11"/>
  <c r="AQ105" i="11"/>
  <c r="X105" i="11"/>
  <c r="E106" i="11"/>
  <c r="L105" i="11"/>
  <c r="BY196" i="11"/>
  <c r="BQ194" i="11"/>
  <c r="K149" i="11"/>
  <c r="J194" i="5"/>
  <c r="N188" i="5"/>
  <c r="O188" i="5" s="1"/>
  <c r="C10" i="8"/>
  <c r="AE10" i="8" s="1"/>
  <c r="M9" i="8"/>
  <c r="N9" i="8" s="1"/>
  <c r="L22" i="8"/>
  <c r="BV12" i="8"/>
  <c r="BW11" i="8"/>
  <c r="AD11" i="8"/>
  <c r="W9" i="8"/>
  <c r="V10" i="8"/>
  <c r="AL11" i="8"/>
  <c r="CD11" i="8"/>
  <c r="BH11" i="8"/>
  <c r="BG12" i="8"/>
  <c r="AT9" i="8"/>
  <c r="AS10" i="8"/>
  <c r="AZ11" i="8"/>
  <c r="BA10" i="8"/>
  <c r="AW208" i="5"/>
  <c r="AX208" i="5" s="1"/>
  <c r="AW209" i="5"/>
  <c r="AX209" i="5" s="1"/>
  <c r="AW210" i="5"/>
  <c r="AX210" i="5" s="1"/>
  <c r="AW211" i="5"/>
  <c r="AX211" i="5"/>
  <c r="AW212" i="5"/>
  <c r="AX212" i="5" s="1"/>
  <c r="AP208" i="5"/>
  <c r="AQ208" i="5" s="1"/>
  <c r="AP209" i="5"/>
  <c r="AQ209" i="5" s="1"/>
  <c r="AP210" i="5"/>
  <c r="AQ210" i="5" s="1"/>
  <c r="AP211" i="5"/>
  <c r="AQ211" i="5" s="1"/>
  <c r="AP212" i="5"/>
  <c r="AQ212" i="5" s="1"/>
  <c r="AI238" i="11" l="1"/>
  <c r="AP240" i="11"/>
  <c r="CT240" i="11"/>
  <c r="DR240" i="11"/>
  <c r="EH240" i="11"/>
  <c r="AM10" i="8"/>
  <c r="CE10" i="8"/>
  <c r="AJ106" i="11"/>
  <c r="AQ106" i="11"/>
  <c r="X106" i="11"/>
  <c r="E107" i="11"/>
  <c r="L106" i="11"/>
  <c r="BY197" i="11"/>
  <c r="BQ195" i="11"/>
  <c r="K150" i="11"/>
  <c r="M10" i="8"/>
  <c r="N10" i="8" s="1"/>
  <c r="C11" i="8"/>
  <c r="AM11" i="8" s="1"/>
  <c r="L23" i="8"/>
  <c r="BV13" i="8"/>
  <c r="BV14" i="8" s="1"/>
  <c r="BW12" i="8"/>
  <c r="BO11" i="8"/>
  <c r="AD12" i="8"/>
  <c r="V11" i="8"/>
  <c r="W10" i="8"/>
  <c r="BH12" i="8"/>
  <c r="BG13" i="8"/>
  <c r="BG14" i="8" s="1"/>
  <c r="BA11" i="8"/>
  <c r="AZ12" i="8"/>
  <c r="AS11" i="8"/>
  <c r="AT10" i="8"/>
  <c r="AL12" i="8"/>
  <c r="CD12" i="8"/>
  <c r="AF190" i="5"/>
  <c r="AI190" i="5" s="1"/>
  <c r="AF191" i="5"/>
  <c r="AI191" i="5" s="1"/>
  <c r="AJ191" i="5" s="1"/>
  <c r="AF192" i="5"/>
  <c r="AI192" i="5" s="1"/>
  <c r="AJ192" i="5" s="1"/>
  <c r="AF193" i="5"/>
  <c r="AI193" i="5" s="1"/>
  <c r="AJ193" i="5" s="1"/>
  <c r="AF194" i="5"/>
  <c r="AI194" i="5" s="1"/>
  <c r="AJ194" i="5" s="1"/>
  <c r="AF195" i="5"/>
  <c r="AI195" i="5" s="1"/>
  <c r="AJ195" i="5" s="1"/>
  <c r="AF196" i="5"/>
  <c r="AF197" i="5"/>
  <c r="AF198" i="5"/>
  <c r="AF199" i="5"/>
  <c r="AF200" i="5"/>
  <c r="AF201" i="5"/>
  <c r="AI201" i="5" s="1"/>
  <c r="AF202" i="5"/>
  <c r="AF203" i="5"/>
  <c r="AF204" i="5"/>
  <c r="AI204" i="5" s="1"/>
  <c r="AJ204" i="5" s="1"/>
  <c r="AF205" i="5"/>
  <c r="AI205" i="5" s="1"/>
  <c r="AJ205" i="5" s="1"/>
  <c r="AF206" i="5"/>
  <c r="AI206" i="5" s="1"/>
  <c r="AJ206" i="5" s="1"/>
  <c r="AF207" i="5"/>
  <c r="AI207" i="5" s="1"/>
  <c r="AJ207" i="5" s="1"/>
  <c r="AF189" i="5"/>
  <c r="AI189" i="5" s="1"/>
  <c r="AF188" i="5"/>
  <c r="AI188" i="5" s="1"/>
  <c r="Z204" i="5"/>
  <c r="Z193" i="5"/>
  <c r="Z190" i="5"/>
  <c r="X191" i="5" s="1"/>
  <c r="Z189" i="5"/>
  <c r="X190" i="5" s="1"/>
  <c r="X205" i="5"/>
  <c r="Z207" i="5"/>
  <c r="X208" i="5" s="1"/>
  <c r="AA208" i="5" s="1"/>
  <c r="AB208" i="5" s="1"/>
  <c r="Z206" i="5"/>
  <c r="X207" i="5" s="1"/>
  <c r="Z205" i="5"/>
  <c r="X206" i="5" s="1"/>
  <c r="Z203" i="5"/>
  <c r="X204" i="5" s="1"/>
  <c r="AA204" i="5" s="1"/>
  <c r="AB204" i="5" s="1"/>
  <c r="Z202" i="5"/>
  <c r="X203" i="5" s="1"/>
  <c r="Z201" i="5"/>
  <c r="X202" i="5" s="1"/>
  <c r="Z200" i="5"/>
  <c r="X201" i="5" s="1"/>
  <c r="Z199" i="5"/>
  <c r="X200" i="5" s="1"/>
  <c r="Z198" i="5"/>
  <c r="X199" i="5" s="1"/>
  <c r="Z197" i="5"/>
  <c r="X198" i="5" s="1"/>
  <c r="Z196" i="5"/>
  <c r="X197" i="5" s="1"/>
  <c r="Z195" i="5"/>
  <c r="X196" i="5" s="1"/>
  <c r="Z194" i="5"/>
  <c r="X195" i="5" s="1"/>
  <c r="Z192" i="5"/>
  <c r="X193" i="5" s="1"/>
  <c r="Z191" i="5"/>
  <c r="X192" i="5" s="1"/>
  <c r="Z188" i="5"/>
  <c r="X189" i="5" s="1"/>
  <c r="P190" i="5"/>
  <c r="S190" i="5" s="1"/>
  <c r="T190" i="5" s="1"/>
  <c r="P191" i="5"/>
  <c r="S191" i="5" s="1"/>
  <c r="T191" i="5" s="1"/>
  <c r="P192" i="5"/>
  <c r="S192" i="5" s="1"/>
  <c r="T192" i="5" s="1"/>
  <c r="P193" i="5"/>
  <c r="S193" i="5" s="1"/>
  <c r="T193" i="5" s="1"/>
  <c r="P194" i="5"/>
  <c r="P195" i="5"/>
  <c r="P196" i="5"/>
  <c r="P197" i="5"/>
  <c r="P198" i="5"/>
  <c r="P199" i="5"/>
  <c r="P200" i="5"/>
  <c r="S200" i="5" s="1"/>
  <c r="T200" i="5" s="1"/>
  <c r="P201" i="5"/>
  <c r="P202" i="5"/>
  <c r="P203" i="5"/>
  <c r="P204" i="5"/>
  <c r="S204" i="5" s="1"/>
  <c r="T204" i="5" s="1"/>
  <c r="P205" i="5"/>
  <c r="S205" i="5" s="1"/>
  <c r="T205" i="5" s="1"/>
  <c r="P206" i="5"/>
  <c r="S206" i="5" s="1"/>
  <c r="T206" i="5" s="1"/>
  <c r="P207" i="5"/>
  <c r="P189" i="5"/>
  <c r="S189" i="5" s="1"/>
  <c r="P188" i="5"/>
  <c r="S188" i="5" s="1"/>
  <c r="BB190" i="5"/>
  <c r="BB191" i="5"/>
  <c r="BB192" i="5"/>
  <c r="BB193" i="5"/>
  <c r="BE193" i="5" s="1"/>
  <c r="BB194" i="5"/>
  <c r="BB195" i="5"/>
  <c r="BB196" i="5"/>
  <c r="BB197" i="5"/>
  <c r="BB198" i="5"/>
  <c r="BB199" i="5"/>
  <c r="BB200" i="5"/>
  <c r="BE200" i="5" s="1"/>
  <c r="BB201" i="5"/>
  <c r="BB202" i="5"/>
  <c r="BB203" i="5"/>
  <c r="BB204" i="5"/>
  <c r="BB205" i="5"/>
  <c r="BB206" i="5"/>
  <c r="BB207" i="5"/>
  <c r="BB189" i="5"/>
  <c r="BB188" i="5"/>
  <c r="BI190" i="5"/>
  <c r="BL190" i="5" s="1"/>
  <c r="BI191" i="5"/>
  <c r="BL191" i="5" s="1"/>
  <c r="BM191" i="5" s="1"/>
  <c r="BI192" i="5"/>
  <c r="BL192" i="5" s="1"/>
  <c r="BM192" i="5" s="1"/>
  <c r="BI193" i="5"/>
  <c r="BL193" i="5" s="1"/>
  <c r="BM193" i="5" s="1"/>
  <c r="BI194" i="5"/>
  <c r="BL194" i="5" s="1"/>
  <c r="BM194" i="5" s="1"/>
  <c r="BI195" i="5"/>
  <c r="BL195" i="5" s="1"/>
  <c r="BM195" i="5" s="1"/>
  <c r="BI196" i="5"/>
  <c r="BI197" i="5"/>
  <c r="BI198" i="5"/>
  <c r="BI199" i="5"/>
  <c r="BL199" i="5" s="1"/>
  <c r="BM199" i="5" s="1"/>
  <c r="BI200" i="5"/>
  <c r="BL200" i="5" s="1"/>
  <c r="BM200" i="5" s="1"/>
  <c r="BI201" i="5"/>
  <c r="BI202" i="5"/>
  <c r="BI203" i="5"/>
  <c r="BI204" i="5"/>
  <c r="BL204" i="5" s="1"/>
  <c r="BM204" i="5" s="1"/>
  <c r="BI205" i="5"/>
  <c r="BL205" i="5" s="1"/>
  <c r="BM205" i="5" s="1"/>
  <c r="BI206" i="5"/>
  <c r="BL206" i="5" s="1"/>
  <c r="BM206" i="5" s="1"/>
  <c r="BI207" i="5"/>
  <c r="BL207" i="5" s="1"/>
  <c r="BM207" i="5" s="1"/>
  <c r="BI189" i="5"/>
  <c r="BL189" i="5" s="1"/>
  <c r="BM189" i="5" s="1"/>
  <c r="BI188" i="5"/>
  <c r="BL188" i="5" s="1"/>
  <c r="BS198" i="5"/>
  <c r="BQ199" i="5" s="1"/>
  <c r="BS197" i="5"/>
  <c r="BS196" i="5"/>
  <c r="BQ197" i="5" s="1"/>
  <c r="BS195" i="5"/>
  <c r="BQ196" i="5" s="1"/>
  <c r="BX190" i="5"/>
  <c r="BX191" i="5"/>
  <c r="BX192" i="5"/>
  <c r="BX193" i="5"/>
  <c r="BX194" i="5"/>
  <c r="BX195" i="5"/>
  <c r="BX196" i="5"/>
  <c r="BX197" i="5"/>
  <c r="BX198" i="5"/>
  <c r="BX199" i="5"/>
  <c r="BX200" i="5"/>
  <c r="BX201" i="5"/>
  <c r="BX202" i="5"/>
  <c r="BX203" i="5"/>
  <c r="BX204" i="5"/>
  <c r="BX205" i="5"/>
  <c r="BX206" i="5"/>
  <c r="CA206" i="5" s="1"/>
  <c r="CB206" i="5" s="1"/>
  <c r="BX207" i="5"/>
  <c r="CA207" i="5" s="1"/>
  <c r="CB207" i="5" s="1"/>
  <c r="BX189" i="5"/>
  <c r="BX188" i="5"/>
  <c r="BQ198" i="5"/>
  <c r="BS194" i="5"/>
  <c r="BQ195" i="5" s="1"/>
  <c r="BS193" i="5"/>
  <c r="BQ194" i="5" s="1"/>
  <c r="BS207" i="5"/>
  <c r="BQ208" i="5" s="1"/>
  <c r="BT208" i="5" s="1"/>
  <c r="BS206" i="5"/>
  <c r="BQ207" i="5" s="1"/>
  <c r="BT207" i="5" s="1"/>
  <c r="BS205" i="5"/>
  <c r="BQ206" i="5" s="1"/>
  <c r="BS204" i="5"/>
  <c r="BQ205" i="5" s="1"/>
  <c r="BS203" i="5"/>
  <c r="BQ204" i="5" s="1"/>
  <c r="BS202" i="5"/>
  <c r="BQ203" i="5" s="1"/>
  <c r="BS201" i="5"/>
  <c r="BQ202" i="5" s="1"/>
  <c r="BS200" i="5"/>
  <c r="BQ201" i="5" s="1"/>
  <c r="BS199" i="5"/>
  <c r="BQ200" i="5" s="1"/>
  <c r="BS192" i="5"/>
  <c r="BQ193" i="5" s="1"/>
  <c r="AW207" i="5"/>
  <c r="AP207" i="5"/>
  <c r="AQ207" i="5" s="1"/>
  <c r="AP190" i="5"/>
  <c r="AQ190" i="5" s="1"/>
  <c r="AP191" i="5"/>
  <c r="AQ191" i="5" s="1"/>
  <c r="AP192" i="5"/>
  <c r="AQ192" i="5" s="1"/>
  <c r="AP193" i="5"/>
  <c r="AQ193" i="5" s="1"/>
  <c r="AP194" i="5"/>
  <c r="AQ194" i="5" s="1"/>
  <c r="AP195" i="5"/>
  <c r="AQ195" i="5" s="1"/>
  <c r="AP199" i="5"/>
  <c r="AQ199" i="5" s="1"/>
  <c r="AP200" i="5"/>
  <c r="AQ200" i="5" s="1"/>
  <c r="AP201" i="5"/>
  <c r="AP204" i="5"/>
  <c r="AQ204" i="5" s="1"/>
  <c r="AP205" i="5"/>
  <c r="AQ205" i="5" s="1"/>
  <c r="AP206" i="5"/>
  <c r="AQ206" i="5" s="1"/>
  <c r="AP189" i="5"/>
  <c r="AQ189" i="5" s="1"/>
  <c r="AP188" i="5"/>
  <c r="AI239" i="11" l="1"/>
  <c r="AE11" i="8"/>
  <c r="BT199" i="5"/>
  <c r="BT201" i="5"/>
  <c r="AA192" i="5"/>
  <c r="AB192" i="5" s="1"/>
  <c r="AA195" i="5"/>
  <c r="AB195" i="5" s="1"/>
  <c r="AA206" i="5"/>
  <c r="AB206" i="5" s="1"/>
  <c r="CE11" i="8"/>
  <c r="AT188" i="5"/>
  <c r="BT200" i="5"/>
  <c r="BH188" i="5"/>
  <c r="AA200" i="5"/>
  <c r="AB200" i="5" s="1"/>
  <c r="AA205" i="5"/>
  <c r="AB205" i="5" s="1"/>
  <c r="BT206" i="5"/>
  <c r="AA207" i="5"/>
  <c r="AB207" i="5" s="1"/>
  <c r="AJ107" i="11"/>
  <c r="AQ107" i="11"/>
  <c r="X107" i="11"/>
  <c r="E108" i="11"/>
  <c r="L107" i="11"/>
  <c r="BY198" i="11"/>
  <c r="BQ196" i="11"/>
  <c r="K151" i="11"/>
  <c r="BP188" i="5"/>
  <c r="BM190" i="5"/>
  <c r="W188" i="5"/>
  <c r="AJ190" i="5"/>
  <c r="AJ188" i="5"/>
  <c r="AM188" i="5"/>
  <c r="CE188" i="5"/>
  <c r="C12" i="8"/>
  <c r="AE12" i="8" s="1"/>
  <c r="M11" i="8"/>
  <c r="N11" i="8" s="1"/>
  <c r="AX207" i="5"/>
  <c r="AA191" i="5"/>
  <c r="AB191" i="5" s="1"/>
  <c r="L24" i="8"/>
  <c r="BH14" i="8"/>
  <c r="BG15" i="8"/>
  <c r="BW14" i="8"/>
  <c r="BV15" i="8"/>
  <c r="BW13" i="8"/>
  <c r="BO12" i="8"/>
  <c r="BP11" i="8"/>
  <c r="AD13" i="8"/>
  <c r="AD14" i="8" s="1"/>
  <c r="V12" i="8"/>
  <c r="W11" i="8"/>
  <c r="AL13" i="8"/>
  <c r="AL14" i="8" s="1"/>
  <c r="AS12" i="8"/>
  <c r="AT11" i="8"/>
  <c r="BA12" i="8"/>
  <c r="AZ13" i="8"/>
  <c r="AZ14" i="8" s="1"/>
  <c r="CD13" i="8"/>
  <c r="CD14" i="8" s="1"/>
  <c r="BH13" i="8"/>
  <c r="AJ189" i="5"/>
  <c r="X194" i="5"/>
  <c r="AA194" i="5" s="1"/>
  <c r="AB194" i="5" s="1"/>
  <c r="T189" i="5"/>
  <c r="T188" i="5"/>
  <c r="BM188" i="5"/>
  <c r="AQ188" i="5"/>
  <c r="AW191" i="5"/>
  <c r="AX191" i="5" s="1"/>
  <c r="AW192" i="5"/>
  <c r="AX192" i="5" s="1"/>
  <c r="AW193" i="5"/>
  <c r="AX193" i="5" s="1"/>
  <c r="AW194" i="5"/>
  <c r="AX194" i="5" s="1"/>
  <c r="AW195" i="5"/>
  <c r="AX195" i="5"/>
  <c r="AW199" i="5"/>
  <c r="AX199" i="5" s="1"/>
  <c r="AW200" i="5"/>
  <c r="AX200" i="5" s="1"/>
  <c r="AW201" i="5"/>
  <c r="AW204" i="5"/>
  <c r="AX204" i="5" s="1"/>
  <c r="AW205" i="5"/>
  <c r="AX205" i="5" s="1"/>
  <c r="AW206" i="5"/>
  <c r="AX206" i="5" s="1"/>
  <c r="AW190" i="5"/>
  <c r="AW189" i="5"/>
  <c r="AW188" i="5"/>
  <c r="AI240" i="11" l="1"/>
  <c r="CE12" i="8"/>
  <c r="AJ108" i="11"/>
  <c r="AQ108" i="11"/>
  <c r="X108" i="11"/>
  <c r="E109" i="11"/>
  <c r="L108" i="11"/>
  <c r="BY199" i="11"/>
  <c r="BQ197" i="11"/>
  <c r="K152" i="11"/>
  <c r="BA188" i="5"/>
  <c r="M12" i="8"/>
  <c r="N12" i="8" s="1"/>
  <c r="C13" i="8"/>
  <c r="AM13" i="8" s="1"/>
  <c r="AM12" i="8"/>
  <c r="L25" i="8"/>
  <c r="AL15" i="8"/>
  <c r="CD15" i="8"/>
  <c r="AZ15" i="8"/>
  <c r="BA14" i="8"/>
  <c r="BV16" i="8"/>
  <c r="BW15" i="8"/>
  <c r="AD15" i="8"/>
  <c r="BG16" i="8"/>
  <c r="BH15" i="8"/>
  <c r="BO13" i="8"/>
  <c r="BO14" i="8" s="1"/>
  <c r="BP12" i="8"/>
  <c r="W12" i="8"/>
  <c r="V13" i="8"/>
  <c r="V14" i="8" s="1"/>
  <c r="AT12" i="8"/>
  <c r="AS13" i="8"/>
  <c r="AS14" i="8" s="1"/>
  <c r="CE13" i="8"/>
  <c r="BA13" i="8"/>
  <c r="AX190" i="5"/>
  <c r="AX189" i="5"/>
  <c r="AX188" i="5"/>
  <c r="BS189" i="5"/>
  <c r="BQ190" i="5" s="1"/>
  <c r="BS191" i="5"/>
  <c r="BQ192" i="5" s="1"/>
  <c r="BT192" i="5" s="1"/>
  <c r="BS190" i="5"/>
  <c r="BQ191" i="5" s="1"/>
  <c r="BS188" i="5"/>
  <c r="BQ189" i="5" s="1"/>
  <c r="AE13" i="8" l="1"/>
  <c r="BT191" i="5"/>
  <c r="AJ109" i="11"/>
  <c r="AQ109" i="11"/>
  <c r="X109" i="11"/>
  <c r="E110" i="11"/>
  <c r="L109" i="11"/>
  <c r="BY200" i="11"/>
  <c r="BQ198" i="11"/>
  <c r="K153" i="11"/>
  <c r="C14" i="8"/>
  <c r="BP14" i="8" s="1"/>
  <c r="M13" i="8"/>
  <c r="N13" i="8" s="1"/>
  <c r="BT190" i="5"/>
  <c r="L26" i="8"/>
  <c r="V15" i="8"/>
  <c r="BV17" i="8"/>
  <c r="BW16" i="8"/>
  <c r="AT14" i="8"/>
  <c r="AS15" i="8"/>
  <c r="BO15" i="8"/>
  <c r="AZ16" i="8"/>
  <c r="BA15" i="8"/>
  <c r="CD16" i="8"/>
  <c r="BG17" i="8"/>
  <c r="BH16" i="8"/>
  <c r="AD16" i="8"/>
  <c r="AL16" i="8"/>
  <c r="BP13" i="8"/>
  <c r="W13" i="8"/>
  <c r="AT13" i="8"/>
  <c r="BI184" i="5"/>
  <c r="BL184" i="5" s="1"/>
  <c r="BM184" i="5" s="1"/>
  <c r="BI185" i="5"/>
  <c r="BL185" i="5" s="1"/>
  <c r="BM185" i="5" s="1"/>
  <c r="BI186" i="5"/>
  <c r="BL186" i="5" s="1"/>
  <c r="BM186" i="5" s="1"/>
  <c r="BI187" i="5"/>
  <c r="BL187" i="5" s="1"/>
  <c r="BM187" i="5" s="1"/>
  <c r="BB184" i="5"/>
  <c r="BB185" i="5"/>
  <c r="BB186" i="5"/>
  <c r="BB187" i="5"/>
  <c r="BE187" i="5" s="1"/>
  <c r="AF184" i="5"/>
  <c r="AI184" i="5" s="1"/>
  <c r="AJ184" i="5" s="1"/>
  <c r="AF185" i="5"/>
  <c r="AI185" i="5" s="1"/>
  <c r="AJ185" i="5" s="1"/>
  <c r="AF186" i="5"/>
  <c r="AI186" i="5" s="1"/>
  <c r="AJ186" i="5" s="1"/>
  <c r="AF187" i="5"/>
  <c r="AI187" i="5" s="1"/>
  <c r="AJ187" i="5" s="1"/>
  <c r="Z187" i="5"/>
  <c r="X188" i="5" s="1"/>
  <c r="AA188" i="5" s="1"/>
  <c r="Z186" i="5"/>
  <c r="X187" i="5" s="1"/>
  <c r="Z185" i="5"/>
  <c r="X186" i="5" s="1"/>
  <c r="Z184" i="5"/>
  <c r="X185" i="5" s="1"/>
  <c r="AA185" i="5" s="1"/>
  <c r="AB185" i="5" s="1"/>
  <c r="P184" i="5"/>
  <c r="S184" i="5" s="1"/>
  <c r="T184" i="5" s="1"/>
  <c r="P185" i="5"/>
  <c r="S185" i="5" s="1"/>
  <c r="T185" i="5" s="1"/>
  <c r="P186" i="5"/>
  <c r="S186" i="5" s="1"/>
  <c r="T186" i="5" s="1"/>
  <c r="P187" i="5"/>
  <c r="S187" i="5" s="1"/>
  <c r="T187" i="5" s="1"/>
  <c r="I184" i="5"/>
  <c r="J184" i="5" s="1"/>
  <c r="I185" i="5"/>
  <c r="J185" i="5" s="1"/>
  <c r="I187" i="5"/>
  <c r="J187" i="5" s="1"/>
  <c r="W14" i="8" l="1"/>
  <c r="AA187" i="5"/>
  <c r="AB187" i="5" s="1"/>
  <c r="AA186" i="5"/>
  <c r="AB186" i="5" s="1"/>
  <c r="AJ110" i="11"/>
  <c r="AQ110" i="11"/>
  <c r="X110" i="11"/>
  <c r="E111" i="11"/>
  <c r="L110" i="11"/>
  <c r="BY201" i="11"/>
  <c r="BQ199" i="11"/>
  <c r="K154" i="11"/>
  <c r="BA16" i="8"/>
  <c r="AZ17" i="8"/>
  <c r="AE188" i="5"/>
  <c r="AB188" i="5"/>
  <c r="BW17" i="8"/>
  <c r="BV18" i="8"/>
  <c r="C15" i="8"/>
  <c r="W15" i="8" s="1"/>
  <c r="M14" i="8"/>
  <c r="N14" i="8" s="1"/>
  <c r="AM14" i="8"/>
  <c r="AE14" i="8"/>
  <c r="CE14" i="8"/>
  <c r="BH17" i="8"/>
  <c r="BG18" i="8"/>
  <c r="L27" i="8"/>
  <c r="V16" i="8"/>
  <c r="AD17" i="8"/>
  <c r="BO16" i="8"/>
  <c r="AS16" i="8"/>
  <c r="AT15" i="8"/>
  <c r="CD17" i="8"/>
  <c r="AL17" i="8"/>
  <c r="AP184" i="5"/>
  <c r="AQ184" i="5" s="1"/>
  <c r="AP185" i="5"/>
  <c r="AQ185" i="5" s="1"/>
  <c r="AP186" i="5"/>
  <c r="AQ186" i="5" s="1"/>
  <c r="AP187" i="5"/>
  <c r="AQ187" i="5" s="1"/>
  <c r="AW179" i="5"/>
  <c r="AX179" i="5" s="1"/>
  <c r="AW180" i="5"/>
  <c r="AX180" i="5" s="1"/>
  <c r="AW181" i="5"/>
  <c r="AX181" i="5" s="1"/>
  <c r="AW182" i="5"/>
  <c r="AX182" i="5" s="1"/>
  <c r="AW183" i="5"/>
  <c r="AX183" i="5" s="1"/>
  <c r="AW184" i="5"/>
  <c r="AX184" i="5" s="1"/>
  <c r="AW185" i="5"/>
  <c r="AX185" i="5" s="1"/>
  <c r="AW186" i="5"/>
  <c r="AX186" i="5" s="1"/>
  <c r="AW187" i="5"/>
  <c r="AX187" i="5" s="1"/>
  <c r="BX184" i="5"/>
  <c r="BX185" i="5"/>
  <c r="BX186" i="5"/>
  <c r="BX187" i="5"/>
  <c r="BS187" i="5"/>
  <c r="BQ188" i="5" s="1"/>
  <c r="BT188" i="5" s="1"/>
  <c r="BW188" i="5" s="1"/>
  <c r="BS186" i="5"/>
  <c r="BQ187" i="5" s="1"/>
  <c r="BT187" i="5" s="1"/>
  <c r="BS185" i="5"/>
  <c r="BQ186" i="5" s="1"/>
  <c r="BS184" i="5"/>
  <c r="BQ185" i="5" s="1"/>
  <c r="BP15" i="8" l="1"/>
  <c r="BT186" i="5"/>
  <c r="BT185" i="5"/>
  <c r="AJ111" i="11"/>
  <c r="AQ111" i="11"/>
  <c r="X111" i="11"/>
  <c r="E112" i="11"/>
  <c r="L111" i="11"/>
  <c r="BY202" i="11"/>
  <c r="BY203" i="11" s="1"/>
  <c r="BQ200" i="11"/>
  <c r="K155" i="11"/>
  <c r="BW18" i="8"/>
  <c r="BV19" i="8"/>
  <c r="AD18" i="8"/>
  <c r="BA17" i="8"/>
  <c r="AZ18" i="8"/>
  <c r="M15" i="8"/>
  <c r="N15" i="8" s="1"/>
  <c r="C16" i="8"/>
  <c r="BP16" i="8" s="1"/>
  <c r="AM15" i="8"/>
  <c r="AE15" i="8"/>
  <c r="CE15" i="8"/>
  <c r="AT16" i="8"/>
  <c r="AS17" i="8"/>
  <c r="BH18" i="8"/>
  <c r="BG19" i="8"/>
  <c r="L28" i="8"/>
  <c r="CD18" i="8"/>
  <c r="AL18" i="8"/>
  <c r="V17" i="8"/>
  <c r="BO17" i="8"/>
  <c r="I178" i="5"/>
  <c r="I180" i="5"/>
  <c r="J180" i="5" s="1"/>
  <c r="I182" i="5"/>
  <c r="J182" i="5" s="1"/>
  <c r="BY204" i="11" l="1"/>
  <c r="AJ112" i="11"/>
  <c r="AQ112" i="11"/>
  <c r="X112" i="11"/>
  <c r="E113" i="11"/>
  <c r="L112" i="11"/>
  <c r="BQ201" i="11"/>
  <c r="K156" i="11"/>
  <c r="AD19" i="8"/>
  <c r="BA18" i="8"/>
  <c r="AZ19" i="8"/>
  <c r="BW19" i="8"/>
  <c r="BV20" i="8"/>
  <c r="M16" i="8"/>
  <c r="N16" i="8" s="1"/>
  <c r="C17" i="8"/>
  <c r="BP17" i="8" s="1"/>
  <c r="AE16" i="8"/>
  <c r="AM16" i="8"/>
  <c r="CE16" i="8"/>
  <c r="W16" i="8"/>
  <c r="AS18" i="8"/>
  <c r="AT17" i="8"/>
  <c r="BO18" i="8"/>
  <c r="BG20" i="8"/>
  <c r="BH19" i="8"/>
  <c r="V18" i="8"/>
  <c r="L29" i="8"/>
  <c r="CD19" i="8"/>
  <c r="AL19" i="8"/>
  <c r="BS183" i="5"/>
  <c r="BQ184" i="5" s="1"/>
  <c r="BT184" i="5" s="1"/>
  <c r="BS182" i="5"/>
  <c r="BQ183" i="5" s="1"/>
  <c r="BS181" i="5"/>
  <c r="BQ181" i="5"/>
  <c r="BQ178" i="5"/>
  <c r="BQ179" i="5"/>
  <c r="BT179" i="5" s="1"/>
  <c r="BQ180" i="5"/>
  <c r="BT180" i="5" s="1"/>
  <c r="P183" i="5"/>
  <c r="S183" i="5" s="1"/>
  <c r="T183" i="5" s="1"/>
  <c r="F179" i="5"/>
  <c r="I179" i="5" s="1"/>
  <c r="J179" i="5" s="1"/>
  <c r="F181" i="5"/>
  <c r="I181" i="5" s="1"/>
  <c r="J181" i="5" s="1"/>
  <c r="F183" i="5"/>
  <c r="I183" i="5" s="1"/>
  <c r="J183" i="5" s="1"/>
  <c r="BX178" i="5"/>
  <c r="BX179" i="5"/>
  <c r="BX180" i="5"/>
  <c r="BX181" i="5"/>
  <c r="BX182" i="5"/>
  <c r="BX183" i="5"/>
  <c r="BI178" i="5"/>
  <c r="BI179" i="5"/>
  <c r="BL179" i="5" s="1"/>
  <c r="BM179" i="5" s="1"/>
  <c r="BI180" i="5"/>
  <c r="BL180" i="5" s="1"/>
  <c r="BM180" i="5" s="1"/>
  <c r="BI181" i="5"/>
  <c r="BL181" i="5" s="1"/>
  <c r="BM181" i="5" s="1"/>
  <c r="BI182" i="5"/>
  <c r="BL182" i="5" s="1"/>
  <c r="BM182" i="5" s="1"/>
  <c r="BI183" i="5"/>
  <c r="BL183" i="5" s="1"/>
  <c r="BM183" i="5" s="1"/>
  <c r="BB178" i="5"/>
  <c r="BB179" i="5"/>
  <c r="BB180" i="5"/>
  <c r="BB181" i="5"/>
  <c r="BB182" i="5"/>
  <c r="BB183" i="5"/>
  <c r="AF178" i="5"/>
  <c r="AF179" i="5"/>
  <c r="AI179" i="5" s="1"/>
  <c r="AJ179" i="5" s="1"/>
  <c r="AF180" i="5"/>
  <c r="AI180" i="5" s="1"/>
  <c r="AJ180" i="5" s="1"/>
  <c r="AF181" i="5"/>
  <c r="AI181" i="5" s="1"/>
  <c r="AJ181" i="5" s="1"/>
  <c r="AF182" i="5"/>
  <c r="AI182" i="5" s="1"/>
  <c r="AJ182" i="5" s="1"/>
  <c r="AF183" i="5"/>
  <c r="AI183" i="5" s="1"/>
  <c r="AJ183" i="5" s="1"/>
  <c r="Z183" i="5"/>
  <c r="X184" i="5" s="1"/>
  <c r="AA184" i="5" s="1"/>
  <c r="AB184" i="5" s="1"/>
  <c r="Z182" i="5"/>
  <c r="X183" i="5" s="1"/>
  <c r="Z181" i="5"/>
  <c r="X182" i="5" s="1"/>
  <c r="AA182" i="5" s="1"/>
  <c r="AB182" i="5" s="1"/>
  <c r="Z180" i="5"/>
  <c r="X181" i="5" s="1"/>
  <c r="AA181" i="5" s="1"/>
  <c r="AB181" i="5" s="1"/>
  <c r="Z179" i="5"/>
  <c r="X180" i="5" s="1"/>
  <c r="Z178" i="5"/>
  <c r="X179" i="5" s="1"/>
  <c r="P178" i="5"/>
  <c r="P179" i="5"/>
  <c r="S179" i="5" s="1"/>
  <c r="T179" i="5" s="1"/>
  <c r="P180" i="5"/>
  <c r="S180" i="5" s="1"/>
  <c r="T180" i="5" s="1"/>
  <c r="P181" i="5"/>
  <c r="S181" i="5" s="1"/>
  <c r="T181" i="5" s="1"/>
  <c r="P182" i="5"/>
  <c r="S182" i="5" s="1"/>
  <c r="T182" i="5" s="1"/>
  <c r="AP179" i="5"/>
  <c r="AQ179" i="5"/>
  <c r="AP180" i="5"/>
  <c r="AQ180" i="5" s="1"/>
  <c r="AP181" i="5"/>
  <c r="AQ181" i="5" s="1"/>
  <c r="AP182" i="5"/>
  <c r="AQ182" i="5" s="1"/>
  <c r="AP183" i="5"/>
  <c r="AQ183" i="5" s="1"/>
  <c r="AA180" i="5" l="1"/>
  <c r="AB180" i="5" s="1"/>
  <c r="BY205" i="11"/>
  <c r="BT183" i="5"/>
  <c r="AA179" i="5"/>
  <c r="AB179" i="5" s="1"/>
  <c r="AA183" i="5"/>
  <c r="AB183" i="5" s="1"/>
  <c r="AJ113" i="11"/>
  <c r="AQ113" i="11"/>
  <c r="X113" i="11"/>
  <c r="E114" i="11"/>
  <c r="L113" i="11"/>
  <c r="BQ202" i="11"/>
  <c r="BQ203" i="11" s="1"/>
  <c r="K157" i="11"/>
  <c r="C18" i="8"/>
  <c r="BP18" i="8" s="1"/>
  <c r="M17" i="8"/>
  <c r="N17" i="8" s="1"/>
  <c r="AM17" i="8"/>
  <c r="CE17" i="8"/>
  <c r="AE17" i="8"/>
  <c r="AZ20" i="8"/>
  <c r="BA19" i="8"/>
  <c r="W17" i="8"/>
  <c r="AS19" i="8"/>
  <c r="AT18" i="8"/>
  <c r="BW20" i="8"/>
  <c r="BV21" i="8"/>
  <c r="AD20" i="8"/>
  <c r="BT181" i="5"/>
  <c r="BO19" i="8"/>
  <c r="BH20" i="8"/>
  <c r="BG21" i="8"/>
  <c r="V19" i="8"/>
  <c r="L30" i="8"/>
  <c r="CD20" i="8"/>
  <c r="AL20" i="8"/>
  <c r="BQ182" i="5"/>
  <c r="BT182" i="5" s="1"/>
  <c r="BQ173" i="5"/>
  <c r="BT173" i="5" s="1"/>
  <c r="BQ174" i="5"/>
  <c r="BT174" i="5" s="1"/>
  <c r="BQ175" i="5"/>
  <c r="BT175" i="5" s="1"/>
  <c r="BQ176" i="5"/>
  <c r="BT176" i="5" s="1"/>
  <c r="BQ177" i="5"/>
  <c r="BS171" i="5"/>
  <c r="BQ172" i="5" s="1"/>
  <c r="BT172" i="5" s="1"/>
  <c r="BS170" i="5"/>
  <c r="BQ171" i="5" s="1"/>
  <c r="BS169" i="5"/>
  <c r="BQ170" i="5" s="1"/>
  <c r="BS168" i="5"/>
  <c r="BQ169" i="5" s="1"/>
  <c r="BS167" i="5"/>
  <c r="BS166" i="5"/>
  <c r="BQ167" i="5" s="1"/>
  <c r="BX166" i="5"/>
  <c r="BX167" i="5"/>
  <c r="BX168" i="5"/>
  <c r="BX169" i="5"/>
  <c r="BX170" i="5"/>
  <c r="BX171" i="5"/>
  <c r="BX172" i="5"/>
  <c r="BX173" i="5"/>
  <c r="BX174" i="5"/>
  <c r="BX175" i="5"/>
  <c r="BX176" i="5"/>
  <c r="BX177" i="5"/>
  <c r="BI166" i="5"/>
  <c r="BL166" i="5" s="1"/>
  <c r="BM166" i="5" s="1"/>
  <c r="BI167" i="5"/>
  <c r="BL167" i="5" s="1"/>
  <c r="BM167" i="5" s="1"/>
  <c r="BI168" i="5"/>
  <c r="BL168" i="5" s="1"/>
  <c r="BM168" i="5" s="1"/>
  <c r="BI169" i="5"/>
  <c r="BL169" i="5" s="1"/>
  <c r="BM169" i="5" s="1"/>
  <c r="BI170" i="5"/>
  <c r="BL170" i="5" s="1"/>
  <c r="BM170" i="5" s="1"/>
  <c r="BI171" i="5"/>
  <c r="BI172" i="5"/>
  <c r="BL172" i="5" s="1"/>
  <c r="BM172" i="5" s="1"/>
  <c r="BI173" i="5"/>
  <c r="BL173" i="5" s="1"/>
  <c r="BM173" i="5" s="1"/>
  <c r="BI174" i="5"/>
  <c r="BL174" i="5" s="1"/>
  <c r="BM174" i="5" s="1"/>
  <c r="BI175" i="5"/>
  <c r="BI176" i="5"/>
  <c r="BI177" i="5"/>
  <c r="BL177" i="5" s="1"/>
  <c r="BM177" i="5" s="1"/>
  <c r="BB166" i="5"/>
  <c r="BB167" i="5"/>
  <c r="BB168" i="5"/>
  <c r="BB169" i="5"/>
  <c r="BB170" i="5"/>
  <c r="BB171" i="5"/>
  <c r="BE171" i="5" s="1"/>
  <c r="BB172" i="5"/>
  <c r="BB173" i="5"/>
  <c r="BB174" i="5"/>
  <c r="BE174" i="5" s="1"/>
  <c r="BB175" i="5"/>
  <c r="BE175" i="5" s="1"/>
  <c r="BB176" i="5"/>
  <c r="BB177" i="5"/>
  <c r="AF166" i="5"/>
  <c r="AI166" i="5" s="1"/>
  <c r="AJ166" i="5" s="1"/>
  <c r="AF167" i="5"/>
  <c r="AI167" i="5" s="1"/>
  <c r="AJ167" i="5" s="1"/>
  <c r="AF168" i="5"/>
  <c r="AI168" i="5" s="1"/>
  <c r="AJ168" i="5" s="1"/>
  <c r="AF169" i="5"/>
  <c r="AI169" i="5" s="1"/>
  <c r="AJ169" i="5" s="1"/>
  <c r="AF170" i="5"/>
  <c r="AI170" i="5" s="1"/>
  <c r="AJ170" i="5" s="1"/>
  <c r="AF171" i="5"/>
  <c r="AF172" i="5"/>
  <c r="AI172" i="5" s="1"/>
  <c r="AJ172" i="5" s="1"/>
  <c r="AF173" i="5"/>
  <c r="AI173" i="5" s="1"/>
  <c r="AJ173" i="5" s="1"/>
  <c r="AF174" i="5"/>
  <c r="AI174" i="5" s="1"/>
  <c r="AJ174" i="5" s="1"/>
  <c r="AF175" i="5"/>
  <c r="AF176" i="5"/>
  <c r="AI176" i="5" s="1"/>
  <c r="AF177" i="5"/>
  <c r="AI177" i="5" s="1"/>
  <c r="AJ177" i="5" s="1"/>
  <c r="Z173" i="5"/>
  <c r="X174" i="5" s="1"/>
  <c r="Z176" i="5"/>
  <c r="Z168" i="5"/>
  <c r="X169" i="5" s="1"/>
  <c r="Z172" i="5"/>
  <c r="X177" i="5"/>
  <c r="Z177" i="5"/>
  <c r="X178" i="5" s="1"/>
  <c r="Z175" i="5"/>
  <c r="X176" i="5" s="1"/>
  <c r="Z174" i="5"/>
  <c r="X175" i="5" s="1"/>
  <c r="Z171" i="5"/>
  <c r="X172" i="5" s="1"/>
  <c r="Z170" i="5"/>
  <c r="X171" i="5" s="1"/>
  <c r="Z169" i="5"/>
  <c r="X170" i="5" s="1"/>
  <c r="AA170" i="5" s="1"/>
  <c r="AB170" i="5" s="1"/>
  <c r="Z167" i="5"/>
  <c r="X168" i="5" s="1"/>
  <c r="Z166" i="5"/>
  <c r="X167" i="5" s="1"/>
  <c r="AA167" i="5" s="1"/>
  <c r="AB167" i="5" s="1"/>
  <c r="P166" i="5"/>
  <c r="S166" i="5" s="1"/>
  <c r="T166" i="5" s="1"/>
  <c r="P167" i="5"/>
  <c r="S167" i="5" s="1"/>
  <c r="T167" i="5" s="1"/>
  <c r="P168" i="5"/>
  <c r="S168" i="5" s="1"/>
  <c r="P169" i="5"/>
  <c r="S169" i="5" s="1"/>
  <c r="T169" i="5" s="1"/>
  <c r="P170" i="5"/>
  <c r="S170" i="5" s="1"/>
  <c r="T170" i="5" s="1"/>
  <c r="P171" i="5"/>
  <c r="S171" i="5" s="1"/>
  <c r="T171" i="5" s="1"/>
  <c r="P172" i="5"/>
  <c r="S172" i="5" s="1"/>
  <c r="T172" i="5" s="1"/>
  <c r="P173" i="5"/>
  <c r="S173" i="5" s="1"/>
  <c r="T173" i="5" s="1"/>
  <c r="P174" i="5"/>
  <c r="S174" i="5" s="1"/>
  <c r="T174" i="5" s="1"/>
  <c r="P175" i="5"/>
  <c r="P176" i="5"/>
  <c r="P177" i="5"/>
  <c r="S177" i="5" s="1"/>
  <c r="T177" i="5" s="1"/>
  <c r="I160" i="5"/>
  <c r="J160" i="5" s="1"/>
  <c r="F161" i="5"/>
  <c r="I161" i="5" s="1"/>
  <c r="J161" i="5" s="1"/>
  <c r="F162" i="5"/>
  <c r="I162" i="5" s="1"/>
  <c r="J162" i="5" s="1"/>
  <c r="F163" i="5"/>
  <c r="I163" i="5" s="1"/>
  <c r="J163" i="5" s="1"/>
  <c r="I165" i="5"/>
  <c r="J165" i="5" s="1"/>
  <c r="F166" i="5"/>
  <c r="F167" i="5"/>
  <c r="F168" i="5"/>
  <c r="F169" i="5"/>
  <c r="I169" i="5" s="1"/>
  <c r="J169" i="5" s="1"/>
  <c r="F170" i="5"/>
  <c r="I170" i="5" s="1"/>
  <c r="J170" i="5" s="1"/>
  <c r="F171" i="5"/>
  <c r="F172" i="5"/>
  <c r="I172" i="5" s="1"/>
  <c r="J172" i="5" s="1"/>
  <c r="F173" i="5"/>
  <c r="I173" i="5" s="1"/>
  <c r="J173" i="5" s="1"/>
  <c r="F174" i="5"/>
  <c r="I174" i="5" s="1"/>
  <c r="J174" i="5" s="1"/>
  <c r="F175" i="5"/>
  <c r="I175" i="5" s="1"/>
  <c r="J175" i="5" s="1"/>
  <c r="F176" i="5"/>
  <c r="I176" i="5" s="1"/>
  <c r="F177" i="5"/>
  <c r="I177" i="5" s="1"/>
  <c r="J177" i="5" s="1"/>
  <c r="F158" i="5"/>
  <c r="I158" i="5" s="1"/>
  <c r="J158" i="5" s="1"/>
  <c r="F157" i="5"/>
  <c r="AW170" i="5"/>
  <c r="AW171" i="5"/>
  <c r="AW172" i="5"/>
  <c r="AX172" i="5" s="1"/>
  <c r="AW173" i="5"/>
  <c r="AX173" i="5" s="1"/>
  <c r="AW174" i="5"/>
  <c r="AX174" i="5" s="1"/>
  <c r="AW176" i="5"/>
  <c r="AX176" i="5"/>
  <c r="AW177" i="5"/>
  <c r="AX177" i="5" s="1"/>
  <c r="G168" i="5"/>
  <c r="G157" i="5"/>
  <c r="AP170" i="5"/>
  <c r="AQ170" i="5" s="1"/>
  <c r="AP171" i="5"/>
  <c r="AP172" i="5"/>
  <c r="AQ172" i="5" s="1"/>
  <c r="AP173" i="5"/>
  <c r="AQ173" i="5"/>
  <c r="AP174" i="5"/>
  <c r="AQ174" i="5" s="1"/>
  <c r="AP175" i="5"/>
  <c r="AP176" i="5"/>
  <c r="AQ176" i="5" s="1"/>
  <c r="AP177" i="5"/>
  <c r="AQ177" i="5" s="1"/>
  <c r="BQ204" i="11" l="1"/>
  <c r="BY206" i="11"/>
  <c r="W18" i="8"/>
  <c r="AA174" i="5"/>
  <c r="AB174" i="5" s="1"/>
  <c r="I168" i="5"/>
  <c r="J168" i="5" s="1"/>
  <c r="I157" i="5"/>
  <c r="N157" i="5" s="1"/>
  <c r="O157" i="5" s="1"/>
  <c r="AJ114" i="11"/>
  <c r="AQ114" i="11"/>
  <c r="L114" i="11"/>
  <c r="X114" i="11"/>
  <c r="E115" i="11"/>
  <c r="K158" i="11"/>
  <c r="T168" i="5"/>
  <c r="AA176" i="5"/>
  <c r="BW21" i="8"/>
  <c r="BV22" i="8"/>
  <c r="AA172" i="5"/>
  <c r="AB172" i="5" s="1"/>
  <c r="BT167" i="5"/>
  <c r="AD21" i="8"/>
  <c r="AD22" i="8" s="1"/>
  <c r="BA20" i="8"/>
  <c r="AZ21" i="8"/>
  <c r="AX170" i="5"/>
  <c r="AA177" i="5"/>
  <c r="AB177" i="5" s="1"/>
  <c r="X173" i="5"/>
  <c r="AA169" i="5"/>
  <c r="AB169" i="5" s="1"/>
  <c r="AT19" i="8"/>
  <c r="AS20" i="8"/>
  <c r="C19" i="8"/>
  <c r="BP19" i="8" s="1"/>
  <c r="M18" i="8"/>
  <c r="N18" i="8" s="1"/>
  <c r="AE18" i="8"/>
  <c r="CE18" i="8"/>
  <c r="AM18" i="8"/>
  <c r="BO20" i="8"/>
  <c r="BG22" i="8"/>
  <c r="BH21" i="8"/>
  <c r="V20" i="8"/>
  <c r="L31" i="8"/>
  <c r="CD21" i="8"/>
  <c r="AL21" i="8"/>
  <c r="BQ168" i="5"/>
  <c r="BT168" i="5" s="1"/>
  <c r="AW167" i="5"/>
  <c r="AX167" i="5" s="1"/>
  <c r="AW168" i="5"/>
  <c r="AX168" i="5" s="1"/>
  <c r="AW169" i="5"/>
  <c r="AX169" i="5" s="1"/>
  <c r="AP167" i="5"/>
  <c r="AQ167" i="5" s="1"/>
  <c r="AP168" i="5"/>
  <c r="AQ168" i="5" s="1"/>
  <c r="AP169" i="5"/>
  <c r="AQ169" i="5" s="1"/>
  <c r="BY207" i="11" l="1"/>
  <c r="BQ205" i="11"/>
  <c r="J157" i="5"/>
  <c r="W19" i="8"/>
  <c r="AJ115" i="11"/>
  <c r="AQ115" i="11"/>
  <c r="X115" i="11"/>
  <c r="L115" i="11"/>
  <c r="E116" i="11"/>
  <c r="K159" i="11"/>
  <c r="AT20" i="8"/>
  <c r="AS21" i="8"/>
  <c r="AD23" i="8"/>
  <c r="BV23" i="8"/>
  <c r="BW22" i="8"/>
  <c r="BA21" i="8"/>
  <c r="AZ22" i="8"/>
  <c r="C20" i="8"/>
  <c r="BP20" i="8" s="1"/>
  <c r="M19" i="8"/>
  <c r="N19" i="8" s="1"/>
  <c r="AE19" i="8"/>
  <c r="AM19" i="8"/>
  <c r="CE19" i="8"/>
  <c r="BO21" i="8"/>
  <c r="BH22" i="8"/>
  <c r="BG23" i="8"/>
  <c r="W20" i="8"/>
  <c r="V21" i="8"/>
  <c r="L32" i="8"/>
  <c r="CD22" i="8"/>
  <c r="AL22" i="8"/>
  <c r="AW159" i="5"/>
  <c r="AX159" i="5" s="1"/>
  <c r="AW160" i="5"/>
  <c r="AX160" i="5" s="1"/>
  <c r="AW161" i="5"/>
  <c r="AX161" i="5" s="1"/>
  <c r="AW162" i="5"/>
  <c r="AX162" i="5" s="1"/>
  <c r="AW163" i="5"/>
  <c r="AX163" i="5" s="1"/>
  <c r="AW164" i="5"/>
  <c r="AX164" i="5" s="1"/>
  <c r="AW165" i="5"/>
  <c r="AX165" i="5" s="1"/>
  <c r="AW166" i="5"/>
  <c r="AX166" i="5" s="1"/>
  <c r="AW158" i="5"/>
  <c r="AX158" i="5" s="1"/>
  <c r="AW157" i="5"/>
  <c r="AP159" i="5"/>
  <c r="AP160" i="5"/>
  <c r="AQ160" i="5" s="1"/>
  <c r="AP161" i="5"/>
  <c r="AQ161" i="5" s="1"/>
  <c r="AP162" i="5"/>
  <c r="AQ162" i="5" s="1"/>
  <c r="AP163" i="5"/>
  <c r="AQ163" i="5" s="1"/>
  <c r="AP164" i="5"/>
  <c r="AQ164" i="5" s="1"/>
  <c r="AP165" i="5"/>
  <c r="AQ165" i="5" s="1"/>
  <c r="AP166" i="5"/>
  <c r="AQ166" i="5" s="1"/>
  <c r="AP158" i="5"/>
  <c r="AP157" i="5"/>
  <c r="BS164" i="5"/>
  <c r="BQ165" i="5" s="1"/>
  <c r="BS163" i="5"/>
  <c r="BQ164" i="5" s="1"/>
  <c r="BQ159" i="5"/>
  <c r="BT159" i="5" s="1"/>
  <c r="BQ160" i="5"/>
  <c r="BT160" i="5" s="1"/>
  <c r="BQ161" i="5"/>
  <c r="BT161" i="5" s="1"/>
  <c r="BQ162" i="5"/>
  <c r="BT162" i="5" s="1"/>
  <c r="BQ163" i="5"/>
  <c r="BQ158" i="5"/>
  <c r="BT158" i="5" s="1"/>
  <c r="BQ157" i="5"/>
  <c r="BT157" i="5" s="1"/>
  <c r="BS165" i="5"/>
  <c r="BQ166" i="5" s="1"/>
  <c r="BT166" i="5" s="1"/>
  <c r="BQ206" i="11" l="1"/>
  <c r="BY208" i="11"/>
  <c r="BA157" i="5"/>
  <c r="BT165" i="5"/>
  <c r="AJ116" i="11"/>
  <c r="AQ116" i="11"/>
  <c r="X116" i="11"/>
  <c r="L116" i="11"/>
  <c r="E117" i="11"/>
  <c r="K160" i="11"/>
  <c r="BW157" i="5"/>
  <c r="BA22" i="8"/>
  <c r="AZ23" i="8"/>
  <c r="AD24" i="8"/>
  <c r="AS22" i="8"/>
  <c r="AT21" i="8"/>
  <c r="AT157" i="5"/>
  <c r="AQ159" i="5"/>
  <c r="C21" i="8"/>
  <c r="W21" i="8" s="1"/>
  <c r="M20" i="8"/>
  <c r="N20" i="8" s="1"/>
  <c r="AM20" i="8"/>
  <c r="AE20" i="8"/>
  <c r="CE20" i="8"/>
  <c r="BW23" i="8"/>
  <c r="BV24" i="8"/>
  <c r="BO22" i="8"/>
  <c r="BG24" i="8"/>
  <c r="BH23" i="8"/>
  <c r="V22" i="8"/>
  <c r="L33" i="8"/>
  <c r="CD23" i="8"/>
  <c r="AL23" i="8"/>
  <c r="AX157" i="5"/>
  <c r="AQ158" i="5"/>
  <c r="AQ157" i="5"/>
  <c r="BX159" i="5"/>
  <c r="BX160" i="5"/>
  <c r="BX161" i="5"/>
  <c r="BX162" i="5"/>
  <c r="BX163" i="5"/>
  <c r="BX164" i="5"/>
  <c r="BX165" i="5"/>
  <c r="BX158" i="5"/>
  <c r="BX157" i="5"/>
  <c r="CA157" i="5" s="1"/>
  <c r="BI159" i="5"/>
  <c r="BL159" i="5" s="1"/>
  <c r="BM159" i="5" s="1"/>
  <c r="BI160" i="5"/>
  <c r="BL160" i="5" s="1"/>
  <c r="BM160" i="5" s="1"/>
  <c r="BI161" i="5"/>
  <c r="BL161" i="5" s="1"/>
  <c r="BM161" i="5" s="1"/>
  <c r="BI162" i="5"/>
  <c r="BL162" i="5" s="1"/>
  <c r="BM162" i="5" s="1"/>
  <c r="BI163" i="5"/>
  <c r="BL163" i="5" s="1"/>
  <c r="BM163" i="5" s="1"/>
  <c r="BI164" i="5"/>
  <c r="BL164" i="5" s="1"/>
  <c r="BM164" i="5" s="1"/>
  <c r="BI165" i="5"/>
  <c r="BL165" i="5" s="1"/>
  <c r="BM165" i="5" s="1"/>
  <c r="BI158" i="5"/>
  <c r="BL158" i="5" s="1"/>
  <c r="BI157" i="5"/>
  <c r="BL157" i="5" s="1"/>
  <c r="BB159" i="5"/>
  <c r="BB160" i="5"/>
  <c r="BB161" i="5"/>
  <c r="BB162" i="5"/>
  <c r="BB163" i="5"/>
  <c r="BB164" i="5"/>
  <c r="BB165" i="5"/>
  <c r="BB158" i="5"/>
  <c r="BE158" i="5" s="1"/>
  <c r="BH157" i="5" s="1"/>
  <c r="BB157" i="5"/>
  <c r="P159" i="5"/>
  <c r="S159" i="5" s="1"/>
  <c r="T159" i="5" s="1"/>
  <c r="P160" i="5"/>
  <c r="S160" i="5" s="1"/>
  <c r="T160" i="5" s="1"/>
  <c r="P161" i="5"/>
  <c r="S161" i="5" s="1"/>
  <c r="T161" i="5" s="1"/>
  <c r="P162" i="5"/>
  <c r="S162" i="5" s="1"/>
  <c r="T162" i="5" s="1"/>
  <c r="P163" i="5"/>
  <c r="S163" i="5" s="1"/>
  <c r="T163" i="5" s="1"/>
  <c r="P164" i="5"/>
  <c r="S164" i="5" s="1"/>
  <c r="T164" i="5" s="1"/>
  <c r="P165" i="5"/>
  <c r="S165" i="5" s="1"/>
  <c r="T165" i="5" s="1"/>
  <c r="P158" i="5"/>
  <c r="S158" i="5" s="1"/>
  <c r="P157" i="5"/>
  <c r="S157" i="5" s="1"/>
  <c r="AF159" i="5"/>
  <c r="AI159" i="5" s="1"/>
  <c r="AJ159" i="5" s="1"/>
  <c r="AF160" i="5"/>
  <c r="AI160" i="5" s="1"/>
  <c r="AJ160" i="5" s="1"/>
  <c r="AF161" i="5"/>
  <c r="AI161" i="5" s="1"/>
  <c r="AJ161" i="5" s="1"/>
  <c r="AF162" i="5"/>
  <c r="AI162" i="5" s="1"/>
  <c r="AJ162" i="5" s="1"/>
  <c r="AF163" i="5"/>
  <c r="AI163" i="5" s="1"/>
  <c r="AJ163" i="5" s="1"/>
  <c r="AF164" i="5"/>
  <c r="AI164" i="5" s="1"/>
  <c r="AJ164" i="5" s="1"/>
  <c r="AF165" i="5"/>
  <c r="AI165" i="5" s="1"/>
  <c r="AJ165" i="5" s="1"/>
  <c r="AF158" i="5"/>
  <c r="AI158" i="5" s="1"/>
  <c r="AF157" i="5"/>
  <c r="AI157" i="5" s="1"/>
  <c r="Z165" i="5"/>
  <c r="X166" i="5" s="1"/>
  <c r="AA166" i="5" s="1"/>
  <c r="AB166" i="5" s="1"/>
  <c r="Z164" i="5"/>
  <c r="X165" i="5" s="1"/>
  <c r="AA165" i="5" s="1"/>
  <c r="AB165" i="5" s="1"/>
  <c r="Z163" i="5"/>
  <c r="X164" i="5" s="1"/>
  <c r="Z162" i="5"/>
  <c r="X163" i="5" s="1"/>
  <c r="Z161" i="5"/>
  <c r="X162" i="5" s="1"/>
  <c r="Z160" i="5"/>
  <c r="X161" i="5" s="1"/>
  <c r="Z159" i="5"/>
  <c r="X160" i="5" s="1"/>
  <c r="Z158" i="5"/>
  <c r="X159" i="5" s="1"/>
  <c r="Z157" i="5"/>
  <c r="X158" i="5" s="1"/>
  <c r="BY209" i="11" l="1"/>
  <c r="BQ207" i="11"/>
  <c r="BP21" i="8"/>
  <c r="AA161" i="5"/>
  <c r="AB161" i="5" s="1"/>
  <c r="AA159" i="5"/>
  <c r="AB159" i="5" s="1"/>
  <c r="AA163" i="5"/>
  <c r="AB163" i="5" s="1"/>
  <c r="AA158" i="5"/>
  <c r="AA160" i="5"/>
  <c r="AB160" i="5" s="1"/>
  <c r="AA162" i="5"/>
  <c r="AB162" i="5" s="1"/>
  <c r="AA164" i="5"/>
  <c r="AB164" i="5" s="1"/>
  <c r="AJ117" i="11"/>
  <c r="AQ117" i="11"/>
  <c r="E118" i="11"/>
  <c r="X117" i="11"/>
  <c r="L117" i="11"/>
  <c r="K161" i="11"/>
  <c r="CE157" i="5"/>
  <c r="BP157" i="5"/>
  <c r="T157" i="5"/>
  <c r="W157" i="5"/>
  <c r="AM157" i="5"/>
  <c r="AE21" i="8"/>
  <c r="C22" i="8"/>
  <c r="BP22" i="8" s="1"/>
  <c r="M21" i="8"/>
  <c r="N21" i="8" s="1"/>
  <c r="AM21" i="8"/>
  <c r="CE21" i="8"/>
  <c r="AD25" i="8"/>
  <c r="AS23" i="8"/>
  <c r="AT22" i="8"/>
  <c r="BA23" i="8"/>
  <c r="AZ24" i="8"/>
  <c r="BV25" i="8"/>
  <c r="BW24" i="8"/>
  <c r="BO23" i="8"/>
  <c r="BG25" i="8"/>
  <c r="BH24" i="8"/>
  <c r="V23" i="8"/>
  <c r="L34" i="8"/>
  <c r="CD24" i="8"/>
  <c r="AL24" i="8"/>
  <c r="CB157" i="5"/>
  <c r="BM158" i="5"/>
  <c r="BM157" i="5"/>
  <c r="T158" i="5"/>
  <c r="AJ158" i="5"/>
  <c r="AJ157" i="5"/>
  <c r="AB158" i="5"/>
  <c r="I132" i="5"/>
  <c r="I136" i="5"/>
  <c r="I138" i="5"/>
  <c r="I139" i="5"/>
  <c r="I140" i="5"/>
  <c r="I151" i="5"/>
  <c r="I153" i="5"/>
  <c r="I154" i="5"/>
  <c r="I156" i="5"/>
  <c r="I127" i="5"/>
  <c r="J127" i="5" s="1"/>
  <c r="F129" i="5"/>
  <c r="F130" i="5"/>
  <c r="F131" i="5"/>
  <c r="I131" i="5" s="1"/>
  <c r="F133" i="5"/>
  <c r="I133" i="5" s="1"/>
  <c r="F141" i="5"/>
  <c r="I141" i="5" s="1"/>
  <c r="F142" i="5"/>
  <c r="I142" i="5" s="1"/>
  <c r="F143" i="5"/>
  <c r="I143" i="5" s="1"/>
  <c r="F144" i="5"/>
  <c r="I144" i="5" s="1"/>
  <c r="F145" i="5"/>
  <c r="I145" i="5" s="1"/>
  <c r="F146" i="5"/>
  <c r="I146" i="5" s="1"/>
  <c r="F147" i="5"/>
  <c r="F148" i="5"/>
  <c r="I148" i="5" s="1"/>
  <c r="F149" i="5"/>
  <c r="I149" i="5" s="1"/>
  <c r="F152" i="5"/>
  <c r="I152" i="5" s="1"/>
  <c r="F155" i="5"/>
  <c r="I155" i="5" s="1"/>
  <c r="W22" i="8" l="1"/>
  <c r="BQ208" i="11"/>
  <c r="BY210" i="11"/>
  <c r="AJ118" i="11"/>
  <c r="AQ118" i="11"/>
  <c r="X118" i="11"/>
  <c r="L118" i="11"/>
  <c r="E119" i="11"/>
  <c r="K162" i="11"/>
  <c r="BW25" i="8"/>
  <c r="BV26" i="8"/>
  <c r="AZ25" i="8"/>
  <c r="BA24" i="8"/>
  <c r="AD26" i="8"/>
  <c r="C23" i="8"/>
  <c r="BP23" i="8" s="1"/>
  <c r="M22" i="8"/>
  <c r="N22" i="8" s="1"/>
  <c r="AE22" i="8"/>
  <c r="AM22" i="8"/>
  <c r="CE22" i="8"/>
  <c r="AS24" i="8"/>
  <c r="AT23" i="8"/>
  <c r="BO24" i="8"/>
  <c r="BH25" i="8"/>
  <c r="BG26" i="8"/>
  <c r="V24" i="8"/>
  <c r="L35" i="8"/>
  <c r="CD25" i="8"/>
  <c r="AL25" i="8"/>
  <c r="BQ150" i="5"/>
  <c r="BT150" i="5" s="1"/>
  <c r="BQ151" i="5"/>
  <c r="BT151" i="5" s="1"/>
  <c r="BQ152" i="5"/>
  <c r="BT152" i="5" s="1"/>
  <c r="BQ153" i="5"/>
  <c r="BT153" i="5" s="1"/>
  <c r="BQ154" i="5"/>
  <c r="BT154" i="5" s="1"/>
  <c r="BQ155" i="5"/>
  <c r="BT155" i="5" s="1"/>
  <c r="BQ156" i="5"/>
  <c r="BT156" i="5" s="1"/>
  <c r="BY211" i="11" l="1"/>
  <c r="BQ209" i="11"/>
  <c r="AJ119" i="11"/>
  <c r="AQ119" i="11"/>
  <c r="L119" i="11"/>
  <c r="E120" i="11"/>
  <c r="X119" i="11"/>
  <c r="K163" i="11"/>
  <c r="C24" i="8"/>
  <c r="BP24" i="8" s="1"/>
  <c r="M23" i="8"/>
  <c r="N23" i="8" s="1"/>
  <c r="AE23" i="8"/>
  <c r="CE23" i="8"/>
  <c r="AM23" i="8"/>
  <c r="BA25" i="8"/>
  <c r="AZ26" i="8"/>
  <c r="AS25" i="8"/>
  <c r="AT24" i="8"/>
  <c r="BW26" i="8"/>
  <c r="BV27" i="8"/>
  <c r="W23" i="8"/>
  <c r="AD27" i="8"/>
  <c r="BO25" i="8"/>
  <c r="BH26" i="8"/>
  <c r="BG27" i="8"/>
  <c r="W24" i="8"/>
  <c r="V25" i="8"/>
  <c r="L36" i="8"/>
  <c r="CD26" i="8"/>
  <c r="AL26" i="8"/>
  <c r="BB155" i="5"/>
  <c r="BB151" i="5"/>
  <c r="BB150" i="5"/>
  <c r="BB152" i="5"/>
  <c r="BB153" i="5"/>
  <c r="BB154" i="5"/>
  <c r="BB156" i="5"/>
  <c r="BI150" i="5"/>
  <c r="BL150" i="5" s="1"/>
  <c r="BM150" i="5" s="1"/>
  <c r="BI151" i="5"/>
  <c r="BL151" i="5" s="1"/>
  <c r="BM151" i="5" s="1"/>
  <c r="BI152" i="5"/>
  <c r="BL152" i="5" s="1"/>
  <c r="BM152" i="5" s="1"/>
  <c r="BI153" i="5"/>
  <c r="BL153" i="5" s="1"/>
  <c r="BM153" i="5" s="1"/>
  <c r="BI154" i="5"/>
  <c r="BL154" i="5" s="1"/>
  <c r="BM154" i="5" s="1"/>
  <c r="BI155" i="5"/>
  <c r="BL155" i="5" s="1"/>
  <c r="BM155" i="5" s="1"/>
  <c r="BI156" i="5"/>
  <c r="BL156" i="5" s="1"/>
  <c r="BM156" i="5" s="1"/>
  <c r="BX151" i="5"/>
  <c r="CA151" i="5" s="1"/>
  <c r="CB151" i="5" s="1"/>
  <c r="BX152" i="5"/>
  <c r="CA152" i="5" s="1"/>
  <c r="CB152" i="5" s="1"/>
  <c r="BX153" i="5"/>
  <c r="CA153" i="5" s="1"/>
  <c r="CB153" i="5" s="1"/>
  <c r="BX154" i="5"/>
  <c r="CA154" i="5" s="1"/>
  <c r="CB154" i="5" s="1"/>
  <c r="BX155" i="5"/>
  <c r="CA155" i="5" s="1"/>
  <c r="CB155" i="5" s="1"/>
  <c r="BX156" i="5"/>
  <c r="CA156" i="5" s="1"/>
  <c r="CB156" i="5" s="1"/>
  <c r="BX150" i="5"/>
  <c r="CA150" i="5" s="1"/>
  <c r="AF156" i="5"/>
  <c r="AI156" i="5" s="1"/>
  <c r="AJ156" i="5" s="1"/>
  <c r="J156" i="5"/>
  <c r="Z156" i="5"/>
  <c r="X157" i="5" s="1"/>
  <c r="AA157" i="5" s="1"/>
  <c r="P156" i="5"/>
  <c r="S156" i="5" s="1"/>
  <c r="T156" i="5" s="1"/>
  <c r="AW150" i="5"/>
  <c r="AX150" i="5" s="1"/>
  <c r="AW151" i="5"/>
  <c r="AX151" i="5" s="1"/>
  <c r="AW152" i="5"/>
  <c r="AX152" i="5" s="1"/>
  <c r="AW153" i="5"/>
  <c r="AX153" i="5" s="1"/>
  <c r="AW154" i="5"/>
  <c r="AX154" i="5" s="1"/>
  <c r="AW155" i="5"/>
  <c r="AX155" i="5" s="1"/>
  <c r="AW156" i="5"/>
  <c r="AX156" i="5" s="1"/>
  <c r="AP156" i="5"/>
  <c r="AQ156" i="5" s="1"/>
  <c r="BQ210" i="11" l="1"/>
  <c r="BY212" i="11"/>
  <c r="AJ120" i="11"/>
  <c r="AQ120" i="11"/>
  <c r="L120" i="11"/>
  <c r="X120" i="11"/>
  <c r="E121" i="11"/>
  <c r="K164" i="11"/>
  <c r="AS26" i="8"/>
  <c r="AT25" i="8"/>
  <c r="BV28" i="8"/>
  <c r="BW27" i="8"/>
  <c r="AZ27" i="8"/>
  <c r="BA26" i="8"/>
  <c r="AE157" i="5"/>
  <c r="AB157" i="5"/>
  <c r="AD28" i="8"/>
  <c r="C25" i="8"/>
  <c r="M24" i="8"/>
  <c r="N24" i="8" s="1"/>
  <c r="AE24" i="8"/>
  <c r="CE24" i="8"/>
  <c r="AM24" i="8"/>
  <c r="BO26" i="8"/>
  <c r="BH27" i="8"/>
  <c r="BG28" i="8"/>
  <c r="W25" i="8"/>
  <c r="V26" i="8"/>
  <c r="L37" i="8"/>
  <c r="CD27" i="8"/>
  <c r="AL27" i="8"/>
  <c r="BE154" i="5"/>
  <c r="CB150" i="5"/>
  <c r="AP150" i="5"/>
  <c r="AQ150" i="5" s="1"/>
  <c r="AP151" i="5"/>
  <c r="AQ151" i="5" s="1"/>
  <c r="AP152" i="5"/>
  <c r="AQ152" i="5" s="1"/>
  <c r="AP153" i="5"/>
  <c r="AQ153" i="5" s="1"/>
  <c r="AP154" i="5"/>
  <c r="AQ154" i="5" s="1"/>
  <c r="AP155" i="5"/>
  <c r="AQ155" i="5" s="1"/>
  <c r="AF150" i="5"/>
  <c r="AI150" i="5" s="1"/>
  <c r="AJ150" i="5" s="1"/>
  <c r="AF151" i="5"/>
  <c r="AI151" i="5" s="1"/>
  <c r="AJ151" i="5" s="1"/>
  <c r="AF152" i="5"/>
  <c r="AI152" i="5" s="1"/>
  <c r="AJ152" i="5" s="1"/>
  <c r="AF153" i="5"/>
  <c r="AI153" i="5" s="1"/>
  <c r="AJ153" i="5" s="1"/>
  <c r="AF154" i="5"/>
  <c r="AI154" i="5" s="1"/>
  <c r="AJ154" i="5" s="1"/>
  <c r="AF155" i="5"/>
  <c r="AI155" i="5" s="1"/>
  <c r="AJ155" i="5" s="1"/>
  <c r="Z155" i="5"/>
  <c r="X156" i="5" s="1"/>
  <c r="AA156" i="5" s="1"/>
  <c r="AB156" i="5" s="1"/>
  <c r="Z154" i="5"/>
  <c r="X155" i="5" s="1"/>
  <c r="Z153" i="5"/>
  <c r="Z152" i="5"/>
  <c r="X153" i="5" s="1"/>
  <c r="Z151" i="5"/>
  <c r="X152" i="5" s="1"/>
  <c r="Z150" i="5"/>
  <c r="X151" i="5" s="1"/>
  <c r="J155" i="5"/>
  <c r="J151" i="5"/>
  <c r="J152" i="5"/>
  <c r="J153" i="5"/>
  <c r="J154" i="5"/>
  <c r="P150" i="5"/>
  <c r="S150" i="5" s="1"/>
  <c r="T150" i="5" s="1"/>
  <c r="P151" i="5"/>
  <c r="S151" i="5" s="1"/>
  <c r="T151" i="5" s="1"/>
  <c r="P152" i="5"/>
  <c r="S152" i="5" s="1"/>
  <c r="T152" i="5" s="1"/>
  <c r="P153" i="5"/>
  <c r="S153" i="5" s="1"/>
  <c r="T153" i="5" s="1"/>
  <c r="P154" i="5"/>
  <c r="S154" i="5" s="1"/>
  <c r="T154" i="5" s="1"/>
  <c r="P155" i="5"/>
  <c r="S155" i="5" s="1"/>
  <c r="T155" i="5" s="1"/>
  <c r="BY213" i="11" l="1"/>
  <c r="BQ211" i="11"/>
  <c r="AA151" i="5"/>
  <c r="AB151" i="5" s="1"/>
  <c r="AA155" i="5"/>
  <c r="AB155" i="5" s="1"/>
  <c r="AA152" i="5"/>
  <c r="AB152" i="5" s="1"/>
  <c r="AJ121" i="11"/>
  <c r="AQ121" i="11"/>
  <c r="L121" i="11"/>
  <c r="E122" i="11"/>
  <c r="X121" i="11"/>
  <c r="K165" i="11"/>
  <c r="AA153" i="5"/>
  <c r="AB153" i="5" s="1"/>
  <c r="C26" i="8"/>
  <c r="W26" i="8" s="1"/>
  <c r="M25" i="8"/>
  <c r="N25" i="8" s="1"/>
  <c r="AE25" i="8"/>
  <c r="CE25" i="8"/>
  <c r="AM25" i="8"/>
  <c r="BW28" i="8"/>
  <c r="BV29" i="8"/>
  <c r="AD29" i="8"/>
  <c r="BP25" i="8"/>
  <c r="BA27" i="8"/>
  <c r="AZ28" i="8"/>
  <c r="AT26" i="8"/>
  <c r="AS27" i="8"/>
  <c r="BO27" i="8"/>
  <c r="BG29" i="8"/>
  <c r="BH28" i="8"/>
  <c r="V27" i="8"/>
  <c r="L38" i="8"/>
  <c r="CD28" i="8"/>
  <c r="AL28" i="8"/>
  <c r="X154" i="5"/>
  <c r="AA154" i="5" s="1"/>
  <c r="AB154" i="5" s="1"/>
  <c r="BQ144" i="5"/>
  <c r="BQ145" i="5"/>
  <c r="BT145" i="5" s="1"/>
  <c r="BQ146" i="5"/>
  <c r="BQ147" i="5"/>
  <c r="BQ148" i="5"/>
  <c r="BQ149" i="5"/>
  <c r="BT149" i="5" s="1"/>
  <c r="BP26" i="8" l="1"/>
  <c r="BQ212" i="11"/>
  <c r="BY214" i="11"/>
  <c r="AJ122" i="11"/>
  <c r="AQ122" i="11"/>
  <c r="L122" i="11"/>
  <c r="E123" i="11"/>
  <c r="X122" i="11"/>
  <c r="K166" i="11"/>
  <c r="BW29" i="8"/>
  <c r="BV30" i="8"/>
  <c r="AT27" i="8"/>
  <c r="AS28" i="8"/>
  <c r="C27" i="8"/>
  <c r="W27" i="8" s="1"/>
  <c r="M26" i="8"/>
  <c r="N26" i="8" s="1"/>
  <c r="AE26" i="8"/>
  <c r="AM26" i="8"/>
  <c r="CE26" i="8"/>
  <c r="BA28" i="8"/>
  <c r="AZ29" i="8"/>
  <c r="AD30" i="8"/>
  <c r="BP27" i="8"/>
  <c r="BO28" i="8"/>
  <c r="BH29" i="8"/>
  <c r="BG30" i="8"/>
  <c r="V28" i="8"/>
  <c r="L39" i="8"/>
  <c r="CD29" i="8"/>
  <c r="AL29" i="8"/>
  <c r="J149" i="5"/>
  <c r="P148" i="5"/>
  <c r="S148" i="5" s="1"/>
  <c r="P149" i="5"/>
  <c r="S149" i="5" s="1"/>
  <c r="T149" i="5" s="1"/>
  <c r="AF148" i="5"/>
  <c r="AF149" i="5"/>
  <c r="AI149" i="5" s="1"/>
  <c r="AJ149" i="5" s="1"/>
  <c r="Z149" i="5"/>
  <c r="X150" i="5" s="1"/>
  <c r="AA150" i="5" s="1"/>
  <c r="AB150" i="5" s="1"/>
  <c r="Z148" i="5"/>
  <c r="X149" i="5" s="1"/>
  <c r="BX148" i="5"/>
  <c r="BX149" i="5"/>
  <c r="BI148" i="5"/>
  <c r="BI149" i="5"/>
  <c r="BL149" i="5" s="1"/>
  <c r="BM149" i="5" s="1"/>
  <c r="BB148" i="5"/>
  <c r="BE148" i="5" s="1"/>
  <c r="BB149" i="5"/>
  <c r="AW139" i="5"/>
  <c r="AX139" i="5" s="1"/>
  <c r="AW140" i="5"/>
  <c r="AX140" i="5" s="1"/>
  <c r="AW141" i="5"/>
  <c r="AX141" i="5" s="1"/>
  <c r="AW142" i="5"/>
  <c r="AX142" i="5" s="1"/>
  <c r="AW143" i="5"/>
  <c r="AX143" i="5" s="1"/>
  <c r="AW144" i="5"/>
  <c r="AX144" i="5" s="1"/>
  <c r="AW145" i="5"/>
  <c r="AX145" i="5" s="1"/>
  <c r="AW146" i="5"/>
  <c r="AX146" i="5" s="1"/>
  <c r="AW148" i="5"/>
  <c r="AX148" i="5" s="1"/>
  <c r="AW149" i="5"/>
  <c r="AX149" i="5" s="1"/>
  <c r="AP144" i="5"/>
  <c r="AQ144" i="5" s="1"/>
  <c r="AP145" i="5"/>
  <c r="AQ145" i="5" s="1"/>
  <c r="AP146" i="5"/>
  <c r="AQ146" i="5" s="1"/>
  <c r="AP148" i="5"/>
  <c r="AQ148" i="5" s="1"/>
  <c r="AP149" i="5"/>
  <c r="AQ149" i="5" s="1"/>
  <c r="BY215" i="11" l="1"/>
  <c r="BQ213" i="11"/>
  <c r="AA149" i="5"/>
  <c r="AB149" i="5" s="1"/>
  <c r="AJ123" i="11"/>
  <c r="AQ123" i="11"/>
  <c r="X123" i="11"/>
  <c r="L123" i="11"/>
  <c r="E124" i="11"/>
  <c r="K167" i="11"/>
  <c r="AD31" i="8"/>
  <c r="AT28" i="8"/>
  <c r="AS29" i="8"/>
  <c r="BA29" i="8"/>
  <c r="AZ30" i="8"/>
  <c r="BW30" i="8"/>
  <c r="BV31" i="8"/>
  <c r="C28" i="8"/>
  <c r="BP28" i="8" s="1"/>
  <c r="M27" i="8"/>
  <c r="N27" i="8" s="1"/>
  <c r="AE27" i="8"/>
  <c r="CE27" i="8"/>
  <c r="AM27" i="8"/>
  <c r="BO29" i="8"/>
  <c r="BH30" i="8"/>
  <c r="BG31" i="8"/>
  <c r="V29" i="8"/>
  <c r="W28" i="8"/>
  <c r="L40" i="8"/>
  <c r="CD30" i="8"/>
  <c r="AL30" i="8"/>
  <c r="BX144" i="5"/>
  <c r="BX145" i="5"/>
  <c r="BX146" i="5"/>
  <c r="BX147" i="5"/>
  <c r="BI144" i="5"/>
  <c r="BL144" i="5" s="1"/>
  <c r="BM144" i="5" s="1"/>
  <c r="BI145" i="5"/>
  <c r="BL145" i="5" s="1"/>
  <c r="BM145" i="5" s="1"/>
  <c r="BI146" i="5"/>
  <c r="BL146" i="5" s="1"/>
  <c r="BM146" i="5" s="1"/>
  <c r="BI147" i="5"/>
  <c r="BB144" i="5"/>
  <c r="BB145" i="5"/>
  <c r="BB146" i="5"/>
  <c r="BB147" i="5"/>
  <c r="BE147" i="5" s="1"/>
  <c r="AF147" i="5"/>
  <c r="AF144" i="5"/>
  <c r="AI144" i="5" s="1"/>
  <c r="AJ144" i="5" s="1"/>
  <c r="AF145" i="5"/>
  <c r="AI145" i="5" s="1"/>
  <c r="AJ145" i="5" s="1"/>
  <c r="AF146" i="5"/>
  <c r="AI146" i="5" s="1"/>
  <c r="AJ146" i="5" s="1"/>
  <c r="Z147" i="5"/>
  <c r="X148" i="5" s="1"/>
  <c r="AA148" i="5" s="1"/>
  <c r="Z146" i="5"/>
  <c r="X147" i="5" s="1"/>
  <c r="Z145" i="5"/>
  <c r="X146" i="5" s="1"/>
  <c r="Z144" i="5"/>
  <c r="X145" i="5" s="1"/>
  <c r="J144" i="5"/>
  <c r="J145" i="5"/>
  <c r="J146" i="5"/>
  <c r="P144" i="5"/>
  <c r="S144" i="5" s="1"/>
  <c r="T144" i="5" s="1"/>
  <c r="P145" i="5"/>
  <c r="S145" i="5" s="1"/>
  <c r="T145" i="5" s="1"/>
  <c r="P146" i="5"/>
  <c r="S146" i="5" s="1"/>
  <c r="T146" i="5" s="1"/>
  <c r="P147" i="5"/>
  <c r="BQ214" i="11" l="1"/>
  <c r="BY216" i="11"/>
  <c r="AJ124" i="11"/>
  <c r="AQ124" i="11"/>
  <c r="L124" i="11"/>
  <c r="X124" i="11"/>
  <c r="E125" i="11"/>
  <c r="K168" i="11"/>
  <c r="AA145" i="5"/>
  <c r="AB145" i="5" s="1"/>
  <c r="BW31" i="8"/>
  <c r="BV32" i="8"/>
  <c r="AS30" i="8"/>
  <c r="AT29" i="8"/>
  <c r="AA146" i="5"/>
  <c r="AB146" i="5" s="1"/>
  <c r="AL31" i="8"/>
  <c r="BA30" i="8"/>
  <c r="AZ31" i="8"/>
  <c r="AD32" i="8"/>
  <c r="C29" i="8"/>
  <c r="BP29" i="8" s="1"/>
  <c r="M28" i="8"/>
  <c r="N28" i="8" s="1"/>
  <c r="AE28" i="8"/>
  <c r="AM28" i="8"/>
  <c r="CE28" i="8"/>
  <c r="BO30" i="8"/>
  <c r="BH31" i="8"/>
  <c r="BG32" i="8"/>
  <c r="V30" i="8"/>
  <c r="L41" i="8"/>
  <c r="CD31" i="8"/>
  <c r="AP139" i="5"/>
  <c r="AQ139" i="5" s="1"/>
  <c r="AP140" i="5"/>
  <c r="AQ140" i="5" s="1"/>
  <c r="AP141" i="5"/>
  <c r="AQ141" i="5" s="1"/>
  <c r="AP142" i="5"/>
  <c r="AQ142" i="5" s="1"/>
  <c r="AP143" i="5"/>
  <c r="AQ143" i="5" s="1"/>
  <c r="BY217" i="11" l="1"/>
  <c r="BQ215" i="11"/>
  <c r="W29" i="8"/>
  <c r="AJ125" i="11"/>
  <c r="AQ125" i="11"/>
  <c r="X125" i="11"/>
  <c r="L125" i="11"/>
  <c r="E126" i="11"/>
  <c r="K169" i="11"/>
  <c r="AT30" i="8"/>
  <c r="AS31" i="8"/>
  <c r="AD33" i="8"/>
  <c r="BW32" i="8"/>
  <c r="BV33" i="8"/>
  <c r="AL32" i="8"/>
  <c r="BA31" i="8"/>
  <c r="AZ32" i="8"/>
  <c r="C30" i="8"/>
  <c r="M29" i="8"/>
  <c r="N29" i="8" s="1"/>
  <c r="AE29" i="8"/>
  <c r="CE29" i="8"/>
  <c r="AM29" i="8"/>
  <c r="BO31" i="8"/>
  <c r="BH32" i="8"/>
  <c r="BG33" i="8"/>
  <c r="V31" i="8"/>
  <c r="W30" i="8"/>
  <c r="L42" i="8"/>
  <c r="CD32" i="8"/>
  <c r="J140" i="5"/>
  <c r="J141" i="5"/>
  <c r="J142" i="5"/>
  <c r="BX139" i="5"/>
  <c r="BX140" i="5"/>
  <c r="BX141" i="5"/>
  <c r="BX142" i="5"/>
  <c r="BX143" i="5"/>
  <c r="BQ139" i="5"/>
  <c r="BT139" i="5" s="1"/>
  <c r="BQ140" i="5"/>
  <c r="BT140" i="5" s="1"/>
  <c r="BQ141" i="5"/>
  <c r="BT141" i="5" s="1"/>
  <c r="BQ142" i="5"/>
  <c r="BT142" i="5" s="1"/>
  <c r="BQ143" i="5"/>
  <c r="BI139" i="5"/>
  <c r="BL139" i="5" s="1"/>
  <c r="BM139" i="5" s="1"/>
  <c r="BI140" i="5"/>
  <c r="BL140" i="5" s="1"/>
  <c r="BM140" i="5" s="1"/>
  <c r="BI141" i="5"/>
  <c r="BL141" i="5" s="1"/>
  <c r="BM141" i="5" s="1"/>
  <c r="BI142" i="5"/>
  <c r="BL142" i="5" s="1"/>
  <c r="BM142" i="5" s="1"/>
  <c r="BI143" i="5"/>
  <c r="BL143" i="5" s="1"/>
  <c r="BM143" i="5" s="1"/>
  <c r="BB139" i="5"/>
  <c r="BB140" i="5"/>
  <c r="BB141" i="5"/>
  <c r="BB142" i="5"/>
  <c r="BB143" i="5"/>
  <c r="AF139" i="5"/>
  <c r="AI139" i="5" s="1"/>
  <c r="AJ139" i="5" s="1"/>
  <c r="AF140" i="5"/>
  <c r="AI140" i="5" s="1"/>
  <c r="AJ140" i="5" s="1"/>
  <c r="AF141" i="5"/>
  <c r="AI141" i="5" s="1"/>
  <c r="AJ141" i="5" s="1"/>
  <c r="AF142" i="5"/>
  <c r="AI142" i="5" s="1"/>
  <c r="AJ142" i="5" s="1"/>
  <c r="AF143" i="5"/>
  <c r="AI143" i="5" s="1"/>
  <c r="AJ143" i="5" s="1"/>
  <c r="Z137" i="5"/>
  <c r="Z143" i="5"/>
  <c r="X144" i="5" s="1"/>
  <c r="AA144" i="5" s="1"/>
  <c r="AB144" i="5" s="1"/>
  <c r="Z142" i="5"/>
  <c r="X143" i="5" s="1"/>
  <c r="Z141" i="5"/>
  <c r="X142" i="5" s="1"/>
  <c r="Z140" i="5"/>
  <c r="X141" i="5" s="1"/>
  <c r="Z139" i="5"/>
  <c r="X140" i="5" s="1"/>
  <c r="AA140" i="5" s="1"/>
  <c r="AB140" i="5" s="1"/>
  <c r="P139" i="5"/>
  <c r="S139" i="5" s="1"/>
  <c r="T139" i="5" s="1"/>
  <c r="P140" i="5"/>
  <c r="S140" i="5" s="1"/>
  <c r="T140" i="5" s="1"/>
  <c r="P141" i="5"/>
  <c r="S141" i="5" s="1"/>
  <c r="T141" i="5" s="1"/>
  <c r="P142" i="5"/>
  <c r="S142" i="5" s="1"/>
  <c r="T142" i="5" s="1"/>
  <c r="P143" i="5"/>
  <c r="S143" i="5" s="1"/>
  <c r="T143" i="5" s="1"/>
  <c r="J139" i="5"/>
  <c r="J143" i="5"/>
  <c r="BQ216" i="11" l="1"/>
  <c r="BY218" i="11"/>
  <c r="AA142" i="5"/>
  <c r="AB142" i="5" s="1"/>
  <c r="AA141" i="5"/>
  <c r="AB141" i="5" s="1"/>
  <c r="AA143" i="5"/>
  <c r="AB143" i="5" s="1"/>
  <c r="AJ126" i="11"/>
  <c r="AQ126" i="11"/>
  <c r="L126" i="11"/>
  <c r="E127" i="11"/>
  <c r="X126" i="11"/>
  <c r="K170" i="11"/>
  <c r="AL33" i="8"/>
  <c r="C31" i="8"/>
  <c r="BP31" i="8" s="1"/>
  <c r="M30" i="8"/>
  <c r="N30" i="8" s="1"/>
  <c r="AE30" i="8"/>
  <c r="AM30" i="8"/>
  <c r="CE30" i="8"/>
  <c r="BP30" i="8"/>
  <c r="BA32" i="8"/>
  <c r="AZ33" i="8"/>
  <c r="BV34" i="8"/>
  <c r="BW33" i="8"/>
  <c r="AS32" i="8"/>
  <c r="AT31" i="8"/>
  <c r="AD34" i="8"/>
  <c r="BO32" i="8"/>
  <c r="BG34" i="8"/>
  <c r="BH33" i="8"/>
  <c r="V32" i="8"/>
  <c r="L43" i="8"/>
  <c r="CD33" i="8"/>
  <c r="AW130" i="5"/>
  <c r="AX130" i="5" s="1"/>
  <c r="AW131" i="5"/>
  <c r="AX131" i="5" s="1"/>
  <c r="AW132" i="5"/>
  <c r="AX132" i="5" s="1"/>
  <c r="AW133" i="5"/>
  <c r="AX133" i="5" s="1"/>
  <c r="AW134" i="5"/>
  <c r="AX134" i="5" s="1"/>
  <c r="AW135" i="5"/>
  <c r="AX135" i="5" s="1"/>
  <c r="AW136" i="5"/>
  <c r="AX136" i="5" s="1"/>
  <c r="AW137" i="5"/>
  <c r="AX137" i="5" s="1"/>
  <c r="AW138" i="5"/>
  <c r="AX138" i="5" s="1"/>
  <c r="AP138" i="5"/>
  <c r="AQ138" i="5" s="1"/>
  <c r="W31" i="8" l="1"/>
  <c r="BY219" i="11"/>
  <c r="BQ217" i="11"/>
  <c r="AJ127" i="11"/>
  <c r="AQ127" i="11"/>
  <c r="X127" i="11"/>
  <c r="L127" i="11"/>
  <c r="E128" i="11"/>
  <c r="K171" i="11"/>
  <c r="AD35" i="8"/>
  <c r="BW34" i="8"/>
  <c r="BV35" i="8"/>
  <c r="C32" i="8"/>
  <c r="W32" i="8" s="1"/>
  <c r="M31" i="8"/>
  <c r="N31" i="8" s="1"/>
  <c r="AE31" i="8"/>
  <c r="AM31" i="8"/>
  <c r="CE31" i="8"/>
  <c r="AZ34" i="8"/>
  <c r="BA33" i="8"/>
  <c r="AT32" i="8"/>
  <c r="AS33" i="8"/>
  <c r="AL34" i="8"/>
  <c r="BO33" i="8"/>
  <c r="BH34" i="8"/>
  <c r="BG35" i="8"/>
  <c r="V33" i="8"/>
  <c r="L44" i="8"/>
  <c r="CD34" i="8"/>
  <c r="BA127" i="5"/>
  <c r="BQ135" i="5"/>
  <c r="BT135" i="5" s="1"/>
  <c r="BQ136" i="5"/>
  <c r="BT136" i="5" s="1"/>
  <c r="BQ137" i="5"/>
  <c r="BT137" i="5" s="1"/>
  <c r="BQ138" i="5"/>
  <c r="BT138" i="5" s="1"/>
  <c r="CE127" i="5"/>
  <c r="BX137" i="5"/>
  <c r="BX138" i="5"/>
  <c r="BI137" i="5"/>
  <c r="BL137" i="5" s="1"/>
  <c r="BM137" i="5" s="1"/>
  <c r="BI138" i="5"/>
  <c r="BL138" i="5" s="1"/>
  <c r="BM138" i="5" s="1"/>
  <c r="BB137" i="5"/>
  <c r="BE137" i="5" s="1"/>
  <c r="BB138" i="5"/>
  <c r="AF137" i="5"/>
  <c r="AI137" i="5" s="1"/>
  <c r="AJ137" i="5" s="1"/>
  <c r="AF138" i="5"/>
  <c r="AI138" i="5" s="1"/>
  <c r="AJ138" i="5" s="1"/>
  <c r="X138" i="5"/>
  <c r="Z138" i="5"/>
  <c r="X139" i="5" s="1"/>
  <c r="AA139" i="5" s="1"/>
  <c r="AB139" i="5" s="1"/>
  <c r="P136" i="5"/>
  <c r="S136" i="5" s="1"/>
  <c r="T136" i="5" s="1"/>
  <c r="P137" i="5"/>
  <c r="S137" i="5" s="1"/>
  <c r="T137" i="5" s="1"/>
  <c r="P138" i="5"/>
  <c r="S138" i="5" s="1"/>
  <c r="T138" i="5" s="1"/>
  <c r="J136" i="5"/>
  <c r="BQ218" i="11" l="1"/>
  <c r="BY220" i="11"/>
  <c r="BP32" i="8"/>
  <c r="AJ128" i="11"/>
  <c r="AQ128" i="11"/>
  <c r="X128" i="11"/>
  <c r="L128" i="11"/>
  <c r="E129" i="11"/>
  <c r="K172" i="11"/>
  <c r="BW35" i="8"/>
  <c r="BV36" i="8"/>
  <c r="AL35" i="8"/>
  <c r="BA34" i="8"/>
  <c r="AZ35" i="8"/>
  <c r="AD36" i="8"/>
  <c r="AT33" i="8"/>
  <c r="AS34" i="8"/>
  <c r="C33" i="8"/>
  <c r="W33" i="8" s="1"/>
  <c r="M32" i="8"/>
  <c r="N32" i="8" s="1"/>
  <c r="AE32" i="8"/>
  <c r="AM32" i="8"/>
  <c r="CE32" i="8"/>
  <c r="BO34" i="8"/>
  <c r="BH35" i="8"/>
  <c r="BG36" i="8"/>
  <c r="V34" i="8"/>
  <c r="L45" i="8"/>
  <c r="CD35" i="8"/>
  <c r="BH127" i="5"/>
  <c r="AA138" i="5"/>
  <c r="AB138" i="5" s="1"/>
  <c r="BQ129" i="5"/>
  <c r="BQ130" i="5"/>
  <c r="BQ131" i="5"/>
  <c r="BT131" i="5" s="1"/>
  <c r="BQ132" i="5"/>
  <c r="BT132" i="5" s="1"/>
  <c r="BQ133" i="5"/>
  <c r="BT133" i="5" s="1"/>
  <c r="BQ134" i="5"/>
  <c r="BT134" i="5" s="1"/>
  <c r="BQ128" i="5"/>
  <c r="BQ127" i="5"/>
  <c r="BB136" i="5"/>
  <c r="AP130" i="5"/>
  <c r="AQ130" i="5" s="1"/>
  <c r="AP131" i="5"/>
  <c r="AQ131" i="5" s="1"/>
  <c r="AP132" i="5"/>
  <c r="AQ132" i="5" s="1"/>
  <c r="AP133" i="5"/>
  <c r="AQ133" i="5" s="1"/>
  <c r="AP134" i="5"/>
  <c r="AQ134" i="5" s="1"/>
  <c r="AP135" i="5"/>
  <c r="AQ135" i="5" s="1"/>
  <c r="AP136" i="5"/>
  <c r="AQ136" i="5" s="1"/>
  <c r="AP137" i="5"/>
  <c r="AQ137" i="5" s="1"/>
  <c r="BY221" i="11" l="1"/>
  <c r="BQ219" i="11"/>
  <c r="AJ129" i="11"/>
  <c r="AQ129" i="11"/>
  <c r="X129" i="11"/>
  <c r="L129" i="11"/>
  <c r="E130" i="11"/>
  <c r="K173" i="11"/>
  <c r="AL36" i="8"/>
  <c r="C34" i="8"/>
  <c r="W34" i="8" s="1"/>
  <c r="M33" i="8"/>
  <c r="N33" i="8" s="1"/>
  <c r="AE33" i="8"/>
  <c r="AM33" i="8"/>
  <c r="CE33" i="8"/>
  <c r="AD37" i="8"/>
  <c r="BW127" i="5"/>
  <c r="BP33" i="8"/>
  <c r="AT34" i="8"/>
  <c r="AS35" i="8"/>
  <c r="BA35" i="8"/>
  <c r="AZ36" i="8"/>
  <c r="BV37" i="8"/>
  <c r="BW36" i="8"/>
  <c r="BP34" i="8"/>
  <c r="BO35" i="8"/>
  <c r="BH36" i="8"/>
  <c r="BG37" i="8"/>
  <c r="V35" i="8"/>
  <c r="L46" i="8"/>
  <c r="CD36" i="8"/>
  <c r="AT127" i="5"/>
  <c r="BX129" i="5"/>
  <c r="BX130" i="5"/>
  <c r="BX131" i="5"/>
  <c r="BX132" i="5"/>
  <c r="BX133" i="5"/>
  <c r="BX134" i="5"/>
  <c r="BX135" i="5"/>
  <c r="BX136" i="5"/>
  <c r="BX128" i="5"/>
  <c r="BX127" i="5"/>
  <c r="BI129" i="5"/>
  <c r="BI130" i="5"/>
  <c r="BL130" i="5" s="1"/>
  <c r="BI131" i="5"/>
  <c r="BL131" i="5" s="1"/>
  <c r="BM131" i="5" s="1"/>
  <c r="BI132" i="5"/>
  <c r="BL132" i="5" s="1"/>
  <c r="BM132" i="5" s="1"/>
  <c r="BI133" i="5"/>
  <c r="BL133" i="5" s="1"/>
  <c r="BM133" i="5" s="1"/>
  <c r="BI134" i="5"/>
  <c r="BL134" i="5" s="1"/>
  <c r="BM134" i="5" s="1"/>
  <c r="BI135" i="5"/>
  <c r="BL135" i="5" s="1"/>
  <c r="BM135" i="5" s="1"/>
  <c r="BI136" i="5"/>
  <c r="BL136" i="5" s="1"/>
  <c r="BM136" i="5" s="1"/>
  <c r="BI128" i="5"/>
  <c r="BI127" i="5"/>
  <c r="BB129" i="5"/>
  <c r="BB130" i="5"/>
  <c r="BB131" i="5"/>
  <c r="BB132" i="5"/>
  <c r="BB133" i="5"/>
  <c r="BB134" i="5"/>
  <c r="BB135" i="5"/>
  <c r="BB128" i="5"/>
  <c r="BB127" i="5"/>
  <c r="I130" i="5"/>
  <c r="J130" i="5" s="1"/>
  <c r="J131" i="5"/>
  <c r="J133" i="5"/>
  <c r="J138" i="5"/>
  <c r="F128" i="5"/>
  <c r="BQ220" i="11" l="1"/>
  <c r="BY222" i="11"/>
  <c r="AJ130" i="11"/>
  <c r="AQ130" i="11"/>
  <c r="L130" i="11"/>
  <c r="E131" i="11"/>
  <c r="X130" i="11"/>
  <c r="K174" i="11"/>
  <c r="BV38" i="8"/>
  <c r="BW37" i="8"/>
  <c r="BA36" i="8"/>
  <c r="AZ37" i="8"/>
  <c r="C35" i="8"/>
  <c r="BP35" i="8" s="1"/>
  <c r="M34" i="8"/>
  <c r="N34" i="8" s="1"/>
  <c r="AE34" i="8"/>
  <c r="CE34" i="8"/>
  <c r="AM34" i="8"/>
  <c r="AL37" i="8"/>
  <c r="AS36" i="8"/>
  <c r="AT35" i="8"/>
  <c r="AD38" i="8"/>
  <c r="BO36" i="8"/>
  <c r="BH37" i="8"/>
  <c r="BG38" i="8"/>
  <c r="V36" i="8"/>
  <c r="L47" i="8"/>
  <c r="CD37" i="8"/>
  <c r="BM130" i="5"/>
  <c r="BP127" i="5"/>
  <c r="J132" i="5"/>
  <c r="AF129" i="5"/>
  <c r="AF130" i="5"/>
  <c r="AI130" i="5" s="1"/>
  <c r="AF131" i="5"/>
  <c r="AI131" i="5" s="1"/>
  <c r="AJ131" i="5" s="1"/>
  <c r="AF132" i="5"/>
  <c r="AI132" i="5" s="1"/>
  <c r="AJ132" i="5" s="1"/>
  <c r="AF133" i="5"/>
  <c r="AI133" i="5" s="1"/>
  <c r="AJ133" i="5" s="1"/>
  <c r="AF134" i="5"/>
  <c r="AI134" i="5" s="1"/>
  <c r="AJ134" i="5" s="1"/>
  <c r="AF135" i="5"/>
  <c r="AI135" i="5" s="1"/>
  <c r="AJ135" i="5" s="1"/>
  <c r="AF136" i="5"/>
  <c r="AI136" i="5" s="1"/>
  <c r="AJ136" i="5" s="1"/>
  <c r="AF128" i="5"/>
  <c r="AF127" i="5"/>
  <c r="X129" i="5"/>
  <c r="X130" i="5"/>
  <c r="X133" i="5"/>
  <c r="AA133" i="5" s="1"/>
  <c r="AB133" i="5" s="1"/>
  <c r="X134" i="5"/>
  <c r="Z136" i="5"/>
  <c r="X137" i="5" s="1"/>
  <c r="AA137" i="5" s="1"/>
  <c r="AB137" i="5" s="1"/>
  <c r="Z135" i="5"/>
  <c r="X136" i="5" s="1"/>
  <c r="Z134" i="5"/>
  <c r="X135" i="5" s="1"/>
  <c r="Z131" i="5"/>
  <c r="X132" i="5" s="1"/>
  <c r="AA132" i="5" s="1"/>
  <c r="AB132" i="5" s="1"/>
  <c r="Z130" i="5"/>
  <c r="X131" i="5" s="1"/>
  <c r="Z127" i="5"/>
  <c r="X128" i="5" s="1"/>
  <c r="P129" i="5"/>
  <c r="P130" i="5"/>
  <c r="P131" i="5"/>
  <c r="S131" i="5" s="1"/>
  <c r="T131" i="5" s="1"/>
  <c r="P132" i="5"/>
  <c r="S132" i="5" s="1"/>
  <c r="T132" i="5" s="1"/>
  <c r="P133" i="5"/>
  <c r="S133" i="5" s="1"/>
  <c r="T133" i="5" s="1"/>
  <c r="P134" i="5"/>
  <c r="S134" i="5" s="1"/>
  <c r="T134" i="5" s="1"/>
  <c r="P135" i="5"/>
  <c r="S135" i="5" s="1"/>
  <c r="T135" i="5" s="1"/>
  <c r="P128" i="5"/>
  <c r="P127" i="5"/>
  <c r="AA135" i="5" l="1"/>
  <c r="AB135" i="5" s="1"/>
  <c r="BY223" i="11"/>
  <c r="BQ221" i="11"/>
  <c r="AA131" i="5"/>
  <c r="AB131" i="5" s="1"/>
  <c r="W35" i="8"/>
  <c r="AJ131" i="11"/>
  <c r="AQ131" i="11"/>
  <c r="L131" i="11"/>
  <c r="E132" i="11"/>
  <c r="X131" i="11"/>
  <c r="K175" i="11"/>
  <c r="AA130" i="5"/>
  <c r="AS37" i="8"/>
  <c r="AT36" i="8"/>
  <c r="AZ38" i="8"/>
  <c r="BA37" i="8"/>
  <c r="AA134" i="5"/>
  <c r="AB134" i="5" s="1"/>
  <c r="AD39" i="8"/>
  <c r="AL38" i="8"/>
  <c r="AA136" i="5"/>
  <c r="AB136" i="5" s="1"/>
  <c r="C36" i="8"/>
  <c r="BP36" i="8" s="1"/>
  <c r="M35" i="8"/>
  <c r="N35" i="8" s="1"/>
  <c r="AE35" i="8"/>
  <c r="AM35" i="8"/>
  <c r="CE35" i="8"/>
  <c r="BV39" i="8"/>
  <c r="BW38" i="8"/>
  <c r="BO37" i="8"/>
  <c r="BG39" i="8"/>
  <c r="BH38" i="8"/>
  <c r="V37" i="8"/>
  <c r="L48" i="8"/>
  <c r="CD38" i="8"/>
  <c r="AM127" i="5"/>
  <c r="AJ130" i="5"/>
  <c r="AB130" i="5"/>
  <c r="N127" i="5"/>
  <c r="O127" i="5" s="1"/>
  <c r="W127" i="5"/>
  <c r="CE96" i="5"/>
  <c r="BQ222" i="11" l="1"/>
  <c r="BY224" i="11"/>
  <c r="AE127" i="5"/>
  <c r="AJ132" i="11"/>
  <c r="AQ132" i="11"/>
  <c r="X132" i="11"/>
  <c r="L132" i="11"/>
  <c r="E133" i="11"/>
  <c r="K176" i="11"/>
  <c r="W36" i="8"/>
  <c r="AD40" i="8"/>
  <c r="C37" i="8"/>
  <c r="M36" i="8"/>
  <c r="N36" i="8" s="1"/>
  <c r="AE36" i="8"/>
  <c r="AM36" i="8"/>
  <c r="CE36" i="8"/>
  <c r="AZ39" i="8"/>
  <c r="BA38" i="8"/>
  <c r="AL39" i="8"/>
  <c r="AS38" i="8"/>
  <c r="AT37" i="8"/>
  <c r="BV40" i="8"/>
  <c r="BW39" i="8"/>
  <c r="BO38" i="8"/>
  <c r="BH39" i="8"/>
  <c r="BG40" i="8"/>
  <c r="V38" i="8"/>
  <c r="L49" i="8"/>
  <c r="CD39" i="8"/>
  <c r="BQ126" i="5"/>
  <c r="BT126" i="5" s="1"/>
  <c r="BQ118" i="5"/>
  <c r="BT118" i="5" s="1"/>
  <c r="BQ119" i="5"/>
  <c r="BQ120" i="5"/>
  <c r="BT120" i="5" s="1"/>
  <c r="BQ121" i="5"/>
  <c r="BT121" i="5" s="1"/>
  <c r="BQ122" i="5"/>
  <c r="BT122" i="5" s="1"/>
  <c r="BQ123" i="5"/>
  <c r="BT123" i="5" s="1"/>
  <c r="BQ124" i="5"/>
  <c r="BT124" i="5" s="1"/>
  <c r="BQ125" i="5"/>
  <c r="AF126" i="5"/>
  <c r="AI126" i="5" s="1"/>
  <c r="AJ126" i="5" s="1"/>
  <c r="Z126" i="5"/>
  <c r="X127" i="5" s="1"/>
  <c r="BI126" i="5"/>
  <c r="BL126" i="5" s="1"/>
  <c r="BM126" i="5" s="1"/>
  <c r="BB126" i="5"/>
  <c r="BY225" i="11" l="1"/>
  <c r="BQ223" i="11"/>
  <c r="AJ133" i="11"/>
  <c r="AQ133" i="11"/>
  <c r="X133" i="11"/>
  <c r="L133" i="11"/>
  <c r="E134" i="11"/>
  <c r="K177" i="11"/>
  <c r="C38" i="8"/>
  <c r="W38" i="8" s="1"/>
  <c r="M37" i="8"/>
  <c r="N37" i="8" s="1"/>
  <c r="AE37" i="8"/>
  <c r="AM37" i="8"/>
  <c r="CE37" i="8"/>
  <c r="BV41" i="8"/>
  <c r="BW40" i="8"/>
  <c r="AL40" i="8"/>
  <c r="AD41" i="8"/>
  <c r="W37" i="8"/>
  <c r="BP37" i="8"/>
  <c r="AS39" i="8"/>
  <c r="AT38" i="8"/>
  <c r="AZ40" i="8"/>
  <c r="BA39" i="8"/>
  <c r="BO39" i="8"/>
  <c r="BP38" i="8"/>
  <c r="BH40" i="8"/>
  <c r="BG41" i="8"/>
  <c r="V39" i="8"/>
  <c r="L50" i="8"/>
  <c r="CD40" i="8"/>
  <c r="P126" i="5"/>
  <c r="S126" i="5" s="1"/>
  <c r="T126" i="5" s="1"/>
  <c r="AW123" i="5"/>
  <c r="AX123" i="5" s="1"/>
  <c r="AW124" i="5"/>
  <c r="AX124" i="5" s="1"/>
  <c r="AW125" i="5"/>
  <c r="AX125" i="5" s="1"/>
  <c r="AW126" i="5"/>
  <c r="AX126" i="5" s="1"/>
  <c r="AP123" i="5"/>
  <c r="AQ123" i="5" s="1"/>
  <c r="AP124" i="5"/>
  <c r="AQ124" i="5" s="1"/>
  <c r="AP125" i="5"/>
  <c r="AQ125" i="5" s="1"/>
  <c r="AP126" i="5"/>
  <c r="AQ126" i="5" s="1"/>
  <c r="BB123" i="5"/>
  <c r="BB124" i="5"/>
  <c r="BB125" i="5"/>
  <c r="BI122" i="5"/>
  <c r="BL122" i="5" s="1"/>
  <c r="BM122" i="5" s="1"/>
  <c r="BI123" i="5"/>
  <c r="BL123" i="5" s="1"/>
  <c r="BM123" i="5" s="1"/>
  <c r="BI124" i="5"/>
  <c r="BL124" i="5" s="1"/>
  <c r="BM124" i="5" s="1"/>
  <c r="BI125" i="5"/>
  <c r="BL125" i="5" s="1"/>
  <c r="BM125" i="5" s="1"/>
  <c r="AF122" i="5"/>
  <c r="AI122" i="5" s="1"/>
  <c r="AJ122" i="5" s="1"/>
  <c r="AF123" i="5"/>
  <c r="AI123" i="5" s="1"/>
  <c r="AJ123" i="5" s="1"/>
  <c r="AF124" i="5"/>
  <c r="AI124" i="5" s="1"/>
  <c r="AJ124" i="5" s="1"/>
  <c r="AF125" i="5"/>
  <c r="AI125" i="5" s="1"/>
  <c r="AJ125" i="5" s="1"/>
  <c r="Z125" i="5"/>
  <c r="X122" i="5"/>
  <c r="Z124" i="5"/>
  <c r="X125" i="5" s="1"/>
  <c r="Z123" i="5"/>
  <c r="X124" i="5" s="1"/>
  <c r="Z122" i="5"/>
  <c r="X123" i="5" s="1"/>
  <c r="G82" i="5"/>
  <c r="I119" i="5"/>
  <c r="J119" i="5" s="1"/>
  <c r="F120" i="5"/>
  <c r="I120" i="5" s="1"/>
  <c r="J120" i="5" s="1"/>
  <c r="F121" i="5"/>
  <c r="I121" i="5" s="1"/>
  <c r="J121" i="5" s="1"/>
  <c r="I125" i="5"/>
  <c r="J125" i="5" s="1"/>
  <c r="G118" i="5"/>
  <c r="I118" i="5" s="1"/>
  <c r="J118" i="5" s="1"/>
  <c r="P122" i="5"/>
  <c r="S122" i="5" s="1"/>
  <c r="P123" i="5"/>
  <c r="S123" i="5" s="1"/>
  <c r="T123" i="5" s="1"/>
  <c r="P124" i="5"/>
  <c r="S124" i="5" s="1"/>
  <c r="T124" i="5" s="1"/>
  <c r="P125" i="5"/>
  <c r="S125" i="5" s="1"/>
  <c r="T125" i="5" s="1"/>
  <c r="BQ224" i="11" l="1"/>
  <c r="BY226" i="11"/>
  <c r="AA124" i="5"/>
  <c r="AB124" i="5" s="1"/>
  <c r="AA122" i="5"/>
  <c r="AB122" i="5" s="1"/>
  <c r="AJ134" i="11"/>
  <c r="AQ134" i="11"/>
  <c r="L134" i="11"/>
  <c r="E135" i="11"/>
  <c r="X134" i="11"/>
  <c r="K178" i="11"/>
  <c r="AL41" i="8"/>
  <c r="AA123" i="5"/>
  <c r="AB123" i="5" s="1"/>
  <c r="AD42" i="8"/>
  <c r="AZ41" i="8"/>
  <c r="BA40" i="8"/>
  <c r="AS40" i="8"/>
  <c r="AT39" i="8"/>
  <c r="BV42" i="8"/>
  <c r="BW41" i="8"/>
  <c r="C39" i="8"/>
  <c r="M38" i="8"/>
  <c r="N38" i="8" s="1"/>
  <c r="AE38" i="8"/>
  <c r="CE38" i="8"/>
  <c r="AM38" i="8"/>
  <c r="BO40" i="8"/>
  <c r="BG42" i="8"/>
  <c r="BH41" i="8"/>
  <c r="V40" i="8"/>
  <c r="L51" i="8"/>
  <c r="CD41" i="8"/>
  <c r="T122" i="5"/>
  <c r="AA125" i="5"/>
  <c r="AB125" i="5" s="1"/>
  <c r="X126" i="5"/>
  <c r="AA126" i="5" s="1"/>
  <c r="AB126" i="5" s="1"/>
  <c r="BI118" i="5"/>
  <c r="BL118" i="5" s="1"/>
  <c r="BM118" i="5" s="1"/>
  <c r="BI119" i="5"/>
  <c r="BL119" i="5" s="1"/>
  <c r="BM119" i="5" s="1"/>
  <c r="BI120" i="5"/>
  <c r="BL120" i="5" s="1"/>
  <c r="BM120" i="5" s="1"/>
  <c r="BI121" i="5"/>
  <c r="BL121" i="5" s="1"/>
  <c r="BM121" i="5" s="1"/>
  <c r="BB118" i="5"/>
  <c r="BB119" i="5"/>
  <c r="BB120" i="5"/>
  <c r="BB121" i="5"/>
  <c r="BB122" i="5"/>
  <c r="AF118" i="5"/>
  <c r="AI118" i="5" s="1"/>
  <c r="AJ118" i="5" s="1"/>
  <c r="AF119" i="5"/>
  <c r="AI119" i="5" s="1"/>
  <c r="AJ119" i="5" s="1"/>
  <c r="AF120" i="5"/>
  <c r="AI120" i="5" s="1"/>
  <c r="AJ120" i="5" s="1"/>
  <c r="AF121" i="5"/>
  <c r="AI121" i="5" s="1"/>
  <c r="AJ121" i="5" s="1"/>
  <c r="P121" i="5"/>
  <c r="S121" i="5" s="1"/>
  <c r="T121" i="5" s="1"/>
  <c r="Z119" i="5"/>
  <c r="X120" i="5" s="1"/>
  <c r="AA120" i="5" s="1"/>
  <c r="AB120" i="5" s="1"/>
  <c r="X121" i="5"/>
  <c r="AA121" i="5" s="1"/>
  <c r="AB121" i="5" s="1"/>
  <c r="Z118" i="5"/>
  <c r="X119" i="5" s="1"/>
  <c r="P118" i="5"/>
  <c r="S118" i="5" s="1"/>
  <c r="T118" i="5" s="1"/>
  <c r="P119" i="5"/>
  <c r="S119" i="5" s="1"/>
  <c r="T119" i="5" s="1"/>
  <c r="P120" i="5"/>
  <c r="S120" i="5" s="1"/>
  <c r="T120" i="5" s="1"/>
  <c r="AW122" i="5"/>
  <c r="AX122" i="5" s="1"/>
  <c r="AW118" i="5"/>
  <c r="AX118" i="5" s="1"/>
  <c r="AW119" i="5"/>
  <c r="AX119" i="5" s="1"/>
  <c r="AW120" i="5"/>
  <c r="AX120" i="5" s="1"/>
  <c r="AW121" i="5"/>
  <c r="AX121" i="5" s="1"/>
  <c r="AP118" i="5"/>
  <c r="AQ118" i="5" s="1"/>
  <c r="AP119" i="5"/>
  <c r="AQ119" i="5" s="1"/>
  <c r="AP120" i="5"/>
  <c r="AQ120" i="5" s="1"/>
  <c r="AP121" i="5"/>
  <c r="AQ121" i="5" s="1"/>
  <c r="AP122" i="5"/>
  <c r="AQ122" i="5" s="1"/>
  <c r="BY227" i="11" l="1"/>
  <c r="BQ225" i="11"/>
  <c r="AJ135" i="11"/>
  <c r="AQ135" i="11"/>
  <c r="L135" i="11"/>
  <c r="E136" i="11"/>
  <c r="X135" i="11"/>
  <c r="K179" i="11"/>
  <c r="C40" i="8"/>
  <c r="W40" i="8" s="1"/>
  <c r="M39" i="8"/>
  <c r="N39" i="8" s="1"/>
  <c r="AE39" i="8"/>
  <c r="AM39" i="8"/>
  <c r="CE39" i="8"/>
  <c r="AS41" i="8"/>
  <c r="AT40" i="8"/>
  <c r="AA119" i="5"/>
  <c r="AB119" i="5" s="1"/>
  <c r="BV43" i="8"/>
  <c r="BW42" i="8"/>
  <c r="AZ42" i="8"/>
  <c r="BA41" i="8"/>
  <c r="W39" i="8"/>
  <c r="BP39" i="8"/>
  <c r="AD43" i="8"/>
  <c r="AL42" i="8"/>
  <c r="BO41" i="8"/>
  <c r="BP40" i="8"/>
  <c r="BG43" i="8"/>
  <c r="BH42" i="8"/>
  <c r="V41" i="8"/>
  <c r="L52" i="8"/>
  <c r="CD42" i="8"/>
  <c r="BI117" i="5"/>
  <c r="BL117" i="5" s="1"/>
  <c r="BM117" i="5" s="1"/>
  <c r="BB117" i="5"/>
  <c r="AF117" i="5"/>
  <c r="AI117" i="5" s="1"/>
  <c r="AJ117" i="5" s="1"/>
  <c r="Z117" i="5"/>
  <c r="X118" i="5" s="1"/>
  <c r="AA118" i="5" s="1"/>
  <c r="AB118" i="5" s="1"/>
  <c r="P117" i="5"/>
  <c r="S117" i="5" s="1"/>
  <c r="T117" i="5" s="1"/>
  <c r="G117" i="5"/>
  <c r="I117" i="5" s="1"/>
  <c r="G115" i="5"/>
  <c r="G114" i="5"/>
  <c r="BQ226" i="11" l="1"/>
  <c r="BY228" i="11"/>
  <c r="AJ136" i="11"/>
  <c r="AQ136" i="11"/>
  <c r="L136" i="11"/>
  <c r="E137" i="11"/>
  <c r="X136" i="11"/>
  <c r="K180" i="11"/>
  <c r="AD44" i="8"/>
  <c r="AZ43" i="8"/>
  <c r="BA42" i="8"/>
  <c r="AL43" i="8"/>
  <c r="AS42" i="8"/>
  <c r="AT41" i="8"/>
  <c r="BV44" i="8"/>
  <c r="BW43" i="8"/>
  <c r="C41" i="8"/>
  <c r="BP41" i="8" s="1"/>
  <c r="M40" i="8"/>
  <c r="N40" i="8" s="1"/>
  <c r="AE40" i="8"/>
  <c r="CE40" i="8"/>
  <c r="AM40" i="8"/>
  <c r="BO42" i="8"/>
  <c r="BG44" i="8"/>
  <c r="BH43" i="8"/>
  <c r="W41" i="8"/>
  <c r="V42" i="8"/>
  <c r="L53" i="8"/>
  <c r="CD43" i="8"/>
  <c r="J117" i="5"/>
  <c r="J103" i="5"/>
  <c r="I105" i="5"/>
  <c r="J105" i="5" s="1"/>
  <c r="I107" i="5"/>
  <c r="J107" i="5" s="1"/>
  <c r="I108" i="5"/>
  <c r="J108" i="5" s="1"/>
  <c r="BY229" i="11" l="1"/>
  <c r="BQ227" i="11"/>
  <c r="AJ137" i="11"/>
  <c r="AQ137" i="11"/>
  <c r="L137" i="11"/>
  <c r="E138" i="11"/>
  <c r="X137" i="11"/>
  <c r="K181" i="11"/>
  <c r="C42" i="8"/>
  <c r="BP42" i="8" s="1"/>
  <c r="M41" i="8"/>
  <c r="N41" i="8" s="1"/>
  <c r="AE41" i="8"/>
  <c r="AM41" i="8"/>
  <c r="CE41" i="8"/>
  <c r="AS43" i="8"/>
  <c r="AT42" i="8"/>
  <c r="BA43" i="8"/>
  <c r="AZ44" i="8"/>
  <c r="AL44" i="8"/>
  <c r="BV45" i="8"/>
  <c r="BW44" i="8"/>
  <c r="AD45" i="8"/>
  <c r="BO43" i="8"/>
  <c r="BH44" i="8"/>
  <c r="BG45" i="8"/>
  <c r="W42" i="8"/>
  <c r="V43" i="8"/>
  <c r="L54" i="8"/>
  <c r="CD44" i="8"/>
  <c r="BQ107" i="5"/>
  <c r="BT107" i="5" s="1"/>
  <c r="BQ108" i="5"/>
  <c r="BT108" i="5" s="1"/>
  <c r="BQ109" i="5"/>
  <c r="BT109" i="5" s="1"/>
  <c r="BQ110" i="5"/>
  <c r="BT110" i="5" s="1"/>
  <c r="BQ111" i="5"/>
  <c r="BT111" i="5" s="1"/>
  <c r="BQ112" i="5"/>
  <c r="BT112" i="5" s="1"/>
  <c r="BQ113" i="5"/>
  <c r="BT113" i="5" s="1"/>
  <c r="BQ114" i="5"/>
  <c r="BQ115" i="5"/>
  <c r="BT115" i="5" s="1"/>
  <c r="BQ116" i="5"/>
  <c r="BT116" i="5" s="1"/>
  <c r="BQ117" i="5"/>
  <c r="BT117" i="5" s="1"/>
  <c r="AW117" i="5"/>
  <c r="AX117" i="5" s="1"/>
  <c r="AW116" i="5"/>
  <c r="AX116" i="5" s="1"/>
  <c r="AW115" i="5"/>
  <c r="AX115" i="5" s="1"/>
  <c r="AW114" i="5"/>
  <c r="AX114" i="5" s="1"/>
  <c r="AW113" i="5"/>
  <c r="AX113" i="5" s="1"/>
  <c r="AW112" i="5"/>
  <c r="AX112" i="5" s="1"/>
  <c r="AW111" i="5"/>
  <c r="AX111" i="5" s="1"/>
  <c r="AW110" i="5"/>
  <c r="AX110" i="5" s="1"/>
  <c r="AW109" i="5"/>
  <c r="AX109" i="5" s="1"/>
  <c r="AW108" i="5"/>
  <c r="AX108" i="5" s="1"/>
  <c r="AW107" i="5"/>
  <c r="AX107" i="5" s="1"/>
  <c r="AP107" i="5"/>
  <c r="AQ107" i="5" s="1"/>
  <c r="AP108" i="5"/>
  <c r="AQ108" i="5" s="1"/>
  <c r="AP109" i="5"/>
  <c r="AQ109" i="5" s="1"/>
  <c r="AP110" i="5"/>
  <c r="AQ110" i="5" s="1"/>
  <c r="AP111" i="5"/>
  <c r="AQ111" i="5" s="1"/>
  <c r="AP112" i="5"/>
  <c r="AQ112" i="5" s="1"/>
  <c r="AP113" i="5"/>
  <c r="AQ113" i="5" s="1"/>
  <c r="AP114" i="5"/>
  <c r="AQ114" i="5" s="1"/>
  <c r="AP115" i="5"/>
  <c r="AQ115" i="5" s="1"/>
  <c r="AP116" i="5"/>
  <c r="AQ116" i="5" s="1"/>
  <c r="AP117" i="5"/>
  <c r="AQ117" i="5" s="1"/>
  <c r="BQ228" i="11" l="1"/>
  <c r="BY230" i="11"/>
  <c r="AJ138" i="11"/>
  <c r="AQ138" i="11"/>
  <c r="L138" i="11"/>
  <c r="E139" i="11"/>
  <c r="X138" i="11"/>
  <c r="K182" i="11"/>
  <c r="BV46" i="8"/>
  <c r="BW45" i="8"/>
  <c r="AD46" i="8"/>
  <c r="AL45" i="8"/>
  <c r="AS44" i="8"/>
  <c r="AT43" i="8"/>
  <c r="BA44" i="8"/>
  <c r="AZ45" i="8"/>
  <c r="C43" i="8"/>
  <c r="BP43" i="8" s="1"/>
  <c r="M42" i="8"/>
  <c r="N42" i="8" s="1"/>
  <c r="AE42" i="8"/>
  <c r="AM42" i="8"/>
  <c r="CE42" i="8"/>
  <c r="BO44" i="8"/>
  <c r="BG46" i="8"/>
  <c r="BH45" i="8"/>
  <c r="W43" i="8"/>
  <c r="V44" i="8"/>
  <c r="L55" i="8"/>
  <c r="CD45" i="8"/>
  <c r="I110" i="5"/>
  <c r="J110" i="5" s="1"/>
  <c r="F111" i="5"/>
  <c r="F112" i="5"/>
  <c r="I112" i="5" s="1"/>
  <c r="J112" i="5" s="1"/>
  <c r="F113" i="5"/>
  <c r="I113" i="5" s="1"/>
  <c r="J113" i="5" s="1"/>
  <c r="F114" i="5"/>
  <c r="I114" i="5" s="1"/>
  <c r="J114" i="5" s="1"/>
  <c r="I115" i="5"/>
  <c r="J115" i="5" s="1"/>
  <c r="BX107" i="5"/>
  <c r="BX108" i="5"/>
  <c r="BX109" i="5"/>
  <c r="BX110" i="5"/>
  <c r="BX111" i="5"/>
  <c r="BX112" i="5"/>
  <c r="BX113" i="5"/>
  <c r="BX114" i="5"/>
  <c r="BX115" i="5"/>
  <c r="BX116" i="5"/>
  <c r="BI107" i="5"/>
  <c r="BL107" i="5" s="1"/>
  <c r="BM107" i="5" s="1"/>
  <c r="BI108" i="5"/>
  <c r="BL108" i="5" s="1"/>
  <c r="BM108" i="5" s="1"/>
  <c r="BI109" i="5"/>
  <c r="BL109" i="5" s="1"/>
  <c r="BM109" i="5" s="1"/>
  <c r="BI110" i="5"/>
  <c r="BL110" i="5" s="1"/>
  <c r="BM110" i="5" s="1"/>
  <c r="BI111" i="5"/>
  <c r="BL111" i="5" s="1"/>
  <c r="BM111" i="5" s="1"/>
  <c r="BI112" i="5"/>
  <c r="BL112" i="5" s="1"/>
  <c r="BM112" i="5" s="1"/>
  <c r="BI113" i="5"/>
  <c r="BL113" i="5" s="1"/>
  <c r="BM113" i="5" s="1"/>
  <c r="BI114" i="5"/>
  <c r="BL114" i="5" s="1"/>
  <c r="BM114" i="5" s="1"/>
  <c r="BI115" i="5"/>
  <c r="BL115" i="5" s="1"/>
  <c r="BM115" i="5" s="1"/>
  <c r="BI116" i="5"/>
  <c r="BL116" i="5" s="1"/>
  <c r="BM116" i="5" s="1"/>
  <c r="BB107" i="5"/>
  <c r="BB108" i="5"/>
  <c r="BE108" i="5" s="1"/>
  <c r="BB109" i="5"/>
  <c r="BB110" i="5"/>
  <c r="BE110" i="5" s="1"/>
  <c r="BB111" i="5"/>
  <c r="BB112" i="5"/>
  <c r="BB113" i="5"/>
  <c r="BB114" i="5"/>
  <c r="BB115" i="5"/>
  <c r="BB116" i="5"/>
  <c r="AF107" i="5"/>
  <c r="AI107" i="5" s="1"/>
  <c r="AJ107" i="5" s="1"/>
  <c r="AF108" i="5"/>
  <c r="AI108" i="5" s="1"/>
  <c r="AJ108" i="5" s="1"/>
  <c r="AF109" i="5"/>
  <c r="AI109" i="5" s="1"/>
  <c r="AJ109" i="5" s="1"/>
  <c r="AF110" i="5"/>
  <c r="AI110" i="5" s="1"/>
  <c r="AJ110" i="5" s="1"/>
  <c r="AF111" i="5"/>
  <c r="AI111" i="5" s="1"/>
  <c r="AJ111" i="5" s="1"/>
  <c r="AF112" i="5"/>
  <c r="AI112" i="5" s="1"/>
  <c r="AJ112" i="5" s="1"/>
  <c r="AF113" i="5"/>
  <c r="AI113" i="5" s="1"/>
  <c r="AJ113" i="5" s="1"/>
  <c r="AF114" i="5"/>
  <c r="AI114" i="5" s="1"/>
  <c r="AJ114" i="5" s="1"/>
  <c r="AF115" i="5"/>
  <c r="AI115" i="5" s="1"/>
  <c r="AJ115" i="5" s="1"/>
  <c r="AF116" i="5"/>
  <c r="AI116" i="5" s="1"/>
  <c r="AJ116" i="5" s="1"/>
  <c r="X113" i="5"/>
  <c r="Z116" i="5"/>
  <c r="X117" i="5" s="1"/>
  <c r="AA117" i="5" s="1"/>
  <c r="AB117" i="5" s="1"/>
  <c r="Z115" i="5"/>
  <c r="X116" i="5" s="1"/>
  <c r="AA116" i="5" s="1"/>
  <c r="AB116" i="5" s="1"/>
  <c r="Z114" i="5"/>
  <c r="X115" i="5" s="1"/>
  <c r="Z113" i="5"/>
  <c r="X114" i="5" s="1"/>
  <c r="Z111" i="5"/>
  <c r="X112" i="5" s="1"/>
  <c r="AA112" i="5" s="1"/>
  <c r="AB112" i="5" s="1"/>
  <c r="Z110" i="5"/>
  <c r="X111" i="5" s="1"/>
  <c r="Z109" i="5"/>
  <c r="X110" i="5" s="1"/>
  <c r="Z108" i="5"/>
  <c r="X109" i="5" s="1"/>
  <c r="Z107" i="5"/>
  <c r="X108" i="5" s="1"/>
  <c r="P115" i="5"/>
  <c r="S115" i="5" s="1"/>
  <c r="T115" i="5" s="1"/>
  <c r="P116" i="5"/>
  <c r="S116" i="5" s="1"/>
  <c r="T116" i="5" s="1"/>
  <c r="P107" i="5"/>
  <c r="S107" i="5" s="1"/>
  <c r="T107" i="5" s="1"/>
  <c r="P108" i="5"/>
  <c r="S108" i="5" s="1"/>
  <c r="T108" i="5" s="1"/>
  <c r="P109" i="5"/>
  <c r="S109" i="5" s="1"/>
  <c r="T109" i="5" s="1"/>
  <c r="P110" i="5"/>
  <c r="S110" i="5" s="1"/>
  <c r="T110" i="5" s="1"/>
  <c r="P111" i="5"/>
  <c r="S111" i="5" s="1"/>
  <c r="T111" i="5" s="1"/>
  <c r="P112" i="5"/>
  <c r="S112" i="5" s="1"/>
  <c r="T112" i="5" s="1"/>
  <c r="P113" i="5"/>
  <c r="S113" i="5" s="1"/>
  <c r="T113" i="5" s="1"/>
  <c r="P114" i="5"/>
  <c r="S114" i="5" s="1"/>
  <c r="T114" i="5" s="1"/>
  <c r="BY231" i="11" l="1"/>
  <c r="BQ229" i="11"/>
  <c r="AA110" i="5"/>
  <c r="AB110" i="5" s="1"/>
  <c r="AA115" i="5"/>
  <c r="AB115" i="5" s="1"/>
  <c r="AA108" i="5"/>
  <c r="AB108" i="5" s="1"/>
  <c r="AA111" i="5"/>
  <c r="AB111" i="5" s="1"/>
  <c r="AA109" i="5"/>
  <c r="AB109" i="5" s="1"/>
  <c r="AA114" i="5"/>
  <c r="AB114" i="5" s="1"/>
  <c r="AJ139" i="11"/>
  <c r="AQ139" i="11"/>
  <c r="L139" i="11"/>
  <c r="X139" i="11"/>
  <c r="E140" i="11"/>
  <c r="K183" i="11"/>
  <c r="C44" i="8"/>
  <c r="BP44" i="8" s="1"/>
  <c r="M43" i="8"/>
  <c r="N43" i="8" s="1"/>
  <c r="AE43" i="8"/>
  <c r="CE43" i="8"/>
  <c r="AM43" i="8"/>
  <c r="AT44" i="8"/>
  <c r="AS45" i="8"/>
  <c r="AD47" i="8"/>
  <c r="BA45" i="8"/>
  <c r="AZ46" i="8"/>
  <c r="AL46" i="8"/>
  <c r="BV47" i="8"/>
  <c r="BW46" i="8"/>
  <c r="BO45" i="8"/>
  <c r="BG47" i="8"/>
  <c r="BH46" i="8"/>
  <c r="V45" i="8"/>
  <c r="L56" i="8"/>
  <c r="CD46" i="8"/>
  <c r="AA113" i="5"/>
  <c r="AB113" i="5" s="1"/>
  <c r="BQ230" i="11" l="1"/>
  <c r="BY232" i="11"/>
  <c r="W44" i="8"/>
  <c r="AJ140" i="11"/>
  <c r="AQ140" i="11"/>
  <c r="L140" i="11"/>
  <c r="E141" i="11"/>
  <c r="X140" i="11"/>
  <c r="K184" i="11"/>
  <c r="AD48" i="8"/>
  <c r="BA46" i="8"/>
  <c r="AZ47" i="8"/>
  <c r="AT45" i="8"/>
  <c r="AS46" i="8"/>
  <c r="BV48" i="8"/>
  <c r="BW47" i="8"/>
  <c r="AL47" i="8"/>
  <c r="C45" i="8"/>
  <c r="BP45" i="8" s="1"/>
  <c r="M44" i="8"/>
  <c r="N44" i="8" s="1"/>
  <c r="AE44" i="8"/>
  <c r="AM44" i="8"/>
  <c r="CE44" i="8"/>
  <c r="BO46" i="8"/>
  <c r="BG48" i="8"/>
  <c r="BH47" i="8"/>
  <c r="W45" i="8"/>
  <c r="V46" i="8"/>
  <c r="L57" i="8"/>
  <c r="CD47" i="8"/>
  <c r="AW104" i="5"/>
  <c r="AX104" i="5" s="1"/>
  <c r="AW105" i="5"/>
  <c r="AX105" i="5" s="1"/>
  <c r="AW106" i="5"/>
  <c r="AX106" i="5" s="1"/>
  <c r="AP104" i="5"/>
  <c r="AQ104" i="5" s="1"/>
  <c r="AP105" i="5"/>
  <c r="AQ105" i="5" s="1"/>
  <c r="AP106" i="5"/>
  <c r="AQ106" i="5" s="1"/>
  <c r="BQ102" i="5"/>
  <c r="BT102" i="5" s="1"/>
  <c r="BQ103" i="5"/>
  <c r="BQ104" i="5"/>
  <c r="BT104" i="5" s="1"/>
  <c r="BQ105" i="5"/>
  <c r="BT105" i="5" s="1"/>
  <c r="BQ106" i="5"/>
  <c r="BT106" i="5" s="1"/>
  <c r="BX104" i="5"/>
  <c r="BX105" i="5"/>
  <c r="BX106" i="5"/>
  <c r="BI104" i="5"/>
  <c r="BL104" i="5" s="1"/>
  <c r="BM104" i="5" s="1"/>
  <c r="BI105" i="5"/>
  <c r="BL105" i="5" s="1"/>
  <c r="BM105" i="5" s="1"/>
  <c r="BI106" i="5"/>
  <c r="BL106" i="5" s="1"/>
  <c r="BM106" i="5" s="1"/>
  <c r="BB104" i="5"/>
  <c r="BE104" i="5" s="1"/>
  <c r="BH96" i="5" s="1"/>
  <c r="BB105" i="5"/>
  <c r="BB106" i="5"/>
  <c r="AF104" i="5"/>
  <c r="AI104" i="5" s="1"/>
  <c r="AJ104" i="5" s="1"/>
  <c r="AF105" i="5"/>
  <c r="AI105" i="5" s="1"/>
  <c r="AJ105" i="5" s="1"/>
  <c r="AF106" i="5"/>
  <c r="AI106" i="5" s="1"/>
  <c r="AJ106" i="5" s="1"/>
  <c r="Z106" i="5"/>
  <c r="X107" i="5" s="1"/>
  <c r="AA107" i="5" s="1"/>
  <c r="AB107" i="5" s="1"/>
  <c r="Z105" i="5"/>
  <c r="X106" i="5" s="1"/>
  <c r="Z104" i="5"/>
  <c r="X105" i="5" s="1"/>
  <c r="P106" i="5"/>
  <c r="S106" i="5" s="1"/>
  <c r="T106" i="5" s="1"/>
  <c r="F104" i="5"/>
  <c r="I104" i="5" s="1"/>
  <c r="J104" i="5" s="1"/>
  <c r="P104" i="5"/>
  <c r="S104" i="5" s="1"/>
  <c r="P105" i="5"/>
  <c r="S105" i="5" s="1"/>
  <c r="T105" i="5" s="1"/>
  <c r="BY233" i="11" l="1"/>
  <c r="BQ231" i="11"/>
  <c r="AA106" i="5"/>
  <c r="AB106" i="5" s="1"/>
  <c r="AJ141" i="11"/>
  <c r="AQ141" i="11"/>
  <c r="X141" i="11"/>
  <c r="L141" i="11"/>
  <c r="E142" i="11"/>
  <c r="K185" i="11"/>
  <c r="AZ48" i="8"/>
  <c r="BA47" i="8"/>
  <c r="C46" i="8"/>
  <c r="W46" i="8" s="1"/>
  <c r="M45" i="8"/>
  <c r="N45" i="8" s="1"/>
  <c r="AE45" i="8"/>
  <c r="AM45" i="8"/>
  <c r="CE45" i="8"/>
  <c r="BV49" i="8"/>
  <c r="BW48" i="8"/>
  <c r="AT46" i="8"/>
  <c r="AS47" i="8"/>
  <c r="AD49" i="8"/>
  <c r="AA105" i="5"/>
  <c r="AB105" i="5" s="1"/>
  <c r="AL48" i="8"/>
  <c r="BO47" i="8"/>
  <c r="BH48" i="8"/>
  <c r="BG49" i="8"/>
  <c r="V47" i="8"/>
  <c r="L58" i="8"/>
  <c r="CD48" i="8"/>
  <c r="T104" i="5"/>
  <c r="BQ232" i="11" l="1"/>
  <c r="BY234" i="11"/>
  <c r="BP46" i="8"/>
  <c r="AJ142" i="11"/>
  <c r="AQ142" i="11"/>
  <c r="L142" i="11"/>
  <c r="X142" i="11"/>
  <c r="E143" i="11"/>
  <c r="K186" i="11"/>
  <c r="AL49" i="8"/>
  <c r="AD50" i="8"/>
  <c r="BV50" i="8"/>
  <c r="BW49" i="8"/>
  <c r="AS48" i="8"/>
  <c r="AT47" i="8"/>
  <c r="C47" i="8"/>
  <c r="BP47" i="8" s="1"/>
  <c r="M46" i="8"/>
  <c r="N46" i="8" s="1"/>
  <c r="AE46" i="8"/>
  <c r="CE46" i="8"/>
  <c r="AM46" i="8"/>
  <c r="BA48" i="8"/>
  <c r="AZ49" i="8"/>
  <c r="BO48" i="8"/>
  <c r="BH49" i="8"/>
  <c r="BG50" i="8"/>
  <c r="V48" i="8"/>
  <c r="L59" i="8"/>
  <c r="CD49" i="8"/>
  <c r="AW103" i="5"/>
  <c r="AX103" i="5" s="1"/>
  <c r="AW102" i="5"/>
  <c r="AX102" i="5" s="1"/>
  <c r="AW101" i="5"/>
  <c r="AX101" i="5" s="1"/>
  <c r="AW100" i="5"/>
  <c r="AX100" i="5" s="1"/>
  <c r="AW99" i="5"/>
  <c r="AX99" i="5" s="1"/>
  <c r="AW98" i="5"/>
  <c r="AX98" i="5" s="1"/>
  <c r="AW97" i="5"/>
  <c r="AX97" i="5" s="1"/>
  <c r="AW96" i="5"/>
  <c r="AX96" i="5" s="1"/>
  <c r="AP99" i="5"/>
  <c r="AQ99" i="5" s="1"/>
  <c r="AP100" i="5"/>
  <c r="AQ100" i="5" s="1"/>
  <c r="AP101" i="5"/>
  <c r="AQ101" i="5" s="1"/>
  <c r="AP102" i="5"/>
  <c r="AQ102" i="5" s="1"/>
  <c r="AP103" i="5"/>
  <c r="AQ103" i="5" s="1"/>
  <c r="AP98" i="5"/>
  <c r="AQ98" i="5" s="1"/>
  <c r="AP97" i="5"/>
  <c r="AQ97" i="5" s="1"/>
  <c r="AP96" i="5"/>
  <c r="AQ96" i="5" s="1"/>
  <c r="F98" i="5"/>
  <c r="I98" i="5" s="1"/>
  <c r="J98" i="5" s="1"/>
  <c r="F99" i="5"/>
  <c r="F100" i="5"/>
  <c r="F101" i="5"/>
  <c r="F102" i="5"/>
  <c r="I102" i="5" s="1"/>
  <c r="J102" i="5" s="1"/>
  <c r="F103" i="5"/>
  <c r="F97" i="5"/>
  <c r="I97" i="5" s="1"/>
  <c r="J97" i="5" s="1"/>
  <c r="F96" i="5"/>
  <c r="I96" i="5" s="1"/>
  <c r="BX98" i="5"/>
  <c r="BX99" i="5"/>
  <c r="BX100" i="5"/>
  <c r="BX101" i="5"/>
  <c r="BX102" i="5"/>
  <c r="BX103" i="5"/>
  <c r="BX97" i="5"/>
  <c r="BX96" i="5"/>
  <c r="BI98" i="5"/>
  <c r="BL98" i="5" s="1"/>
  <c r="BM98" i="5" s="1"/>
  <c r="BI99" i="5"/>
  <c r="BL99" i="5" s="1"/>
  <c r="BM99" i="5" s="1"/>
  <c r="BI100" i="5"/>
  <c r="BL100" i="5" s="1"/>
  <c r="BM100" i="5" s="1"/>
  <c r="BI101" i="5"/>
  <c r="BL101" i="5" s="1"/>
  <c r="BM101" i="5" s="1"/>
  <c r="BI102" i="5"/>
  <c r="BI103" i="5"/>
  <c r="BL103" i="5" s="1"/>
  <c r="BM103" i="5" s="1"/>
  <c r="BI97" i="5"/>
  <c r="BL97" i="5" s="1"/>
  <c r="BI96" i="5"/>
  <c r="AF98" i="5"/>
  <c r="AI98" i="5" s="1"/>
  <c r="AJ98" i="5" s="1"/>
  <c r="AF99" i="5"/>
  <c r="AI99" i="5" s="1"/>
  <c r="AJ99" i="5" s="1"/>
  <c r="AF100" i="5"/>
  <c r="AI100" i="5" s="1"/>
  <c r="AJ100" i="5" s="1"/>
  <c r="AF101" i="5"/>
  <c r="AI101" i="5" s="1"/>
  <c r="AJ101" i="5" s="1"/>
  <c r="AF102" i="5"/>
  <c r="AI102" i="5" s="1"/>
  <c r="AJ102" i="5" s="1"/>
  <c r="AF103" i="5"/>
  <c r="AI103" i="5" s="1"/>
  <c r="AJ103" i="5" s="1"/>
  <c r="AF97" i="5"/>
  <c r="AI97" i="5" s="1"/>
  <c r="AJ97" i="5" s="1"/>
  <c r="AF96" i="5"/>
  <c r="AI96" i="5" s="1"/>
  <c r="AJ96" i="5" s="1"/>
  <c r="X103" i="5"/>
  <c r="X97" i="5"/>
  <c r="P98" i="5"/>
  <c r="S98" i="5" s="1"/>
  <c r="T98" i="5" s="1"/>
  <c r="P99" i="5"/>
  <c r="P100" i="5"/>
  <c r="S100" i="5" s="1"/>
  <c r="T100" i="5" s="1"/>
  <c r="P101" i="5"/>
  <c r="S101" i="5" s="1"/>
  <c r="T101" i="5" s="1"/>
  <c r="P102" i="5"/>
  <c r="P103" i="5"/>
  <c r="S103" i="5" s="1"/>
  <c r="T103" i="5" s="1"/>
  <c r="P97" i="5"/>
  <c r="S97" i="5" s="1"/>
  <c r="T97" i="5" s="1"/>
  <c r="P96" i="5"/>
  <c r="BB98" i="5"/>
  <c r="BB99" i="5"/>
  <c r="BB100" i="5"/>
  <c r="BB101" i="5"/>
  <c r="BB102" i="5"/>
  <c r="BB103" i="5"/>
  <c r="BB97" i="5"/>
  <c r="BB96" i="5"/>
  <c r="Z103" i="5"/>
  <c r="X104" i="5" s="1"/>
  <c r="AA104" i="5" s="1"/>
  <c r="AB104" i="5" s="1"/>
  <c r="Z101" i="5"/>
  <c r="X102" i="5" s="1"/>
  <c r="AA102" i="5" s="1"/>
  <c r="AB102" i="5" s="1"/>
  <c r="Z100" i="5"/>
  <c r="X101" i="5" s="1"/>
  <c r="Z99" i="5"/>
  <c r="X100" i="5" s="1"/>
  <c r="Z98" i="5"/>
  <c r="X99" i="5" s="1"/>
  <c r="Z97" i="5"/>
  <c r="X98" i="5" s="1"/>
  <c r="BY235" i="11" l="1"/>
  <c r="BQ233" i="11"/>
  <c r="AA99" i="5"/>
  <c r="AB99" i="5" s="1"/>
  <c r="AA101" i="5"/>
  <c r="AB101" i="5" s="1"/>
  <c r="W47" i="8"/>
  <c r="AA98" i="5"/>
  <c r="AB98" i="5" s="1"/>
  <c r="AA100" i="5"/>
  <c r="AB100" i="5" s="1"/>
  <c r="AA103" i="5"/>
  <c r="AB103" i="5" s="1"/>
  <c r="AJ143" i="11"/>
  <c r="AQ143" i="11"/>
  <c r="L143" i="11"/>
  <c r="X143" i="11"/>
  <c r="E144" i="11"/>
  <c r="K187" i="11"/>
  <c r="AA97" i="5"/>
  <c r="AB97" i="5" s="1"/>
  <c r="AD51" i="8"/>
  <c r="AZ50" i="8"/>
  <c r="BA49" i="8"/>
  <c r="AT48" i="8"/>
  <c r="AS49" i="8"/>
  <c r="AL50" i="8"/>
  <c r="C48" i="8"/>
  <c r="BP48" i="8" s="1"/>
  <c r="M47" i="8"/>
  <c r="N47" i="8" s="1"/>
  <c r="AE47" i="8"/>
  <c r="CE47" i="8"/>
  <c r="AM47" i="8"/>
  <c r="BV51" i="8"/>
  <c r="BW50" i="8"/>
  <c r="BO49" i="8"/>
  <c r="BH50" i="8"/>
  <c r="BG51" i="8"/>
  <c r="V49" i="8"/>
  <c r="L60" i="8"/>
  <c r="CD50" i="8"/>
  <c r="BM97" i="5"/>
  <c r="BP96" i="5"/>
  <c r="W96" i="5"/>
  <c r="AM96" i="5"/>
  <c r="N96" i="5"/>
  <c r="O96" i="5" s="1"/>
  <c r="AT96" i="5"/>
  <c r="J96" i="5"/>
  <c r="BQ98" i="5"/>
  <c r="BQ99" i="5"/>
  <c r="BT99" i="5" s="1"/>
  <c r="BQ100" i="5"/>
  <c r="BQ101" i="5"/>
  <c r="BT101" i="5" s="1"/>
  <c r="BQ97" i="5"/>
  <c r="BQ96" i="5"/>
  <c r="BQ234" i="11" l="1"/>
  <c r="BY236" i="11"/>
  <c r="W48" i="8"/>
  <c r="AJ144" i="11"/>
  <c r="AQ144" i="11"/>
  <c r="X144" i="11"/>
  <c r="L144" i="11"/>
  <c r="E145" i="11"/>
  <c r="K188" i="11"/>
  <c r="BV52" i="8"/>
  <c r="BW51" i="8"/>
  <c r="AT49" i="8"/>
  <c r="AS50" i="8"/>
  <c r="BA50" i="8"/>
  <c r="AZ51" i="8"/>
  <c r="CD51" i="8"/>
  <c r="C49" i="8"/>
  <c r="BP49" i="8" s="1"/>
  <c r="M48" i="8"/>
  <c r="N48" i="8" s="1"/>
  <c r="AE48" i="8"/>
  <c r="AM48" i="8"/>
  <c r="CE48" i="8"/>
  <c r="AD52" i="8"/>
  <c r="AL51" i="8"/>
  <c r="BO50" i="8"/>
  <c r="BG52" i="8"/>
  <c r="BH51" i="8"/>
  <c r="W49" i="8"/>
  <c r="V50" i="8"/>
  <c r="L61" i="8"/>
  <c r="BW96" i="5"/>
  <c r="AW95" i="5"/>
  <c r="BA96" i="5" s="1"/>
  <c r="AP95" i="5"/>
  <c r="AQ95" i="5" s="1"/>
  <c r="BY237" i="11" l="1"/>
  <c r="BQ235" i="11"/>
  <c r="AJ145" i="11"/>
  <c r="AQ145" i="11"/>
  <c r="L145" i="11"/>
  <c r="E146" i="11"/>
  <c r="X145" i="11"/>
  <c r="K189" i="11"/>
  <c r="CD52" i="8"/>
  <c r="AD53" i="8"/>
  <c r="AZ52" i="8"/>
  <c r="BA51" i="8"/>
  <c r="AT50" i="8"/>
  <c r="AS51" i="8"/>
  <c r="AL52" i="8"/>
  <c r="C50" i="8"/>
  <c r="BP50" i="8" s="1"/>
  <c r="M49" i="8"/>
  <c r="N49" i="8" s="1"/>
  <c r="AE49" i="8"/>
  <c r="AM49" i="8"/>
  <c r="CE49" i="8"/>
  <c r="BV53" i="8"/>
  <c r="BW52" i="8"/>
  <c r="BO51" i="8"/>
  <c r="BH52" i="8"/>
  <c r="BG53" i="8"/>
  <c r="V51" i="8"/>
  <c r="L62" i="8"/>
  <c r="AX95" i="5"/>
  <c r="CA95" i="5"/>
  <c r="CB95" i="5" s="1"/>
  <c r="BI95" i="5"/>
  <c r="BL95" i="5" s="1"/>
  <c r="BM95" i="5" s="1"/>
  <c r="BB95" i="5"/>
  <c r="AF95" i="5"/>
  <c r="AI95" i="5" s="1"/>
  <c r="AJ95" i="5" s="1"/>
  <c r="Z95" i="5"/>
  <c r="X96" i="5" s="1"/>
  <c r="AA96" i="5" s="1"/>
  <c r="P95" i="5"/>
  <c r="S95" i="5" s="1"/>
  <c r="T95" i="5" s="1"/>
  <c r="BQ236" i="11" l="1"/>
  <c r="BY238" i="11"/>
  <c r="W50" i="8"/>
  <c r="AJ146" i="11"/>
  <c r="AQ146" i="11"/>
  <c r="X146" i="11"/>
  <c r="L146" i="11"/>
  <c r="E147" i="11"/>
  <c r="K190" i="11"/>
  <c r="BV54" i="8"/>
  <c r="BW53" i="8"/>
  <c r="AS52" i="8"/>
  <c r="AT51" i="8"/>
  <c r="AD54" i="8"/>
  <c r="AL53" i="8"/>
  <c r="C51" i="8"/>
  <c r="W51" i="8" s="1"/>
  <c r="M50" i="8"/>
  <c r="N50" i="8" s="1"/>
  <c r="AE50" i="8"/>
  <c r="AM50" i="8"/>
  <c r="CE50" i="8"/>
  <c r="BA52" i="8"/>
  <c r="AZ53" i="8"/>
  <c r="CD53" i="8"/>
  <c r="BO52" i="8"/>
  <c r="BG54" i="8"/>
  <c r="BH53" i="8"/>
  <c r="V52" i="8"/>
  <c r="L63" i="8"/>
  <c r="AE96" i="5"/>
  <c r="AB96" i="5"/>
  <c r="I94" i="5"/>
  <c r="J94" i="5" s="1"/>
  <c r="F89" i="5"/>
  <c r="I89" i="5" s="1"/>
  <c r="J89" i="5" s="1"/>
  <c r="F90" i="5"/>
  <c r="I90" i="5" s="1"/>
  <c r="J90" i="5" s="1"/>
  <c r="F91" i="5"/>
  <c r="I91" i="5" s="1"/>
  <c r="J91" i="5" s="1"/>
  <c r="F92" i="5"/>
  <c r="I92" i="5" s="1"/>
  <c r="J92" i="5" s="1"/>
  <c r="J93" i="5"/>
  <c r="F95" i="5"/>
  <c r="I95" i="5" s="1"/>
  <c r="J95" i="5" s="1"/>
  <c r="AW89" i="5"/>
  <c r="AX89" i="5" s="1"/>
  <c r="AW90" i="5"/>
  <c r="AX90" i="5" s="1"/>
  <c r="AW91" i="5"/>
  <c r="AX91" i="5" s="1"/>
  <c r="AW92" i="5"/>
  <c r="AX92" i="5" s="1"/>
  <c r="AW93" i="5"/>
  <c r="AX93" i="5" s="1"/>
  <c r="AW94" i="5"/>
  <c r="AX94" i="5"/>
  <c r="AP89" i="5"/>
  <c r="AQ89" i="5" s="1"/>
  <c r="AP90" i="5"/>
  <c r="AQ90" i="5" s="1"/>
  <c r="AP91" i="5"/>
  <c r="AQ91" i="5" s="1"/>
  <c r="AP92" i="5"/>
  <c r="AQ92" i="5" s="1"/>
  <c r="AP93" i="5"/>
  <c r="AQ93" i="5" s="1"/>
  <c r="AP94" i="5"/>
  <c r="AQ94" i="5" s="1"/>
  <c r="BX94" i="5"/>
  <c r="CA94" i="5" s="1"/>
  <c r="CB94" i="5" s="1"/>
  <c r="BI94" i="5"/>
  <c r="BL94" i="5" s="1"/>
  <c r="BM94" i="5" s="1"/>
  <c r="BB94" i="5"/>
  <c r="Z94" i="5"/>
  <c r="X95" i="5" s="1"/>
  <c r="AA95" i="5" s="1"/>
  <c r="AB95" i="5" s="1"/>
  <c r="P94" i="5"/>
  <c r="S94" i="5" s="1"/>
  <c r="T94" i="5" s="1"/>
  <c r="AF94" i="5"/>
  <c r="AI94" i="5" s="1"/>
  <c r="AJ94" i="5" s="1"/>
  <c r="BP51" i="8" l="1"/>
  <c r="BY239" i="11"/>
  <c r="BQ237" i="11"/>
  <c r="AJ147" i="11"/>
  <c r="AQ147" i="11"/>
  <c r="E148" i="11"/>
  <c r="L147" i="11"/>
  <c r="X147" i="11"/>
  <c r="K191" i="11"/>
  <c r="AL54" i="8"/>
  <c r="AZ54" i="8"/>
  <c r="BA53" i="8"/>
  <c r="AT52" i="8"/>
  <c r="AS53" i="8"/>
  <c r="AD55" i="8"/>
  <c r="CD54" i="8"/>
  <c r="C52" i="8"/>
  <c r="BP52" i="8" s="1"/>
  <c r="M51" i="8"/>
  <c r="N51" i="8" s="1"/>
  <c r="AE51" i="8"/>
  <c r="AM51" i="8"/>
  <c r="CE51" i="8"/>
  <c r="BV55" i="8"/>
  <c r="BW54" i="8"/>
  <c r="BO53" i="8"/>
  <c r="BG55" i="8"/>
  <c r="BH54" i="8"/>
  <c r="V53" i="8"/>
  <c r="W52" i="8"/>
  <c r="L64" i="8"/>
  <c r="BQ90" i="5"/>
  <c r="BT90" i="5" s="1"/>
  <c r="BQ91" i="5"/>
  <c r="BT91" i="5" s="1"/>
  <c r="BQ92" i="5"/>
  <c r="BT92" i="5" s="1"/>
  <c r="BQ93" i="5"/>
  <c r="BT93" i="5" s="1"/>
  <c r="BQ94" i="5"/>
  <c r="BT94" i="5" s="1"/>
  <c r="CB46" i="5"/>
  <c r="BX91" i="5"/>
  <c r="CA91" i="5" s="1"/>
  <c r="CB91" i="5" s="1"/>
  <c r="BX92" i="5"/>
  <c r="CA92" i="5" s="1"/>
  <c r="CB92" i="5" s="1"/>
  <c r="BX93" i="5"/>
  <c r="BX90" i="5"/>
  <c r="CA90" i="5" s="1"/>
  <c r="CB90" i="5" s="1"/>
  <c r="CA93" i="5"/>
  <c r="CB93" i="5" s="1"/>
  <c r="BI89" i="5"/>
  <c r="BL89" i="5" s="1"/>
  <c r="BM89" i="5" s="1"/>
  <c r="BI90" i="5"/>
  <c r="BL90" i="5" s="1"/>
  <c r="BM90" i="5" s="1"/>
  <c r="BI91" i="5"/>
  <c r="BL91" i="5" s="1"/>
  <c r="BM91" i="5" s="1"/>
  <c r="BI92" i="5"/>
  <c r="BL92" i="5" s="1"/>
  <c r="BM92" i="5" s="1"/>
  <c r="BI93" i="5"/>
  <c r="BL93" i="5" s="1"/>
  <c r="BM93" i="5" s="1"/>
  <c r="BB89" i="5"/>
  <c r="BE89" i="5" s="1"/>
  <c r="BB90" i="5"/>
  <c r="BE90" i="5" s="1"/>
  <c r="BB91" i="5"/>
  <c r="BB92" i="5"/>
  <c r="BE92" i="5" s="1"/>
  <c r="BB93" i="5"/>
  <c r="P89" i="5"/>
  <c r="S89" i="5" s="1"/>
  <c r="T89" i="5" s="1"/>
  <c r="P90" i="5"/>
  <c r="S90" i="5" s="1"/>
  <c r="T90" i="5" s="1"/>
  <c r="P91" i="5"/>
  <c r="S91" i="5" s="1"/>
  <c r="T91" i="5" s="1"/>
  <c r="P92" i="5"/>
  <c r="S92" i="5" s="1"/>
  <c r="T92" i="5" s="1"/>
  <c r="P93" i="5"/>
  <c r="S93" i="5" s="1"/>
  <c r="T93" i="5" s="1"/>
  <c r="AF89" i="5"/>
  <c r="AI89" i="5" s="1"/>
  <c r="AJ89" i="5" s="1"/>
  <c r="AF90" i="5"/>
  <c r="AI90" i="5" s="1"/>
  <c r="AJ90" i="5" s="1"/>
  <c r="AF91" i="5"/>
  <c r="AI91" i="5" s="1"/>
  <c r="AJ91" i="5" s="1"/>
  <c r="AF92" i="5"/>
  <c r="AI92" i="5" s="1"/>
  <c r="AJ92" i="5" s="1"/>
  <c r="AF93" i="5"/>
  <c r="AI93" i="5" s="1"/>
  <c r="AJ93" i="5" s="1"/>
  <c r="Z91" i="5"/>
  <c r="X92" i="5" s="1"/>
  <c r="Z93" i="5"/>
  <c r="X94" i="5" s="1"/>
  <c r="AA94" i="5" s="1"/>
  <c r="AB94" i="5" s="1"/>
  <c r="Z92" i="5"/>
  <c r="X93" i="5" s="1"/>
  <c r="Z90" i="5"/>
  <c r="X91" i="5" s="1"/>
  <c r="Z89" i="5"/>
  <c r="X90" i="5" s="1"/>
  <c r="BQ238" i="11" l="1"/>
  <c r="BY240" i="11"/>
  <c r="AA92" i="5"/>
  <c r="AB92" i="5" s="1"/>
  <c r="AJ148" i="11"/>
  <c r="AQ148" i="11"/>
  <c r="L148" i="11"/>
  <c r="X148" i="11"/>
  <c r="E149" i="11"/>
  <c r="K192" i="11"/>
  <c r="BV56" i="8"/>
  <c r="BW55" i="8"/>
  <c r="AA91" i="5"/>
  <c r="AB91" i="5" s="1"/>
  <c r="C53" i="8"/>
  <c r="BP53" i="8" s="1"/>
  <c r="M52" i="8"/>
  <c r="N52" i="8" s="1"/>
  <c r="AE52" i="8"/>
  <c r="AM52" i="8"/>
  <c r="CE52" i="8"/>
  <c r="AD56" i="8"/>
  <c r="BA54" i="8"/>
  <c r="AZ55" i="8"/>
  <c r="AA93" i="5"/>
  <c r="AB93" i="5" s="1"/>
  <c r="AT53" i="8"/>
  <c r="AS54" i="8"/>
  <c r="AL55" i="8"/>
  <c r="CD55" i="8"/>
  <c r="BO54" i="8"/>
  <c r="BH55" i="8"/>
  <c r="BG56" i="8"/>
  <c r="V54" i="8"/>
  <c r="W53" i="8"/>
  <c r="L65" i="8"/>
  <c r="AA90" i="5"/>
  <c r="AB90" i="5" s="1"/>
  <c r="BS88" i="5"/>
  <c r="BQ89" i="5" s="1"/>
  <c r="BT89" i="5" s="1"/>
  <c r="BS87" i="5"/>
  <c r="BQ88" i="5" s="1"/>
  <c r="BS86" i="5"/>
  <c r="BQ87" i="5" s="1"/>
  <c r="BI88" i="5"/>
  <c r="BL88" i="5" s="1"/>
  <c r="BM88" i="5" s="1"/>
  <c r="BB88" i="5"/>
  <c r="AF88" i="5"/>
  <c r="AI88" i="5" s="1"/>
  <c r="P88" i="5"/>
  <c r="S88" i="5" s="1"/>
  <c r="T88" i="5" s="1"/>
  <c r="Z88" i="5"/>
  <c r="X89" i="5" s="1"/>
  <c r="AA89" i="5" s="1"/>
  <c r="AB89" i="5" s="1"/>
  <c r="BQ239" i="11" l="1"/>
  <c r="BT88" i="5"/>
  <c r="BT87" i="5"/>
  <c r="AJ149" i="11"/>
  <c r="AQ149" i="11"/>
  <c r="E150" i="11"/>
  <c r="L149" i="11"/>
  <c r="X149" i="11"/>
  <c r="K193" i="11"/>
  <c r="AL56" i="8"/>
  <c r="AZ56" i="8"/>
  <c r="BA55" i="8"/>
  <c r="C54" i="8"/>
  <c r="BP54" i="8" s="1"/>
  <c r="M53" i="8"/>
  <c r="N53" i="8" s="1"/>
  <c r="AE53" i="8"/>
  <c r="AM53" i="8"/>
  <c r="CE53" i="8"/>
  <c r="CD56" i="8"/>
  <c r="AT54" i="8"/>
  <c r="AS55" i="8"/>
  <c r="AD57" i="8"/>
  <c r="BV57" i="8"/>
  <c r="BW56" i="8"/>
  <c r="BO55" i="8"/>
  <c r="BH56" i="8"/>
  <c r="BG57" i="8"/>
  <c r="V55" i="8"/>
  <c r="L66" i="8"/>
  <c r="AJ88" i="5"/>
  <c r="BB87" i="5"/>
  <c r="AW86" i="5"/>
  <c r="AX86" i="5" s="1"/>
  <c r="AW87" i="5"/>
  <c r="AX87" i="5" s="1"/>
  <c r="AW88" i="5"/>
  <c r="AX88" i="5" s="1"/>
  <c r="AP86" i="5"/>
  <c r="AQ86" i="5" s="1"/>
  <c r="AP87" i="5"/>
  <c r="AQ87" i="5" s="1"/>
  <c r="AP88" i="5"/>
  <c r="AQ88" i="5" s="1"/>
  <c r="BI87" i="5"/>
  <c r="BL87" i="5" s="1"/>
  <c r="BM87" i="5" s="1"/>
  <c r="AF87" i="5"/>
  <c r="AI87" i="5" s="1"/>
  <c r="Z87" i="5"/>
  <c r="X88" i="5" s="1"/>
  <c r="AA88" i="5" s="1"/>
  <c r="P87" i="5"/>
  <c r="S87" i="5" s="1"/>
  <c r="T87" i="5" s="1"/>
  <c r="BI86" i="5"/>
  <c r="BL86" i="5" s="1"/>
  <c r="BM86" i="5" s="1"/>
  <c r="BB86" i="5"/>
  <c r="BE86" i="5" s="1"/>
  <c r="AF86" i="5"/>
  <c r="AI86" i="5" s="1"/>
  <c r="AJ86" i="5" s="1"/>
  <c r="P86" i="5"/>
  <c r="F86" i="5"/>
  <c r="I86" i="5" s="1"/>
  <c r="J86" i="5" s="1"/>
  <c r="F87" i="5"/>
  <c r="I87" i="5" s="1"/>
  <c r="J87" i="5" s="1"/>
  <c r="F88" i="5"/>
  <c r="I88" i="5" s="1"/>
  <c r="J88" i="5" s="1"/>
  <c r="Z86" i="5"/>
  <c r="X87" i="5" s="1"/>
  <c r="BQ240" i="11" l="1"/>
  <c r="W54" i="8"/>
  <c r="AJ150" i="11"/>
  <c r="AQ150" i="11"/>
  <c r="L150" i="11"/>
  <c r="X150" i="11"/>
  <c r="E151" i="11"/>
  <c r="K194" i="11"/>
  <c r="BV58" i="8"/>
  <c r="BW57" i="8"/>
  <c r="CD57" i="8"/>
  <c r="BA56" i="8"/>
  <c r="AZ57" i="8"/>
  <c r="AD58" i="8"/>
  <c r="AL57" i="8"/>
  <c r="AS56" i="8"/>
  <c r="AT55" i="8"/>
  <c r="C55" i="8"/>
  <c r="BP55" i="8" s="1"/>
  <c r="M54" i="8"/>
  <c r="N54" i="8" s="1"/>
  <c r="AE54" i="8"/>
  <c r="AM54" i="8"/>
  <c r="CE54" i="8"/>
  <c r="BO56" i="8"/>
  <c r="BH57" i="8"/>
  <c r="BG58" i="8"/>
  <c r="V56" i="8"/>
  <c r="L67" i="8"/>
  <c r="AA87" i="5"/>
  <c r="AB87" i="5" s="1"/>
  <c r="AB88" i="5"/>
  <c r="AJ87" i="5"/>
  <c r="AW83" i="5"/>
  <c r="AX83" i="5" s="1"/>
  <c r="AW84" i="5"/>
  <c r="AX84" i="5" s="1"/>
  <c r="AW85" i="5"/>
  <c r="AX85" i="5" s="1"/>
  <c r="AP83" i="5"/>
  <c r="AQ83" i="5" s="1"/>
  <c r="AP84" i="5"/>
  <c r="AQ84" i="5" s="1"/>
  <c r="AP85" i="5"/>
  <c r="AQ85" i="5" s="1"/>
  <c r="BS85" i="5"/>
  <c r="BQ86" i="5" s="1"/>
  <c r="BT86" i="5" s="1"/>
  <c r="BS84" i="5"/>
  <c r="BQ85" i="5" s="1"/>
  <c r="BS83" i="5"/>
  <c r="BQ84" i="5" s="1"/>
  <c r="BI83" i="5"/>
  <c r="BL83" i="5" s="1"/>
  <c r="BM83" i="5" s="1"/>
  <c r="BI84" i="5"/>
  <c r="BL84" i="5" s="1"/>
  <c r="BM84" i="5" s="1"/>
  <c r="BI85" i="5"/>
  <c r="BL85" i="5" s="1"/>
  <c r="BM85" i="5" s="1"/>
  <c r="BB83" i="5"/>
  <c r="BB84" i="5"/>
  <c r="BB85" i="5"/>
  <c r="BE85" i="5" s="1"/>
  <c r="AF83" i="5"/>
  <c r="AI83" i="5" s="1"/>
  <c r="AJ83" i="5" s="1"/>
  <c r="AF84" i="5"/>
  <c r="AI84" i="5" s="1"/>
  <c r="AJ84" i="5" s="1"/>
  <c r="AF85" i="5"/>
  <c r="AI85" i="5" s="1"/>
  <c r="AJ85" i="5" s="1"/>
  <c r="P83" i="5"/>
  <c r="S83" i="5" s="1"/>
  <c r="T83" i="5" s="1"/>
  <c r="P84" i="5"/>
  <c r="S84" i="5" s="1"/>
  <c r="T84" i="5" s="1"/>
  <c r="P85" i="5"/>
  <c r="F83" i="5"/>
  <c r="I83" i="5" s="1"/>
  <c r="J83" i="5" s="1"/>
  <c r="F84" i="5"/>
  <c r="I84" i="5" s="1"/>
  <c r="J84" i="5" s="1"/>
  <c r="F85" i="5"/>
  <c r="I85" i="5" s="1"/>
  <c r="J85" i="5" s="1"/>
  <c r="Z83" i="5"/>
  <c r="X84" i="5" s="1"/>
  <c r="Z84" i="5"/>
  <c r="X85" i="5" s="1"/>
  <c r="Z85" i="5"/>
  <c r="X86" i="5" s="1"/>
  <c r="AA86" i="5" s="1"/>
  <c r="AB86" i="5" s="1"/>
  <c r="BT84" i="5" l="1"/>
  <c r="W55" i="8"/>
  <c r="AJ151" i="11"/>
  <c r="AQ151" i="11"/>
  <c r="L151" i="11"/>
  <c r="E152" i="11"/>
  <c r="X151" i="11"/>
  <c r="K195" i="11"/>
  <c r="AD59" i="8"/>
  <c r="CD58" i="8"/>
  <c r="AS57" i="8"/>
  <c r="AT56" i="8"/>
  <c r="AZ58" i="8"/>
  <c r="BA57" i="8"/>
  <c r="C56" i="8"/>
  <c r="W56" i="8" s="1"/>
  <c r="M55" i="8"/>
  <c r="N55" i="8" s="1"/>
  <c r="AE55" i="8"/>
  <c r="AM55" i="8"/>
  <c r="CE55" i="8"/>
  <c r="AL58" i="8"/>
  <c r="BV59" i="8"/>
  <c r="BW58" i="8"/>
  <c r="BO57" i="8"/>
  <c r="BH58" i="8"/>
  <c r="BG59" i="8"/>
  <c r="V57" i="8"/>
  <c r="L68" i="8"/>
  <c r="AA85" i="5"/>
  <c r="AB85" i="5" s="1"/>
  <c r="AA84" i="5"/>
  <c r="AB84" i="5" s="1"/>
  <c r="BT85" i="5"/>
  <c r="AW82" i="5"/>
  <c r="AX82" i="5" s="1"/>
  <c r="AP82" i="5"/>
  <c r="AQ82" i="5" s="1"/>
  <c r="BS82" i="5"/>
  <c r="BQ83" i="5" s="1"/>
  <c r="BT83" i="5" s="1"/>
  <c r="P82" i="5"/>
  <c r="BB82" i="5"/>
  <c r="BI82" i="5"/>
  <c r="BL82" i="5" s="1"/>
  <c r="BM82" i="5" s="1"/>
  <c r="AF82" i="5"/>
  <c r="AI82" i="5" s="1"/>
  <c r="AJ82" i="5" s="1"/>
  <c r="Z82" i="5"/>
  <c r="X83" i="5" s="1"/>
  <c r="AA83" i="5" s="1"/>
  <c r="AB83" i="5" s="1"/>
  <c r="BP56" i="8" l="1"/>
  <c r="AJ152" i="11"/>
  <c r="AQ152" i="11"/>
  <c r="X152" i="11"/>
  <c r="L152" i="11"/>
  <c r="E153" i="11"/>
  <c r="K196" i="11"/>
  <c r="BV60" i="8"/>
  <c r="BW59" i="8"/>
  <c r="CD59" i="8"/>
  <c r="AL59" i="8"/>
  <c r="AZ59" i="8"/>
  <c r="BA58" i="8"/>
  <c r="C57" i="8"/>
  <c r="BP57" i="8" s="1"/>
  <c r="M56" i="8"/>
  <c r="N56" i="8" s="1"/>
  <c r="AE56" i="8"/>
  <c r="AM56" i="8"/>
  <c r="CE56" i="8"/>
  <c r="AT57" i="8"/>
  <c r="AS58" i="8"/>
  <c r="AD60" i="8"/>
  <c r="BO58" i="8"/>
  <c r="BH59" i="8"/>
  <c r="BG60" i="8"/>
  <c r="V58" i="8"/>
  <c r="L69" i="8"/>
  <c r="F82" i="5"/>
  <c r="W57" i="8" l="1"/>
  <c r="AJ153" i="11"/>
  <c r="AQ153" i="11"/>
  <c r="E154" i="11"/>
  <c r="L153" i="11"/>
  <c r="X153" i="11"/>
  <c r="K197" i="11"/>
  <c r="AD61" i="8"/>
  <c r="CD60" i="8"/>
  <c r="AT58" i="8"/>
  <c r="AS59" i="8"/>
  <c r="BA59" i="8"/>
  <c r="AZ60" i="8"/>
  <c r="AL60" i="8"/>
  <c r="C58" i="8"/>
  <c r="W58" i="8" s="1"/>
  <c r="M57" i="8"/>
  <c r="N57" i="8" s="1"/>
  <c r="AE57" i="8"/>
  <c r="AM57" i="8"/>
  <c r="CE57" i="8"/>
  <c r="BV61" i="8"/>
  <c r="BW60" i="8"/>
  <c r="BO59" i="8"/>
  <c r="BH60" i="8"/>
  <c r="BG61" i="8"/>
  <c r="V59" i="8"/>
  <c r="L70" i="8"/>
  <c r="I82" i="5"/>
  <c r="J82" i="5" s="1"/>
  <c r="AW79" i="5"/>
  <c r="AX79" i="5" s="1"/>
  <c r="AW80" i="5"/>
  <c r="AX80" i="5" s="1"/>
  <c r="AW81" i="5"/>
  <c r="AX81" i="5" s="1"/>
  <c r="AP79" i="5"/>
  <c r="AQ79" i="5" s="1"/>
  <c r="AP80" i="5"/>
  <c r="AQ80" i="5" s="1"/>
  <c r="AP81" i="5"/>
  <c r="AQ81" i="5" s="1"/>
  <c r="BI79" i="5"/>
  <c r="BL79" i="5" s="1"/>
  <c r="BM79" i="5" s="1"/>
  <c r="BI80" i="5"/>
  <c r="BL80" i="5" s="1"/>
  <c r="BM80" i="5" s="1"/>
  <c r="BI81" i="5"/>
  <c r="BL81" i="5" s="1"/>
  <c r="BM81" i="5" s="1"/>
  <c r="BB79" i="5"/>
  <c r="BB80" i="5"/>
  <c r="BB81" i="5"/>
  <c r="AF79" i="5"/>
  <c r="AI79" i="5" s="1"/>
  <c r="AJ79" i="5" s="1"/>
  <c r="AF80" i="5"/>
  <c r="AI80" i="5" s="1"/>
  <c r="AJ80" i="5" s="1"/>
  <c r="AF81" i="5"/>
  <c r="AI81" i="5" s="1"/>
  <c r="AJ81" i="5" s="1"/>
  <c r="P79" i="5"/>
  <c r="S79" i="5" s="1"/>
  <c r="T79" i="5" s="1"/>
  <c r="P80" i="5"/>
  <c r="P81" i="5"/>
  <c r="I79" i="5"/>
  <c r="J79" i="5" s="1"/>
  <c r="F80" i="5"/>
  <c r="I80" i="5" s="1"/>
  <c r="J80" i="5" s="1"/>
  <c r="F81" i="5"/>
  <c r="I81" i="5" s="1"/>
  <c r="J81" i="5" s="1"/>
  <c r="Z79" i="5"/>
  <c r="X80" i="5" s="1"/>
  <c r="Z81" i="5"/>
  <c r="X82" i="5" s="1"/>
  <c r="AA82" i="5" s="1"/>
  <c r="AB82" i="5" s="1"/>
  <c r="Z80" i="5"/>
  <c r="X81" i="5" s="1"/>
  <c r="AA81" i="5" s="1"/>
  <c r="AB81" i="5" s="1"/>
  <c r="BX79" i="5"/>
  <c r="BX80" i="5"/>
  <c r="BX81" i="5"/>
  <c r="BS81" i="5"/>
  <c r="BQ82" i="5" s="1"/>
  <c r="BT82" i="5" s="1"/>
  <c r="BS80" i="5"/>
  <c r="BQ81" i="5" s="1"/>
  <c r="BS79" i="5"/>
  <c r="BQ80" i="5" s="1"/>
  <c r="BP58" i="8" l="1"/>
  <c r="AJ154" i="11"/>
  <c r="AQ154" i="11"/>
  <c r="E155" i="11"/>
  <c r="L154" i="11"/>
  <c r="X154" i="11"/>
  <c r="K198" i="11"/>
  <c r="BV62" i="8"/>
  <c r="BW61" i="8"/>
  <c r="BA60" i="8"/>
  <c r="AZ61" i="8"/>
  <c r="C59" i="8"/>
  <c r="BP59" i="8" s="1"/>
  <c r="M58" i="8"/>
  <c r="N58" i="8" s="1"/>
  <c r="AE58" i="8"/>
  <c r="AM58" i="8"/>
  <c r="CE58" i="8"/>
  <c r="CD61" i="8"/>
  <c r="AL61" i="8"/>
  <c r="AT59" i="8"/>
  <c r="AS60" i="8"/>
  <c r="AD62" i="8"/>
  <c r="BO60" i="8"/>
  <c r="BH61" i="8"/>
  <c r="BG62" i="8"/>
  <c r="V60" i="8"/>
  <c r="L71" i="8"/>
  <c r="BT81" i="5"/>
  <c r="BT80" i="5"/>
  <c r="AA80" i="5"/>
  <c r="AB80" i="5" s="1"/>
  <c r="AW67" i="5"/>
  <c r="AX67" i="5" s="1"/>
  <c r="AW68" i="5"/>
  <c r="AX68" i="5" s="1"/>
  <c r="AW72" i="5"/>
  <c r="AX72" i="5" s="1"/>
  <c r="AW73" i="5"/>
  <c r="AX73" i="5" s="1"/>
  <c r="AW74" i="5"/>
  <c r="AX74" i="5" s="1"/>
  <c r="AW75" i="5"/>
  <c r="AX75" i="5" s="1"/>
  <c r="AW76" i="5"/>
  <c r="AX76" i="5" s="1"/>
  <c r="AW77" i="5"/>
  <c r="AX77" i="5" s="1"/>
  <c r="AW78" i="5"/>
  <c r="AX78" i="5" s="1"/>
  <c r="AW66" i="5"/>
  <c r="AW65" i="5"/>
  <c r="AP67" i="5"/>
  <c r="AQ67" i="5" s="1"/>
  <c r="AP68" i="5"/>
  <c r="AQ68" i="5" s="1"/>
  <c r="AP72" i="5"/>
  <c r="AQ72" i="5" s="1"/>
  <c r="AP73" i="5"/>
  <c r="AQ73" i="5" s="1"/>
  <c r="AP74" i="5"/>
  <c r="AQ74" i="5" s="1"/>
  <c r="AP75" i="5"/>
  <c r="AQ75" i="5" s="1"/>
  <c r="AP76" i="5"/>
  <c r="AQ76" i="5" s="1"/>
  <c r="AP77" i="5"/>
  <c r="AQ77" i="5" s="1"/>
  <c r="AP78" i="5"/>
  <c r="AQ78" i="5" s="1"/>
  <c r="AP66" i="5"/>
  <c r="AP65" i="5"/>
  <c r="P75" i="5"/>
  <c r="P76" i="5"/>
  <c r="P77" i="5"/>
  <c r="S77" i="5" s="1"/>
  <c r="T77" i="5" s="1"/>
  <c r="P78" i="5"/>
  <c r="S78" i="5" s="1"/>
  <c r="T78" i="5" s="1"/>
  <c r="F75" i="5"/>
  <c r="I75" i="5" s="1"/>
  <c r="J75" i="5" s="1"/>
  <c r="F76" i="5"/>
  <c r="I76" i="5" s="1"/>
  <c r="J76" i="5" s="1"/>
  <c r="F77" i="5"/>
  <c r="I77" i="5" s="1"/>
  <c r="J77" i="5" s="1"/>
  <c r="AF75" i="5"/>
  <c r="AI75" i="5" s="1"/>
  <c r="AJ75" i="5" s="1"/>
  <c r="AF76" i="5"/>
  <c r="AI76" i="5" s="1"/>
  <c r="AJ76" i="5" s="1"/>
  <c r="AF77" i="5"/>
  <c r="AI77" i="5" s="1"/>
  <c r="AJ77" i="5" s="1"/>
  <c r="AF78" i="5"/>
  <c r="AI78" i="5" s="1"/>
  <c r="AJ78" i="5" s="1"/>
  <c r="BI75" i="5"/>
  <c r="BL75" i="5" s="1"/>
  <c r="BM75" i="5" s="1"/>
  <c r="BI76" i="5"/>
  <c r="BL76" i="5" s="1"/>
  <c r="BM76" i="5" s="1"/>
  <c r="BI77" i="5"/>
  <c r="BL77" i="5" s="1"/>
  <c r="BM77" i="5" s="1"/>
  <c r="BI78" i="5"/>
  <c r="BL78" i="5" s="1"/>
  <c r="BM78" i="5" s="1"/>
  <c r="Z75" i="5"/>
  <c r="X76" i="5" s="1"/>
  <c r="Z76" i="5"/>
  <c r="X77" i="5" s="1"/>
  <c r="Z77" i="5"/>
  <c r="X78" i="5" s="1"/>
  <c r="BS78" i="5"/>
  <c r="BQ79" i="5" s="1"/>
  <c r="BT79" i="5" s="1"/>
  <c r="BB75" i="5"/>
  <c r="BB76" i="5"/>
  <c r="BB77" i="5"/>
  <c r="BB78" i="5"/>
  <c r="Z78" i="5"/>
  <c r="X79" i="5" s="1"/>
  <c r="AA79" i="5" s="1"/>
  <c r="AB79" i="5" s="1"/>
  <c r="BX74" i="5"/>
  <c r="BX75" i="5"/>
  <c r="BX76" i="5"/>
  <c r="BX77" i="5"/>
  <c r="BX78" i="5"/>
  <c r="BS77" i="5"/>
  <c r="BQ78" i="5" s="1"/>
  <c r="BS76" i="5"/>
  <c r="BQ77" i="5" s="1"/>
  <c r="BQ66" i="5"/>
  <c r="BQ65" i="5"/>
  <c r="BS75" i="5"/>
  <c r="BQ76" i="5" s="1"/>
  <c r="BS74" i="5"/>
  <c r="BQ75" i="5" s="1"/>
  <c r="BS73" i="5"/>
  <c r="BQ74" i="5" s="1"/>
  <c r="BS72" i="5"/>
  <c r="BQ73" i="5" s="1"/>
  <c r="BS71" i="5"/>
  <c r="BQ72" i="5" s="1"/>
  <c r="BS70" i="5"/>
  <c r="BQ71" i="5" s="1"/>
  <c r="BS69" i="5"/>
  <c r="BQ70" i="5" s="1"/>
  <c r="BS68" i="5"/>
  <c r="BQ69" i="5" s="1"/>
  <c r="BS67" i="5"/>
  <c r="BQ68" i="5" s="1"/>
  <c r="BS66" i="5"/>
  <c r="BQ67" i="5" s="1"/>
  <c r="W59" i="8" l="1"/>
  <c r="BT75" i="5"/>
  <c r="AA77" i="5"/>
  <c r="AB77" i="5" s="1"/>
  <c r="AA76" i="5"/>
  <c r="AB76" i="5" s="1"/>
  <c r="AJ155" i="11"/>
  <c r="AQ155" i="11"/>
  <c r="E156" i="11"/>
  <c r="L155" i="11"/>
  <c r="X155" i="11"/>
  <c r="K199" i="11"/>
  <c r="AZ62" i="8"/>
  <c r="BA61" i="8"/>
  <c r="AS61" i="8"/>
  <c r="AT60" i="8"/>
  <c r="CD62" i="8"/>
  <c r="AD63" i="8"/>
  <c r="AL62" i="8"/>
  <c r="C60" i="8"/>
  <c r="BP60" i="8" s="1"/>
  <c r="M59" i="8"/>
  <c r="N59" i="8" s="1"/>
  <c r="AE59" i="8"/>
  <c r="AM59" i="8"/>
  <c r="CE59" i="8"/>
  <c r="BV63" i="8"/>
  <c r="BW62" i="8"/>
  <c r="BO61" i="8"/>
  <c r="BH62" i="8"/>
  <c r="BG63" i="8"/>
  <c r="V61" i="8"/>
  <c r="L72" i="8"/>
  <c r="BT73" i="5"/>
  <c r="BT74" i="5"/>
  <c r="BT66" i="5"/>
  <c r="BT78" i="5"/>
  <c r="AA78" i="5"/>
  <c r="AB78" i="5" s="1"/>
  <c r="BA65" i="5"/>
  <c r="AT65" i="5"/>
  <c r="BT76" i="5"/>
  <c r="AX66" i="5"/>
  <c r="AX65" i="5"/>
  <c r="AQ66" i="5"/>
  <c r="AQ65" i="5"/>
  <c r="BB74" i="5"/>
  <c r="AJ156" i="11" l="1"/>
  <c r="AQ156" i="11"/>
  <c r="E157" i="11"/>
  <c r="L156" i="11"/>
  <c r="X156" i="11"/>
  <c r="K200" i="11"/>
  <c r="C61" i="8"/>
  <c r="BP61" i="8" s="1"/>
  <c r="M60" i="8"/>
  <c r="N60" i="8" s="1"/>
  <c r="AE60" i="8"/>
  <c r="CE60" i="8"/>
  <c r="AM60" i="8"/>
  <c r="AS62" i="8"/>
  <c r="AT61" i="8"/>
  <c r="BV64" i="8"/>
  <c r="BW63" i="8"/>
  <c r="W60" i="8"/>
  <c r="L73" i="8"/>
  <c r="AD64" i="8"/>
  <c r="BW65" i="5"/>
  <c r="AL63" i="8"/>
  <c r="CD63" i="8"/>
  <c r="BA62" i="8"/>
  <c r="AZ63" i="8"/>
  <c r="BO62" i="8"/>
  <c r="BH63" i="8"/>
  <c r="BG64" i="8"/>
  <c r="V62" i="8"/>
  <c r="BB69" i="5"/>
  <c r="BB70" i="5"/>
  <c r="BB71" i="5"/>
  <c r="BB72" i="5"/>
  <c r="BE72" i="5" s="1"/>
  <c r="BB73" i="5"/>
  <c r="BI69" i="5"/>
  <c r="BI70" i="5"/>
  <c r="BI71" i="5"/>
  <c r="BI72" i="5"/>
  <c r="BL72" i="5" s="1"/>
  <c r="BM72" i="5" s="1"/>
  <c r="BI73" i="5"/>
  <c r="BL73" i="5" s="1"/>
  <c r="BM73" i="5" s="1"/>
  <c r="BI74" i="5"/>
  <c r="BL74" i="5" s="1"/>
  <c r="BM74" i="5" s="1"/>
  <c r="AF69" i="5"/>
  <c r="AF70" i="5"/>
  <c r="AF71" i="5"/>
  <c r="AF72" i="5"/>
  <c r="AI72" i="5" s="1"/>
  <c r="AJ72" i="5" s="1"/>
  <c r="AF73" i="5"/>
  <c r="AI73" i="5" s="1"/>
  <c r="AJ73" i="5" s="1"/>
  <c r="AF74" i="5"/>
  <c r="AI74" i="5" s="1"/>
  <c r="AJ74" i="5" s="1"/>
  <c r="Z69" i="5"/>
  <c r="X70" i="5" s="1"/>
  <c r="Z70" i="5"/>
  <c r="X71" i="5" s="1"/>
  <c r="Z71" i="5"/>
  <c r="X72" i="5" s="1"/>
  <c r="Z74" i="5"/>
  <c r="X75" i="5" s="1"/>
  <c r="AA75" i="5" s="1"/>
  <c r="AB75" i="5" s="1"/>
  <c r="P74" i="5"/>
  <c r="F69" i="5"/>
  <c r="F70" i="5"/>
  <c r="F71" i="5"/>
  <c r="F72" i="5"/>
  <c r="F73" i="5"/>
  <c r="I73" i="5" s="1"/>
  <c r="J73" i="5" s="1"/>
  <c r="F74" i="5"/>
  <c r="I74" i="5" s="1"/>
  <c r="J74" i="5" s="1"/>
  <c r="P69" i="5"/>
  <c r="P70" i="5"/>
  <c r="P71" i="5"/>
  <c r="P72" i="5"/>
  <c r="S72" i="5" s="1"/>
  <c r="T72" i="5" s="1"/>
  <c r="P73" i="5"/>
  <c r="Z72" i="5"/>
  <c r="X73" i="5" s="1"/>
  <c r="BX69" i="5"/>
  <c r="BX70" i="5"/>
  <c r="BX71" i="5"/>
  <c r="BX72" i="5"/>
  <c r="BX73" i="5"/>
  <c r="Z73" i="5"/>
  <c r="X74" i="5" s="1"/>
  <c r="AA72" i="5" l="1"/>
  <c r="AB72" i="5" s="1"/>
  <c r="W61" i="8"/>
  <c r="AJ157" i="11"/>
  <c r="AQ157" i="11"/>
  <c r="E158" i="11"/>
  <c r="L157" i="11"/>
  <c r="X157" i="11"/>
  <c r="K201" i="11"/>
  <c r="AL64" i="8"/>
  <c r="CD64" i="8"/>
  <c r="BV65" i="8"/>
  <c r="BW64" i="8"/>
  <c r="AT62" i="8"/>
  <c r="AS63" i="8"/>
  <c r="L74" i="8"/>
  <c r="AA73" i="5"/>
  <c r="AB73" i="5" s="1"/>
  <c r="BA63" i="8"/>
  <c r="AZ64" i="8"/>
  <c r="AD65" i="8"/>
  <c r="C62" i="8"/>
  <c r="M61" i="8"/>
  <c r="N61" i="8" s="1"/>
  <c r="AE61" i="8"/>
  <c r="CE61" i="8"/>
  <c r="AM61" i="8"/>
  <c r="BO63" i="8"/>
  <c r="BH64" i="8"/>
  <c r="BG65" i="8"/>
  <c r="V63" i="8"/>
  <c r="AA74" i="5"/>
  <c r="AB74" i="5" s="1"/>
  <c r="BX68" i="5"/>
  <c r="BI68" i="5"/>
  <c r="BB68" i="5"/>
  <c r="BX67" i="5"/>
  <c r="BX66" i="5"/>
  <c r="CA66" i="5" s="1"/>
  <c r="BX65" i="5"/>
  <c r="AF68" i="5"/>
  <c r="Z68" i="5"/>
  <c r="X69" i="5" s="1"/>
  <c r="P67" i="5"/>
  <c r="P68" i="5"/>
  <c r="I68" i="5"/>
  <c r="J68" i="5" s="1"/>
  <c r="I67" i="5"/>
  <c r="J67" i="5" s="1"/>
  <c r="F65" i="5"/>
  <c r="I65" i="5" s="1"/>
  <c r="P66" i="5"/>
  <c r="S66" i="5" s="1"/>
  <c r="T66" i="5" s="1"/>
  <c r="P65" i="5"/>
  <c r="S65" i="5" s="1"/>
  <c r="BM65" i="5"/>
  <c r="BI65" i="5"/>
  <c r="BI66" i="5"/>
  <c r="BL66" i="5" s="1"/>
  <c r="BM66" i="5" s="1"/>
  <c r="BI67" i="5"/>
  <c r="BL67" i="5" s="1"/>
  <c r="BB67" i="5"/>
  <c r="BB66" i="5"/>
  <c r="BE66" i="5" s="1"/>
  <c r="BH65" i="5" s="1"/>
  <c r="AF67" i="5"/>
  <c r="AI67" i="5" s="1"/>
  <c r="AJ67" i="5" s="1"/>
  <c r="AF66" i="5"/>
  <c r="AI66" i="5" s="1"/>
  <c r="AF65" i="5"/>
  <c r="X66" i="5"/>
  <c r="X65" i="5"/>
  <c r="Z66" i="5"/>
  <c r="X67" i="5" s="1"/>
  <c r="Z67" i="5"/>
  <c r="X68" i="5" s="1"/>
  <c r="W65" i="5" l="1"/>
  <c r="AJ158" i="11"/>
  <c r="AQ158" i="11"/>
  <c r="L158" i="11"/>
  <c r="E159" i="11"/>
  <c r="X158" i="11"/>
  <c r="K202" i="11"/>
  <c r="K203" i="11" s="1"/>
  <c r="CD65" i="8"/>
  <c r="AA67" i="5"/>
  <c r="AB67" i="5" s="1"/>
  <c r="L75" i="8"/>
  <c r="AL65" i="8"/>
  <c r="C63" i="8"/>
  <c r="W63" i="8" s="1"/>
  <c r="M62" i="8"/>
  <c r="N62" i="8" s="1"/>
  <c r="AE62" i="8"/>
  <c r="AM62" i="8"/>
  <c r="CE62" i="8"/>
  <c r="AT63" i="8"/>
  <c r="AS64" i="8"/>
  <c r="AD66" i="8"/>
  <c r="W62" i="8"/>
  <c r="BP62" i="8"/>
  <c r="AZ65" i="8"/>
  <c r="BA64" i="8"/>
  <c r="BV66" i="8"/>
  <c r="BW65" i="8"/>
  <c r="BO64" i="8"/>
  <c r="BH65" i="8"/>
  <c r="BG66" i="8"/>
  <c r="V64" i="8"/>
  <c r="AJ66" i="5"/>
  <c r="AM65" i="5"/>
  <c r="AA66" i="5"/>
  <c r="AB66" i="5" s="1"/>
  <c r="CE65" i="5"/>
  <c r="CB66" i="5"/>
  <c r="BM67" i="5"/>
  <c r="BP65" i="5"/>
  <c r="T65" i="5"/>
  <c r="J65" i="5"/>
  <c r="N65" i="5"/>
  <c r="O65" i="5" s="1"/>
  <c r="AW64" i="5"/>
  <c r="AX64" i="5" s="1"/>
  <c r="AW63" i="5"/>
  <c r="AX63" i="5" s="1"/>
  <c r="AW62" i="5"/>
  <c r="AX62" i="5" s="1"/>
  <c r="AP64" i="5"/>
  <c r="AQ64" i="5" s="1"/>
  <c r="AP63" i="5"/>
  <c r="AQ63" i="5" s="1"/>
  <c r="AP62" i="5"/>
  <c r="AQ62" i="5" s="1"/>
  <c r="BQ62" i="5"/>
  <c r="BQ63" i="5"/>
  <c r="BQ64" i="5"/>
  <c r="BT64" i="5" s="1"/>
  <c r="CA64" i="5"/>
  <c r="CB64" i="5" s="1"/>
  <c r="BI62" i="5"/>
  <c r="BL62" i="5" s="1"/>
  <c r="BM62" i="5" s="1"/>
  <c r="BI63" i="5"/>
  <c r="BL63" i="5" s="1"/>
  <c r="BM63" i="5" s="1"/>
  <c r="BI64" i="5"/>
  <c r="BL64" i="5" s="1"/>
  <c r="BM64" i="5" s="1"/>
  <c r="BB62" i="5"/>
  <c r="BE62" i="5" s="1"/>
  <c r="BB63" i="5"/>
  <c r="BB64" i="5"/>
  <c r="AF62" i="5"/>
  <c r="AI62" i="5" s="1"/>
  <c r="AJ62" i="5" s="1"/>
  <c r="AF63" i="5"/>
  <c r="AI63" i="5" s="1"/>
  <c r="AJ63" i="5" s="1"/>
  <c r="AF64" i="5"/>
  <c r="AI64" i="5" s="1"/>
  <c r="AJ64" i="5" s="1"/>
  <c r="X62" i="5"/>
  <c r="P62" i="5"/>
  <c r="S62" i="5" s="1"/>
  <c r="T62" i="5" s="1"/>
  <c r="P63" i="5"/>
  <c r="S63" i="5" s="1"/>
  <c r="P64" i="5"/>
  <c r="S64" i="5" s="1"/>
  <c r="T64" i="5" s="1"/>
  <c r="I63" i="5"/>
  <c r="J63" i="5" s="1"/>
  <c r="F62" i="5"/>
  <c r="I62" i="5" s="1"/>
  <c r="J62" i="5" s="1"/>
  <c r="F64" i="5"/>
  <c r="I64" i="5" s="1"/>
  <c r="J64" i="5" s="1"/>
  <c r="Z63" i="5"/>
  <c r="X64" i="5" s="1"/>
  <c r="Z62" i="5"/>
  <c r="X63" i="5" s="1"/>
  <c r="BD64" i="5"/>
  <c r="BB65" i="5" s="1"/>
  <c r="K204" i="11" l="1"/>
  <c r="BP63" i="8"/>
  <c r="AA63" i="5"/>
  <c r="AB63" i="5" s="1"/>
  <c r="AE65" i="5"/>
  <c r="AJ159" i="11"/>
  <c r="AQ159" i="11"/>
  <c r="E160" i="11"/>
  <c r="L159" i="11"/>
  <c r="X159" i="11"/>
  <c r="AD67" i="8"/>
  <c r="C64" i="8"/>
  <c r="W64" i="8" s="1"/>
  <c r="M63" i="8"/>
  <c r="N63" i="8" s="1"/>
  <c r="AE63" i="8"/>
  <c r="AM63" i="8"/>
  <c r="CE63" i="8"/>
  <c r="BA65" i="8"/>
  <c r="AZ66" i="8"/>
  <c r="AL66" i="8"/>
  <c r="AT64" i="8"/>
  <c r="AS65" i="8"/>
  <c r="CD66" i="8"/>
  <c r="BW66" i="8"/>
  <c r="BV67" i="8"/>
  <c r="L76" i="8"/>
  <c r="BO65" i="8"/>
  <c r="BH66" i="8"/>
  <c r="BG67" i="8"/>
  <c r="V65" i="8"/>
  <c r="V66" i="8" s="1"/>
  <c r="AA62" i="5"/>
  <c r="AB62" i="5" s="1"/>
  <c r="T63" i="5"/>
  <c r="AP61" i="5"/>
  <c r="AQ61" i="5" s="1"/>
  <c r="BQ61" i="5"/>
  <c r="BT61" i="5" s="1"/>
  <c r="BI61" i="5"/>
  <c r="BL61" i="5" s="1"/>
  <c r="BM61" i="5" s="1"/>
  <c r="BB61" i="5"/>
  <c r="AW61" i="5"/>
  <c r="AX61" i="5" s="1"/>
  <c r="P61" i="5"/>
  <c r="F61" i="5"/>
  <c r="I61" i="5" s="1"/>
  <c r="J61" i="5" s="1"/>
  <c r="CE35" i="5"/>
  <c r="AW40" i="5"/>
  <c r="AX40" i="5" s="1"/>
  <c r="AW41" i="5"/>
  <c r="AX41" i="5" s="1"/>
  <c r="AW42" i="5"/>
  <c r="AX42" i="5" s="1"/>
  <c r="AW43" i="5"/>
  <c r="AX43" i="5" s="1"/>
  <c r="AW44" i="5"/>
  <c r="AX44" i="5" s="1"/>
  <c r="AW45" i="5"/>
  <c r="AX45" i="5" s="1"/>
  <c r="AW46" i="5"/>
  <c r="AX46" i="5" s="1"/>
  <c r="AW47" i="5"/>
  <c r="AX47" i="5" s="1"/>
  <c r="AW48" i="5"/>
  <c r="AX48" i="5" s="1"/>
  <c r="AW49" i="5"/>
  <c r="AX49" i="5" s="1"/>
  <c r="AW50" i="5"/>
  <c r="AX50" i="5" s="1"/>
  <c r="AW51" i="5"/>
  <c r="AX51" i="5" s="1"/>
  <c r="AW52" i="5"/>
  <c r="AX52" i="5" s="1"/>
  <c r="AW53" i="5"/>
  <c r="AX53" i="5" s="1"/>
  <c r="AW54" i="5"/>
  <c r="AX54" i="5" s="1"/>
  <c r="AW55" i="5"/>
  <c r="AX55" i="5" s="1"/>
  <c r="AW56" i="5"/>
  <c r="AX56" i="5" s="1"/>
  <c r="AW57" i="5"/>
  <c r="AX57" i="5" s="1"/>
  <c r="AW58" i="5"/>
  <c r="AX58" i="5" s="1"/>
  <c r="AW59" i="5"/>
  <c r="AX59" i="5" s="1"/>
  <c r="AW60" i="5"/>
  <c r="AX60" i="5" s="1"/>
  <c r="K205" i="11" l="1"/>
  <c r="BP64" i="8"/>
  <c r="AJ160" i="11"/>
  <c r="AQ160" i="11"/>
  <c r="L160" i="11"/>
  <c r="E161" i="11"/>
  <c r="X160" i="11"/>
  <c r="AL67" i="8"/>
  <c r="C65" i="8"/>
  <c r="W65" i="8" s="1"/>
  <c r="M64" i="8"/>
  <c r="N64" i="8" s="1"/>
  <c r="AE64" i="8"/>
  <c r="CE64" i="8"/>
  <c r="AM64" i="8"/>
  <c r="L77" i="8"/>
  <c r="CD67" i="8"/>
  <c r="BW67" i="8"/>
  <c r="BV68" i="8"/>
  <c r="AT65" i="8"/>
  <c r="AS66" i="8"/>
  <c r="AZ67" i="8"/>
  <c r="BA66" i="8"/>
  <c r="AD68" i="8"/>
  <c r="BO66" i="8"/>
  <c r="BH67" i="8"/>
  <c r="BG68" i="8"/>
  <c r="AP48" i="5"/>
  <c r="AQ48" i="5" s="1"/>
  <c r="AP49" i="5"/>
  <c r="AQ49" i="5" s="1"/>
  <c r="AP50" i="5"/>
  <c r="AQ50" i="5" s="1"/>
  <c r="AP51" i="5"/>
  <c r="AQ51" i="5" s="1"/>
  <c r="AP52" i="5"/>
  <c r="AQ52" i="5" s="1"/>
  <c r="AP53" i="5"/>
  <c r="AQ53" i="5" s="1"/>
  <c r="AP54" i="5"/>
  <c r="AQ54" i="5" s="1"/>
  <c r="AP55" i="5"/>
  <c r="AQ55" i="5" s="1"/>
  <c r="AP56" i="5"/>
  <c r="AQ56" i="5" s="1"/>
  <c r="AP57" i="5"/>
  <c r="AQ57" i="5" s="1"/>
  <c r="AP58" i="5"/>
  <c r="AQ58" i="5" s="1"/>
  <c r="AP59" i="5"/>
  <c r="AQ59" i="5" s="1"/>
  <c r="AP60" i="5"/>
  <c r="AQ60" i="5" s="1"/>
  <c r="K206" i="11" l="1"/>
  <c r="BP65" i="8"/>
  <c r="AJ161" i="11"/>
  <c r="AQ161" i="11"/>
  <c r="L161" i="11"/>
  <c r="X161" i="11"/>
  <c r="E162" i="11"/>
  <c r="AT66" i="8"/>
  <c r="AS67" i="8"/>
  <c r="C66" i="8"/>
  <c r="BP66" i="8" s="1"/>
  <c r="M65" i="8"/>
  <c r="N65" i="8" s="1"/>
  <c r="AE65" i="8"/>
  <c r="AM65" i="8"/>
  <c r="CE65" i="8"/>
  <c r="AD69" i="8"/>
  <c r="CD68" i="8"/>
  <c r="AL68" i="8"/>
  <c r="BV69" i="8"/>
  <c r="BW68" i="8"/>
  <c r="L78" i="8"/>
  <c r="AZ68" i="8"/>
  <c r="BA67" i="8"/>
  <c r="BO67" i="8"/>
  <c r="BG69" i="8"/>
  <c r="BH68" i="8"/>
  <c r="V67" i="8"/>
  <c r="AF55" i="5"/>
  <c r="AI55" i="5" s="1"/>
  <c r="AJ55" i="5" s="1"/>
  <c r="AF56" i="5"/>
  <c r="AI56" i="5" s="1"/>
  <c r="AJ56" i="5" s="1"/>
  <c r="AF57" i="5"/>
  <c r="AI57" i="5" s="1"/>
  <c r="AJ57" i="5" s="1"/>
  <c r="AF58" i="5"/>
  <c r="AI58" i="5" s="1"/>
  <c r="AJ58" i="5" s="1"/>
  <c r="AF59" i="5"/>
  <c r="AI59" i="5" s="1"/>
  <c r="AJ59" i="5" s="1"/>
  <c r="AF60" i="5"/>
  <c r="BI55" i="5"/>
  <c r="BL55" i="5" s="1"/>
  <c r="BM55" i="5" s="1"/>
  <c r="BI56" i="5"/>
  <c r="BL56" i="5" s="1"/>
  <c r="BM56" i="5" s="1"/>
  <c r="BI57" i="5"/>
  <c r="BL57" i="5" s="1"/>
  <c r="BM57" i="5" s="1"/>
  <c r="BI58" i="5"/>
  <c r="BL58" i="5" s="1"/>
  <c r="BM58" i="5" s="1"/>
  <c r="BI59" i="5"/>
  <c r="BL59" i="5" s="1"/>
  <c r="BM59" i="5" s="1"/>
  <c r="BI60" i="5"/>
  <c r="BL60" i="5" s="1"/>
  <c r="BM60" i="5" s="1"/>
  <c r="BB55" i="5"/>
  <c r="BE55" i="5" s="1"/>
  <c r="BB56" i="5"/>
  <c r="BE56" i="5" s="1"/>
  <c r="BB57" i="5"/>
  <c r="BB58" i="5"/>
  <c r="BE58" i="5" s="1"/>
  <c r="BB59" i="5"/>
  <c r="BB60" i="5"/>
  <c r="BE60" i="5" s="1"/>
  <c r="Z58" i="5"/>
  <c r="X59" i="5" s="1"/>
  <c r="P55" i="5"/>
  <c r="S55" i="5" s="1"/>
  <c r="T55" i="5" s="1"/>
  <c r="P56" i="5"/>
  <c r="P57" i="5"/>
  <c r="P58" i="5"/>
  <c r="P59" i="5"/>
  <c r="S59" i="5" s="1"/>
  <c r="T59" i="5" s="1"/>
  <c r="P60" i="5"/>
  <c r="S60" i="5" s="1"/>
  <c r="T60" i="5" s="1"/>
  <c r="I55" i="5"/>
  <c r="J55" i="5" s="1"/>
  <c r="F56" i="5"/>
  <c r="I56" i="5" s="1"/>
  <c r="J56" i="5" s="1"/>
  <c r="F57" i="5"/>
  <c r="I57" i="5" s="1"/>
  <c r="I58" i="5"/>
  <c r="J58" i="5" s="1"/>
  <c r="F59" i="5"/>
  <c r="I59" i="5" s="1"/>
  <c r="J59" i="5" s="1"/>
  <c r="F60" i="5"/>
  <c r="I60" i="5" s="1"/>
  <c r="J60" i="5" s="1"/>
  <c r="Z55" i="5"/>
  <c r="X56" i="5" s="1"/>
  <c r="Z56" i="5"/>
  <c r="X57" i="5" s="1"/>
  <c r="Z57" i="5"/>
  <c r="X58" i="5" s="1"/>
  <c r="K207" i="11" l="1"/>
  <c r="AA56" i="5"/>
  <c r="AB56" i="5" s="1"/>
  <c r="AJ162" i="11"/>
  <c r="AQ162" i="11"/>
  <c r="L162" i="11"/>
  <c r="X162" i="11"/>
  <c r="E163" i="11"/>
  <c r="L79" i="8"/>
  <c r="AL69" i="8"/>
  <c r="AD70" i="8"/>
  <c r="CD69" i="8"/>
  <c r="C67" i="8"/>
  <c r="BP67" i="8" s="1"/>
  <c r="M66" i="8"/>
  <c r="N66" i="8" s="1"/>
  <c r="AE66" i="8"/>
  <c r="W66" i="8"/>
  <c r="AM66" i="8"/>
  <c r="CE66" i="8"/>
  <c r="AA57" i="5"/>
  <c r="AB57" i="5" s="1"/>
  <c r="AZ69" i="8"/>
  <c r="BA68" i="8"/>
  <c r="BV70" i="8"/>
  <c r="BW69" i="8"/>
  <c r="AS68" i="8"/>
  <c r="AT67" i="8"/>
  <c r="BO68" i="8"/>
  <c r="BH69" i="8"/>
  <c r="BG70" i="8"/>
  <c r="V68" i="8"/>
  <c r="AA58" i="5"/>
  <c r="AB58" i="5" s="1"/>
  <c r="J57" i="5"/>
  <c r="Z59" i="5"/>
  <c r="AH60" i="5"/>
  <c r="AF61" i="5" s="1"/>
  <c r="AI61" i="5" s="1"/>
  <c r="AJ61" i="5" s="1"/>
  <c r="Z60" i="5"/>
  <c r="X61" i="5" s="1"/>
  <c r="AA61" i="5" s="1"/>
  <c r="AB61" i="5" s="1"/>
  <c r="BS59" i="5"/>
  <c r="BQ60" i="5" s="1"/>
  <c r="BS58" i="5"/>
  <c r="BQ59" i="5" s="1"/>
  <c r="BS56" i="5"/>
  <c r="BQ57" i="5" s="1"/>
  <c r="BS57" i="5"/>
  <c r="BQ58" i="5" s="1"/>
  <c r="BS55" i="5"/>
  <c r="BQ56" i="5" s="1"/>
  <c r="K208" i="11" l="1"/>
  <c r="BT58" i="5"/>
  <c r="W67" i="8"/>
  <c r="AJ163" i="11"/>
  <c r="AQ163" i="11"/>
  <c r="L163" i="11"/>
  <c r="E164" i="11"/>
  <c r="X163" i="11"/>
  <c r="AS69" i="8"/>
  <c r="AT68" i="8"/>
  <c r="AZ70" i="8"/>
  <c r="BA69" i="8"/>
  <c r="AL70" i="8"/>
  <c r="CD70" i="8"/>
  <c r="BV71" i="8"/>
  <c r="BW70" i="8"/>
  <c r="C68" i="8"/>
  <c r="BP68" i="8" s="1"/>
  <c r="M67" i="8"/>
  <c r="N67" i="8" s="1"/>
  <c r="AE67" i="8"/>
  <c r="AM67" i="8"/>
  <c r="CE67" i="8"/>
  <c r="AD71" i="8"/>
  <c r="L80" i="8"/>
  <c r="BO69" i="8"/>
  <c r="BH70" i="8"/>
  <c r="BG71" i="8"/>
  <c r="V69" i="8"/>
  <c r="BT57" i="5"/>
  <c r="BT59" i="5"/>
  <c r="X60" i="5"/>
  <c r="AA60" i="5" s="1"/>
  <c r="AB60" i="5" s="1"/>
  <c r="AA59" i="5"/>
  <c r="AB59" i="5" s="1"/>
  <c r="AI60" i="5"/>
  <c r="AJ60" i="5" s="1"/>
  <c r="F53" i="5"/>
  <c r="I53" i="5" s="1"/>
  <c r="J53" i="5" s="1"/>
  <c r="F54" i="5"/>
  <c r="I54" i="5" s="1"/>
  <c r="AF53" i="5"/>
  <c r="AI53" i="5" s="1"/>
  <c r="AF54" i="5"/>
  <c r="AI54" i="5" s="1"/>
  <c r="AJ54" i="5" s="1"/>
  <c r="Z54" i="5"/>
  <c r="X55" i="5" s="1"/>
  <c r="AA55" i="5" s="1"/>
  <c r="Z53" i="5"/>
  <c r="X54" i="5" s="1"/>
  <c r="P53" i="5"/>
  <c r="S53" i="5" s="1"/>
  <c r="T53" i="5" s="1"/>
  <c r="P54" i="5"/>
  <c r="S54" i="5" s="1"/>
  <c r="T54" i="5" s="1"/>
  <c r="BI53" i="5"/>
  <c r="BL53" i="5" s="1"/>
  <c r="BM53" i="5" s="1"/>
  <c r="BI54" i="5"/>
  <c r="BL54" i="5" s="1"/>
  <c r="BM54" i="5" s="1"/>
  <c r="BD47" i="5"/>
  <c r="BB48" i="5" s="1"/>
  <c r="BB51" i="5"/>
  <c r="BB52" i="5"/>
  <c r="BB42" i="5"/>
  <c r="BB43" i="5"/>
  <c r="BB44" i="5"/>
  <c r="BB45" i="5"/>
  <c r="BB46" i="5"/>
  <c r="BB47" i="5"/>
  <c r="BB49" i="5"/>
  <c r="BB50" i="5"/>
  <c r="BB53" i="5"/>
  <c r="BB54" i="5"/>
  <c r="BS54" i="5"/>
  <c r="BQ55" i="5" s="1"/>
  <c r="BT55" i="5" s="1"/>
  <c r="K209" i="11" l="1"/>
  <c r="W68" i="8"/>
  <c r="AJ164" i="11"/>
  <c r="AQ164" i="11"/>
  <c r="X164" i="11"/>
  <c r="L164" i="11"/>
  <c r="E165" i="11"/>
  <c r="AD72" i="8"/>
  <c r="CD71" i="8"/>
  <c r="L81" i="8"/>
  <c r="C69" i="8"/>
  <c r="BP69" i="8" s="1"/>
  <c r="M68" i="8"/>
  <c r="N68" i="8" s="1"/>
  <c r="AE68" i="8"/>
  <c r="AM68" i="8"/>
  <c r="CE68" i="8"/>
  <c r="BA70" i="8"/>
  <c r="AZ71" i="8"/>
  <c r="AL71" i="8"/>
  <c r="BV72" i="8"/>
  <c r="BW71" i="8"/>
  <c r="AS70" i="8"/>
  <c r="AT69" i="8"/>
  <c r="BO70" i="8"/>
  <c r="BH71" i="8"/>
  <c r="BG72" i="8"/>
  <c r="V70" i="8"/>
  <c r="AA54" i="5"/>
  <c r="AB54" i="5" s="1"/>
  <c r="AJ53" i="5"/>
  <c r="AB55" i="5"/>
  <c r="J54" i="5"/>
  <c r="I52" i="5"/>
  <c r="BS50" i="5"/>
  <c r="BQ51" i="5" s="1"/>
  <c r="BS52" i="5"/>
  <c r="BQ53" i="5" s="1"/>
  <c r="BS49" i="5"/>
  <c r="BS53" i="5"/>
  <c r="BQ54" i="5" s="1"/>
  <c r="BT54" i="5" s="1"/>
  <c r="BS51" i="5"/>
  <c r="BQ52" i="5" s="1"/>
  <c r="BT52" i="5" s="1"/>
  <c r="BI51" i="5"/>
  <c r="BL51" i="5" s="1"/>
  <c r="BM51" i="5" s="1"/>
  <c r="BI52" i="5"/>
  <c r="BL52" i="5" s="1"/>
  <c r="BM52" i="5" s="1"/>
  <c r="AF51" i="5"/>
  <c r="AI51" i="5" s="1"/>
  <c r="AJ51" i="5" s="1"/>
  <c r="AF52" i="5"/>
  <c r="AI52" i="5" s="1"/>
  <c r="AJ52" i="5" s="1"/>
  <c r="P51" i="5"/>
  <c r="S51" i="5" s="1"/>
  <c r="T51" i="5" s="1"/>
  <c r="P52" i="5"/>
  <c r="F51" i="5"/>
  <c r="I51" i="5" s="1"/>
  <c r="J51" i="5" s="1"/>
  <c r="BX51" i="5"/>
  <c r="BX52" i="5"/>
  <c r="BX47" i="5"/>
  <c r="BX48" i="5"/>
  <c r="BX49" i="5"/>
  <c r="BX50" i="5"/>
  <c r="BX46" i="5"/>
  <c r="Z52" i="5"/>
  <c r="X53" i="5" s="1"/>
  <c r="AA53" i="5" s="1"/>
  <c r="AB53" i="5" s="1"/>
  <c r="Z51" i="5"/>
  <c r="X52" i="5" s="1"/>
  <c r="K210" i="11" l="1"/>
  <c r="W69" i="8"/>
  <c r="AJ165" i="11"/>
  <c r="AQ165" i="11"/>
  <c r="L165" i="11"/>
  <c r="X165" i="11"/>
  <c r="E166" i="11"/>
  <c r="BV73" i="8"/>
  <c r="BW72" i="8"/>
  <c r="BH72" i="8"/>
  <c r="BG73" i="8"/>
  <c r="C70" i="8"/>
  <c r="M69" i="8"/>
  <c r="N69" i="8" s="1"/>
  <c r="AE69" i="8"/>
  <c r="AM69" i="8"/>
  <c r="CE69" i="8"/>
  <c r="CD72" i="8"/>
  <c r="AT70" i="8"/>
  <c r="AS71" i="8"/>
  <c r="AL72" i="8"/>
  <c r="L82" i="8"/>
  <c r="AD73" i="8"/>
  <c r="AZ72" i="8"/>
  <c r="BA71" i="8"/>
  <c r="BO71" i="8"/>
  <c r="V71" i="8"/>
  <c r="AA52" i="5"/>
  <c r="AB52" i="5" s="1"/>
  <c r="BT53" i="5"/>
  <c r="BT51" i="5"/>
  <c r="J52" i="5"/>
  <c r="BQ50" i="5"/>
  <c r="BI48" i="5"/>
  <c r="BL48" i="5" s="1"/>
  <c r="BM48" i="5" s="1"/>
  <c r="BI49" i="5"/>
  <c r="BL49" i="5" s="1"/>
  <c r="BM49" i="5" s="1"/>
  <c r="BI50" i="5"/>
  <c r="BL50" i="5" s="1"/>
  <c r="BM50" i="5" s="1"/>
  <c r="AF48" i="5"/>
  <c r="AI48" i="5" s="1"/>
  <c r="AJ48" i="5" s="1"/>
  <c r="AF49" i="5"/>
  <c r="AI49" i="5" s="1"/>
  <c r="AJ49" i="5" s="1"/>
  <c r="AF50" i="5"/>
  <c r="AI50" i="5" s="1"/>
  <c r="AJ50" i="5" s="1"/>
  <c r="F48" i="5"/>
  <c r="I48" i="5" s="1"/>
  <c r="J48" i="5" s="1"/>
  <c r="F49" i="5"/>
  <c r="I49" i="5" s="1"/>
  <c r="J49" i="5" s="1"/>
  <c r="F50" i="5"/>
  <c r="I50" i="5" s="1"/>
  <c r="J50" i="5" s="1"/>
  <c r="P48" i="5"/>
  <c r="S48" i="5" s="1"/>
  <c r="T48" i="5" s="1"/>
  <c r="P49" i="5"/>
  <c r="P50" i="5"/>
  <c r="S50" i="5" s="1"/>
  <c r="T50" i="5" s="1"/>
  <c r="Z48" i="5"/>
  <c r="X49" i="5" s="1"/>
  <c r="Z49" i="5"/>
  <c r="X50" i="5" s="1"/>
  <c r="Z50" i="5"/>
  <c r="X51" i="5" s="1"/>
  <c r="AA51" i="5" s="1"/>
  <c r="AB51" i="5" s="1"/>
  <c r="K211" i="11" l="1"/>
  <c r="AJ166" i="11"/>
  <c r="AQ166" i="11"/>
  <c r="E167" i="11"/>
  <c r="L166" i="11"/>
  <c r="X166" i="11"/>
  <c r="C71" i="8"/>
  <c r="BP71" i="8" s="1"/>
  <c r="M70" i="8"/>
  <c r="N70" i="8" s="1"/>
  <c r="AE70" i="8"/>
  <c r="AM70" i="8"/>
  <c r="CE70" i="8"/>
  <c r="W70" i="8"/>
  <c r="BA72" i="8"/>
  <c r="AZ73" i="8"/>
  <c r="L83" i="8"/>
  <c r="BH73" i="8"/>
  <c r="BG74" i="8"/>
  <c r="AD74" i="8"/>
  <c r="AL73" i="8"/>
  <c r="AT71" i="8"/>
  <c r="AS72" i="8"/>
  <c r="BP70" i="8"/>
  <c r="CD73" i="8"/>
  <c r="BV74" i="8"/>
  <c r="BW73" i="8"/>
  <c r="BO72" i="8"/>
  <c r="V72" i="8"/>
  <c r="AA49" i="5"/>
  <c r="AB49" i="5" s="1"/>
  <c r="AA50" i="5"/>
  <c r="AB50" i="5" s="1"/>
  <c r="BS48" i="5"/>
  <c r="BQ49" i="5" s="1"/>
  <c r="W71" i="8" l="1"/>
  <c r="K212" i="11"/>
  <c r="AJ167" i="11"/>
  <c r="AQ167" i="11"/>
  <c r="E168" i="11"/>
  <c r="X167" i="11"/>
  <c r="L167" i="11"/>
  <c r="CD74" i="8"/>
  <c r="BH74" i="8"/>
  <c r="BG75" i="8"/>
  <c r="BA73" i="8"/>
  <c r="AZ74" i="8"/>
  <c r="AL74" i="8"/>
  <c r="BW74" i="8"/>
  <c r="BV75" i="8"/>
  <c r="AT72" i="8"/>
  <c r="AS73" i="8"/>
  <c r="L84" i="8"/>
  <c r="BO73" i="8"/>
  <c r="AD75" i="8"/>
  <c r="C72" i="8"/>
  <c r="W72" i="8" s="1"/>
  <c r="M71" i="8"/>
  <c r="N71" i="8" s="1"/>
  <c r="AE71" i="8"/>
  <c r="AM71" i="8"/>
  <c r="CE71" i="8"/>
  <c r="V73" i="8"/>
  <c r="BS46" i="5"/>
  <c r="BS47" i="5"/>
  <c r="BQ48" i="5" s="1"/>
  <c r="BI45" i="5"/>
  <c r="BL45" i="5" s="1"/>
  <c r="BM45" i="5" s="1"/>
  <c r="BI46" i="5"/>
  <c r="BL46" i="5" s="1"/>
  <c r="BM46" i="5" s="1"/>
  <c r="BI47" i="5"/>
  <c r="BL47" i="5" s="1"/>
  <c r="BM47" i="5" s="1"/>
  <c r="AF45" i="5"/>
  <c r="AI45" i="5" s="1"/>
  <c r="AJ45" i="5" s="1"/>
  <c r="AF46" i="5"/>
  <c r="AI46" i="5" s="1"/>
  <c r="AJ46" i="5" s="1"/>
  <c r="AF47" i="5"/>
  <c r="AI47" i="5" s="1"/>
  <c r="AJ47" i="5" s="1"/>
  <c r="Z45" i="5"/>
  <c r="X46" i="5" s="1"/>
  <c r="Z46" i="5"/>
  <c r="X47" i="5" s="1"/>
  <c r="Z47" i="5"/>
  <c r="X48" i="5" s="1"/>
  <c r="AA48" i="5" s="1"/>
  <c r="P45" i="5"/>
  <c r="S45" i="5" s="1"/>
  <c r="T45" i="5" s="1"/>
  <c r="P46" i="5"/>
  <c r="S46" i="5" s="1"/>
  <c r="T46" i="5" s="1"/>
  <c r="P47" i="5"/>
  <c r="F46" i="5"/>
  <c r="I46" i="5" s="1"/>
  <c r="J46" i="5" s="1"/>
  <c r="F47" i="5"/>
  <c r="I47" i="5" s="1"/>
  <c r="J47" i="5" s="1"/>
  <c r="AP40" i="5"/>
  <c r="AQ40" i="5" s="1"/>
  <c r="AP41" i="5"/>
  <c r="AQ41" i="5" s="1"/>
  <c r="AP42" i="5"/>
  <c r="AQ42" i="5" s="1"/>
  <c r="AP43" i="5"/>
  <c r="AQ43" i="5" s="1"/>
  <c r="AP44" i="5"/>
  <c r="AQ44" i="5" s="1"/>
  <c r="AP45" i="5"/>
  <c r="AQ45" i="5" s="1"/>
  <c r="AP46" i="5"/>
  <c r="AQ46" i="5" s="1"/>
  <c r="AP47" i="5"/>
  <c r="AQ47" i="5" s="1"/>
  <c r="K213" i="11" l="1"/>
  <c r="AA47" i="5"/>
  <c r="AB47" i="5" s="1"/>
  <c r="AJ168" i="11"/>
  <c r="AQ168" i="11"/>
  <c r="X168" i="11"/>
  <c r="L168" i="11"/>
  <c r="E169" i="11"/>
  <c r="BO74" i="8"/>
  <c r="AS74" i="8"/>
  <c r="AT73" i="8"/>
  <c r="AL75" i="8"/>
  <c r="BG76" i="8"/>
  <c r="BH75" i="8"/>
  <c r="C73" i="8"/>
  <c r="W73" i="8" s="1"/>
  <c r="M72" i="8"/>
  <c r="N72" i="8" s="1"/>
  <c r="AE72" i="8"/>
  <c r="CE72" i="8"/>
  <c r="AM72" i="8"/>
  <c r="BP72" i="8"/>
  <c r="L85" i="8"/>
  <c r="BW75" i="8"/>
  <c r="BV76" i="8"/>
  <c r="BA74" i="8"/>
  <c r="AZ75" i="8"/>
  <c r="CD75" i="8"/>
  <c r="AD76" i="8"/>
  <c r="V74" i="8"/>
  <c r="AA46" i="5"/>
  <c r="AB46" i="5" s="1"/>
  <c r="AB48" i="5"/>
  <c r="BQ47" i="5"/>
  <c r="I44" i="5"/>
  <c r="J44" i="5" s="1"/>
  <c r="F45" i="5"/>
  <c r="I45" i="5" s="1"/>
  <c r="J45" i="5" s="1"/>
  <c r="BI44" i="5"/>
  <c r="BL44" i="5" s="1"/>
  <c r="BM44" i="5" s="1"/>
  <c r="P44" i="5"/>
  <c r="S44" i="5" s="1"/>
  <c r="T44" i="5" s="1"/>
  <c r="AF44" i="5"/>
  <c r="AI44" i="5" s="1"/>
  <c r="Z44" i="5"/>
  <c r="X45" i="5" s="1"/>
  <c r="AA45" i="5" s="1"/>
  <c r="AB45" i="5" s="1"/>
  <c r="BS43" i="5"/>
  <c r="BQ44" i="5" s="1"/>
  <c r="BS44" i="5"/>
  <c r="BQ45" i="5" s="1"/>
  <c r="BS45" i="5"/>
  <c r="BQ46" i="5" s="1"/>
  <c r="BT46" i="5" s="1"/>
  <c r="BS41" i="5"/>
  <c r="BQ42" i="5" s="1"/>
  <c r="BS42" i="5"/>
  <c r="BQ43" i="5" s="1"/>
  <c r="BS40" i="5"/>
  <c r="BQ41" i="5" s="1"/>
  <c r="BQ37" i="5"/>
  <c r="BQ38" i="5"/>
  <c r="BQ39" i="5"/>
  <c r="BQ40" i="5"/>
  <c r="K214" i="11" l="1"/>
  <c r="AJ169" i="11"/>
  <c r="AQ169" i="11"/>
  <c r="X169" i="11"/>
  <c r="E170" i="11"/>
  <c r="L169" i="11"/>
  <c r="BT40" i="5"/>
  <c r="AZ76" i="8"/>
  <c r="BA75" i="8"/>
  <c r="AD77" i="8"/>
  <c r="L86" i="8"/>
  <c r="BH76" i="8"/>
  <c r="BG77" i="8"/>
  <c r="AS75" i="8"/>
  <c r="AT74" i="8"/>
  <c r="CD76" i="8"/>
  <c r="BV77" i="8"/>
  <c r="BW76" i="8"/>
  <c r="BO75" i="8"/>
  <c r="C74" i="8"/>
  <c r="BP74" i="8" s="1"/>
  <c r="M73" i="8"/>
  <c r="N73" i="8" s="1"/>
  <c r="AE73" i="8"/>
  <c r="CE73" i="8"/>
  <c r="AM73" i="8"/>
  <c r="AL76" i="8"/>
  <c r="BP73" i="8"/>
  <c r="V75" i="8"/>
  <c r="W74" i="8"/>
  <c r="AJ44" i="5"/>
  <c r="BT45" i="5"/>
  <c r="BW35" i="5" s="1"/>
  <c r="BI43" i="5"/>
  <c r="BL43" i="5" s="1"/>
  <c r="BM43" i="5" s="1"/>
  <c r="AF43" i="5"/>
  <c r="AI43" i="5" s="1"/>
  <c r="AJ43" i="5" s="1"/>
  <c r="Z43" i="5"/>
  <c r="X44" i="5" s="1"/>
  <c r="AA44" i="5" s="1"/>
  <c r="AB44" i="5" s="1"/>
  <c r="P43" i="5"/>
  <c r="S43" i="5" s="1"/>
  <c r="T43" i="5" s="1"/>
  <c r="F43" i="5"/>
  <c r="I43" i="5" s="1"/>
  <c r="J43" i="5" s="1"/>
  <c r="BX42" i="5"/>
  <c r="BI42" i="5"/>
  <c r="BL42" i="5" s="1"/>
  <c r="BM42" i="5" s="1"/>
  <c r="AF42" i="5"/>
  <c r="AI42" i="5" s="1"/>
  <c r="AJ42" i="5" s="1"/>
  <c r="Z42" i="5"/>
  <c r="X43" i="5" s="1"/>
  <c r="P42" i="5"/>
  <c r="F42" i="5"/>
  <c r="I42" i="5" s="1"/>
  <c r="J42" i="5" s="1"/>
  <c r="BX37" i="5"/>
  <c r="BX38" i="5"/>
  <c r="BX39" i="5"/>
  <c r="BX40" i="5"/>
  <c r="BX41" i="5"/>
  <c r="BI37" i="5"/>
  <c r="BI38" i="5"/>
  <c r="BI39" i="5"/>
  <c r="BI40" i="5"/>
  <c r="BI41" i="5"/>
  <c r="BL41" i="5" s="1"/>
  <c r="BM41" i="5" s="1"/>
  <c r="BB37" i="5"/>
  <c r="BB38" i="5"/>
  <c r="BB39" i="5"/>
  <c r="BB40" i="5"/>
  <c r="BB41" i="5"/>
  <c r="BE41" i="5" s="1"/>
  <c r="BH35" i="5" s="1"/>
  <c r="AF37" i="5"/>
  <c r="AF38" i="5"/>
  <c r="AF39" i="5"/>
  <c r="AF40" i="5"/>
  <c r="AF41" i="5"/>
  <c r="AI41" i="5" s="1"/>
  <c r="AJ41" i="5" s="1"/>
  <c r="Z37" i="5"/>
  <c r="X38" i="5" s="1"/>
  <c r="Z38" i="5"/>
  <c r="X39" i="5" s="1"/>
  <c r="Z39" i="5"/>
  <c r="X40" i="5" s="1"/>
  <c r="Z40" i="5"/>
  <c r="X41" i="5" s="1"/>
  <c r="Z41" i="5"/>
  <c r="X42" i="5" s="1"/>
  <c r="P37" i="5"/>
  <c r="P38" i="5"/>
  <c r="P39" i="5"/>
  <c r="P40" i="5"/>
  <c r="P41" i="5"/>
  <c r="F39" i="5"/>
  <c r="F40" i="5"/>
  <c r="F41" i="5"/>
  <c r="I41" i="5" s="1"/>
  <c r="J41" i="5" s="1"/>
  <c r="K215" i="11" l="1"/>
  <c r="AA41" i="5"/>
  <c r="AB41" i="5" s="1"/>
  <c r="AJ170" i="11"/>
  <c r="AQ170" i="11"/>
  <c r="E171" i="11"/>
  <c r="L170" i="11"/>
  <c r="X170" i="11"/>
  <c r="AL77" i="8"/>
  <c r="CD77" i="8"/>
  <c r="L87" i="8"/>
  <c r="C75" i="8"/>
  <c r="BP75" i="8" s="1"/>
  <c r="M74" i="8"/>
  <c r="N74" i="8" s="1"/>
  <c r="AE74" i="8"/>
  <c r="CE74" i="8"/>
  <c r="AM74" i="8"/>
  <c r="BV78" i="8"/>
  <c r="BW77" i="8"/>
  <c r="AS76" i="8"/>
  <c r="AT75" i="8"/>
  <c r="BA76" i="8"/>
  <c r="AZ77" i="8"/>
  <c r="BO76" i="8"/>
  <c r="BH77" i="8"/>
  <c r="BG78" i="8"/>
  <c r="AD78" i="8"/>
  <c r="V76" i="8"/>
  <c r="W75" i="8"/>
  <c r="AA43" i="5"/>
  <c r="AB43" i="5" s="1"/>
  <c r="AA42" i="5"/>
  <c r="AB42" i="5" s="1"/>
  <c r="F38" i="5"/>
  <c r="F37" i="5"/>
  <c r="BS35" i="5"/>
  <c r="BQ36" i="5" s="1"/>
  <c r="K216" i="11" l="1"/>
  <c r="AJ171" i="11"/>
  <c r="AQ171" i="11"/>
  <c r="E172" i="11"/>
  <c r="X171" i="11"/>
  <c r="L171" i="11"/>
  <c r="BV79" i="8"/>
  <c r="BW78" i="8"/>
  <c r="AD79" i="8"/>
  <c r="C76" i="8"/>
  <c r="BP76" i="8" s="1"/>
  <c r="M75" i="8"/>
  <c r="N75" i="8" s="1"/>
  <c r="AE75" i="8"/>
  <c r="CE75" i="8"/>
  <c r="AM75" i="8"/>
  <c r="CD78" i="8"/>
  <c r="BO77" i="8"/>
  <c r="AT76" i="8"/>
  <c r="AS77" i="8"/>
  <c r="BG79" i="8"/>
  <c r="BH78" i="8"/>
  <c r="AZ78" i="8"/>
  <c r="BA77" i="8"/>
  <c r="L88" i="8"/>
  <c r="AL78" i="8"/>
  <c r="W76" i="8"/>
  <c r="V77" i="8"/>
  <c r="BS34" i="5"/>
  <c r="BQ35" i="5" s="1"/>
  <c r="BS33" i="5"/>
  <c r="BQ34" i="5" s="1"/>
  <c r="BS31" i="5"/>
  <c r="K217" i="11" l="1"/>
  <c r="AJ172" i="11"/>
  <c r="AQ172" i="11"/>
  <c r="L172" i="11"/>
  <c r="E173" i="11"/>
  <c r="X172" i="11"/>
  <c r="BH79" i="8"/>
  <c r="BG80" i="8"/>
  <c r="AT77" i="8"/>
  <c r="AS78" i="8"/>
  <c r="AD80" i="8"/>
  <c r="AL79" i="8"/>
  <c r="BA78" i="8"/>
  <c r="AZ79" i="8"/>
  <c r="CD79" i="8"/>
  <c r="L89" i="8"/>
  <c r="BO78" i="8"/>
  <c r="C77" i="8"/>
  <c r="BP77" i="8" s="1"/>
  <c r="M76" i="8"/>
  <c r="N76" i="8" s="1"/>
  <c r="AE76" i="8"/>
  <c r="AM76" i="8"/>
  <c r="CE76" i="8"/>
  <c r="BW79" i="8"/>
  <c r="BV80" i="8"/>
  <c r="V78" i="8"/>
  <c r="W77" i="8"/>
  <c r="BT34" i="5"/>
  <c r="AW31" i="5"/>
  <c r="AX31" i="5" s="1"/>
  <c r="AW33" i="5"/>
  <c r="AX33" i="5" s="1"/>
  <c r="AW34" i="5"/>
  <c r="AX34" i="5" s="1"/>
  <c r="AW35" i="5"/>
  <c r="AX35" i="5" s="1"/>
  <c r="AW36" i="5"/>
  <c r="AX36" i="5" s="1"/>
  <c r="AP31" i="5"/>
  <c r="AQ31" i="5" s="1"/>
  <c r="AP33" i="5"/>
  <c r="AQ33" i="5" s="1"/>
  <c r="AP34" i="5"/>
  <c r="AQ34" i="5" s="1"/>
  <c r="AP35" i="5"/>
  <c r="AP36" i="5"/>
  <c r="AQ36" i="5" s="1"/>
  <c r="BI36" i="5"/>
  <c r="BL36" i="5" s="1"/>
  <c r="BM36" i="5" s="1"/>
  <c r="BI35" i="5"/>
  <c r="BL35" i="5" s="1"/>
  <c r="BI34" i="5"/>
  <c r="BI33" i="5"/>
  <c r="BI32" i="5"/>
  <c r="AF36" i="5"/>
  <c r="AI36" i="5" s="1"/>
  <c r="AJ36" i="5" s="1"/>
  <c r="AF35" i="5"/>
  <c r="AI35" i="5" s="1"/>
  <c r="AF34" i="5"/>
  <c r="AI34" i="5" s="1"/>
  <c r="AJ34" i="5" s="1"/>
  <c r="AF33" i="5"/>
  <c r="AF32" i="5"/>
  <c r="X36" i="5"/>
  <c r="X34" i="5"/>
  <c r="X33" i="5"/>
  <c r="AA33" i="5" s="1"/>
  <c r="AB33" i="5" s="1"/>
  <c r="Z36" i="5"/>
  <c r="X37" i="5" s="1"/>
  <c r="Z34" i="5"/>
  <c r="X35" i="5" s="1"/>
  <c r="AA35" i="5" s="1"/>
  <c r="F36" i="5"/>
  <c r="I36" i="5" s="1"/>
  <c r="J36" i="5" s="1"/>
  <c r="F35" i="5"/>
  <c r="I35" i="5" s="1"/>
  <c r="F34" i="5"/>
  <c r="I34" i="5" s="1"/>
  <c r="J34" i="5" s="1"/>
  <c r="F33" i="5"/>
  <c r="I33" i="5" s="1"/>
  <c r="J33" i="5" s="1"/>
  <c r="BB36" i="5"/>
  <c r="BB35" i="5"/>
  <c r="BB34" i="5"/>
  <c r="BB32" i="5"/>
  <c r="BB33" i="5"/>
  <c r="P36" i="5"/>
  <c r="S36" i="5" s="1"/>
  <c r="P35" i="5"/>
  <c r="P34" i="5"/>
  <c r="P32" i="5"/>
  <c r="P33" i="5"/>
  <c r="BX36" i="5"/>
  <c r="BX35" i="5"/>
  <c r="BX34" i="5"/>
  <c r="BX32" i="5"/>
  <c r="BX33" i="5"/>
  <c r="K218" i="11" l="1"/>
  <c r="AJ173" i="11"/>
  <c r="AQ173" i="11"/>
  <c r="L173" i="11"/>
  <c r="E174" i="11"/>
  <c r="X173" i="11"/>
  <c r="V79" i="8"/>
  <c r="BO79" i="8"/>
  <c r="CD80" i="8"/>
  <c r="AL80" i="8"/>
  <c r="AT78" i="8"/>
  <c r="AS79" i="8"/>
  <c r="BV81" i="8"/>
  <c r="BW80" i="8"/>
  <c r="L90" i="8"/>
  <c r="BA79" i="8"/>
  <c r="AZ80" i="8"/>
  <c r="AD81" i="8"/>
  <c r="BG81" i="8"/>
  <c r="BH80" i="8"/>
  <c r="C78" i="8"/>
  <c r="BP78" i="8" s="1"/>
  <c r="M77" i="8"/>
  <c r="N77" i="8" s="1"/>
  <c r="AE77" i="8"/>
  <c r="CE77" i="8"/>
  <c r="AM77" i="8"/>
  <c r="AA36" i="5"/>
  <c r="AB36" i="5" s="1"/>
  <c r="AT35" i="5"/>
  <c r="AA34" i="5"/>
  <c r="AB34" i="5" s="1"/>
  <c r="J35" i="5"/>
  <c r="N35" i="5"/>
  <c r="O35" i="5" s="1"/>
  <c r="BM35" i="5"/>
  <c r="BP35" i="5"/>
  <c r="AJ35" i="5"/>
  <c r="AM35" i="5"/>
  <c r="T36" i="5"/>
  <c r="W35" i="5"/>
  <c r="AB35" i="5"/>
  <c r="BA35" i="5"/>
  <c r="AQ35" i="5"/>
  <c r="F32" i="5"/>
  <c r="K219" i="11" l="1"/>
  <c r="AE35" i="5"/>
  <c r="AJ174" i="11"/>
  <c r="AQ174" i="11"/>
  <c r="L174" i="11"/>
  <c r="E175" i="11"/>
  <c r="X174" i="11"/>
  <c r="BA80" i="8"/>
  <c r="AZ81" i="8"/>
  <c r="AL81" i="8"/>
  <c r="BO80" i="8"/>
  <c r="BH81" i="8"/>
  <c r="BG82" i="8"/>
  <c r="BW81" i="8"/>
  <c r="BV82" i="8"/>
  <c r="AD82" i="8"/>
  <c r="L91" i="8"/>
  <c r="AT79" i="8"/>
  <c r="AS80" i="8"/>
  <c r="V80" i="8"/>
  <c r="C79" i="8"/>
  <c r="M78" i="8"/>
  <c r="N78" i="8" s="1"/>
  <c r="AE78" i="8"/>
  <c r="AM78" i="8"/>
  <c r="CE78" i="8"/>
  <c r="CD81" i="8"/>
  <c r="W78" i="8"/>
  <c r="Z31" i="5"/>
  <c r="X32" i="5" s="1"/>
  <c r="K220" i="11" l="1"/>
  <c r="AJ175" i="11"/>
  <c r="AQ175" i="11"/>
  <c r="E176" i="11"/>
  <c r="X175" i="11"/>
  <c r="L175" i="11"/>
  <c r="AS81" i="8"/>
  <c r="AT80" i="8"/>
  <c r="AD83" i="8"/>
  <c r="BG83" i="8"/>
  <c r="BH82" i="8"/>
  <c r="AL82" i="8"/>
  <c r="C80" i="8"/>
  <c r="W80" i="8" s="1"/>
  <c r="M79" i="8"/>
  <c r="N79" i="8" s="1"/>
  <c r="AE79" i="8"/>
  <c r="CE79" i="8"/>
  <c r="AM79" i="8"/>
  <c r="V81" i="8"/>
  <c r="L92" i="8"/>
  <c r="BV83" i="8"/>
  <c r="BW82" i="8"/>
  <c r="BP79" i="8"/>
  <c r="AZ82" i="8"/>
  <c r="BA81" i="8"/>
  <c r="CD82" i="8"/>
  <c r="W79" i="8"/>
  <c r="BO81" i="8"/>
  <c r="BQ32" i="5"/>
  <c r="BS32" i="5"/>
  <c r="BQ33" i="5" s="1"/>
  <c r="BX31" i="5"/>
  <c r="BI31" i="5"/>
  <c r="BL31" i="5" s="1"/>
  <c r="BM31" i="5" s="1"/>
  <c r="BB31" i="5"/>
  <c r="P31" i="5"/>
  <c r="S31" i="5" s="1"/>
  <c r="T31" i="5" s="1"/>
  <c r="AF31" i="5"/>
  <c r="AI31" i="5" s="1"/>
  <c r="AJ31" i="5" s="1"/>
  <c r="X31" i="5"/>
  <c r="AA31" i="5" s="1"/>
  <c r="AB31" i="5" s="1"/>
  <c r="BP80" i="8" l="1"/>
  <c r="K221" i="11"/>
  <c r="AJ176" i="11"/>
  <c r="AQ176" i="11"/>
  <c r="E177" i="11"/>
  <c r="L176" i="11"/>
  <c r="X176" i="11"/>
  <c r="CD83" i="8"/>
  <c r="AL83" i="8"/>
  <c r="V82" i="8"/>
  <c r="AD84" i="8"/>
  <c r="BO82" i="8"/>
  <c r="BW83" i="8"/>
  <c r="BV84" i="8"/>
  <c r="BA82" i="8"/>
  <c r="AZ83" i="8"/>
  <c r="L93" i="8"/>
  <c r="C81" i="8"/>
  <c r="BP81" i="8" s="1"/>
  <c r="M80" i="8"/>
  <c r="N80" i="8" s="1"/>
  <c r="AE80" i="8"/>
  <c r="AM80" i="8"/>
  <c r="CE80" i="8"/>
  <c r="BH83" i="8"/>
  <c r="BG84" i="8"/>
  <c r="AS82" i="8"/>
  <c r="AT81" i="8"/>
  <c r="BS30" i="5"/>
  <c r="BQ31" i="5" s="1"/>
  <c r="BT31" i="5" s="1"/>
  <c r="BS29" i="5"/>
  <c r="BQ30" i="5" s="1"/>
  <c r="BS28" i="5"/>
  <c r="BQ29" i="5" s="1"/>
  <c r="BS27" i="5"/>
  <c r="BQ28" i="5" s="1"/>
  <c r="BX30" i="5"/>
  <c r="BI30" i="5"/>
  <c r="BL30" i="5" s="1"/>
  <c r="BM30" i="5" s="1"/>
  <c r="BB30" i="5"/>
  <c r="AF30" i="5"/>
  <c r="AI30" i="5" s="1"/>
  <c r="AJ30" i="5" s="1"/>
  <c r="X30" i="5"/>
  <c r="AA30" i="5" s="1"/>
  <c r="AB30" i="5" s="1"/>
  <c r="P30" i="5"/>
  <c r="S30" i="5" s="1"/>
  <c r="T30" i="5" s="1"/>
  <c r="I30" i="5"/>
  <c r="J30" i="5" s="1"/>
  <c r="BX29" i="5"/>
  <c r="BI29" i="5"/>
  <c r="BL29" i="5" s="1"/>
  <c r="BM29" i="5" s="1"/>
  <c r="BB29" i="5"/>
  <c r="BE29" i="5" s="1"/>
  <c r="AF29" i="5"/>
  <c r="AI29" i="5" s="1"/>
  <c r="AJ29" i="5" s="1"/>
  <c r="X29" i="5"/>
  <c r="AA29" i="5" s="1"/>
  <c r="AB29" i="5" s="1"/>
  <c r="I28" i="5"/>
  <c r="J28" i="5" s="1"/>
  <c r="I29" i="5"/>
  <c r="J29" i="5" s="1"/>
  <c r="BX27" i="5"/>
  <c r="BX28" i="5"/>
  <c r="BM27" i="5"/>
  <c r="BM28" i="5"/>
  <c r="BI27" i="5"/>
  <c r="BI28" i="5"/>
  <c r="BB27" i="5"/>
  <c r="BB28" i="5"/>
  <c r="BE28" i="5" s="1"/>
  <c r="AF27" i="5"/>
  <c r="AF28" i="5"/>
  <c r="AI28" i="5" s="1"/>
  <c r="AJ28" i="5" s="1"/>
  <c r="X28" i="5"/>
  <c r="AA28" i="5" s="1"/>
  <c r="AB28" i="5" s="1"/>
  <c r="P27" i="5"/>
  <c r="P28" i="5"/>
  <c r="F26" i="5"/>
  <c r="AW26" i="5"/>
  <c r="AX26" i="5" s="1"/>
  <c r="AW27" i="5"/>
  <c r="AX27" i="5" s="1"/>
  <c r="AW28" i="5"/>
  <c r="AX28" i="5" s="1"/>
  <c r="AW29" i="5"/>
  <c r="AX29" i="5" s="1"/>
  <c r="AW30" i="5"/>
  <c r="AX30" i="5" s="1"/>
  <c r="AP26" i="5"/>
  <c r="AQ26" i="5" s="1"/>
  <c r="AP27" i="5"/>
  <c r="AQ27" i="5" s="1"/>
  <c r="AP28" i="5"/>
  <c r="AQ28" i="5" s="1"/>
  <c r="AP29" i="5"/>
  <c r="AQ29" i="5" s="1"/>
  <c r="AP30" i="5"/>
  <c r="AQ30" i="5" s="1"/>
  <c r="K222" i="11" l="1"/>
  <c r="AJ177" i="11"/>
  <c r="AQ177" i="11"/>
  <c r="E178" i="11"/>
  <c r="X177" i="11"/>
  <c r="L177" i="11"/>
  <c r="AT82" i="8"/>
  <c r="AS83" i="8"/>
  <c r="L94" i="8"/>
  <c r="BV85" i="8"/>
  <c r="BW84" i="8"/>
  <c r="AD85" i="8"/>
  <c r="AL84" i="8"/>
  <c r="BG85" i="8"/>
  <c r="BH84" i="8"/>
  <c r="AZ84" i="8"/>
  <c r="BA83" i="8"/>
  <c r="V83" i="8"/>
  <c r="C82" i="8"/>
  <c r="W82" i="8" s="1"/>
  <c r="M81" i="8"/>
  <c r="N81" i="8" s="1"/>
  <c r="AE81" i="8"/>
  <c r="AM81" i="8"/>
  <c r="CE81" i="8"/>
  <c r="BO83" i="8"/>
  <c r="W81" i="8"/>
  <c r="CD84" i="8"/>
  <c r="BX26" i="5"/>
  <c r="BS25" i="5"/>
  <c r="BS24" i="5"/>
  <c r="BS23" i="5"/>
  <c r="BS22" i="5"/>
  <c r="BS21" i="5"/>
  <c r="BI26" i="5"/>
  <c r="BL26" i="5" s="1"/>
  <c r="BB26" i="5"/>
  <c r="I26" i="5"/>
  <c r="J26" i="5" s="1"/>
  <c r="P26" i="5"/>
  <c r="AF26" i="5"/>
  <c r="AI26" i="5" s="1"/>
  <c r="AJ26" i="5" s="1"/>
  <c r="Z26" i="5"/>
  <c r="X27" i="5" s="1"/>
  <c r="BS26" i="5"/>
  <c r="BQ27" i="5" s="1"/>
  <c r="K223" i="11" l="1"/>
  <c r="BP82" i="8"/>
  <c r="AJ178" i="11"/>
  <c r="AQ178" i="11"/>
  <c r="X178" i="11"/>
  <c r="E179" i="11"/>
  <c r="L178" i="11"/>
  <c r="V84" i="8"/>
  <c r="AD86" i="8"/>
  <c r="L95" i="8"/>
  <c r="BG86" i="8"/>
  <c r="BH85" i="8"/>
  <c r="CD85" i="8"/>
  <c r="BO84" i="8"/>
  <c r="AL85" i="8"/>
  <c r="AT83" i="8"/>
  <c r="AS84" i="8"/>
  <c r="C83" i="8"/>
  <c r="BP83" i="8" s="1"/>
  <c r="M82" i="8"/>
  <c r="N82" i="8" s="1"/>
  <c r="AE82" i="8"/>
  <c r="CE82" i="8"/>
  <c r="AM82" i="8"/>
  <c r="BA84" i="8"/>
  <c r="AZ85" i="8"/>
  <c r="BW85" i="8"/>
  <c r="BV86" i="8"/>
  <c r="BM26" i="5"/>
  <c r="P25" i="5"/>
  <c r="BX25" i="5"/>
  <c r="BI25" i="5"/>
  <c r="BL25" i="5" s="1"/>
  <c r="BB25" i="5"/>
  <c r="AF25" i="5"/>
  <c r="AI25" i="5" s="1"/>
  <c r="AJ25" i="5" s="1"/>
  <c r="Z25" i="5"/>
  <c r="X26" i="5" s="1"/>
  <c r="AA26" i="5" s="1"/>
  <c r="AB26" i="5" s="1"/>
  <c r="AW23" i="5"/>
  <c r="AX23" i="5" s="1"/>
  <c r="AW24" i="5"/>
  <c r="AX24" i="5" s="1"/>
  <c r="AW25" i="5"/>
  <c r="AX25" i="5" s="1"/>
  <c r="AP23" i="5"/>
  <c r="AQ23" i="5" s="1"/>
  <c r="AP24" i="5"/>
  <c r="AQ24" i="5" s="1"/>
  <c r="AP25" i="5"/>
  <c r="AQ25" i="5" s="1"/>
  <c r="BQ26" i="5"/>
  <c r="BT26" i="5" s="1"/>
  <c r="K224" i="11" l="1"/>
  <c r="AJ179" i="11"/>
  <c r="AQ179" i="11"/>
  <c r="E180" i="11"/>
  <c r="X179" i="11"/>
  <c r="L179" i="11"/>
  <c r="L96" i="8"/>
  <c r="AS85" i="8"/>
  <c r="AT84" i="8"/>
  <c r="BO85" i="8"/>
  <c r="AD87" i="8"/>
  <c r="BA85" i="8"/>
  <c r="AZ86" i="8"/>
  <c r="BG87" i="8"/>
  <c r="BH86" i="8"/>
  <c r="V85" i="8"/>
  <c r="BW86" i="8"/>
  <c r="BV87" i="8"/>
  <c r="C84" i="8"/>
  <c r="BP84" i="8" s="1"/>
  <c r="M83" i="8"/>
  <c r="N83" i="8" s="1"/>
  <c r="AE83" i="8"/>
  <c r="AM83" i="8"/>
  <c r="CE83" i="8"/>
  <c r="AL86" i="8"/>
  <c r="CD86" i="8"/>
  <c r="W83" i="8"/>
  <c r="BM25" i="5"/>
  <c r="BS11" i="5"/>
  <c r="BQ12" i="5" s="1"/>
  <c r="BS10" i="5"/>
  <c r="BQ11" i="5" s="1"/>
  <c r="BS12" i="5"/>
  <c r="BQ13" i="5" s="1"/>
  <c r="BS13" i="5"/>
  <c r="BS14" i="5"/>
  <c r="BQ15" i="5" s="1"/>
  <c r="BS15" i="5"/>
  <c r="BQ16" i="5" s="1"/>
  <c r="BS16" i="5"/>
  <c r="BQ17" i="5" s="1"/>
  <c r="BS17" i="5"/>
  <c r="BQ18" i="5" s="1"/>
  <c r="BS18" i="5"/>
  <c r="BQ19" i="5" s="1"/>
  <c r="BS19" i="5"/>
  <c r="BQ20" i="5" s="1"/>
  <c r="BS20" i="5"/>
  <c r="BQ21" i="5" s="1"/>
  <c r="BQ14" i="5"/>
  <c r="BQ22" i="5"/>
  <c r="BQ23" i="5"/>
  <c r="BQ24" i="5"/>
  <c r="BQ25" i="5"/>
  <c r="BS9" i="5"/>
  <c r="BQ10" i="5" s="1"/>
  <c r="BS8" i="5"/>
  <c r="BS7" i="5"/>
  <c r="BS6" i="5"/>
  <c r="BS5" i="5"/>
  <c r="BS4" i="5"/>
  <c r="BS3" i="5"/>
  <c r="BI24" i="5"/>
  <c r="BL24" i="5" s="1"/>
  <c r="BM24" i="5" s="1"/>
  <c r="Z24" i="5"/>
  <c r="X25" i="5" s="1"/>
  <c r="AA25" i="5" s="1"/>
  <c r="AB25" i="5" s="1"/>
  <c r="AF24" i="5"/>
  <c r="AI24" i="5" s="1"/>
  <c r="AJ24" i="5" s="1"/>
  <c r="BX23" i="5"/>
  <c r="BX24" i="5"/>
  <c r="BI23" i="5"/>
  <c r="BL23" i="5" s="1"/>
  <c r="BM23" i="5" s="1"/>
  <c r="BB24" i="5"/>
  <c r="BB23" i="5"/>
  <c r="AF23" i="5"/>
  <c r="AI23" i="5" s="1"/>
  <c r="AJ23" i="5" s="1"/>
  <c r="Z23" i="5"/>
  <c r="X24" i="5" s="1"/>
  <c r="AA24" i="5" s="1"/>
  <c r="AB24" i="5" s="1"/>
  <c r="P23" i="5"/>
  <c r="S23" i="5" s="1"/>
  <c r="T23" i="5" s="1"/>
  <c r="P24" i="5"/>
  <c r="F25" i="5"/>
  <c r="I25" i="5" s="1"/>
  <c r="J25" i="5" s="1"/>
  <c r="F24" i="5"/>
  <c r="I24" i="5" s="1"/>
  <c r="J24" i="5" s="1"/>
  <c r="F23" i="5"/>
  <c r="K225" i="11" l="1"/>
  <c r="AJ180" i="11"/>
  <c r="AQ180" i="11"/>
  <c r="E181" i="11"/>
  <c r="L180" i="11"/>
  <c r="X180" i="11"/>
  <c r="CD87" i="8"/>
  <c r="BW87" i="8"/>
  <c r="BV88" i="8"/>
  <c r="AL87" i="8"/>
  <c r="BH87" i="8"/>
  <c r="BG88" i="8"/>
  <c r="AD88" i="8"/>
  <c r="AS86" i="8"/>
  <c r="AT85" i="8"/>
  <c r="V86" i="8"/>
  <c r="AZ87" i="8"/>
  <c r="BA86" i="8"/>
  <c r="L97" i="8"/>
  <c r="C85" i="8"/>
  <c r="W85" i="8" s="1"/>
  <c r="M84" i="8"/>
  <c r="N84" i="8" s="1"/>
  <c r="AE84" i="8"/>
  <c r="CE84" i="8"/>
  <c r="AM84" i="8"/>
  <c r="W84" i="8"/>
  <c r="BO86" i="8"/>
  <c r="BT14" i="5"/>
  <c r="BT17" i="5"/>
  <c r="BT16" i="5"/>
  <c r="BT19" i="5"/>
  <c r="AW22" i="5"/>
  <c r="AX22" i="5" s="1"/>
  <c r="AW21" i="5"/>
  <c r="AX21" i="5" s="1"/>
  <c r="AW20" i="5"/>
  <c r="AX20" i="5" s="1"/>
  <c r="AW19" i="5"/>
  <c r="AX19" i="5" s="1"/>
  <c r="AW18" i="5"/>
  <c r="AX18" i="5" s="1"/>
  <c r="AP22" i="5"/>
  <c r="AQ22" i="5" s="1"/>
  <c r="AP21" i="5"/>
  <c r="AQ21" i="5" s="1"/>
  <c r="AP20" i="5"/>
  <c r="AQ20" i="5" s="1"/>
  <c r="AP19" i="5"/>
  <c r="AQ19" i="5" s="1"/>
  <c r="AP18" i="5"/>
  <c r="AQ18" i="5" s="1"/>
  <c r="K226" i="11" l="1"/>
  <c r="AJ181" i="11"/>
  <c r="AQ181" i="11"/>
  <c r="X181" i="11"/>
  <c r="L181" i="11"/>
  <c r="E182" i="11"/>
  <c r="BG89" i="8"/>
  <c r="BH88" i="8"/>
  <c r="BV89" i="8"/>
  <c r="BW88" i="8"/>
  <c r="C86" i="8"/>
  <c r="BP86" i="8" s="1"/>
  <c r="M85" i="8"/>
  <c r="N85" i="8" s="1"/>
  <c r="AE85" i="8"/>
  <c r="CE85" i="8"/>
  <c r="AM85" i="8"/>
  <c r="AZ88" i="8"/>
  <c r="BA87" i="8"/>
  <c r="AT86" i="8"/>
  <c r="AS87" i="8"/>
  <c r="BO87" i="8"/>
  <c r="L98" i="8"/>
  <c r="AD89" i="8"/>
  <c r="AL88" i="8"/>
  <c r="CD88" i="8"/>
  <c r="BP85" i="8"/>
  <c r="V87" i="8"/>
  <c r="P22" i="5"/>
  <c r="S22" i="5" s="1"/>
  <c r="T22" i="5" s="1"/>
  <c r="F22" i="5"/>
  <c r="BX22" i="5"/>
  <c r="BI22" i="5"/>
  <c r="BL22" i="5" s="1"/>
  <c r="BM22" i="5" s="1"/>
  <c r="BB22" i="5"/>
  <c r="AF22" i="5"/>
  <c r="AI22" i="5" s="1"/>
  <c r="AJ22" i="5" s="1"/>
  <c r="Z22" i="5"/>
  <c r="X23" i="5" s="1"/>
  <c r="AA23" i="5" s="1"/>
  <c r="AB23" i="5" s="1"/>
  <c r="P21" i="5"/>
  <c r="S21" i="5" s="1"/>
  <c r="T21" i="5" s="1"/>
  <c r="BX21" i="5"/>
  <c r="CA21" i="5" s="1"/>
  <c r="CB21" i="5" s="1"/>
  <c r="BI21" i="5"/>
  <c r="BL21" i="5" s="1"/>
  <c r="BM21" i="5" s="1"/>
  <c r="BB21" i="5"/>
  <c r="BE21" i="5" s="1"/>
  <c r="AF21" i="5"/>
  <c r="AI21" i="5" s="1"/>
  <c r="AJ21" i="5" s="1"/>
  <c r="Z20" i="5"/>
  <c r="X21" i="5" s="1"/>
  <c r="Z21" i="5"/>
  <c r="X22" i="5" s="1"/>
  <c r="F21" i="5"/>
  <c r="I21" i="5" s="1"/>
  <c r="J21" i="5" s="1"/>
  <c r="BX20" i="5"/>
  <c r="CA20" i="5" s="1"/>
  <c r="CB20" i="5" s="1"/>
  <c r="BI20" i="5"/>
  <c r="BL20" i="5" s="1"/>
  <c r="BM20" i="5" s="1"/>
  <c r="BB20" i="5"/>
  <c r="F20" i="5"/>
  <c r="I20" i="5" s="1"/>
  <c r="J20" i="5" s="1"/>
  <c r="P20" i="5"/>
  <c r="S20" i="5" s="1"/>
  <c r="T20" i="5" s="1"/>
  <c r="AF20" i="5"/>
  <c r="AI20" i="5" s="1"/>
  <c r="AJ20" i="5" s="1"/>
  <c r="BX19" i="5"/>
  <c r="CA19" i="5" s="1"/>
  <c r="CB19" i="5" s="1"/>
  <c r="BI19" i="5"/>
  <c r="BL19" i="5" s="1"/>
  <c r="BM19" i="5" s="1"/>
  <c r="BB19" i="5"/>
  <c r="AF19" i="5"/>
  <c r="AI19" i="5" s="1"/>
  <c r="AJ19" i="5" s="1"/>
  <c r="Z19" i="5"/>
  <c r="X20" i="5" s="1"/>
  <c r="X19" i="5"/>
  <c r="P19" i="5"/>
  <c r="S19" i="5" s="1"/>
  <c r="T19" i="5" s="1"/>
  <c r="I19" i="5"/>
  <c r="J19" i="5" s="1"/>
  <c r="K227" i="11" l="1"/>
  <c r="W86" i="8"/>
  <c r="AJ182" i="11"/>
  <c r="AQ182" i="11"/>
  <c r="E183" i="11"/>
  <c r="X182" i="11"/>
  <c r="L182" i="11"/>
  <c r="CD89" i="8"/>
  <c r="BO88" i="8"/>
  <c r="BA88" i="8"/>
  <c r="AZ89" i="8"/>
  <c r="AD90" i="8"/>
  <c r="BV90" i="8"/>
  <c r="BW89" i="8"/>
  <c r="V88" i="8"/>
  <c r="AL89" i="8"/>
  <c r="L99" i="8"/>
  <c r="AT87" i="8"/>
  <c r="AS88" i="8"/>
  <c r="C87" i="8"/>
  <c r="M86" i="8"/>
  <c r="N86" i="8" s="1"/>
  <c r="AE86" i="8"/>
  <c r="CE86" i="8"/>
  <c r="AM86" i="8"/>
  <c r="BH89" i="8"/>
  <c r="BG90" i="8"/>
  <c r="AA22" i="5"/>
  <c r="AB22" i="5" s="1"/>
  <c r="AA19" i="5"/>
  <c r="AB19" i="5" s="1"/>
  <c r="AA21" i="5"/>
  <c r="AB21" i="5" s="1"/>
  <c r="AA20" i="5"/>
  <c r="AB20" i="5" s="1"/>
  <c r="BX18" i="5"/>
  <c r="CA18" i="5" s="1"/>
  <c r="CB18" i="5" s="1"/>
  <c r="BI18" i="5"/>
  <c r="BL18" i="5" s="1"/>
  <c r="BM18" i="5" s="1"/>
  <c r="BB18" i="5"/>
  <c r="BE18" i="5" s="1"/>
  <c r="AF18" i="5"/>
  <c r="AI18" i="5" s="1"/>
  <c r="AJ18" i="5" s="1"/>
  <c r="X18" i="5"/>
  <c r="AA18" i="5" s="1"/>
  <c r="AB18" i="5" s="1"/>
  <c r="P18" i="5"/>
  <c r="S18" i="5" s="1"/>
  <c r="T18" i="5" s="1"/>
  <c r="F18" i="5"/>
  <c r="I18" i="5" s="1"/>
  <c r="J18" i="5" s="1"/>
  <c r="K228" i="11" l="1"/>
  <c r="AJ183" i="11"/>
  <c r="AQ183" i="11"/>
  <c r="L183" i="11"/>
  <c r="E184" i="11"/>
  <c r="X183" i="11"/>
  <c r="V89" i="8"/>
  <c r="BO89" i="8"/>
  <c r="C88" i="8"/>
  <c r="W88" i="8" s="1"/>
  <c r="M87" i="8"/>
  <c r="N87" i="8" s="1"/>
  <c r="AE87" i="8"/>
  <c r="AM87" i="8"/>
  <c r="CE87" i="8"/>
  <c r="L100" i="8"/>
  <c r="W87" i="8"/>
  <c r="AD91" i="8"/>
  <c r="BP87" i="8"/>
  <c r="AT88" i="8"/>
  <c r="AS89" i="8"/>
  <c r="AL90" i="8"/>
  <c r="AZ90" i="8"/>
  <c r="BA89" i="8"/>
  <c r="BH90" i="8"/>
  <c r="BG91" i="8"/>
  <c r="BV91" i="8"/>
  <c r="BW90" i="8"/>
  <c r="CD90" i="8"/>
  <c r="P17" i="5"/>
  <c r="F17" i="5"/>
  <c r="I17" i="5" s="1"/>
  <c r="J17" i="5" s="1"/>
  <c r="CB9" i="5"/>
  <c r="BX17" i="5"/>
  <c r="CA17" i="5" s="1"/>
  <c r="CB17" i="5" s="1"/>
  <c r="BI17" i="5"/>
  <c r="BL17" i="5" s="1"/>
  <c r="BB17" i="5"/>
  <c r="AW16" i="5"/>
  <c r="AW17" i="5"/>
  <c r="AX17" i="5" s="1"/>
  <c r="AP16" i="5"/>
  <c r="AQ16" i="5" s="1"/>
  <c r="AP17" i="5"/>
  <c r="AQ17" i="5" s="1"/>
  <c r="AF17" i="5"/>
  <c r="AI17" i="5" s="1"/>
  <c r="K229" i="11" l="1"/>
  <c r="AJ184" i="11"/>
  <c r="AQ184" i="11"/>
  <c r="E185" i="11"/>
  <c r="X184" i="11"/>
  <c r="L184" i="11"/>
  <c r="BV92" i="8"/>
  <c r="BW91" i="8"/>
  <c r="BA90" i="8"/>
  <c r="AZ91" i="8"/>
  <c r="BO90" i="8"/>
  <c r="CD91" i="8"/>
  <c r="BG92" i="8"/>
  <c r="BH91" i="8"/>
  <c r="AL91" i="8"/>
  <c r="L101" i="8"/>
  <c r="BP88" i="8"/>
  <c r="AD92" i="8"/>
  <c r="AS90" i="8"/>
  <c r="AT89" i="8"/>
  <c r="C89" i="8"/>
  <c r="M88" i="8"/>
  <c r="N88" i="8" s="1"/>
  <c r="AE88" i="8"/>
  <c r="AM88" i="8"/>
  <c r="CE88" i="8"/>
  <c r="V90" i="8"/>
  <c r="AJ17" i="5"/>
  <c r="BM17" i="5"/>
  <c r="AX16" i="5"/>
  <c r="F16" i="5"/>
  <c r="F15" i="5"/>
  <c r="BX16" i="5"/>
  <c r="CA16" i="5" s="1"/>
  <c r="CB16" i="5" s="1"/>
  <c r="AW15" i="5"/>
  <c r="AP15" i="5"/>
  <c r="BI16" i="5"/>
  <c r="BL16" i="5" s="1"/>
  <c r="BM16" i="5" s="1"/>
  <c r="BB16" i="5"/>
  <c r="BE16" i="5" s="1"/>
  <c r="AF16" i="5"/>
  <c r="AI16" i="5" s="1"/>
  <c r="AJ16" i="5" s="1"/>
  <c r="Z16" i="5"/>
  <c r="X17" i="5" s="1"/>
  <c r="AA17" i="5" s="1"/>
  <c r="P16" i="5"/>
  <c r="K230" i="11" l="1"/>
  <c r="AJ185" i="11"/>
  <c r="AQ185" i="11"/>
  <c r="E186" i="11"/>
  <c r="X185" i="11"/>
  <c r="L185" i="11"/>
  <c r="C90" i="8"/>
  <c r="BP90" i="8" s="1"/>
  <c r="M89" i="8"/>
  <c r="N89" i="8" s="1"/>
  <c r="AE89" i="8"/>
  <c r="AM89" i="8"/>
  <c r="CE89" i="8"/>
  <c r="AL92" i="8"/>
  <c r="CD92" i="8"/>
  <c r="AZ92" i="8"/>
  <c r="BA91" i="8"/>
  <c r="W89" i="8"/>
  <c r="AT90" i="8"/>
  <c r="AS91" i="8"/>
  <c r="BP89" i="8"/>
  <c r="V91" i="8"/>
  <c r="AD93" i="8"/>
  <c r="L102" i="8"/>
  <c r="BH92" i="8"/>
  <c r="BG93" i="8"/>
  <c r="BO91" i="8"/>
  <c r="BV93" i="8"/>
  <c r="BW92" i="8"/>
  <c r="AB17" i="5"/>
  <c r="AW3" i="5"/>
  <c r="AX3" i="5" s="1"/>
  <c r="AP3" i="5"/>
  <c r="AR3" i="5" s="1"/>
  <c r="AS3" i="5" s="1"/>
  <c r="AP5" i="5"/>
  <c r="AQ5" i="5" s="1"/>
  <c r="AP6" i="5"/>
  <c r="AQ6" i="5" s="1"/>
  <c r="AP7" i="5"/>
  <c r="AQ7" i="5" s="1"/>
  <c r="AP8" i="5"/>
  <c r="AQ8" i="5" s="1"/>
  <c r="AP9" i="5"/>
  <c r="AQ9" i="5" s="1"/>
  <c r="AP10" i="5"/>
  <c r="AQ10" i="5" s="1"/>
  <c r="AP11" i="5"/>
  <c r="AQ11" i="5" s="1"/>
  <c r="AP12" i="5"/>
  <c r="AQ12" i="5" s="1"/>
  <c r="AP13" i="5"/>
  <c r="AQ13" i="5" s="1"/>
  <c r="AP14" i="5"/>
  <c r="AQ14" i="5" s="1"/>
  <c r="AP4" i="5"/>
  <c r="AQ4" i="5" s="1"/>
  <c r="AW5" i="5"/>
  <c r="AX5" i="5" s="1"/>
  <c r="AW6" i="5"/>
  <c r="AX6" i="5" s="1"/>
  <c r="AW7" i="5"/>
  <c r="AX7" i="5" s="1"/>
  <c r="AW8" i="5"/>
  <c r="AX8" i="5" s="1"/>
  <c r="AW9" i="5"/>
  <c r="AX9" i="5" s="1"/>
  <c r="AW10" i="5"/>
  <c r="AX10" i="5" s="1"/>
  <c r="AW11" i="5"/>
  <c r="AX11" i="5" s="1"/>
  <c r="AW12" i="5"/>
  <c r="AX12" i="5" s="1"/>
  <c r="AW13" i="5"/>
  <c r="AX13" i="5" s="1"/>
  <c r="AW14" i="5"/>
  <c r="AX14" i="5" s="1"/>
  <c r="AW4" i="5"/>
  <c r="F12" i="5"/>
  <c r="I12" i="5" s="1"/>
  <c r="J12" i="5" s="1"/>
  <c r="F13" i="5"/>
  <c r="I13" i="5" s="1"/>
  <c r="J13" i="5" s="1"/>
  <c r="BT11" i="5"/>
  <c r="Z15" i="5"/>
  <c r="X16" i="5" s="1"/>
  <c r="AA16" i="5" s="1"/>
  <c r="AB16" i="5" s="1"/>
  <c r="Z13" i="5"/>
  <c r="X14" i="5" s="1"/>
  <c r="AA14" i="5" s="1"/>
  <c r="AB14" i="5" s="1"/>
  <c r="Z12" i="5"/>
  <c r="X13" i="5" s="1"/>
  <c r="Z11" i="5"/>
  <c r="X12" i="5" s="1"/>
  <c r="F11" i="5"/>
  <c r="I11" i="5" s="1"/>
  <c r="Z10" i="5"/>
  <c r="X11" i="5" s="1"/>
  <c r="Z8" i="5"/>
  <c r="Z7" i="5"/>
  <c r="X8" i="5" s="1"/>
  <c r="BX15" i="5"/>
  <c r="BX14" i="5"/>
  <c r="CA14" i="5" s="1"/>
  <c r="CB14" i="5" s="1"/>
  <c r="BX13" i="5"/>
  <c r="CA13" i="5" s="1"/>
  <c r="CB13" i="5" s="1"/>
  <c r="BX12" i="5"/>
  <c r="CA12" i="5" s="1"/>
  <c r="CB12" i="5" s="1"/>
  <c r="BX11" i="5"/>
  <c r="CA11" i="5" s="1"/>
  <c r="CB11" i="5" s="1"/>
  <c r="BX10" i="5"/>
  <c r="CA10" i="5" s="1"/>
  <c r="CB10" i="5" s="1"/>
  <c r="BX9" i="5"/>
  <c r="BX8" i="5"/>
  <c r="CA8" i="5" s="1"/>
  <c r="CB8" i="5" s="1"/>
  <c r="BX7" i="5"/>
  <c r="CA7" i="5" s="1"/>
  <c r="CB7" i="5" s="1"/>
  <c r="BX6" i="5"/>
  <c r="CA6" i="5" s="1"/>
  <c r="CB6" i="5" s="1"/>
  <c r="BX5" i="5"/>
  <c r="CA5" i="5" s="1"/>
  <c r="BX4" i="5"/>
  <c r="BB4" i="5"/>
  <c r="AF4" i="5"/>
  <c r="X4" i="5"/>
  <c r="P4" i="5"/>
  <c r="BI15" i="5"/>
  <c r="BB15" i="5"/>
  <c r="AF15" i="5"/>
  <c r="X15" i="5"/>
  <c r="P15" i="5"/>
  <c r="BI14" i="5"/>
  <c r="BB14" i="5"/>
  <c r="AF14" i="5"/>
  <c r="P14" i="5"/>
  <c r="S14" i="5" s="1"/>
  <c r="T14" i="5" s="1"/>
  <c r="BI13" i="5"/>
  <c r="BL13" i="5" s="1"/>
  <c r="BM13" i="5" s="1"/>
  <c r="BB13" i="5"/>
  <c r="BE13" i="5" s="1"/>
  <c r="AF13" i="5"/>
  <c r="P13" i="5"/>
  <c r="S13" i="5" s="1"/>
  <c r="BI12" i="5"/>
  <c r="BL12" i="5" s="1"/>
  <c r="BM12" i="5" s="1"/>
  <c r="BB12" i="5"/>
  <c r="BE12" i="5" s="1"/>
  <c r="AF12" i="5"/>
  <c r="AI12" i="5" s="1"/>
  <c r="AJ12" i="5" s="1"/>
  <c r="P12" i="5"/>
  <c r="BI11" i="5"/>
  <c r="BL11" i="5" s="1"/>
  <c r="BM11" i="5" s="1"/>
  <c r="BB11" i="5"/>
  <c r="AF11" i="5"/>
  <c r="AI11" i="5" s="1"/>
  <c r="AJ11" i="5" s="1"/>
  <c r="P11" i="5"/>
  <c r="BI10" i="5"/>
  <c r="BL10" i="5" s="1"/>
  <c r="BM10" i="5" s="1"/>
  <c r="BB10" i="5"/>
  <c r="BE10" i="5" s="1"/>
  <c r="AF10" i="5"/>
  <c r="AI10" i="5" s="1"/>
  <c r="AJ10" i="5" s="1"/>
  <c r="X10" i="5"/>
  <c r="P10" i="5"/>
  <c r="BQ9" i="5"/>
  <c r="BI9" i="5"/>
  <c r="BB9" i="5"/>
  <c r="AF9" i="5"/>
  <c r="X9" i="5"/>
  <c r="P9" i="5"/>
  <c r="BQ8" i="5"/>
  <c r="BI8" i="5"/>
  <c r="BB8" i="5"/>
  <c r="AF8" i="5"/>
  <c r="P8" i="5"/>
  <c r="BQ7" i="5"/>
  <c r="BI7" i="5"/>
  <c r="BB7" i="5"/>
  <c r="AF7" i="5"/>
  <c r="AI7" i="5" s="1"/>
  <c r="AJ7" i="5" s="1"/>
  <c r="X7" i="5"/>
  <c r="P7" i="5"/>
  <c r="BQ6" i="5"/>
  <c r="BI6" i="5"/>
  <c r="BB6" i="5"/>
  <c r="BE6" i="5" s="1"/>
  <c r="AF6" i="5"/>
  <c r="AI6" i="5" s="1"/>
  <c r="AJ6" i="5" s="1"/>
  <c r="X6" i="5"/>
  <c r="P6" i="5"/>
  <c r="BQ5" i="5"/>
  <c r="BI5" i="5"/>
  <c r="BB5" i="5"/>
  <c r="BE5" i="5" s="1"/>
  <c r="AF5" i="5"/>
  <c r="AI5" i="5" s="1"/>
  <c r="X5" i="5"/>
  <c r="P5" i="5"/>
  <c r="BQ4" i="5"/>
  <c r="BI4" i="5"/>
  <c r="E4" i="5"/>
  <c r="E5" i="5" s="1"/>
  <c r="C3" i="5"/>
  <c r="C4" i="5" s="1"/>
  <c r="C5" i="5" s="1"/>
  <c r="C6" i="5" s="1"/>
  <c r="C7" i="5" s="1"/>
  <c r="C8" i="5" s="1"/>
  <c r="C9" i="5" s="1"/>
  <c r="C10" i="5" s="1"/>
  <c r="C11" i="5" s="1"/>
  <c r="C12" i="5" s="1"/>
  <c r="C13" i="5" s="1"/>
  <c r="C14" i="5" s="1"/>
  <c r="C15" i="5" s="1"/>
  <c r="K231" i="11" l="1"/>
  <c r="AA13" i="5"/>
  <c r="AB13" i="5" s="1"/>
  <c r="W90" i="8"/>
  <c r="AJ186" i="11"/>
  <c r="AQ186" i="11"/>
  <c r="L186" i="11"/>
  <c r="E187" i="11"/>
  <c r="X186" i="11"/>
  <c r="BG94" i="8"/>
  <c r="BH93" i="8"/>
  <c r="AL93" i="8"/>
  <c r="BV94" i="8"/>
  <c r="BW93" i="8"/>
  <c r="AD94" i="8"/>
  <c r="AS92" i="8"/>
  <c r="AT91" i="8"/>
  <c r="AZ93" i="8"/>
  <c r="BA92" i="8"/>
  <c r="BO92" i="8"/>
  <c r="L103" i="8"/>
  <c r="V92" i="8"/>
  <c r="CD93" i="8"/>
  <c r="CD94" i="8" s="1"/>
  <c r="C91" i="8"/>
  <c r="BP91" i="8" s="1"/>
  <c r="M90" i="8"/>
  <c r="N90" i="8" s="1"/>
  <c r="AE90" i="8"/>
  <c r="CE90" i="8"/>
  <c r="AM90" i="8"/>
  <c r="AA11" i="5"/>
  <c r="AB11" i="5" s="1"/>
  <c r="AY3" i="5"/>
  <c r="AZ3" i="5" s="1"/>
  <c r="AA8" i="5"/>
  <c r="AB8" i="5" s="1"/>
  <c r="AA12" i="5"/>
  <c r="AB12" i="5" s="1"/>
  <c r="U13" i="5"/>
  <c r="T13" i="5"/>
  <c r="J11" i="5"/>
  <c r="N4" i="5"/>
  <c r="O4" i="5" s="1"/>
  <c r="K11" i="5"/>
  <c r="CE4" i="5"/>
  <c r="CB5" i="5"/>
  <c r="C16" i="5"/>
  <c r="BA4" i="5"/>
  <c r="AQ3" i="5"/>
  <c r="AX4" i="5"/>
  <c r="AR4" i="5"/>
  <c r="AR5" i="5" s="1"/>
  <c r="AS5" i="5" s="1"/>
  <c r="BU11" i="5"/>
  <c r="BU12" i="5" s="1"/>
  <c r="E6" i="5"/>
  <c r="E7" i="5" s="1"/>
  <c r="E8" i="5" s="1"/>
  <c r="E9" i="5" s="1"/>
  <c r="E10" i="5" s="1"/>
  <c r="E11" i="5" s="1"/>
  <c r="E12" i="5" s="1"/>
  <c r="E13" i="5" s="1"/>
  <c r="E14" i="5" s="1"/>
  <c r="E15" i="5" s="1"/>
  <c r="E16" i="5" s="1"/>
  <c r="AJ5" i="5"/>
  <c r="AM4" i="5"/>
  <c r="W4" i="5"/>
  <c r="BP4" i="5"/>
  <c r="BW4" i="5"/>
  <c r="BH4" i="5"/>
  <c r="AT4" i="5"/>
  <c r="AW188" i="1"/>
  <c r="AX188" i="1" s="1"/>
  <c r="AW189" i="1"/>
  <c r="AW190" i="1"/>
  <c r="AX190" i="1" s="1"/>
  <c r="AW191" i="1"/>
  <c r="AX191" i="1" s="1"/>
  <c r="AW192" i="1"/>
  <c r="AX192" i="1" s="1"/>
  <c r="AW193" i="1"/>
  <c r="AX193" i="1" s="1"/>
  <c r="AW194" i="1"/>
  <c r="AX194" i="1" s="1"/>
  <c r="AW195" i="1"/>
  <c r="AX195" i="1" s="1"/>
  <c r="AW196" i="1"/>
  <c r="AX196" i="1" s="1"/>
  <c r="AW197" i="1"/>
  <c r="AX197" i="1" s="1"/>
  <c r="AW198" i="1"/>
  <c r="AX198" i="1" s="1"/>
  <c r="AW199" i="1"/>
  <c r="AX199" i="1" s="1"/>
  <c r="AW200" i="1"/>
  <c r="AX200" i="1" s="1"/>
  <c r="AW201" i="1"/>
  <c r="AX201" i="1" s="1"/>
  <c r="AW202" i="1"/>
  <c r="AX202" i="1" s="1"/>
  <c r="AW160" i="1"/>
  <c r="AX160" i="1" s="1"/>
  <c r="AW161" i="1"/>
  <c r="AX161" i="1" s="1"/>
  <c r="AW162" i="1"/>
  <c r="AX162" i="1" s="1"/>
  <c r="AW163" i="1"/>
  <c r="AX163" i="1" s="1"/>
  <c r="AW167" i="1"/>
  <c r="AX167" i="1" s="1"/>
  <c r="AW168" i="1"/>
  <c r="AX168" i="1" s="1"/>
  <c r="AW169" i="1"/>
  <c r="AX169" i="1" s="1"/>
  <c r="AW174" i="1"/>
  <c r="AW177" i="1"/>
  <c r="AX177" i="1" s="1"/>
  <c r="AW178" i="1"/>
  <c r="AX178" i="1" s="1"/>
  <c r="AW181" i="1"/>
  <c r="AW186" i="1"/>
  <c r="AX186" i="1" s="1"/>
  <c r="AW187" i="1"/>
  <c r="AX187" i="1" s="1"/>
  <c r="AW158" i="1"/>
  <c r="K232" i="11" l="1"/>
  <c r="AY4" i="5"/>
  <c r="AZ4" i="5" s="1"/>
  <c r="BA157" i="1"/>
  <c r="BA188" i="1"/>
  <c r="AJ187" i="11"/>
  <c r="AQ187" i="11"/>
  <c r="E188" i="11"/>
  <c r="X187" i="11"/>
  <c r="L187" i="11"/>
  <c r="AX189" i="1"/>
  <c r="CD95" i="8"/>
  <c r="L104" i="8"/>
  <c r="AD95" i="8"/>
  <c r="AZ94" i="8"/>
  <c r="BA93" i="8"/>
  <c r="AL94" i="8"/>
  <c r="V93" i="8"/>
  <c r="C92" i="8"/>
  <c r="W92" i="8" s="1"/>
  <c r="M91" i="8"/>
  <c r="N91" i="8" s="1"/>
  <c r="AE91" i="8"/>
  <c r="AM91" i="8"/>
  <c r="CE91" i="8"/>
  <c r="W91" i="8"/>
  <c r="BO93" i="8"/>
  <c r="AT92" i="8"/>
  <c r="AS93" i="8"/>
  <c r="BW94" i="8"/>
  <c r="BV95" i="8"/>
  <c r="BG95" i="8"/>
  <c r="BH94" i="8"/>
  <c r="AY5" i="5"/>
  <c r="AZ5" i="5" s="1"/>
  <c r="AE4" i="5"/>
  <c r="K12" i="5"/>
  <c r="L11" i="5"/>
  <c r="M11" i="5" s="1"/>
  <c r="U14" i="5"/>
  <c r="V13" i="5"/>
  <c r="C17" i="5"/>
  <c r="BU13" i="5"/>
  <c r="BV12" i="5"/>
  <c r="BV11" i="5"/>
  <c r="E17" i="5"/>
  <c r="AS4" i="5"/>
  <c r="AR6" i="5"/>
  <c r="AS6" i="5" s="1"/>
  <c r="CC5" i="5"/>
  <c r="CD5" i="5" s="1"/>
  <c r="AK5" i="5"/>
  <c r="BF5" i="5"/>
  <c r="AY6" i="5"/>
  <c r="AX158" i="1"/>
  <c r="BS202" i="1"/>
  <c r="BS201" i="1"/>
  <c r="K233" i="11" l="1"/>
  <c r="BP92" i="8"/>
  <c r="AJ188" i="11"/>
  <c r="AQ188" i="11"/>
  <c r="X188" i="11"/>
  <c r="L188" i="11"/>
  <c r="E189" i="11"/>
  <c r="BO94" i="8"/>
  <c r="BA94" i="8"/>
  <c r="AZ95" i="8"/>
  <c r="AS94" i="8"/>
  <c r="AT93" i="8"/>
  <c r="AL95" i="8"/>
  <c r="BH95" i="8"/>
  <c r="BG96" i="8"/>
  <c r="C93" i="8"/>
  <c r="W93" i="8" s="1"/>
  <c r="M92" i="8"/>
  <c r="N92" i="8" s="1"/>
  <c r="AE92" i="8"/>
  <c r="CE92" i="8"/>
  <c r="AM92" i="8"/>
  <c r="AD96" i="8"/>
  <c r="CD96" i="8"/>
  <c r="BW95" i="8"/>
  <c r="BV96" i="8"/>
  <c r="V94" i="8"/>
  <c r="L105" i="8"/>
  <c r="L12" i="5"/>
  <c r="M12" i="5" s="1"/>
  <c r="K13" i="5"/>
  <c r="U15" i="5"/>
  <c r="V14" i="5"/>
  <c r="C18" i="5"/>
  <c r="E18" i="5"/>
  <c r="BU14" i="5"/>
  <c r="BV13" i="5"/>
  <c r="AR7" i="5"/>
  <c r="AR8" i="5" s="1"/>
  <c r="CC6" i="5"/>
  <c r="CD6" i="5" s="1"/>
  <c r="AK6" i="5"/>
  <c r="AL5" i="5"/>
  <c r="BF6" i="5"/>
  <c r="BG5" i="5"/>
  <c r="AY7" i="5"/>
  <c r="AZ6" i="5"/>
  <c r="BQ202" i="1"/>
  <c r="BT202" i="1" s="1"/>
  <c r="BS200" i="1"/>
  <c r="BQ201" i="1" s="1"/>
  <c r="BT201" i="1" s="1"/>
  <c r="BU201" i="1" s="1"/>
  <c r="BS199" i="1"/>
  <c r="BQ200" i="1" s="1"/>
  <c r="BK200" i="1"/>
  <c r="BI201" i="1" s="1"/>
  <c r="BK201" i="1"/>
  <c r="BI202" i="1" s="1"/>
  <c r="BK202" i="1"/>
  <c r="BB200" i="1"/>
  <c r="BE200" i="1" s="1"/>
  <c r="BB201" i="1"/>
  <c r="BE201" i="1" s="1"/>
  <c r="BB202" i="1"/>
  <c r="BE202" i="1" s="1"/>
  <c r="AF200" i="1"/>
  <c r="AI200" i="1" s="1"/>
  <c r="AJ200" i="1" s="1"/>
  <c r="AF201" i="1"/>
  <c r="AI201" i="1" s="1"/>
  <c r="AJ201" i="1" s="1"/>
  <c r="AF202" i="1"/>
  <c r="AI202" i="1" s="1"/>
  <c r="AJ202" i="1" s="1"/>
  <c r="AB200" i="1"/>
  <c r="Z202" i="1"/>
  <c r="Z201" i="1"/>
  <c r="X202" i="1" s="1"/>
  <c r="Z200" i="1"/>
  <c r="X201" i="1" s="1"/>
  <c r="P200" i="1"/>
  <c r="S200" i="1" s="1"/>
  <c r="T200" i="1" s="1"/>
  <c r="P201" i="1"/>
  <c r="S201" i="1" s="1"/>
  <c r="T201" i="1" s="1"/>
  <c r="P202" i="1"/>
  <c r="S202" i="1" s="1"/>
  <c r="T202" i="1" s="1"/>
  <c r="K234" i="11" l="1"/>
  <c r="BL202" i="1"/>
  <c r="BM202" i="1" s="1"/>
  <c r="AA202" i="1"/>
  <c r="AB202" i="1" s="1"/>
  <c r="BL201" i="1"/>
  <c r="BM201" i="1" s="1"/>
  <c r="AA201" i="1"/>
  <c r="AB201" i="1" s="1"/>
  <c r="BT200" i="1"/>
  <c r="BU200" i="1" s="1"/>
  <c r="AJ189" i="11"/>
  <c r="AQ189" i="11"/>
  <c r="E190" i="11"/>
  <c r="L189" i="11"/>
  <c r="X189" i="11"/>
  <c r="AL96" i="8"/>
  <c r="BA95" i="8"/>
  <c r="AZ96" i="8"/>
  <c r="CD97" i="8"/>
  <c r="CE93" i="8"/>
  <c r="C94" i="8"/>
  <c r="M93" i="8"/>
  <c r="N93" i="8" s="1"/>
  <c r="AE93" i="8"/>
  <c r="AM93" i="8"/>
  <c r="V95" i="8"/>
  <c r="BH96" i="8"/>
  <c r="BG97" i="8"/>
  <c r="BO95" i="8"/>
  <c r="L106" i="8"/>
  <c r="BW96" i="8"/>
  <c r="BV97" i="8"/>
  <c r="AD97" i="8"/>
  <c r="AT94" i="8"/>
  <c r="AS95" i="8"/>
  <c r="BP93" i="8"/>
  <c r="AS7" i="5"/>
  <c r="U16" i="5"/>
  <c r="V15" i="5"/>
  <c r="K14" i="5"/>
  <c r="L13" i="5"/>
  <c r="M13" i="5" s="1"/>
  <c r="C19" i="5"/>
  <c r="E19" i="5"/>
  <c r="BV14" i="5"/>
  <c r="BU15" i="5"/>
  <c r="CC7" i="5"/>
  <c r="CD7" i="5" s="1"/>
  <c r="AK7" i="5"/>
  <c r="AL6" i="5"/>
  <c r="AS8" i="5"/>
  <c r="AR9" i="5"/>
  <c r="AC8" i="5"/>
  <c r="AC9" i="5" s="1"/>
  <c r="BF7" i="5"/>
  <c r="BG6" i="5"/>
  <c r="AZ7" i="5"/>
  <c r="AY8" i="5"/>
  <c r="BU202" i="1"/>
  <c r="AP190" i="1"/>
  <c r="AQ190" i="1" s="1"/>
  <c r="AP191" i="1"/>
  <c r="AQ191" i="1" s="1"/>
  <c r="AP192" i="1"/>
  <c r="AQ192" i="1" s="1"/>
  <c r="AP193" i="1"/>
  <c r="AQ193" i="1" s="1"/>
  <c r="AP194" i="1"/>
  <c r="AQ194" i="1" s="1"/>
  <c r="AP195" i="1"/>
  <c r="AQ195" i="1" s="1"/>
  <c r="AP196" i="1"/>
  <c r="AQ196" i="1" s="1"/>
  <c r="AP197" i="1"/>
  <c r="AQ197" i="1" s="1"/>
  <c r="AP198" i="1"/>
  <c r="AQ198" i="1" s="1"/>
  <c r="AP199" i="1"/>
  <c r="AQ199" i="1" s="1"/>
  <c r="AP200" i="1"/>
  <c r="AQ200" i="1" s="1"/>
  <c r="AP201" i="1"/>
  <c r="AQ201" i="1" s="1"/>
  <c r="AP202" i="1"/>
  <c r="AQ202" i="1" s="1"/>
  <c r="AP189" i="1"/>
  <c r="AP188" i="1"/>
  <c r="AP159" i="1"/>
  <c r="AQ159" i="1" s="1"/>
  <c r="AP160" i="1"/>
  <c r="AQ160" i="1" s="1"/>
  <c r="AP161" i="1"/>
  <c r="AQ161" i="1" s="1"/>
  <c r="AP162" i="1"/>
  <c r="AQ162" i="1" s="1"/>
  <c r="AP163" i="1"/>
  <c r="AQ163" i="1"/>
  <c r="AP167" i="1"/>
  <c r="AQ167" i="1" s="1"/>
  <c r="AP168" i="1"/>
  <c r="AQ168" i="1" s="1"/>
  <c r="AP169" i="1"/>
  <c r="AQ169" i="1" s="1"/>
  <c r="AP177" i="1"/>
  <c r="AQ177" i="1" s="1"/>
  <c r="AP178" i="1"/>
  <c r="AQ178" i="1" s="1"/>
  <c r="AP186" i="1"/>
  <c r="AQ186" i="1" s="1"/>
  <c r="AP187" i="1"/>
  <c r="AQ187" i="1" s="1"/>
  <c r="AP158" i="1"/>
  <c r="K235" i="11" l="1"/>
  <c r="AT157" i="1"/>
  <c r="AJ190" i="11"/>
  <c r="AQ190" i="11"/>
  <c r="E191" i="11"/>
  <c r="L190" i="11"/>
  <c r="X190" i="11"/>
  <c r="L107" i="8"/>
  <c r="BH97" i="8"/>
  <c r="BG98" i="8"/>
  <c r="C95" i="8"/>
  <c r="M94" i="8"/>
  <c r="N94" i="8" s="1"/>
  <c r="CE94" i="8"/>
  <c r="AE94" i="8"/>
  <c r="AM94" i="8"/>
  <c r="BA96" i="8"/>
  <c r="AZ97" i="8"/>
  <c r="AT188" i="1"/>
  <c r="AT95" i="8"/>
  <c r="AS96" i="8"/>
  <c r="BW97" i="8"/>
  <c r="BV98" i="8"/>
  <c r="BP95" i="8"/>
  <c r="BO96" i="8"/>
  <c r="W95" i="8"/>
  <c r="V96" i="8"/>
  <c r="CD98" i="8"/>
  <c r="AL97" i="8"/>
  <c r="AD98" i="8"/>
  <c r="BP94" i="8"/>
  <c r="W94" i="8"/>
  <c r="AK8" i="5"/>
  <c r="AL8" i="5" s="1"/>
  <c r="AL7" i="5"/>
  <c r="L14" i="5"/>
  <c r="M14" i="5" s="1"/>
  <c r="K15" i="5"/>
  <c r="U17" i="5"/>
  <c r="V16" i="5"/>
  <c r="C20" i="5"/>
  <c r="E20" i="5"/>
  <c r="BV15" i="5"/>
  <c r="BU16" i="5"/>
  <c r="CC8" i="5"/>
  <c r="CD8" i="5" s="1"/>
  <c r="BG7" i="5"/>
  <c r="BF8" i="5"/>
  <c r="AZ8" i="5"/>
  <c r="AY9" i="5"/>
  <c r="AR10" i="5"/>
  <c r="AS9" i="5"/>
  <c r="AD8" i="5"/>
  <c r="AQ188" i="1"/>
  <c r="AQ189" i="1"/>
  <c r="AQ158" i="1"/>
  <c r="BK199" i="1"/>
  <c r="BI200" i="1" s="1"/>
  <c r="BL200" i="1" s="1"/>
  <c r="BM200" i="1" s="1"/>
  <c r="BI190" i="1"/>
  <c r="BL190" i="1" s="1"/>
  <c r="BM190" i="1" s="1"/>
  <c r="BI191" i="1"/>
  <c r="BL191" i="1" s="1"/>
  <c r="BM191" i="1" s="1"/>
  <c r="BI192" i="1"/>
  <c r="BL192" i="1" s="1"/>
  <c r="BM192" i="1" s="1"/>
  <c r="BI193" i="1"/>
  <c r="BL193" i="1" s="1"/>
  <c r="BM193" i="1" s="1"/>
  <c r="BI194" i="1"/>
  <c r="BL194" i="1" s="1"/>
  <c r="BM194" i="1" s="1"/>
  <c r="BI195" i="1"/>
  <c r="BL195" i="1" s="1"/>
  <c r="BM195" i="1" s="1"/>
  <c r="BI196" i="1"/>
  <c r="BL196" i="1" s="1"/>
  <c r="BM196" i="1" s="1"/>
  <c r="BI197" i="1"/>
  <c r="BL197" i="1" s="1"/>
  <c r="BM197" i="1" s="1"/>
  <c r="BI198" i="1"/>
  <c r="BL198" i="1" s="1"/>
  <c r="BM198" i="1" s="1"/>
  <c r="BI199" i="1"/>
  <c r="BL199" i="1" s="1"/>
  <c r="BM199" i="1" s="1"/>
  <c r="BI189" i="1"/>
  <c r="BL189" i="1" s="1"/>
  <c r="BI188" i="1"/>
  <c r="BL188" i="1" s="1"/>
  <c r="BB190" i="1"/>
  <c r="BE190" i="1" s="1"/>
  <c r="BB191" i="1"/>
  <c r="BE191" i="1" s="1"/>
  <c r="BB192" i="1"/>
  <c r="BE192" i="1" s="1"/>
  <c r="BB193" i="1"/>
  <c r="BE193" i="1" s="1"/>
  <c r="BB194" i="1"/>
  <c r="BE194" i="1" s="1"/>
  <c r="BB195" i="1"/>
  <c r="BE195" i="1" s="1"/>
  <c r="BB196" i="1"/>
  <c r="BE196" i="1" s="1"/>
  <c r="BB197" i="1"/>
  <c r="BE197" i="1" s="1"/>
  <c r="BB198" i="1"/>
  <c r="BE198" i="1" s="1"/>
  <c r="BB199" i="1"/>
  <c r="BE199" i="1" s="1"/>
  <c r="BB189" i="1"/>
  <c r="BE189" i="1" s="1"/>
  <c r="BB188" i="1"/>
  <c r="BE188" i="1" s="1"/>
  <c r="AF190" i="1"/>
  <c r="AI190" i="1" s="1"/>
  <c r="AJ190" i="1" s="1"/>
  <c r="AF191" i="1"/>
  <c r="AI191" i="1" s="1"/>
  <c r="AJ191" i="1" s="1"/>
  <c r="AF192" i="1"/>
  <c r="AI192" i="1" s="1"/>
  <c r="AJ192" i="1" s="1"/>
  <c r="AF193" i="1"/>
  <c r="AI193" i="1" s="1"/>
  <c r="AJ193" i="1" s="1"/>
  <c r="AF194" i="1"/>
  <c r="AI194" i="1" s="1"/>
  <c r="AJ194" i="1" s="1"/>
  <c r="AF195" i="1"/>
  <c r="AI195" i="1" s="1"/>
  <c r="AJ195" i="1" s="1"/>
  <c r="AF196" i="1"/>
  <c r="AI196" i="1" s="1"/>
  <c r="AJ196" i="1" s="1"/>
  <c r="AF197" i="1"/>
  <c r="AI197" i="1" s="1"/>
  <c r="AJ197" i="1" s="1"/>
  <c r="AF198" i="1"/>
  <c r="AI198" i="1" s="1"/>
  <c r="AJ198" i="1" s="1"/>
  <c r="AF199" i="1"/>
  <c r="AI199" i="1" s="1"/>
  <c r="AJ199" i="1" s="1"/>
  <c r="AF189" i="1"/>
  <c r="AI189" i="1" s="1"/>
  <c r="AF188" i="1"/>
  <c r="AI188" i="1" s="1"/>
  <c r="Z190" i="1"/>
  <c r="X191" i="1" s="1"/>
  <c r="Z197" i="1"/>
  <c r="X198" i="1" s="1"/>
  <c r="AB190" i="1"/>
  <c r="AB197" i="1"/>
  <c r="Z199" i="1"/>
  <c r="X200" i="1" s="1"/>
  <c r="Z198" i="1"/>
  <c r="X199" i="1" s="1"/>
  <c r="Z196" i="1"/>
  <c r="X197" i="1" s="1"/>
  <c r="Z195" i="1"/>
  <c r="X196" i="1" s="1"/>
  <c r="Z194" i="1"/>
  <c r="X195" i="1" s="1"/>
  <c r="AA195" i="1" s="1"/>
  <c r="AB195" i="1" s="1"/>
  <c r="Z193" i="1"/>
  <c r="X194" i="1" s="1"/>
  <c r="Z192" i="1"/>
  <c r="X193" i="1" s="1"/>
  <c r="Z191" i="1"/>
  <c r="X192" i="1" s="1"/>
  <c r="Z189" i="1"/>
  <c r="X190" i="1" s="1"/>
  <c r="P191" i="1"/>
  <c r="S191" i="1" s="1"/>
  <c r="T191" i="1" s="1"/>
  <c r="P192" i="1"/>
  <c r="S192" i="1" s="1"/>
  <c r="T192" i="1" s="1"/>
  <c r="P193" i="1"/>
  <c r="S193" i="1" s="1"/>
  <c r="T193" i="1" s="1"/>
  <c r="P194" i="1"/>
  <c r="S194" i="1" s="1"/>
  <c r="T194" i="1" s="1"/>
  <c r="P195" i="1"/>
  <c r="S195" i="1" s="1"/>
  <c r="T195" i="1" s="1"/>
  <c r="P196" i="1"/>
  <c r="S196" i="1" s="1"/>
  <c r="T196" i="1" s="1"/>
  <c r="P197" i="1"/>
  <c r="S197" i="1" s="1"/>
  <c r="T197" i="1" s="1"/>
  <c r="P198" i="1"/>
  <c r="S198" i="1" s="1"/>
  <c r="T198" i="1" s="1"/>
  <c r="P199" i="1"/>
  <c r="S199" i="1" s="1"/>
  <c r="T199" i="1" s="1"/>
  <c r="P190" i="1"/>
  <c r="S190" i="1" s="1"/>
  <c r="P189" i="1"/>
  <c r="S189" i="1" s="1"/>
  <c r="P188" i="1"/>
  <c r="S188" i="1" s="1"/>
  <c r="BS198" i="1"/>
  <c r="BQ199" i="1" s="1"/>
  <c r="BT199" i="1" s="1"/>
  <c r="BS197" i="1"/>
  <c r="BQ198" i="1" s="1"/>
  <c r="BS196" i="1"/>
  <c r="BQ197" i="1" s="1"/>
  <c r="BT197" i="1" s="1"/>
  <c r="BU197" i="1" s="1"/>
  <c r="BS195" i="1"/>
  <c r="BQ196" i="1" s="1"/>
  <c r="BS194" i="1"/>
  <c r="BQ195" i="1" s="1"/>
  <c r="BS193" i="1"/>
  <c r="BQ194" i="1" s="1"/>
  <c r="BS192" i="1"/>
  <c r="BQ193" i="1" s="1"/>
  <c r="BT193" i="1" s="1"/>
  <c r="BU193" i="1" s="1"/>
  <c r="BS191" i="1"/>
  <c r="BQ192" i="1" s="1"/>
  <c r="BS190" i="1"/>
  <c r="BQ191" i="1" s="1"/>
  <c r="BS189" i="1"/>
  <c r="BQ190" i="1" s="1"/>
  <c r="BS188" i="1"/>
  <c r="BQ189" i="1" s="1"/>
  <c r="BS187" i="1"/>
  <c r="BQ188" i="1" s="1"/>
  <c r="BS186" i="1"/>
  <c r="BQ187" i="1" s="1"/>
  <c r="BS185" i="1"/>
  <c r="BS184" i="1"/>
  <c r="BQ185" i="1" s="1"/>
  <c r="BS183" i="1"/>
  <c r="BQ184" i="1" s="1"/>
  <c r="BS182" i="1"/>
  <c r="BS181" i="1"/>
  <c r="BS180" i="1"/>
  <c r="BQ181" i="1" s="1"/>
  <c r="BS179" i="1"/>
  <c r="BQ180" i="1" s="1"/>
  <c r="BS178" i="1"/>
  <c r="BQ179" i="1" s="1"/>
  <c r="BS177" i="1"/>
  <c r="BS176" i="1"/>
  <c r="BQ177" i="1" s="1"/>
  <c r="BS175" i="1"/>
  <c r="BQ176" i="1" s="1"/>
  <c r="BS174" i="1"/>
  <c r="BS173" i="1"/>
  <c r="BS172" i="1"/>
  <c r="BQ173" i="1" s="1"/>
  <c r="BS171" i="1"/>
  <c r="BQ172" i="1" s="1"/>
  <c r="BS170" i="1"/>
  <c r="BS169" i="1"/>
  <c r="BS168" i="1"/>
  <c r="BQ169" i="1" s="1"/>
  <c r="BS167" i="1"/>
  <c r="BQ168" i="1" s="1"/>
  <c r="BS166" i="1"/>
  <c r="BQ167" i="1" s="1"/>
  <c r="BS165" i="1"/>
  <c r="BS164" i="1"/>
  <c r="BQ165" i="1" s="1"/>
  <c r="BS163" i="1"/>
  <c r="BQ164" i="1" s="1"/>
  <c r="BQ175" i="1"/>
  <c r="BS162" i="1"/>
  <c r="BQ163" i="1" s="1"/>
  <c r="BS159" i="1"/>
  <c r="BQ160" i="1" s="1"/>
  <c r="BS160" i="1"/>
  <c r="BQ161" i="1" s="1"/>
  <c r="BS161" i="1"/>
  <c r="BQ162" i="1" s="1"/>
  <c r="BQ166" i="1"/>
  <c r="BQ170" i="1"/>
  <c r="BQ171" i="1"/>
  <c r="BQ174" i="1"/>
  <c r="BQ178" i="1"/>
  <c r="BQ182" i="1"/>
  <c r="BQ183" i="1"/>
  <c r="BQ186" i="1"/>
  <c r="BS158" i="1"/>
  <c r="BQ159" i="1" s="1"/>
  <c r="BS157" i="1"/>
  <c r="BQ158" i="1" s="1"/>
  <c r="K236" i="11" l="1"/>
  <c r="AA198" i="1"/>
  <c r="BT191" i="1"/>
  <c r="BU191" i="1" s="1"/>
  <c r="AA193" i="1"/>
  <c r="AB193" i="1" s="1"/>
  <c r="BT192" i="1"/>
  <c r="BT179" i="1"/>
  <c r="BT187" i="1"/>
  <c r="BU187" i="1" s="1"/>
  <c r="BT189" i="1"/>
  <c r="BU189" i="1" s="1"/>
  <c r="BT194" i="1"/>
  <c r="BU194" i="1" s="1"/>
  <c r="BT196" i="1"/>
  <c r="BU196" i="1" s="1"/>
  <c r="BT162" i="1"/>
  <c r="BU162" i="1" s="1"/>
  <c r="BT188" i="1"/>
  <c r="BU188" i="1" s="1"/>
  <c r="AA192" i="1"/>
  <c r="AB192" i="1" s="1"/>
  <c r="AA196" i="1"/>
  <c r="AB196" i="1" s="1"/>
  <c r="BT190" i="1"/>
  <c r="BU190" i="1" s="1"/>
  <c r="BT195" i="1"/>
  <c r="BU195" i="1" s="1"/>
  <c r="BT198" i="1"/>
  <c r="BU198" i="1" s="1"/>
  <c r="AA194" i="1"/>
  <c r="AB194" i="1" s="1"/>
  <c r="AA199" i="1"/>
  <c r="AB199" i="1" s="1"/>
  <c r="AJ191" i="11"/>
  <c r="AQ191" i="11"/>
  <c r="L191" i="11"/>
  <c r="E192" i="11"/>
  <c r="X191" i="11"/>
  <c r="AM188" i="1"/>
  <c r="BU192" i="1"/>
  <c r="BH188" i="1"/>
  <c r="BP188" i="1"/>
  <c r="W188" i="1"/>
  <c r="BH98" i="8"/>
  <c r="BG99" i="8"/>
  <c r="AD99" i="8"/>
  <c r="CD99" i="8"/>
  <c r="BO97" i="8"/>
  <c r="AT96" i="8"/>
  <c r="AS97" i="8"/>
  <c r="BA97" i="8"/>
  <c r="AZ98" i="8"/>
  <c r="BU199" i="1"/>
  <c r="T190" i="1"/>
  <c r="AA191" i="1"/>
  <c r="AB191" i="1" s="1"/>
  <c r="AL98" i="8"/>
  <c r="V97" i="8"/>
  <c r="BV99" i="8"/>
  <c r="BW98" i="8"/>
  <c r="C96" i="8"/>
  <c r="M95" i="8"/>
  <c r="N95" i="8" s="1"/>
  <c r="CE95" i="8"/>
  <c r="AE95" i="8"/>
  <c r="AM95" i="8"/>
  <c r="L108" i="8"/>
  <c r="AK9" i="5"/>
  <c r="AK10" i="5" s="1"/>
  <c r="K16" i="5"/>
  <c r="L15" i="5"/>
  <c r="M15" i="5" s="1"/>
  <c r="U18" i="5"/>
  <c r="V17" i="5"/>
  <c r="C21" i="5"/>
  <c r="E21" i="5"/>
  <c r="BV16" i="5"/>
  <c r="BU17" i="5"/>
  <c r="CC9" i="5"/>
  <c r="CD9" i="5" s="1"/>
  <c r="BN10" i="5"/>
  <c r="BF9" i="5"/>
  <c r="BG8" i="5"/>
  <c r="AR11" i="5"/>
  <c r="AS10" i="5"/>
  <c r="AY10" i="5"/>
  <c r="AZ9" i="5"/>
  <c r="AC10" i="5"/>
  <c r="AD9" i="5"/>
  <c r="BM189" i="1"/>
  <c r="BM188" i="1"/>
  <c r="AJ189" i="1"/>
  <c r="AJ188" i="1"/>
  <c r="AB198" i="1"/>
  <c r="T189" i="1"/>
  <c r="T188" i="1"/>
  <c r="BT169" i="1"/>
  <c r="BU169" i="1" s="1"/>
  <c r="BT163" i="1"/>
  <c r="BU163" i="1" s="1"/>
  <c r="BT186" i="1"/>
  <c r="BU186" i="1" s="1"/>
  <c r="BT178" i="1"/>
  <c r="BU178" i="1" s="1"/>
  <c r="Z188" i="1"/>
  <c r="X189" i="1" s="1"/>
  <c r="AA189" i="1" s="1"/>
  <c r="AB189" i="1" s="1"/>
  <c r="K237" i="11" l="1"/>
  <c r="BX188" i="1"/>
  <c r="AJ192" i="11"/>
  <c r="AQ192" i="11"/>
  <c r="X192" i="11"/>
  <c r="E193" i="11"/>
  <c r="L192" i="11"/>
  <c r="AL99" i="8"/>
  <c r="BA98" i="8"/>
  <c r="AZ99" i="8"/>
  <c r="BO98" i="8"/>
  <c r="AD100" i="8"/>
  <c r="C97" i="8"/>
  <c r="M96" i="8"/>
  <c r="N96" i="8" s="1"/>
  <c r="CE96" i="8"/>
  <c r="AE96" i="8"/>
  <c r="AM96" i="8"/>
  <c r="BX157" i="1"/>
  <c r="L109" i="8"/>
  <c r="BW99" i="8"/>
  <c r="BV100" i="8"/>
  <c r="BP96" i="8"/>
  <c r="W96" i="8"/>
  <c r="W97" i="8"/>
  <c r="V98" i="8"/>
  <c r="AT97" i="8"/>
  <c r="AS98" i="8"/>
  <c r="CD100" i="8"/>
  <c r="BH99" i="8"/>
  <c r="BG100" i="8"/>
  <c r="AL9" i="5"/>
  <c r="U19" i="5"/>
  <c r="V18" i="5"/>
  <c r="K17" i="5"/>
  <c r="L16" i="5"/>
  <c r="M16" i="5" s="1"/>
  <c r="C22" i="5"/>
  <c r="E22" i="5"/>
  <c r="BV17" i="5"/>
  <c r="BU18" i="5"/>
  <c r="CC10" i="5"/>
  <c r="CD10" i="5" s="1"/>
  <c r="AC11" i="5"/>
  <c r="AD10" i="5"/>
  <c r="AK11" i="5"/>
  <c r="AL10" i="5"/>
  <c r="BF10" i="5"/>
  <c r="BG9" i="5"/>
  <c r="AY11" i="5"/>
  <c r="AZ10" i="5"/>
  <c r="AR12" i="5"/>
  <c r="AS11" i="5"/>
  <c r="BN11" i="5"/>
  <c r="BO10" i="5"/>
  <c r="Z187" i="1"/>
  <c r="X188" i="1" s="1"/>
  <c r="AA188" i="1" s="1"/>
  <c r="BI187" i="1"/>
  <c r="BL187" i="1" s="1"/>
  <c r="BM187" i="1" s="1"/>
  <c r="BI170" i="1"/>
  <c r="BI171" i="1"/>
  <c r="BI172" i="1"/>
  <c r="BI173" i="1"/>
  <c r="BI174" i="1"/>
  <c r="BI175" i="1"/>
  <c r="BI176" i="1"/>
  <c r="BI177" i="1"/>
  <c r="BI178" i="1"/>
  <c r="BI179" i="1"/>
  <c r="BI180" i="1"/>
  <c r="BI181" i="1"/>
  <c r="BI182" i="1"/>
  <c r="BI183" i="1"/>
  <c r="BI184" i="1"/>
  <c r="BI185" i="1"/>
  <c r="BI186" i="1"/>
  <c r="BB187" i="1"/>
  <c r="BB170" i="1"/>
  <c r="BB171" i="1"/>
  <c r="BB172" i="1"/>
  <c r="BB173" i="1"/>
  <c r="BB174" i="1"/>
  <c r="BB175" i="1"/>
  <c r="BB176" i="1"/>
  <c r="BB177" i="1"/>
  <c r="BB178" i="1"/>
  <c r="BB179" i="1"/>
  <c r="BB180" i="1"/>
  <c r="BB181" i="1"/>
  <c r="BB182" i="1"/>
  <c r="BB183" i="1"/>
  <c r="BB184" i="1"/>
  <c r="BB185" i="1"/>
  <c r="BB186" i="1"/>
  <c r="AF170" i="1"/>
  <c r="AF171" i="1"/>
  <c r="AF172" i="1"/>
  <c r="AF173" i="1"/>
  <c r="AF174" i="1"/>
  <c r="AF175" i="1"/>
  <c r="AF176" i="1"/>
  <c r="AF177" i="1"/>
  <c r="AF178" i="1"/>
  <c r="AF179" i="1"/>
  <c r="AF180" i="1"/>
  <c r="AF181" i="1"/>
  <c r="AF182" i="1"/>
  <c r="AF183" i="1"/>
  <c r="AF184" i="1"/>
  <c r="AF185" i="1"/>
  <c r="AF186" i="1"/>
  <c r="AF187" i="1"/>
  <c r="AI187" i="1" s="1"/>
  <c r="AJ187" i="1" s="1"/>
  <c r="Z170" i="1"/>
  <c r="X171" i="1" s="1"/>
  <c r="Z171" i="1"/>
  <c r="X172" i="1" s="1"/>
  <c r="Z172" i="1"/>
  <c r="X173" i="1" s="1"/>
  <c r="Z173" i="1"/>
  <c r="X174" i="1" s="1"/>
  <c r="Z174" i="1"/>
  <c r="X175" i="1" s="1"/>
  <c r="Z175" i="1"/>
  <c r="X176" i="1" s="1"/>
  <c r="Z176" i="1"/>
  <c r="X177" i="1" s="1"/>
  <c r="Z177" i="1"/>
  <c r="X178" i="1" s="1"/>
  <c r="Z178" i="1"/>
  <c r="X179" i="1" s="1"/>
  <c r="Z179" i="1"/>
  <c r="X180" i="1" s="1"/>
  <c r="Z180" i="1"/>
  <c r="X181" i="1" s="1"/>
  <c r="Z181" i="1"/>
  <c r="X182" i="1" s="1"/>
  <c r="Z182" i="1"/>
  <c r="X183" i="1" s="1"/>
  <c r="Z183" i="1"/>
  <c r="X184" i="1" s="1"/>
  <c r="Z184" i="1"/>
  <c r="X185" i="1" s="1"/>
  <c r="Z185" i="1"/>
  <c r="X186" i="1" s="1"/>
  <c r="Z186" i="1"/>
  <c r="X187" i="1" s="1"/>
  <c r="AA187" i="1" s="1"/>
  <c r="AB187" i="1" s="1"/>
  <c r="P170" i="1"/>
  <c r="P171" i="1"/>
  <c r="P172" i="1"/>
  <c r="P173" i="1"/>
  <c r="P174" i="1"/>
  <c r="P175" i="1"/>
  <c r="P176" i="1"/>
  <c r="P177" i="1"/>
  <c r="P178" i="1"/>
  <c r="P179" i="1"/>
  <c r="P180" i="1"/>
  <c r="P181" i="1"/>
  <c r="P182" i="1"/>
  <c r="P183" i="1"/>
  <c r="P184" i="1"/>
  <c r="P185" i="1"/>
  <c r="P186" i="1"/>
  <c r="P187" i="1"/>
  <c r="S187" i="1" s="1"/>
  <c r="T187" i="1" s="1"/>
  <c r="K238" i="11" l="1"/>
  <c r="AJ193" i="11"/>
  <c r="AQ193" i="11"/>
  <c r="L193" i="11"/>
  <c r="E194" i="11"/>
  <c r="X193" i="11"/>
  <c r="BG101" i="8"/>
  <c r="BH100" i="8"/>
  <c r="AZ100" i="8"/>
  <c r="BA99" i="8"/>
  <c r="AE188" i="1"/>
  <c r="AB188" i="1"/>
  <c r="L110" i="8"/>
  <c r="AD101" i="8"/>
  <c r="CD101" i="8"/>
  <c r="V99" i="8"/>
  <c r="BW100" i="8"/>
  <c r="BV101" i="8"/>
  <c r="BO99" i="8"/>
  <c r="AT98" i="8"/>
  <c r="AS99" i="8"/>
  <c r="C98" i="8"/>
  <c r="BP98" i="8" s="1"/>
  <c r="M97" i="8"/>
  <c r="N97" i="8" s="1"/>
  <c r="CE97" i="8"/>
  <c r="AE97" i="8"/>
  <c r="AM97" i="8"/>
  <c r="BP97" i="8"/>
  <c r="AL100" i="8"/>
  <c r="AC12" i="5"/>
  <c r="AD12" i="5" s="1"/>
  <c r="AD11" i="5"/>
  <c r="K18" i="5"/>
  <c r="L17" i="5"/>
  <c r="M17" i="5" s="1"/>
  <c r="U20" i="5"/>
  <c r="V19" i="5"/>
  <c r="C23" i="5"/>
  <c r="E23" i="5"/>
  <c r="BV18" i="5"/>
  <c r="BU19" i="5"/>
  <c r="CC11" i="5"/>
  <c r="CD11" i="5" s="1"/>
  <c r="AK12" i="5"/>
  <c r="AL11" i="5"/>
  <c r="AS12" i="5"/>
  <c r="AR13" i="5"/>
  <c r="BG10" i="5"/>
  <c r="BF11" i="5"/>
  <c r="BN12" i="5"/>
  <c r="BO11" i="5"/>
  <c r="AY12" i="5"/>
  <c r="AZ11" i="5"/>
  <c r="AC13" i="5"/>
  <c r="Z157" i="1"/>
  <c r="K239" i="11" l="1"/>
  <c r="AJ194" i="11"/>
  <c r="AQ194" i="11"/>
  <c r="L194" i="11"/>
  <c r="E195" i="11"/>
  <c r="X194" i="11"/>
  <c r="AS100" i="8"/>
  <c r="AT99" i="8"/>
  <c r="BW101" i="8"/>
  <c r="BV102" i="8"/>
  <c r="AL101" i="8"/>
  <c r="CD102" i="8"/>
  <c r="L111" i="8"/>
  <c r="AZ101" i="8"/>
  <c r="BA100" i="8"/>
  <c r="V100" i="8"/>
  <c r="AD102" i="8"/>
  <c r="C99" i="8"/>
  <c r="W99" i="8" s="1"/>
  <c r="M98" i="8"/>
  <c r="N98" i="8" s="1"/>
  <c r="AE98" i="8"/>
  <c r="CE98" i="8"/>
  <c r="AM98" i="8"/>
  <c r="BO100" i="8"/>
  <c r="BP99" i="8"/>
  <c r="W98" i="8"/>
  <c r="BG102" i="8"/>
  <c r="BH101" i="8"/>
  <c r="K19" i="5"/>
  <c r="L18" i="5"/>
  <c r="M18" i="5" s="1"/>
  <c r="U21" i="5"/>
  <c r="V20" i="5"/>
  <c r="C24" i="5"/>
  <c r="E24" i="5"/>
  <c r="BV19" i="5"/>
  <c r="BU20" i="5"/>
  <c r="CC12" i="5"/>
  <c r="CD12" i="5" s="1"/>
  <c r="AZ12" i="5"/>
  <c r="AY13" i="5"/>
  <c r="AL12" i="5"/>
  <c r="AK13" i="5"/>
  <c r="AC14" i="5"/>
  <c r="AD13" i="5"/>
  <c r="AS13" i="5"/>
  <c r="AR14" i="5"/>
  <c r="BO12" i="5"/>
  <c r="BN13" i="5"/>
  <c r="BG11" i="5"/>
  <c r="BF12" i="5"/>
  <c r="BI159" i="1"/>
  <c r="BL159" i="1" s="1"/>
  <c r="BI160" i="1"/>
  <c r="BL160" i="1" s="1"/>
  <c r="BM160" i="1" s="1"/>
  <c r="BI161" i="1"/>
  <c r="BL161" i="1" s="1"/>
  <c r="BM161" i="1" s="1"/>
  <c r="BI162" i="1"/>
  <c r="BL162" i="1" s="1"/>
  <c r="BM162" i="1" s="1"/>
  <c r="BI163" i="1"/>
  <c r="BL163" i="1" s="1"/>
  <c r="BM163" i="1" s="1"/>
  <c r="BI164" i="1"/>
  <c r="BI165" i="1"/>
  <c r="BI166" i="1"/>
  <c r="BI167" i="1"/>
  <c r="BI168" i="1"/>
  <c r="BL168" i="1" s="1"/>
  <c r="BM168" i="1" s="1"/>
  <c r="BI169" i="1"/>
  <c r="BL169" i="1" s="1"/>
  <c r="BM169" i="1" s="1"/>
  <c r="BI158" i="1"/>
  <c r="BI157" i="1"/>
  <c r="BB159" i="1"/>
  <c r="BB160" i="1"/>
  <c r="BB161" i="1"/>
  <c r="BB162" i="1"/>
  <c r="BB163" i="1"/>
  <c r="BE163" i="1" s="1"/>
  <c r="BB164" i="1"/>
  <c r="BB165" i="1"/>
  <c r="BB166" i="1"/>
  <c r="BB167" i="1"/>
  <c r="BB168" i="1"/>
  <c r="BB169" i="1"/>
  <c r="BE169" i="1" s="1"/>
  <c r="BB158" i="1"/>
  <c r="BB157" i="1"/>
  <c r="AF159" i="1"/>
  <c r="AF160" i="1"/>
  <c r="AF161" i="1"/>
  <c r="AI161" i="1" s="1"/>
  <c r="AJ161" i="1" s="1"/>
  <c r="AF162" i="1"/>
  <c r="AI162" i="1" s="1"/>
  <c r="AJ162" i="1" s="1"/>
  <c r="AF163" i="1"/>
  <c r="AI163" i="1" s="1"/>
  <c r="AJ163" i="1" s="1"/>
  <c r="AF164" i="1"/>
  <c r="AF165" i="1"/>
  <c r="AF166" i="1"/>
  <c r="AF167" i="1"/>
  <c r="AF168" i="1"/>
  <c r="AF169" i="1"/>
  <c r="AF158" i="1"/>
  <c r="AI158" i="1" s="1"/>
  <c r="AJ158" i="1" s="1"/>
  <c r="AF157" i="1"/>
  <c r="X158" i="1"/>
  <c r="Z169" i="1"/>
  <c r="X170" i="1" s="1"/>
  <c r="Z168" i="1"/>
  <c r="X169" i="1" s="1"/>
  <c r="Z167" i="1"/>
  <c r="X168" i="1" s="1"/>
  <c r="Z166" i="1"/>
  <c r="X167" i="1" s="1"/>
  <c r="AA167" i="1" s="1"/>
  <c r="AB167" i="1" s="1"/>
  <c r="Z165" i="1"/>
  <c r="X166" i="1" s="1"/>
  <c r="Z164" i="1"/>
  <c r="X165" i="1" s="1"/>
  <c r="Z163" i="1"/>
  <c r="X164" i="1" s="1"/>
  <c r="Z162" i="1"/>
  <c r="X163" i="1" s="1"/>
  <c r="AA163" i="1" s="1"/>
  <c r="AB163" i="1" s="1"/>
  <c r="Z161" i="1"/>
  <c r="X162" i="1" s="1"/>
  <c r="Z160" i="1"/>
  <c r="X161" i="1" s="1"/>
  <c r="Z159" i="1"/>
  <c r="X160" i="1" s="1"/>
  <c r="Z158" i="1"/>
  <c r="X159" i="1" s="1"/>
  <c r="N157" i="1"/>
  <c r="O157" i="1" s="1"/>
  <c r="P159" i="1"/>
  <c r="P160" i="1"/>
  <c r="P161" i="1"/>
  <c r="P162" i="1"/>
  <c r="P163" i="1"/>
  <c r="P164" i="1"/>
  <c r="P165" i="1"/>
  <c r="P166" i="1"/>
  <c r="P167" i="1"/>
  <c r="P168" i="1"/>
  <c r="S168" i="1" s="1"/>
  <c r="T168" i="1" s="1"/>
  <c r="P169" i="1"/>
  <c r="S169" i="1" s="1"/>
  <c r="T169" i="1" s="1"/>
  <c r="P158" i="1"/>
  <c r="P157" i="1"/>
  <c r="F162" i="1"/>
  <c r="I162" i="1" s="1"/>
  <c r="F163" i="1"/>
  <c r="I163" i="1" s="1"/>
  <c r="F164" i="1"/>
  <c r="I164" i="1" s="1"/>
  <c r="F165" i="1"/>
  <c r="I165" i="1" s="1"/>
  <c r="F159" i="1"/>
  <c r="I159" i="1" s="1"/>
  <c r="F160" i="1"/>
  <c r="I160" i="1" s="1"/>
  <c r="F161" i="1"/>
  <c r="I161" i="1" s="1"/>
  <c r="F158" i="1"/>
  <c r="I158" i="1" s="1"/>
  <c r="F157" i="1"/>
  <c r="I157" i="1" s="1"/>
  <c r="K240" i="11" l="1"/>
  <c r="AA162" i="1"/>
  <c r="AB162" i="1" s="1"/>
  <c r="AA160" i="1"/>
  <c r="AB160" i="1" s="1"/>
  <c r="AA168" i="1"/>
  <c r="AB168" i="1" s="1"/>
  <c r="AA161" i="1"/>
  <c r="AB161" i="1" s="1"/>
  <c r="AJ195" i="11"/>
  <c r="AQ195" i="11"/>
  <c r="E196" i="11"/>
  <c r="L195" i="11"/>
  <c r="X195" i="11"/>
  <c r="BP157" i="1"/>
  <c r="BM159" i="1"/>
  <c r="AM157" i="1"/>
  <c r="CD103" i="8"/>
  <c r="BV103" i="8"/>
  <c r="BW102" i="8"/>
  <c r="AA158" i="1"/>
  <c r="AD103" i="8"/>
  <c r="AZ102" i="8"/>
  <c r="BA101" i="8"/>
  <c r="BO101" i="8"/>
  <c r="AL102" i="8"/>
  <c r="BH102" i="8"/>
  <c r="BG103" i="8"/>
  <c r="C100" i="8"/>
  <c r="M99" i="8"/>
  <c r="N99" i="8" s="1"/>
  <c r="CE99" i="8"/>
  <c r="AE99" i="8"/>
  <c r="AM99" i="8"/>
  <c r="V101" i="8"/>
  <c r="L112" i="8"/>
  <c r="AS101" i="8"/>
  <c r="AT100" i="8"/>
  <c r="U22" i="5"/>
  <c r="V21" i="5"/>
  <c r="K20" i="5"/>
  <c r="L19" i="5"/>
  <c r="M19" i="5" s="1"/>
  <c r="C25" i="5"/>
  <c r="E25" i="5"/>
  <c r="BV20" i="5"/>
  <c r="BU21" i="5"/>
  <c r="CC13" i="5"/>
  <c r="CD13" i="5" s="1"/>
  <c r="BG12" i="5"/>
  <c r="BF13" i="5"/>
  <c r="AL13" i="5"/>
  <c r="AK14" i="5"/>
  <c r="BO13" i="5"/>
  <c r="BN14" i="5"/>
  <c r="AR15" i="5"/>
  <c r="AR16" i="5" s="1"/>
  <c r="AS14" i="5"/>
  <c r="AZ13" i="5"/>
  <c r="AY14" i="5"/>
  <c r="AC15" i="5"/>
  <c r="AC16" i="5" s="1"/>
  <c r="AD14" i="5"/>
  <c r="BH157" i="1"/>
  <c r="W157" i="1"/>
  <c r="BH35" i="1"/>
  <c r="G156" i="1"/>
  <c r="I156" i="1" s="1"/>
  <c r="P154" i="1"/>
  <c r="P155" i="1"/>
  <c r="P156" i="1"/>
  <c r="AF154" i="1"/>
  <c r="AI154" i="1" s="1"/>
  <c r="AF155" i="1"/>
  <c r="AI155" i="1" s="1"/>
  <c r="AF156" i="1"/>
  <c r="AI156" i="1" s="1"/>
  <c r="AJ156" i="1" s="1"/>
  <c r="Z156" i="1"/>
  <c r="X157" i="1" s="1"/>
  <c r="Z155" i="1"/>
  <c r="X156" i="1" s="1"/>
  <c r="Z154" i="1"/>
  <c r="X155" i="1" s="1"/>
  <c r="BB154" i="1"/>
  <c r="BE154" i="1" s="1"/>
  <c r="BB155" i="1"/>
  <c r="BE155" i="1" s="1"/>
  <c r="BB156" i="1"/>
  <c r="BE156" i="1" s="1"/>
  <c r="BI154" i="1"/>
  <c r="BI155" i="1"/>
  <c r="BI156" i="1"/>
  <c r="BL156" i="1" s="1"/>
  <c r="BM156" i="1" s="1"/>
  <c r="BS156" i="1"/>
  <c r="BQ157" i="1" s="1"/>
  <c r="BS155" i="1"/>
  <c r="BQ156" i="1" s="1"/>
  <c r="BS154" i="1"/>
  <c r="BQ155" i="1" s="1"/>
  <c r="AW132" i="1"/>
  <c r="AX132" i="1" s="1"/>
  <c r="AW133" i="1"/>
  <c r="AX133" i="1" s="1"/>
  <c r="AW134" i="1"/>
  <c r="AX134" i="1" s="1"/>
  <c r="AW135" i="1"/>
  <c r="AX135" i="1" s="1"/>
  <c r="AW136" i="1"/>
  <c r="AX136" i="1" s="1"/>
  <c r="AW137" i="1"/>
  <c r="AX137" i="1" s="1"/>
  <c r="AW138" i="1"/>
  <c r="AX138" i="1" s="1"/>
  <c r="AW139" i="1"/>
  <c r="AX139" i="1" s="1"/>
  <c r="AW140" i="1"/>
  <c r="AX140" i="1" s="1"/>
  <c r="AW142" i="1"/>
  <c r="AX142" i="1" s="1"/>
  <c r="AW143" i="1"/>
  <c r="AX143" i="1" s="1"/>
  <c r="AW148" i="1"/>
  <c r="AX148" i="1" s="1"/>
  <c r="AW149" i="1"/>
  <c r="AX149" i="1" s="1"/>
  <c r="AW150" i="1"/>
  <c r="AX150" i="1" s="1"/>
  <c r="AW151" i="1"/>
  <c r="AX151" i="1" s="1"/>
  <c r="AW152" i="1"/>
  <c r="AX152" i="1" s="1"/>
  <c r="AW153" i="1"/>
  <c r="AX153" i="1" s="1"/>
  <c r="AW154" i="1"/>
  <c r="AW155" i="1"/>
  <c r="AX155" i="1" s="1"/>
  <c r="AW156" i="1"/>
  <c r="AX156" i="1" s="1"/>
  <c r="AW127" i="1"/>
  <c r="AX127" i="1" s="1"/>
  <c r="AW128" i="1"/>
  <c r="AX128" i="1" s="1"/>
  <c r="AW129" i="1"/>
  <c r="AX129" i="1" s="1"/>
  <c r="AW130" i="1"/>
  <c r="AX130" i="1" s="1"/>
  <c r="AW131" i="1"/>
  <c r="AX131" i="1" s="1"/>
  <c r="AW104" i="1"/>
  <c r="AX104" i="1" s="1"/>
  <c r="AW106" i="1"/>
  <c r="AX106" i="1" s="1"/>
  <c r="AW107" i="1"/>
  <c r="AX107" i="1" s="1"/>
  <c r="AW108" i="1"/>
  <c r="AX108" i="1" s="1"/>
  <c r="AW109" i="1"/>
  <c r="AX109" i="1" s="1"/>
  <c r="AW110" i="1"/>
  <c r="AX110" i="1" s="1"/>
  <c r="AW111" i="1"/>
  <c r="AX111" i="1" s="1"/>
  <c r="AW112" i="1"/>
  <c r="AX112" i="1" s="1"/>
  <c r="AW113" i="1"/>
  <c r="AX113" i="1" s="1"/>
  <c r="AW114" i="1"/>
  <c r="AX114" i="1" s="1"/>
  <c r="AW115" i="1"/>
  <c r="AX115" i="1" s="1"/>
  <c r="AW116" i="1"/>
  <c r="AX116" i="1" s="1"/>
  <c r="AW117" i="1"/>
  <c r="AX117" i="1" s="1"/>
  <c r="AW118" i="1"/>
  <c r="AX118" i="1" s="1"/>
  <c r="AW119" i="1"/>
  <c r="AX119" i="1" s="1"/>
  <c r="AW122" i="1"/>
  <c r="AX122" i="1" s="1"/>
  <c r="AW123" i="1"/>
  <c r="AX123" i="1" s="1"/>
  <c r="AW124" i="1"/>
  <c r="AX124" i="1" s="1"/>
  <c r="AW125" i="1"/>
  <c r="AX125" i="1" s="1"/>
  <c r="AW126" i="1"/>
  <c r="AX126" i="1" s="1"/>
  <c r="AW96" i="1"/>
  <c r="AX96" i="1" s="1"/>
  <c r="AW97" i="1"/>
  <c r="AX97" i="1" s="1"/>
  <c r="AW98" i="1"/>
  <c r="AP132" i="1"/>
  <c r="AQ132" i="1" s="1"/>
  <c r="AP133" i="1"/>
  <c r="AQ133" i="1" s="1"/>
  <c r="AP134" i="1"/>
  <c r="AQ134" i="1" s="1"/>
  <c r="AP135" i="1"/>
  <c r="AQ135" i="1" s="1"/>
  <c r="AP136" i="1"/>
  <c r="AQ136" i="1" s="1"/>
  <c r="AP137" i="1"/>
  <c r="AQ137" i="1" s="1"/>
  <c r="AP138" i="1"/>
  <c r="AQ138" i="1" s="1"/>
  <c r="AP139" i="1"/>
  <c r="AQ139" i="1" s="1"/>
  <c r="AP140" i="1"/>
  <c r="AQ140" i="1" s="1"/>
  <c r="AP142" i="1"/>
  <c r="AQ142" i="1" s="1"/>
  <c r="AP143" i="1"/>
  <c r="AQ143" i="1" s="1"/>
  <c r="AP148" i="1"/>
  <c r="AQ148" i="1" s="1"/>
  <c r="AP149" i="1"/>
  <c r="AQ149" i="1" s="1"/>
  <c r="AP150" i="1"/>
  <c r="AQ150" i="1" s="1"/>
  <c r="AP151" i="1"/>
  <c r="AQ151" i="1" s="1"/>
  <c r="AP152" i="1"/>
  <c r="AQ152" i="1" s="1"/>
  <c r="AP153" i="1"/>
  <c r="AQ153" i="1" s="1"/>
  <c r="AP154" i="1"/>
  <c r="AP155" i="1"/>
  <c r="AQ155" i="1" s="1"/>
  <c r="AP156" i="1"/>
  <c r="AQ156" i="1" s="1"/>
  <c r="AJ196" i="11" l="1"/>
  <c r="AQ196" i="11"/>
  <c r="L196" i="11"/>
  <c r="E197" i="11"/>
  <c r="X196" i="11"/>
  <c r="AT101" i="8"/>
  <c r="AS102" i="8"/>
  <c r="V102" i="8"/>
  <c r="AE157" i="1"/>
  <c r="AB158" i="1"/>
  <c r="CD104" i="8"/>
  <c r="L113" i="8"/>
  <c r="C101" i="8"/>
  <c r="W101" i="8" s="1"/>
  <c r="M100" i="8"/>
  <c r="N100" i="8" s="1"/>
  <c r="AE100" i="8"/>
  <c r="CE100" i="8"/>
  <c r="AM100" i="8"/>
  <c r="AL103" i="8"/>
  <c r="BA102" i="8"/>
  <c r="AZ103" i="8"/>
  <c r="BH103" i="8"/>
  <c r="BG104" i="8"/>
  <c r="BO102" i="8"/>
  <c r="AD104" i="8"/>
  <c r="BV104" i="8"/>
  <c r="BW103" i="8"/>
  <c r="W100" i="8"/>
  <c r="BP100" i="8"/>
  <c r="AC17" i="5"/>
  <c r="AD16" i="5"/>
  <c r="K21" i="5"/>
  <c r="L20" i="5"/>
  <c r="M20" i="5" s="1"/>
  <c r="AR17" i="5"/>
  <c r="AS16" i="5"/>
  <c r="U23" i="5"/>
  <c r="V22" i="5"/>
  <c r="C26" i="5"/>
  <c r="C27" i="5" s="1"/>
  <c r="C28" i="5" s="1"/>
  <c r="C29" i="5" s="1"/>
  <c r="C30" i="5" s="1"/>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C69" i="5" s="1"/>
  <c r="C70" i="5" s="1"/>
  <c r="C71" i="5" s="1"/>
  <c r="C72" i="5" s="1"/>
  <c r="C73" i="5" s="1"/>
  <c r="C74" i="5" s="1"/>
  <c r="C75" i="5" s="1"/>
  <c r="C76" i="5" s="1"/>
  <c r="C77" i="5" s="1"/>
  <c r="C78" i="5" s="1"/>
  <c r="C79" i="5" s="1"/>
  <c r="C80" i="5" s="1"/>
  <c r="E26" i="5"/>
  <c r="BV21" i="5"/>
  <c r="BU22" i="5"/>
  <c r="CC14" i="5"/>
  <c r="CD14" i="5" s="1"/>
  <c r="AK15" i="5"/>
  <c r="AK16" i="5" s="1"/>
  <c r="AL14" i="5"/>
  <c r="AS15" i="5"/>
  <c r="AY15" i="5"/>
  <c r="AY16" i="5" s="1"/>
  <c r="AZ14" i="5"/>
  <c r="BN15" i="5"/>
  <c r="BN16" i="5" s="1"/>
  <c r="BO14" i="5"/>
  <c r="BF14" i="5"/>
  <c r="BG13" i="5"/>
  <c r="AD15" i="5"/>
  <c r="N127" i="1"/>
  <c r="O127" i="1" s="1"/>
  <c r="K156" i="1"/>
  <c r="K157" i="1" s="1"/>
  <c r="BT156" i="1"/>
  <c r="BU156" i="1" s="1"/>
  <c r="AA156" i="1"/>
  <c r="BA96" i="1"/>
  <c r="BA127" i="1"/>
  <c r="BI152" i="1"/>
  <c r="BL152" i="1" s="1"/>
  <c r="BM152" i="1" s="1"/>
  <c r="BI153" i="1"/>
  <c r="BL153" i="1" s="1"/>
  <c r="BM153" i="1" s="1"/>
  <c r="BB152" i="1"/>
  <c r="BB153" i="1"/>
  <c r="BE153" i="1" s="1"/>
  <c r="Z153" i="1"/>
  <c r="AF153" i="1"/>
  <c r="AI153" i="1" s="1"/>
  <c r="AJ153" i="1" s="1"/>
  <c r="AF151" i="1"/>
  <c r="AI151" i="1" s="1"/>
  <c r="AJ151" i="1" s="1"/>
  <c r="AF152" i="1"/>
  <c r="AI152" i="1" s="1"/>
  <c r="P152" i="1"/>
  <c r="P153" i="1"/>
  <c r="S153" i="1" s="1"/>
  <c r="T153" i="1" s="1"/>
  <c r="Z152" i="1"/>
  <c r="X153" i="1" s="1"/>
  <c r="BP101" i="8" l="1"/>
  <c r="AJ197" i="11"/>
  <c r="AQ197" i="11"/>
  <c r="E198" i="11"/>
  <c r="X197" i="11"/>
  <c r="L197" i="11"/>
  <c r="AL104" i="8"/>
  <c r="AZ104" i="8"/>
  <c r="BA103" i="8"/>
  <c r="C102" i="8"/>
  <c r="BP102" i="8" s="1"/>
  <c r="M101" i="8"/>
  <c r="N101" i="8" s="1"/>
  <c r="CE101" i="8"/>
  <c r="AE101" i="8"/>
  <c r="AM101" i="8"/>
  <c r="CD105" i="8"/>
  <c r="W102" i="8"/>
  <c r="V103" i="8"/>
  <c r="C81" i="5"/>
  <c r="C82" i="5" s="1"/>
  <c r="C83" i="5" s="1"/>
  <c r="C84" i="5" s="1"/>
  <c r="C85" i="5" s="1"/>
  <c r="C86" i="5" s="1"/>
  <c r="C87" i="5" s="1"/>
  <c r="C88" i="5" s="1"/>
  <c r="C89" i="5" s="1"/>
  <c r="C90" i="5" s="1"/>
  <c r="C91" i="5" s="1"/>
  <c r="C92" i="5" s="1"/>
  <c r="C93" i="5" s="1"/>
  <c r="C94" i="5" s="1"/>
  <c r="C95" i="5" s="1"/>
  <c r="C96" i="5" s="1"/>
  <c r="C97" i="5" s="1"/>
  <c r="C98" i="5" s="1"/>
  <c r="C99" i="5" s="1"/>
  <c r="C100" i="5" s="1"/>
  <c r="C101" i="5" s="1"/>
  <c r="C102" i="5" s="1"/>
  <c r="C103" i="5" s="1"/>
  <c r="C104" i="5" s="1"/>
  <c r="C105" i="5" s="1"/>
  <c r="C106" i="5" s="1"/>
  <c r="C107" i="5" s="1"/>
  <c r="C108" i="5" s="1"/>
  <c r="C109" i="5" s="1"/>
  <c r="C110" i="5" s="1"/>
  <c r="C111" i="5" s="1"/>
  <c r="C112" i="5" s="1"/>
  <c r="C113" i="5" s="1"/>
  <c r="C114" i="5" s="1"/>
  <c r="C115" i="5" s="1"/>
  <c r="C116" i="5" s="1"/>
  <c r="C117" i="5" s="1"/>
  <c r="C118" i="5" s="1"/>
  <c r="C119" i="5" s="1"/>
  <c r="C120" i="5" s="1"/>
  <c r="C121" i="5" s="1"/>
  <c r="C122" i="5" s="1"/>
  <c r="C123" i="5" s="1"/>
  <c r="C124" i="5" s="1"/>
  <c r="C125" i="5" s="1"/>
  <c r="C126" i="5" s="1"/>
  <c r="C127" i="5" s="1"/>
  <c r="C128" i="5" s="1"/>
  <c r="C129" i="5" s="1"/>
  <c r="C130" i="5" s="1"/>
  <c r="C131" i="5" s="1"/>
  <c r="C132" i="5" s="1"/>
  <c r="C133" i="5" s="1"/>
  <c r="C134" i="5" s="1"/>
  <c r="C135" i="5" s="1"/>
  <c r="C136" i="5" s="1"/>
  <c r="C137" i="5" s="1"/>
  <c r="C138" i="5" s="1"/>
  <c r="C139" i="5" s="1"/>
  <c r="C140" i="5" s="1"/>
  <c r="C141" i="5" s="1"/>
  <c r="C142" i="5" s="1"/>
  <c r="C143" i="5" s="1"/>
  <c r="C144" i="5" s="1"/>
  <c r="C145" i="5" s="1"/>
  <c r="C146" i="5" s="1"/>
  <c r="C147" i="5" s="1"/>
  <c r="C148" i="5" s="1"/>
  <c r="C149" i="5" s="1"/>
  <c r="C150" i="5" s="1"/>
  <c r="BW104" i="8"/>
  <c r="BV105" i="8"/>
  <c r="BO103" i="8"/>
  <c r="L114" i="8"/>
  <c r="AT102" i="8"/>
  <c r="AS103" i="8"/>
  <c r="AD105" i="8"/>
  <c r="BH104" i="8"/>
  <c r="BG105" i="8"/>
  <c r="AC18" i="5"/>
  <c r="AD17" i="5"/>
  <c r="AK17" i="5"/>
  <c r="AL16" i="5"/>
  <c r="AY17" i="5"/>
  <c r="AZ16" i="5"/>
  <c r="AR18" i="5"/>
  <c r="AS17" i="5"/>
  <c r="BN17" i="5"/>
  <c r="BO16" i="5"/>
  <c r="E27" i="5"/>
  <c r="E28" i="5" s="1"/>
  <c r="E29" i="5" s="1"/>
  <c r="E30" i="5" s="1"/>
  <c r="E31" i="5" s="1"/>
  <c r="E32" i="5" s="1"/>
  <c r="E33" i="5" s="1"/>
  <c r="E34" i="5" s="1"/>
  <c r="E35" i="5" s="1"/>
  <c r="E36" i="5" s="1"/>
  <c r="E37" i="5" s="1"/>
  <c r="E38" i="5" s="1"/>
  <c r="E39" i="5" s="1"/>
  <c r="E40" i="5" s="1"/>
  <c r="E41" i="5" s="1"/>
  <c r="E42" i="5" s="1"/>
  <c r="E43" i="5" s="1"/>
  <c r="E44" i="5" s="1"/>
  <c r="E45" i="5" s="1"/>
  <c r="E46" i="5" s="1"/>
  <c r="E47" i="5" s="1"/>
  <c r="E48" i="5" s="1"/>
  <c r="E49" i="5" s="1"/>
  <c r="E50" i="5" s="1"/>
  <c r="E51" i="5" s="1"/>
  <c r="E52" i="5" s="1"/>
  <c r="E53" i="5" s="1"/>
  <c r="E54" i="5" s="1"/>
  <c r="E55" i="5" s="1"/>
  <c r="E56" i="5" s="1"/>
  <c r="E57" i="5" s="1"/>
  <c r="E58" i="5" s="1"/>
  <c r="E59" i="5" s="1"/>
  <c r="E60" i="5" s="1"/>
  <c r="E61" i="5" s="1"/>
  <c r="E62" i="5" s="1"/>
  <c r="E63" i="5" s="1"/>
  <c r="E64" i="5" s="1"/>
  <c r="E65" i="5" s="1"/>
  <c r="E66" i="5" s="1"/>
  <c r="E67" i="5" s="1"/>
  <c r="E68" i="5" s="1"/>
  <c r="E69" i="5" s="1"/>
  <c r="E70" i="5" s="1"/>
  <c r="E71" i="5" s="1"/>
  <c r="E72" i="5" s="1"/>
  <c r="E73" i="5" s="1"/>
  <c r="E74" i="5" s="1"/>
  <c r="E75" i="5" s="1"/>
  <c r="E76" i="5" s="1"/>
  <c r="E77" i="5" s="1"/>
  <c r="E78" i="5" s="1"/>
  <c r="E79" i="5" s="1"/>
  <c r="E80" i="5" s="1"/>
  <c r="E81" i="5" s="1"/>
  <c r="E82" i="5" s="1"/>
  <c r="U24" i="5"/>
  <c r="V23" i="5"/>
  <c r="K22" i="5"/>
  <c r="L21" i="5"/>
  <c r="M21" i="5" s="1"/>
  <c r="BV22" i="5"/>
  <c r="BU23" i="5"/>
  <c r="CC15" i="5"/>
  <c r="BF15" i="5"/>
  <c r="BF16" i="5" s="1"/>
  <c r="BG14" i="5"/>
  <c r="AZ15" i="5"/>
  <c r="AL15" i="5"/>
  <c r="BO15" i="5"/>
  <c r="K158" i="1"/>
  <c r="AA153" i="1"/>
  <c r="X154" i="1"/>
  <c r="AJ152" i="1"/>
  <c r="BS153" i="1"/>
  <c r="BQ154" i="1" s="1"/>
  <c r="BS152" i="1"/>
  <c r="BQ153" i="1" s="1"/>
  <c r="BS151" i="1"/>
  <c r="BQ152" i="1" s="1"/>
  <c r="BS150" i="1"/>
  <c r="BQ151" i="1" s="1"/>
  <c r="BS149" i="1"/>
  <c r="BQ150" i="1" s="1"/>
  <c r="BS141" i="1"/>
  <c r="BQ142" i="1" s="1"/>
  <c r="BS142" i="1"/>
  <c r="BQ143" i="1" s="1"/>
  <c r="BS143" i="1"/>
  <c r="BQ144" i="1" s="1"/>
  <c r="BS144" i="1"/>
  <c r="BQ145" i="1" s="1"/>
  <c r="BS145" i="1"/>
  <c r="BQ146" i="1" s="1"/>
  <c r="BS146" i="1"/>
  <c r="BQ147" i="1" s="1"/>
  <c r="BS147" i="1"/>
  <c r="BQ148" i="1" s="1"/>
  <c r="BS148" i="1"/>
  <c r="BQ149" i="1" s="1"/>
  <c r="BT149" i="1" s="1"/>
  <c r="BU149" i="1" s="1"/>
  <c r="BS140" i="1"/>
  <c r="BQ141" i="1" s="1"/>
  <c r="BS139" i="1"/>
  <c r="BQ140" i="1" s="1"/>
  <c r="BS138" i="1"/>
  <c r="BQ139" i="1" s="1"/>
  <c r="BS137" i="1"/>
  <c r="BQ138" i="1" s="1"/>
  <c r="BT140" i="1" l="1"/>
  <c r="BU140" i="1" s="1"/>
  <c r="BT152" i="1"/>
  <c r="BU152" i="1" s="1"/>
  <c r="AJ198" i="11"/>
  <c r="AQ198" i="11"/>
  <c r="E199" i="11"/>
  <c r="L198" i="11"/>
  <c r="X198" i="11"/>
  <c r="L115" i="8"/>
  <c r="BH105" i="8"/>
  <c r="BG106" i="8"/>
  <c r="AS104" i="8"/>
  <c r="AT103" i="8"/>
  <c r="BO104" i="8"/>
  <c r="CD106" i="8"/>
  <c r="BA104" i="8"/>
  <c r="AZ105" i="8"/>
  <c r="AD106" i="8"/>
  <c r="BW105" i="8"/>
  <c r="BV106" i="8"/>
  <c r="V104" i="8"/>
  <c r="C103" i="8"/>
  <c r="W103" i="8" s="1"/>
  <c r="M102" i="8"/>
  <c r="N102" i="8" s="1"/>
  <c r="CE102" i="8"/>
  <c r="AE102" i="8"/>
  <c r="AM102" i="8"/>
  <c r="AL105" i="8"/>
  <c r="C151" i="5"/>
  <c r="E83" i="5"/>
  <c r="E84" i="5" s="1"/>
  <c r="E85" i="5" s="1"/>
  <c r="E86" i="5" s="1"/>
  <c r="BF17" i="5"/>
  <c r="BG16" i="5"/>
  <c r="CD15" i="5"/>
  <c r="CC16" i="5"/>
  <c r="K23" i="5"/>
  <c r="L22" i="5"/>
  <c r="M22" i="5" s="1"/>
  <c r="AR19" i="5"/>
  <c r="AS18" i="5"/>
  <c r="AK18" i="5"/>
  <c r="AL17" i="5"/>
  <c r="V24" i="5"/>
  <c r="U25" i="5"/>
  <c r="BN18" i="5"/>
  <c r="BO17" i="5"/>
  <c r="AY18" i="5"/>
  <c r="AZ17" i="5"/>
  <c r="AC19" i="5"/>
  <c r="AD18" i="5"/>
  <c r="BV23" i="5"/>
  <c r="BU24" i="5"/>
  <c r="BG15" i="5"/>
  <c r="K159" i="1"/>
  <c r="BT139" i="1"/>
  <c r="BU139" i="1" s="1"/>
  <c r="BT151" i="1"/>
  <c r="BU151" i="1" s="1"/>
  <c r="BT138" i="1"/>
  <c r="BU138" i="1" s="1"/>
  <c r="BT150" i="1"/>
  <c r="BU150" i="1" s="1"/>
  <c r="BT153" i="1"/>
  <c r="BU153" i="1" s="1"/>
  <c r="BB151" i="1"/>
  <c r="BI151" i="1"/>
  <c r="BI132" i="1"/>
  <c r="BL132" i="1" s="1"/>
  <c r="BM132" i="1" s="1"/>
  <c r="BI133" i="1"/>
  <c r="BL133" i="1" s="1"/>
  <c r="BM133" i="1" s="1"/>
  <c r="BI134" i="1"/>
  <c r="BL134" i="1" s="1"/>
  <c r="BM134" i="1" s="1"/>
  <c r="BI135" i="1"/>
  <c r="BL135" i="1" s="1"/>
  <c r="BM135" i="1" s="1"/>
  <c r="BI136" i="1"/>
  <c r="BL136" i="1" s="1"/>
  <c r="BM136" i="1" s="1"/>
  <c r="BI137" i="1"/>
  <c r="BL137" i="1" s="1"/>
  <c r="BM137" i="1" s="1"/>
  <c r="BI138" i="1"/>
  <c r="BL138" i="1" s="1"/>
  <c r="BM138" i="1" s="1"/>
  <c r="BI139" i="1"/>
  <c r="BL139" i="1" s="1"/>
  <c r="BM139" i="1" s="1"/>
  <c r="BI140" i="1"/>
  <c r="BL140" i="1" s="1"/>
  <c r="BM140" i="1" s="1"/>
  <c r="BI141" i="1"/>
  <c r="BI142" i="1"/>
  <c r="BI143" i="1"/>
  <c r="BI144" i="1"/>
  <c r="BI145" i="1"/>
  <c r="BI146" i="1"/>
  <c r="BI147" i="1"/>
  <c r="BI148" i="1"/>
  <c r="BL148" i="1" s="1"/>
  <c r="BM148" i="1" s="1"/>
  <c r="BI149" i="1"/>
  <c r="BL149" i="1" s="1"/>
  <c r="BM149" i="1" s="1"/>
  <c r="BI150" i="1"/>
  <c r="BL150" i="1" s="1"/>
  <c r="BM150" i="1" s="1"/>
  <c r="BB132" i="1"/>
  <c r="BB133" i="1"/>
  <c r="BE133" i="1" s="1"/>
  <c r="BB134" i="1"/>
  <c r="BB135" i="1"/>
  <c r="BB136" i="1"/>
  <c r="BE136" i="1" s="1"/>
  <c r="BB137" i="1"/>
  <c r="BB138" i="1"/>
  <c r="BB139" i="1"/>
  <c r="BB140" i="1"/>
  <c r="BB141" i="1"/>
  <c r="BE141" i="1" s="1"/>
  <c r="BB142" i="1"/>
  <c r="BB143" i="1"/>
  <c r="BB144" i="1"/>
  <c r="BB145" i="1"/>
  <c r="BE145" i="1" s="1"/>
  <c r="BB146" i="1"/>
  <c r="BB147" i="1"/>
  <c r="BB148" i="1"/>
  <c r="BE148" i="1" s="1"/>
  <c r="BB149" i="1"/>
  <c r="BE149" i="1" s="1"/>
  <c r="BB150" i="1"/>
  <c r="BE150" i="1" s="1"/>
  <c r="AF132" i="1"/>
  <c r="AF133" i="1"/>
  <c r="AF134" i="1"/>
  <c r="AF135" i="1"/>
  <c r="AF136" i="1"/>
  <c r="AF137" i="1"/>
  <c r="AF138" i="1"/>
  <c r="AI138" i="1" s="1"/>
  <c r="AJ138" i="1" s="1"/>
  <c r="AF139" i="1"/>
  <c r="AF140" i="1"/>
  <c r="AF141" i="1"/>
  <c r="AI141" i="1" s="1"/>
  <c r="AF142" i="1"/>
  <c r="AF143" i="1"/>
  <c r="AF144" i="1"/>
  <c r="AF145" i="1"/>
  <c r="AF146" i="1"/>
  <c r="AF147" i="1"/>
  <c r="AF148" i="1"/>
  <c r="AF149" i="1"/>
  <c r="AI149" i="1" s="1"/>
  <c r="AJ149" i="1" s="1"/>
  <c r="AF150" i="1"/>
  <c r="AI150" i="1" s="1"/>
  <c r="AJ150" i="1" s="1"/>
  <c r="Z150" i="1"/>
  <c r="X151" i="1" s="1"/>
  <c r="Z151" i="1"/>
  <c r="X152" i="1" s="1"/>
  <c r="AA152" i="1" s="1"/>
  <c r="Z148" i="1"/>
  <c r="X149" i="1" s="1"/>
  <c r="Z146" i="1"/>
  <c r="X147" i="1" s="1"/>
  <c r="Z147" i="1"/>
  <c r="X148" i="1" s="1"/>
  <c r="Z142" i="1"/>
  <c r="X143" i="1" s="1"/>
  <c r="Z143" i="1"/>
  <c r="X144" i="1" s="1"/>
  <c r="Z144" i="1"/>
  <c r="X145" i="1" s="1"/>
  <c r="Z141" i="1"/>
  <c r="X142" i="1" s="1"/>
  <c r="Z140" i="1"/>
  <c r="X141" i="1" s="1"/>
  <c r="Z139" i="1"/>
  <c r="X140" i="1" s="1"/>
  <c r="Z138" i="1"/>
  <c r="X139" i="1" s="1"/>
  <c r="Z137" i="1"/>
  <c r="X138" i="1" s="1"/>
  <c r="Z135" i="1"/>
  <c r="X136" i="1" s="1"/>
  <c r="Z134" i="1"/>
  <c r="X135" i="1" s="1"/>
  <c r="Z131" i="1"/>
  <c r="X132" i="1" s="1"/>
  <c r="Z132" i="1"/>
  <c r="X133" i="1" s="1"/>
  <c r="Z129" i="1"/>
  <c r="Z149" i="1"/>
  <c r="X150" i="1" s="1"/>
  <c r="Z145" i="1"/>
  <c r="X146" i="1" s="1"/>
  <c r="Z136" i="1"/>
  <c r="X137" i="1" s="1"/>
  <c r="Z133" i="1"/>
  <c r="X134" i="1" s="1"/>
  <c r="P132" i="1"/>
  <c r="S132" i="1" s="1"/>
  <c r="T132" i="1" s="1"/>
  <c r="P133" i="1"/>
  <c r="S133" i="1" s="1"/>
  <c r="T133" i="1" s="1"/>
  <c r="P134" i="1"/>
  <c r="S134" i="1" s="1"/>
  <c r="T134" i="1" s="1"/>
  <c r="P135" i="1"/>
  <c r="S135" i="1" s="1"/>
  <c r="T135" i="1" s="1"/>
  <c r="P136" i="1"/>
  <c r="S136" i="1" s="1"/>
  <c r="T136" i="1" s="1"/>
  <c r="P137" i="1"/>
  <c r="S137" i="1" s="1"/>
  <c r="T137" i="1" s="1"/>
  <c r="P138" i="1"/>
  <c r="S138" i="1" s="1"/>
  <c r="T138" i="1" s="1"/>
  <c r="P139" i="1"/>
  <c r="S139" i="1" s="1"/>
  <c r="T139" i="1" s="1"/>
  <c r="P140" i="1"/>
  <c r="P141" i="1"/>
  <c r="S141" i="1" s="1"/>
  <c r="P142" i="1"/>
  <c r="P143" i="1"/>
  <c r="P144" i="1"/>
  <c r="P145" i="1"/>
  <c r="P146" i="1"/>
  <c r="P147" i="1"/>
  <c r="P148" i="1"/>
  <c r="P149" i="1"/>
  <c r="S149" i="1" s="1"/>
  <c r="T149" i="1" s="1"/>
  <c r="P150" i="1"/>
  <c r="P151" i="1"/>
  <c r="S151" i="1" s="1"/>
  <c r="T151" i="1" s="1"/>
  <c r="AJ199" i="11" l="1"/>
  <c r="AQ199" i="11"/>
  <c r="E200" i="11"/>
  <c r="L199" i="11"/>
  <c r="X199" i="11"/>
  <c r="BW106" i="8"/>
  <c r="BV107" i="8"/>
  <c r="BA105" i="8"/>
  <c r="AZ106" i="8"/>
  <c r="BO105" i="8"/>
  <c r="BH106" i="8"/>
  <c r="BG107" i="8"/>
  <c r="C104" i="8"/>
  <c r="W104" i="8" s="1"/>
  <c r="M103" i="8"/>
  <c r="N103" i="8" s="1"/>
  <c r="CE103" i="8"/>
  <c r="AE103" i="8"/>
  <c r="AM103" i="8"/>
  <c r="BP103" i="8"/>
  <c r="CD107" i="8"/>
  <c r="L116" i="8"/>
  <c r="AL106" i="8"/>
  <c r="V105" i="8"/>
  <c r="AD107" i="8"/>
  <c r="AT104" i="8"/>
  <c r="AS105" i="8"/>
  <c r="C152" i="5"/>
  <c r="E87" i="5"/>
  <c r="U26" i="5"/>
  <c r="V25" i="5"/>
  <c r="CC17" i="5"/>
  <c r="CD16" i="5"/>
  <c r="AR20" i="5"/>
  <c r="AS19" i="5"/>
  <c r="AY19" i="5"/>
  <c r="AZ18" i="5"/>
  <c r="AC20" i="5"/>
  <c r="AD19" i="5"/>
  <c r="BN19" i="5"/>
  <c r="BO18" i="5"/>
  <c r="AK19" i="5"/>
  <c r="AL18" i="5"/>
  <c r="K24" i="5"/>
  <c r="L23" i="5"/>
  <c r="M23" i="5" s="1"/>
  <c r="BF18" i="5"/>
  <c r="BG17" i="5"/>
  <c r="BV24" i="5"/>
  <c r="BU25" i="5"/>
  <c r="K160" i="1"/>
  <c r="AA149" i="1"/>
  <c r="AB149" i="1" s="1"/>
  <c r="AA145" i="1"/>
  <c r="AA136" i="1"/>
  <c r="AB136" i="1" s="1"/>
  <c r="AA133" i="1"/>
  <c r="AB133" i="1" s="1"/>
  <c r="AW87" i="1"/>
  <c r="AX87" i="1" s="1"/>
  <c r="AW88" i="1"/>
  <c r="AX88" i="1" s="1"/>
  <c r="AW89" i="1"/>
  <c r="AX89" i="1" s="1"/>
  <c r="AW90" i="1"/>
  <c r="AX90" i="1" s="1"/>
  <c r="AW91" i="1"/>
  <c r="AX91" i="1" s="1"/>
  <c r="AW92" i="1"/>
  <c r="AX92" i="1" s="1"/>
  <c r="AW93" i="1"/>
  <c r="AX93" i="1" s="1"/>
  <c r="AW94" i="1"/>
  <c r="AX94" i="1" s="1"/>
  <c r="AW95" i="1"/>
  <c r="AX95" i="1" s="1"/>
  <c r="AJ200" i="11" l="1"/>
  <c r="AQ200" i="11"/>
  <c r="E201" i="11"/>
  <c r="X200" i="11"/>
  <c r="L200" i="11"/>
  <c r="AL107" i="8"/>
  <c r="CD108" i="8"/>
  <c r="BA106" i="8"/>
  <c r="AZ107" i="8"/>
  <c r="AT105" i="8"/>
  <c r="AS106" i="8"/>
  <c r="V106" i="8"/>
  <c r="BO106" i="8"/>
  <c r="BW107" i="8"/>
  <c r="BV108" i="8"/>
  <c r="AD108" i="8"/>
  <c r="BG108" i="8"/>
  <c r="BH107" i="8"/>
  <c r="L117" i="8"/>
  <c r="C105" i="8"/>
  <c r="W105" i="8" s="1"/>
  <c r="M104" i="8"/>
  <c r="N104" i="8" s="1"/>
  <c r="CE104" i="8"/>
  <c r="AE104" i="8"/>
  <c r="AM104" i="8"/>
  <c r="BP104" i="8"/>
  <c r="C153" i="5"/>
  <c r="E88" i="5"/>
  <c r="BF19" i="5"/>
  <c r="BG18" i="5"/>
  <c r="K25" i="5"/>
  <c r="L24" i="5"/>
  <c r="M24" i="5" s="1"/>
  <c r="BN20" i="5"/>
  <c r="BO19" i="5"/>
  <c r="AY20" i="5"/>
  <c r="AZ19" i="5"/>
  <c r="CC18" i="5"/>
  <c r="CD17" i="5"/>
  <c r="AK20" i="5"/>
  <c r="AL19" i="5"/>
  <c r="AC21" i="5"/>
  <c r="AD20" i="5"/>
  <c r="AR21" i="5"/>
  <c r="AS20" i="5"/>
  <c r="V26" i="5"/>
  <c r="U27" i="5"/>
  <c r="BU26" i="5"/>
  <c r="BV25" i="5"/>
  <c r="K161"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BP105" i="8" l="1"/>
  <c r="AJ201" i="11"/>
  <c r="AQ201" i="11"/>
  <c r="E202" i="11"/>
  <c r="E203" i="11" s="1"/>
  <c r="L201" i="11"/>
  <c r="X201" i="11"/>
  <c r="L118" i="8"/>
  <c r="BO107" i="8"/>
  <c r="AS107" i="8"/>
  <c r="AT106" i="8"/>
  <c r="BW108" i="8"/>
  <c r="BV109" i="8"/>
  <c r="BA107" i="8"/>
  <c r="AZ108" i="8"/>
  <c r="AL108" i="8"/>
  <c r="AD109" i="8"/>
  <c r="CD109" i="8"/>
  <c r="C106" i="8"/>
  <c r="BP106" i="8" s="1"/>
  <c r="M105" i="8"/>
  <c r="N105" i="8" s="1"/>
  <c r="CE105" i="8"/>
  <c r="AE105" i="8"/>
  <c r="AM105" i="8"/>
  <c r="BH108" i="8"/>
  <c r="BG109" i="8"/>
  <c r="V107" i="8"/>
  <c r="C154" i="5"/>
  <c r="E89" i="5"/>
  <c r="AR22" i="5"/>
  <c r="AS21" i="5"/>
  <c r="K26" i="5"/>
  <c r="L25" i="5"/>
  <c r="M25" i="5" s="1"/>
  <c r="V27" i="5"/>
  <c r="U28" i="5"/>
  <c r="AK21" i="5"/>
  <c r="AL20" i="5"/>
  <c r="AY21" i="5"/>
  <c r="AZ20" i="5"/>
  <c r="AC22" i="5"/>
  <c r="AD21" i="5"/>
  <c r="CC19" i="5"/>
  <c r="CD18" i="5"/>
  <c r="BN21" i="5"/>
  <c r="BO20" i="5"/>
  <c r="BF20" i="5"/>
  <c r="BG19" i="5"/>
  <c r="BV26" i="5"/>
  <c r="BU27" i="5"/>
  <c r="K162" i="1"/>
  <c r="AT127" i="1"/>
  <c r="BS136" i="1"/>
  <c r="BQ137" i="1" s="1"/>
  <c r="BT137" i="1" s="1"/>
  <c r="BU137" i="1" s="1"/>
  <c r="BS135" i="1"/>
  <c r="BQ136" i="1" s="1"/>
  <c r="BS134" i="1"/>
  <c r="BQ135" i="1" s="1"/>
  <c r="BS133" i="1"/>
  <c r="BQ134" i="1" s="1"/>
  <c r="BS132" i="1"/>
  <c r="BQ133" i="1" s="1"/>
  <c r="BS131" i="1"/>
  <c r="BQ132" i="1" s="1"/>
  <c r="BS130" i="1"/>
  <c r="BQ131" i="1" s="1"/>
  <c r="BS129" i="1"/>
  <c r="BQ130" i="1" s="1"/>
  <c r="BS128" i="1"/>
  <c r="BQ129" i="1" s="1"/>
  <c r="BS127" i="1"/>
  <c r="BQ128" i="1" s="1"/>
  <c r="BS124" i="1"/>
  <c r="BQ125" i="1" s="1"/>
  <c r="BS117" i="1"/>
  <c r="BQ118" i="1" s="1"/>
  <c r="BS114" i="1"/>
  <c r="BQ115" i="1" s="1"/>
  <c r="BS126" i="1"/>
  <c r="BQ127" i="1" s="1"/>
  <c r="BT127" i="1" s="1"/>
  <c r="BS125" i="1"/>
  <c r="BQ126" i="1" s="1"/>
  <c r="BS123" i="1"/>
  <c r="BQ124" i="1" s="1"/>
  <c r="BS122" i="1"/>
  <c r="BQ123" i="1" s="1"/>
  <c r="BS121" i="1"/>
  <c r="BQ122" i="1" s="1"/>
  <c r="BS120" i="1"/>
  <c r="BQ121" i="1" s="1"/>
  <c r="BS119" i="1"/>
  <c r="BQ120" i="1" s="1"/>
  <c r="BS118" i="1"/>
  <c r="BQ119" i="1" s="1"/>
  <c r="BS116" i="1"/>
  <c r="BQ117" i="1" s="1"/>
  <c r="BS115" i="1"/>
  <c r="BQ116" i="1" s="1"/>
  <c r="BS113" i="1"/>
  <c r="BQ114" i="1" s="1"/>
  <c r="BS112" i="1"/>
  <c r="BQ113" i="1" s="1"/>
  <c r="BS111" i="1"/>
  <c r="BQ112" i="1" s="1"/>
  <c r="E204" i="11" l="1"/>
  <c r="X203" i="11"/>
  <c r="AQ203" i="11"/>
  <c r="AJ203" i="11"/>
  <c r="L203" i="11"/>
  <c r="W106" i="8"/>
  <c r="AJ202" i="11"/>
  <c r="AQ202" i="11"/>
  <c r="X202" i="11"/>
  <c r="L202" i="11"/>
  <c r="BT113" i="1"/>
  <c r="BU113" i="1" s="1"/>
  <c r="AL109" i="8"/>
  <c r="BV110" i="8"/>
  <c r="BW109" i="8"/>
  <c r="BG110" i="8"/>
  <c r="BH109" i="8"/>
  <c r="CD110" i="8"/>
  <c r="BO108" i="8"/>
  <c r="BA108" i="8"/>
  <c r="AZ109" i="8"/>
  <c r="L119" i="8"/>
  <c r="V108" i="8"/>
  <c r="C107" i="8"/>
  <c r="BP107" i="8" s="1"/>
  <c r="M106" i="8"/>
  <c r="N106" i="8" s="1"/>
  <c r="AE106" i="8"/>
  <c r="CE106" i="8"/>
  <c r="AM106" i="8"/>
  <c r="AD110" i="8"/>
  <c r="AT107" i="8"/>
  <c r="AS108" i="8"/>
  <c r="C155" i="5"/>
  <c r="E90" i="5"/>
  <c r="BN22" i="5"/>
  <c r="BO21" i="5"/>
  <c r="AC23" i="5"/>
  <c r="AD22" i="5"/>
  <c r="AK22" i="5"/>
  <c r="AL21" i="5"/>
  <c r="K27" i="5"/>
  <c r="L26" i="5"/>
  <c r="M26" i="5" s="1"/>
  <c r="U29" i="5"/>
  <c r="V28" i="5"/>
  <c r="BF21" i="5"/>
  <c r="BG20" i="5"/>
  <c r="CC20" i="5"/>
  <c r="CD19" i="5"/>
  <c r="AY22" i="5"/>
  <c r="AZ21" i="5"/>
  <c r="AR23" i="5"/>
  <c r="AS22" i="5"/>
  <c r="BU28" i="5"/>
  <c r="BV27" i="5"/>
  <c r="BT128" i="1"/>
  <c r="BU128" i="1" s="1"/>
  <c r="BT136" i="1"/>
  <c r="BU136" i="1" s="1"/>
  <c r="K163" i="1"/>
  <c r="BT129" i="1"/>
  <c r="BU129" i="1" s="1"/>
  <c r="BT133" i="1"/>
  <c r="BU133" i="1" s="1"/>
  <c r="BT130" i="1"/>
  <c r="BU130" i="1" s="1"/>
  <c r="BT112" i="1"/>
  <c r="BU112" i="1" s="1"/>
  <c r="BT135" i="1"/>
  <c r="BU135" i="1" s="1"/>
  <c r="BU127" i="1"/>
  <c r="BT114" i="1"/>
  <c r="BT126" i="1"/>
  <c r="BU126" i="1" s="1"/>
  <c r="BT125" i="1"/>
  <c r="BU125" i="1" s="1"/>
  <c r="BT124" i="1"/>
  <c r="BU124" i="1" s="1"/>
  <c r="BT123" i="1"/>
  <c r="BU123" i="1" s="1"/>
  <c r="BT119" i="1"/>
  <c r="BU119" i="1" s="1"/>
  <c r="BT118" i="1"/>
  <c r="BU118" i="1" s="1"/>
  <c r="BT117" i="1"/>
  <c r="BU117" i="1" s="1"/>
  <c r="BT116" i="1"/>
  <c r="BU116" i="1" s="1"/>
  <c r="BT115" i="1"/>
  <c r="BU115" i="1" s="1"/>
  <c r="Z130" i="1"/>
  <c r="X131" i="1" s="1"/>
  <c r="Z127" i="1"/>
  <c r="BI130" i="1"/>
  <c r="BL130" i="1" s="1"/>
  <c r="BM130" i="1" s="1"/>
  <c r="BI131" i="1"/>
  <c r="BB130" i="1"/>
  <c r="BE130" i="1" s="1"/>
  <c r="BB131" i="1"/>
  <c r="AF130" i="1"/>
  <c r="AI130" i="1" s="1"/>
  <c r="AJ130" i="1" s="1"/>
  <c r="AF131" i="1"/>
  <c r="AI131" i="1" s="1"/>
  <c r="AJ131" i="1" s="1"/>
  <c r="X130" i="1"/>
  <c r="P130" i="1"/>
  <c r="S130" i="1" s="1"/>
  <c r="T130" i="1" s="1"/>
  <c r="P131" i="1"/>
  <c r="S131" i="1" s="1"/>
  <c r="T131" i="1" s="1"/>
  <c r="BI127" i="1"/>
  <c r="BL127" i="1" s="1"/>
  <c r="BI128" i="1"/>
  <c r="BL128" i="1" s="1"/>
  <c r="BM128" i="1" s="1"/>
  <c r="BI129" i="1"/>
  <c r="BB127" i="1"/>
  <c r="BE127" i="1" s="1"/>
  <c r="BB128" i="1"/>
  <c r="BB129" i="1"/>
  <c r="BE129" i="1" s="1"/>
  <c r="AQ127" i="1"/>
  <c r="AQ128" i="1"/>
  <c r="AQ129" i="1"/>
  <c r="AQ130" i="1"/>
  <c r="AQ131" i="1"/>
  <c r="AF127" i="1"/>
  <c r="AI127" i="1" s="1"/>
  <c r="AF128" i="1"/>
  <c r="AI128" i="1" s="1"/>
  <c r="AJ128" i="1" s="1"/>
  <c r="AF129" i="1"/>
  <c r="AI129" i="1" s="1"/>
  <c r="AJ129" i="1" s="1"/>
  <c r="X128" i="1"/>
  <c r="Z128" i="1"/>
  <c r="X129" i="1" s="1"/>
  <c r="P127" i="1"/>
  <c r="S127" i="1" s="1"/>
  <c r="P128" i="1"/>
  <c r="S128" i="1" s="1"/>
  <c r="T128" i="1" s="1"/>
  <c r="P129" i="1"/>
  <c r="S129" i="1" s="1"/>
  <c r="T129" i="1" s="1"/>
  <c r="AT96" i="1"/>
  <c r="AQ115" i="1"/>
  <c r="AQ116" i="1"/>
  <c r="AQ117" i="1"/>
  <c r="AQ118" i="1"/>
  <c r="AQ119" i="1"/>
  <c r="AQ122" i="1"/>
  <c r="AQ123" i="1"/>
  <c r="AQ124" i="1"/>
  <c r="AQ125" i="1"/>
  <c r="AQ126" i="1"/>
  <c r="E205" i="11" l="1"/>
  <c r="X204" i="11"/>
  <c r="AQ204" i="11"/>
  <c r="AJ204" i="11"/>
  <c r="L204" i="11"/>
  <c r="W107" i="8"/>
  <c r="AD111" i="8"/>
  <c r="BV111" i="8"/>
  <c r="BW110" i="8"/>
  <c r="L120" i="8"/>
  <c r="AL110" i="8"/>
  <c r="AT108" i="8"/>
  <c r="AS109" i="8"/>
  <c r="C108" i="8"/>
  <c r="M107" i="8"/>
  <c r="N107" i="8" s="1"/>
  <c r="CE107" i="8"/>
  <c r="AE107" i="8"/>
  <c r="AM107" i="8"/>
  <c r="BO109" i="8"/>
  <c r="BG111" i="8"/>
  <c r="BH110" i="8"/>
  <c r="W108" i="8"/>
  <c r="V109" i="8"/>
  <c r="AZ110" i="8"/>
  <c r="BA109" i="8"/>
  <c r="CD111" i="8"/>
  <c r="C156" i="5"/>
  <c r="E91" i="5"/>
  <c r="AY23" i="5"/>
  <c r="AZ22" i="5"/>
  <c r="BF22" i="5"/>
  <c r="BG21" i="5"/>
  <c r="L27" i="5"/>
  <c r="M27" i="5" s="1"/>
  <c r="K28" i="5"/>
  <c r="AC24" i="5"/>
  <c r="AD23" i="5"/>
  <c r="AR24" i="5"/>
  <c r="AS23" i="5"/>
  <c r="CC21" i="5"/>
  <c r="CD20" i="5"/>
  <c r="U30" i="5"/>
  <c r="V29" i="5"/>
  <c r="AK23" i="5"/>
  <c r="AL22" i="5"/>
  <c r="BN23" i="5"/>
  <c r="BO22" i="5"/>
  <c r="BU29" i="5"/>
  <c r="BV28" i="5"/>
  <c r="BH127" i="1"/>
  <c r="K164" i="1"/>
  <c r="AM127" i="1"/>
  <c r="BP127" i="1"/>
  <c r="AA128" i="1"/>
  <c r="AB128" i="1" s="1"/>
  <c r="W127" i="1"/>
  <c r="BX127" i="1"/>
  <c r="T127" i="1"/>
  <c r="BM127" i="1"/>
  <c r="AJ127" i="1"/>
  <c r="BU114" i="1"/>
  <c r="AA130" i="1"/>
  <c r="AB130" i="1" s="1"/>
  <c r="BI111" i="1"/>
  <c r="BL111" i="1" s="1"/>
  <c r="BM111" i="1" s="1"/>
  <c r="BI112" i="1"/>
  <c r="BL112" i="1" s="1"/>
  <c r="BM112" i="1" s="1"/>
  <c r="BI113" i="1"/>
  <c r="BL113" i="1" s="1"/>
  <c r="BM113" i="1" s="1"/>
  <c r="BI114" i="1"/>
  <c r="BL114" i="1" s="1"/>
  <c r="BM114" i="1" s="1"/>
  <c r="BI115" i="1"/>
  <c r="BL115" i="1" s="1"/>
  <c r="BM115" i="1" s="1"/>
  <c r="BI116" i="1"/>
  <c r="BL116" i="1" s="1"/>
  <c r="BM116" i="1" s="1"/>
  <c r="BI117" i="1"/>
  <c r="BL117" i="1" s="1"/>
  <c r="BM117" i="1" s="1"/>
  <c r="BI118" i="1"/>
  <c r="BL118" i="1" s="1"/>
  <c r="BM118" i="1" s="1"/>
  <c r="BI119" i="1"/>
  <c r="BL119" i="1" s="1"/>
  <c r="BM119" i="1" s="1"/>
  <c r="BI120" i="1"/>
  <c r="BI121" i="1"/>
  <c r="BI122" i="1"/>
  <c r="BI123" i="1"/>
  <c r="BL123" i="1" s="1"/>
  <c r="BM123" i="1" s="1"/>
  <c r="BI124" i="1"/>
  <c r="BI125" i="1"/>
  <c r="BI126" i="1"/>
  <c r="BL126" i="1" s="1"/>
  <c r="BM126" i="1" s="1"/>
  <c r="BB126" i="1"/>
  <c r="BE126" i="1" s="1"/>
  <c r="AF119" i="1"/>
  <c r="AF120" i="1"/>
  <c r="AF121" i="1"/>
  <c r="AF122" i="1"/>
  <c r="AI122" i="1" s="1"/>
  <c r="AJ122" i="1" s="1"/>
  <c r="AF123" i="1"/>
  <c r="AI123" i="1" s="1"/>
  <c r="AJ123" i="1" s="1"/>
  <c r="AF124" i="1"/>
  <c r="AF125" i="1"/>
  <c r="AF126" i="1"/>
  <c r="AI126" i="1" s="1"/>
  <c r="AJ126" i="1" s="1"/>
  <c r="AH117" i="1"/>
  <c r="AF118" i="1" s="1"/>
  <c r="AI118" i="1" s="1"/>
  <c r="AJ118" i="1" s="1"/>
  <c r="AH116" i="1"/>
  <c r="AH115" i="1"/>
  <c r="P126" i="1"/>
  <c r="S126" i="1" s="1"/>
  <c r="T126" i="1" s="1"/>
  <c r="Z126" i="1"/>
  <c r="X127" i="1" s="1"/>
  <c r="AA127" i="1" s="1"/>
  <c r="Z125" i="1"/>
  <c r="X126" i="1" s="1"/>
  <c r="Z124" i="1"/>
  <c r="X125" i="1" s="1"/>
  <c r="E206" i="11" l="1"/>
  <c r="X205" i="11"/>
  <c r="AQ205" i="11"/>
  <c r="AJ205" i="11"/>
  <c r="L205" i="11"/>
  <c r="CD112" i="8"/>
  <c r="BO110" i="8"/>
  <c r="C109" i="8"/>
  <c r="BP109" i="8" s="1"/>
  <c r="M108" i="8"/>
  <c r="N108" i="8" s="1"/>
  <c r="AE108" i="8"/>
  <c r="CE108" i="8"/>
  <c r="AM108" i="8"/>
  <c r="AL111" i="8"/>
  <c r="BV112" i="8"/>
  <c r="BW111" i="8"/>
  <c r="AZ111" i="8"/>
  <c r="BA110" i="8"/>
  <c r="BH111" i="8"/>
  <c r="BG112" i="8"/>
  <c r="AS110" i="8"/>
  <c r="AT109" i="8"/>
  <c r="L121" i="8"/>
  <c r="V110" i="8"/>
  <c r="BP108" i="8"/>
  <c r="AD112" i="8"/>
  <c r="C157" i="5"/>
  <c r="E92" i="5"/>
  <c r="AK24" i="5"/>
  <c r="AL23" i="5"/>
  <c r="CC22" i="5"/>
  <c r="CD21" i="5"/>
  <c r="AC25" i="5"/>
  <c r="AD24" i="5"/>
  <c r="BF23" i="5"/>
  <c r="BG22" i="5"/>
  <c r="L28" i="5"/>
  <c r="M28" i="5" s="1"/>
  <c r="K29" i="5"/>
  <c r="BN24" i="5"/>
  <c r="BO23" i="5"/>
  <c r="V30" i="5"/>
  <c r="U31" i="5"/>
  <c r="AR25" i="5"/>
  <c r="AS24" i="5"/>
  <c r="AY24" i="5"/>
  <c r="AZ23" i="5"/>
  <c r="BV29" i="5"/>
  <c r="BU30" i="5"/>
  <c r="K165" i="1"/>
  <c r="K166" i="1" s="1"/>
  <c r="AE127" i="1"/>
  <c r="AA126" i="1"/>
  <c r="AB126" i="1" s="1"/>
  <c r="Z123" i="1"/>
  <c r="X124" i="1" s="1"/>
  <c r="Z122" i="1"/>
  <c r="X123" i="1" s="1"/>
  <c r="Z121" i="1"/>
  <c r="X122" i="1" s="1"/>
  <c r="Z120" i="1"/>
  <c r="X121" i="1" s="1"/>
  <c r="Z119" i="1"/>
  <c r="X120" i="1" s="1"/>
  <c r="Z118" i="1"/>
  <c r="X119" i="1" s="1"/>
  <c r="E207" i="11" l="1"/>
  <c r="X206" i="11"/>
  <c r="AQ206" i="11"/>
  <c r="AJ206" i="11"/>
  <c r="L206" i="11"/>
  <c r="W109" i="8"/>
  <c r="BV113" i="8"/>
  <c r="BW112" i="8"/>
  <c r="BO111" i="8"/>
  <c r="K167" i="1"/>
  <c r="V111" i="8"/>
  <c r="AS111" i="8"/>
  <c r="AT110" i="8"/>
  <c r="BA111" i="8"/>
  <c r="AZ112" i="8"/>
  <c r="AL112" i="8"/>
  <c r="CD113" i="8"/>
  <c r="AD113" i="8"/>
  <c r="L122" i="8"/>
  <c r="BG113" i="8"/>
  <c r="BH112" i="8"/>
  <c r="C110" i="8"/>
  <c r="BP110" i="8" s="1"/>
  <c r="M109" i="8"/>
  <c r="N109" i="8" s="1"/>
  <c r="AE109" i="8"/>
  <c r="CE109" i="8"/>
  <c r="AM109" i="8"/>
  <c r="C158" i="5"/>
  <c r="E93" i="5"/>
  <c r="AY25" i="5"/>
  <c r="AZ24" i="5"/>
  <c r="AC26" i="5"/>
  <c r="AD25" i="5"/>
  <c r="AK25" i="5"/>
  <c r="AL24" i="5"/>
  <c r="BV30" i="5"/>
  <c r="BU31" i="5"/>
  <c r="AR26" i="5"/>
  <c r="AS25" i="5"/>
  <c r="BN25" i="5"/>
  <c r="BO24" i="5"/>
  <c r="BF24" i="5"/>
  <c r="BG23" i="5"/>
  <c r="CC23" i="5"/>
  <c r="CD22" i="5"/>
  <c r="U32" i="5"/>
  <c r="V31" i="5"/>
  <c r="K30" i="5"/>
  <c r="L29" i="5"/>
  <c r="M29" i="5" s="1"/>
  <c r="AA123" i="1"/>
  <c r="AB123" i="1" s="1"/>
  <c r="P118" i="1"/>
  <c r="S118" i="1" s="1"/>
  <c r="P119" i="1"/>
  <c r="S119" i="1" s="1"/>
  <c r="T119" i="1" s="1"/>
  <c r="P120" i="1"/>
  <c r="S120" i="1" s="1"/>
  <c r="P121" i="1"/>
  <c r="S121" i="1" s="1"/>
  <c r="P122" i="1"/>
  <c r="S122" i="1" s="1"/>
  <c r="T122" i="1" s="1"/>
  <c r="P123" i="1"/>
  <c r="S123" i="1" s="1"/>
  <c r="T123" i="1" s="1"/>
  <c r="P124" i="1"/>
  <c r="P125" i="1"/>
  <c r="S125" i="1" s="1"/>
  <c r="T125" i="1" s="1"/>
  <c r="BB111" i="1"/>
  <c r="BE111" i="1" s="1"/>
  <c r="BB112" i="1"/>
  <c r="BE112" i="1" s="1"/>
  <c r="BB113" i="1"/>
  <c r="BB114" i="1"/>
  <c r="BB115" i="1"/>
  <c r="BE115" i="1" s="1"/>
  <c r="BB116" i="1"/>
  <c r="BE116" i="1" s="1"/>
  <c r="BB117" i="1"/>
  <c r="BE117" i="1" s="1"/>
  <c r="BB118" i="1"/>
  <c r="BE118" i="1" s="1"/>
  <c r="BB119" i="1"/>
  <c r="BE119" i="1" s="1"/>
  <c r="BB120" i="1"/>
  <c r="BB121" i="1"/>
  <c r="BB122" i="1"/>
  <c r="BE122" i="1" s="1"/>
  <c r="BB123" i="1"/>
  <c r="BE123" i="1" s="1"/>
  <c r="BB124" i="1"/>
  <c r="BB125" i="1"/>
  <c r="E208" i="11" l="1"/>
  <c r="X207" i="11"/>
  <c r="AQ207" i="11"/>
  <c r="AJ207" i="11"/>
  <c r="L207" i="11"/>
  <c r="L123" i="8"/>
  <c r="CD114" i="8"/>
  <c r="AZ113" i="8"/>
  <c r="BA112" i="8"/>
  <c r="V112" i="8"/>
  <c r="C111" i="8"/>
  <c r="W111" i="8" s="1"/>
  <c r="M110" i="8"/>
  <c r="N110" i="8" s="1"/>
  <c r="CE110" i="8"/>
  <c r="AE110" i="8"/>
  <c r="AM110" i="8"/>
  <c r="W110" i="8"/>
  <c r="BO112" i="8"/>
  <c r="AL113" i="8"/>
  <c r="K168" i="1"/>
  <c r="BG114" i="8"/>
  <c r="BH113" i="8"/>
  <c r="AD114" i="8"/>
  <c r="AS112" i="8"/>
  <c r="AT111" i="8"/>
  <c r="BW113" i="8"/>
  <c r="BV114" i="8"/>
  <c r="C159" i="5"/>
  <c r="E94" i="5"/>
  <c r="BU32" i="5"/>
  <c r="BV31" i="5"/>
  <c r="L30" i="5"/>
  <c r="M30" i="5" s="1"/>
  <c r="K31" i="5"/>
  <c r="CC24" i="5"/>
  <c r="CD23" i="5"/>
  <c r="BN26" i="5"/>
  <c r="BO25" i="5"/>
  <c r="AC27" i="5"/>
  <c r="AD26" i="5"/>
  <c r="U33" i="5"/>
  <c r="V32" i="5"/>
  <c r="BF25" i="5"/>
  <c r="BG24" i="5"/>
  <c r="AS26" i="5"/>
  <c r="AR27" i="5"/>
  <c r="AK26" i="5"/>
  <c r="AL25" i="5"/>
  <c r="AY26" i="5"/>
  <c r="AZ25" i="5"/>
  <c r="T118" i="1"/>
  <c r="AF115" i="1"/>
  <c r="AI115" i="1" s="1"/>
  <c r="AJ115" i="1" s="1"/>
  <c r="AF116" i="1"/>
  <c r="AI116" i="1" s="1"/>
  <c r="AJ116" i="1" s="1"/>
  <c r="AF117" i="1"/>
  <c r="AI117" i="1" s="1"/>
  <c r="AJ117" i="1" s="1"/>
  <c r="Z117" i="1"/>
  <c r="X118" i="1" s="1"/>
  <c r="AA118" i="1" s="1"/>
  <c r="AB118" i="1" s="1"/>
  <c r="Z116" i="1"/>
  <c r="X117" i="1" s="1"/>
  <c r="Z115" i="1"/>
  <c r="X116" i="1" s="1"/>
  <c r="P117" i="1"/>
  <c r="S117" i="1" s="1"/>
  <c r="T117" i="1" s="1"/>
  <c r="E209" i="11" l="1"/>
  <c r="X208" i="11"/>
  <c r="AQ208" i="11"/>
  <c r="AJ208" i="11"/>
  <c r="L208" i="11"/>
  <c r="BP111" i="8"/>
  <c r="BW114" i="8"/>
  <c r="BV115" i="8"/>
  <c r="AD115" i="8"/>
  <c r="K169" i="1"/>
  <c r="BO113" i="8"/>
  <c r="V113" i="8"/>
  <c r="CD115" i="8"/>
  <c r="L124" i="8"/>
  <c r="AS113" i="8"/>
  <c r="AT112" i="8"/>
  <c r="BG115" i="8"/>
  <c r="BH114" i="8"/>
  <c r="AL114" i="8"/>
  <c r="C112" i="8"/>
  <c r="BP112" i="8" s="1"/>
  <c r="M111" i="8"/>
  <c r="N111" i="8" s="1"/>
  <c r="CE111" i="8"/>
  <c r="AE111" i="8"/>
  <c r="AM111" i="8"/>
  <c r="BA113" i="8"/>
  <c r="AZ114" i="8"/>
  <c r="C160" i="5"/>
  <c r="E95" i="5"/>
  <c r="E96" i="5" s="1"/>
  <c r="E97" i="5" s="1"/>
  <c r="E98" i="5" s="1"/>
  <c r="E99" i="5" s="1"/>
  <c r="E100" i="5" s="1"/>
  <c r="E101" i="5" s="1"/>
  <c r="E102" i="5" s="1"/>
  <c r="E103" i="5" s="1"/>
  <c r="E104" i="5" s="1"/>
  <c r="E105" i="5" s="1"/>
  <c r="E106" i="5" s="1"/>
  <c r="E107" i="5" s="1"/>
  <c r="E108" i="5" s="1"/>
  <c r="E109" i="5" s="1"/>
  <c r="E110" i="5" s="1"/>
  <c r="E111" i="5" s="1"/>
  <c r="E112" i="5" s="1"/>
  <c r="E113" i="5" s="1"/>
  <c r="E114" i="5" s="1"/>
  <c r="E115" i="5" s="1"/>
  <c r="E116" i="5" s="1"/>
  <c r="E117" i="5" s="1"/>
  <c r="E118" i="5" s="1"/>
  <c r="E119" i="5" s="1"/>
  <c r="E120" i="5" s="1"/>
  <c r="E121" i="5" s="1"/>
  <c r="E122" i="5" s="1"/>
  <c r="E123" i="5" s="1"/>
  <c r="E124" i="5" s="1"/>
  <c r="E125" i="5" s="1"/>
  <c r="E126" i="5" s="1"/>
  <c r="E127" i="5" s="1"/>
  <c r="E128" i="5" s="1"/>
  <c r="E129" i="5" s="1"/>
  <c r="E130" i="5" s="1"/>
  <c r="E131" i="5" s="1"/>
  <c r="E132" i="5" s="1"/>
  <c r="E133" i="5" s="1"/>
  <c r="E134" i="5" s="1"/>
  <c r="E135" i="5" s="1"/>
  <c r="E136" i="5" s="1"/>
  <c r="E137" i="5" s="1"/>
  <c r="E138" i="5" s="1"/>
  <c r="E139" i="5" s="1"/>
  <c r="E140" i="5" s="1"/>
  <c r="E141" i="5" s="1"/>
  <c r="E142" i="5" s="1"/>
  <c r="E143" i="5" s="1"/>
  <c r="E144" i="5" s="1"/>
  <c r="E145" i="5" s="1"/>
  <c r="E146" i="5" s="1"/>
  <c r="E147" i="5" s="1"/>
  <c r="E148" i="5" s="1"/>
  <c r="E149" i="5" s="1"/>
  <c r="E150" i="5" s="1"/>
  <c r="E151" i="5" s="1"/>
  <c r="E152" i="5" s="1"/>
  <c r="E153" i="5" s="1"/>
  <c r="E154" i="5" s="1"/>
  <c r="E155" i="5" s="1"/>
  <c r="E156" i="5" s="1"/>
  <c r="E157" i="5" s="1"/>
  <c r="E158" i="5" s="1"/>
  <c r="E159" i="5" s="1"/>
  <c r="E160" i="5" s="1"/>
  <c r="E161" i="5" s="1"/>
  <c r="E162" i="5" s="1"/>
  <c r="E163" i="5" s="1"/>
  <c r="E164" i="5" s="1"/>
  <c r="E165" i="5" s="1"/>
  <c r="E166" i="5" s="1"/>
  <c r="E167" i="5" s="1"/>
  <c r="E168" i="5" s="1"/>
  <c r="E169" i="5" s="1"/>
  <c r="E170" i="5" s="1"/>
  <c r="E171" i="5" s="1"/>
  <c r="E172" i="5" s="1"/>
  <c r="E173" i="5" s="1"/>
  <c r="E174" i="5" s="1"/>
  <c r="E175" i="5" s="1"/>
  <c r="E176" i="5" s="1"/>
  <c r="E177" i="5" s="1"/>
  <c r="E178" i="5" s="1"/>
  <c r="E179" i="5" s="1"/>
  <c r="E180" i="5" s="1"/>
  <c r="E181" i="5" s="1"/>
  <c r="E182" i="5" s="1"/>
  <c r="E183" i="5" s="1"/>
  <c r="E184" i="5" s="1"/>
  <c r="E185" i="5" s="1"/>
  <c r="E186" i="5" s="1"/>
  <c r="E187" i="5" s="1"/>
  <c r="E188" i="5" s="1"/>
  <c r="E189" i="5" s="1"/>
  <c r="E190" i="5" s="1"/>
  <c r="E191" i="5" s="1"/>
  <c r="E192" i="5" s="1"/>
  <c r="E193" i="5" s="1"/>
  <c r="E194" i="5" s="1"/>
  <c r="E195" i="5" s="1"/>
  <c r="E196" i="5" s="1"/>
  <c r="E197" i="5" s="1"/>
  <c r="E198" i="5" s="1"/>
  <c r="E199" i="5" s="1"/>
  <c r="E200" i="5" s="1"/>
  <c r="E201" i="5" s="1"/>
  <c r="E202" i="5" s="1"/>
  <c r="E203" i="5" s="1"/>
  <c r="E204" i="5" s="1"/>
  <c r="E205" i="5" s="1"/>
  <c r="E206" i="5" s="1"/>
  <c r="E207" i="5" s="1"/>
  <c r="E208" i="5" s="1"/>
  <c r="E209" i="5" s="1"/>
  <c r="E210" i="5" s="1"/>
  <c r="E211" i="5" s="1"/>
  <c r="E212" i="5" s="1"/>
  <c r="E213" i="5" s="1"/>
  <c r="E214" i="5" s="1"/>
  <c r="E215" i="5" s="1"/>
  <c r="E216" i="5" s="1"/>
  <c r="E217" i="5" s="1"/>
  <c r="E218" i="5" s="1"/>
  <c r="E219" i="5" s="1"/>
  <c r="E220" i="5" s="1"/>
  <c r="E221" i="5" s="1"/>
  <c r="E222" i="5" s="1"/>
  <c r="E223" i="5" s="1"/>
  <c r="E224" i="5" s="1"/>
  <c r="E225" i="5" s="1"/>
  <c r="L31" i="5"/>
  <c r="M31" i="5" s="1"/>
  <c r="K32" i="5"/>
  <c r="AZ26" i="5"/>
  <c r="AY27" i="5"/>
  <c r="U34" i="5"/>
  <c r="V33" i="5"/>
  <c r="BN27" i="5"/>
  <c r="BO26" i="5"/>
  <c r="AS27" i="5"/>
  <c r="AR28" i="5"/>
  <c r="AK27" i="5"/>
  <c r="AL26" i="5"/>
  <c r="BF26" i="5"/>
  <c r="BG25" i="5"/>
  <c r="AD27" i="5"/>
  <c r="AC28" i="5"/>
  <c r="CC25" i="5"/>
  <c r="CD24" i="5"/>
  <c r="BU33" i="5"/>
  <c r="BV32" i="5"/>
  <c r="AA116" i="1"/>
  <c r="AB116" i="1" s="1"/>
  <c r="AA117" i="1"/>
  <c r="AB117" i="1" s="1"/>
  <c r="P115" i="1"/>
  <c r="S115" i="1" s="1"/>
  <c r="T115" i="1" s="1"/>
  <c r="P116" i="1"/>
  <c r="S116" i="1" s="1"/>
  <c r="T116" i="1" s="1"/>
  <c r="E210" i="11" l="1"/>
  <c r="X209" i="11"/>
  <c r="AQ209" i="11"/>
  <c r="AJ209" i="11"/>
  <c r="L209" i="11"/>
  <c r="AZ115" i="8"/>
  <c r="BA114" i="8"/>
  <c r="AL115" i="8"/>
  <c r="AS114" i="8"/>
  <c r="AT113" i="8"/>
  <c r="CD116" i="8"/>
  <c r="BO114" i="8"/>
  <c r="AD116" i="8"/>
  <c r="V114" i="8"/>
  <c r="K170" i="1"/>
  <c r="BW115" i="8"/>
  <c r="BV116" i="8"/>
  <c r="C113" i="8"/>
  <c r="M112" i="8"/>
  <c r="N112" i="8" s="1"/>
  <c r="AE112" i="8"/>
  <c r="CE112" i="8"/>
  <c r="AM112" i="8"/>
  <c r="BH115" i="8"/>
  <c r="BG116" i="8"/>
  <c r="L125" i="8"/>
  <c r="W112" i="8"/>
  <c r="C161" i="5"/>
  <c r="CC26" i="5"/>
  <c r="CD25" i="5"/>
  <c r="BF27" i="5"/>
  <c r="BG26" i="5"/>
  <c r="V34" i="5"/>
  <c r="U35" i="5"/>
  <c r="AC29" i="5"/>
  <c r="AD28" i="5"/>
  <c r="AY28" i="5"/>
  <c r="AZ27" i="5"/>
  <c r="BU34" i="5"/>
  <c r="BV33" i="5"/>
  <c r="AK28" i="5"/>
  <c r="AL27" i="5"/>
  <c r="BO27" i="5"/>
  <c r="BN28" i="5"/>
  <c r="AS28" i="5"/>
  <c r="AR29" i="5"/>
  <c r="L32" i="5"/>
  <c r="M32" i="5" s="1"/>
  <c r="K33" i="5"/>
  <c r="AQ111" i="1"/>
  <c r="AQ112" i="1"/>
  <c r="AQ113" i="1"/>
  <c r="AQ114" i="1"/>
  <c r="AF111" i="1"/>
  <c r="AI111" i="1" s="1"/>
  <c r="AF112" i="1"/>
  <c r="AI112" i="1" s="1"/>
  <c r="AJ112" i="1" s="1"/>
  <c r="AF113" i="1"/>
  <c r="AI113" i="1" s="1"/>
  <c r="AJ113" i="1" s="1"/>
  <c r="AF114" i="1"/>
  <c r="AI114" i="1" s="1"/>
  <c r="AJ114" i="1" s="1"/>
  <c r="Z114" i="1"/>
  <c r="X115" i="1" s="1"/>
  <c r="AA115" i="1" s="1"/>
  <c r="AB115" i="1" s="1"/>
  <c r="Z113" i="1"/>
  <c r="X114" i="1" s="1"/>
  <c r="Z112" i="1"/>
  <c r="X113" i="1" s="1"/>
  <c r="Z111" i="1"/>
  <c r="X112" i="1" s="1"/>
  <c r="P111" i="1"/>
  <c r="S111" i="1" s="1"/>
  <c r="P112" i="1"/>
  <c r="S112" i="1" s="1"/>
  <c r="T112" i="1" s="1"/>
  <c r="P113" i="1"/>
  <c r="S113" i="1" s="1"/>
  <c r="T113" i="1" s="1"/>
  <c r="P114" i="1"/>
  <c r="S114" i="1" s="1"/>
  <c r="T114" i="1" s="1"/>
  <c r="E211" i="11" l="1"/>
  <c r="X210" i="11"/>
  <c r="AQ210" i="11"/>
  <c r="AJ210" i="11"/>
  <c r="L210" i="11"/>
  <c r="C114" i="8"/>
  <c r="BP114" i="8" s="1"/>
  <c r="M113" i="8"/>
  <c r="N113" i="8" s="1"/>
  <c r="CE113" i="8"/>
  <c r="AE113" i="8"/>
  <c r="AM113" i="8"/>
  <c r="K171" i="1"/>
  <c r="AL116" i="8"/>
  <c r="AD117" i="8"/>
  <c r="CD117" i="8"/>
  <c r="L126" i="8"/>
  <c r="BW116" i="8"/>
  <c r="BV117" i="8"/>
  <c r="W113" i="8"/>
  <c r="BP113" i="8"/>
  <c r="BG117" i="8"/>
  <c r="BH116" i="8"/>
  <c r="V115" i="8"/>
  <c r="BO115" i="8"/>
  <c r="AS115" i="8"/>
  <c r="AT114" i="8"/>
  <c r="AZ116" i="8"/>
  <c r="BA115" i="8"/>
  <c r="C162" i="5"/>
  <c r="BV34" i="5"/>
  <c r="BU35" i="5"/>
  <c r="BG27" i="5"/>
  <c r="BF28" i="5"/>
  <c r="U36" i="5"/>
  <c r="V35" i="5"/>
  <c r="AL28" i="5"/>
  <c r="AK29" i="5"/>
  <c r="AY29" i="5"/>
  <c r="AZ28" i="5"/>
  <c r="CC27" i="5"/>
  <c r="CD26" i="5"/>
  <c r="L33" i="5"/>
  <c r="M33" i="5" s="1"/>
  <c r="K34" i="5"/>
  <c r="BO28" i="5"/>
  <c r="BN29" i="5"/>
  <c r="AD29" i="5"/>
  <c r="AC30" i="5"/>
  <c r="AS29" i="5"/>
  <c r="AR30" i="5"/>
  <c r="AA113" i="1"/>
  <c r="AB113" i="1" s="1"/>
  <c r="AA112" i="1"/>
  <c r="AB112" i="1" s="1"/>
  <c r="AA114" i="1"/>
  <c r="AB114" i="1" s="1"/>
  <c r="T111" i="1"/>
  <c r="AJ111" i="1"/>
  <c r="W114" i="8" l="1"/>
  <c r="E212" i="11"/>
  <c r="X211" i="11"/>
  <c r="AQ211" i="11"/>
  <c r="AJ211" i="11"/>
  <c r="L211" i="11"/>
  <c r="CD118" i="8"/>
  <c r="V116" i="8"/>
  <c r="K172" i="1"/>
  <c r="AZ117" i="8"/>
  <c r="BA116" i="8"/>
  <c r="BH117" i="8"/>
  <c r="BG118" i="8"/>
  <c r="AS116" i="8"/>
  <c r="AT115" i="8"/>
  <c r="L127" i="8"/>
  <c r="AD118" i="8"/>
  <c r="BO116" i="8"/>
  <c r="BW117" i="8"/>
  <c r="BV118" i="8"/>
  <c r="AL117" i="8"/>
  <c r="C115" i="8"/>
  <c r="W115" i="8" s="1"/>
  <c r="M114" i="8"/>
  <c r="N114" i="8" s="1"/>
  <c r="AE114" i="8"/>
  <c r="CE114" i="8"/>
  <c r="AM114" i="8"/>
  <c r="C163" i="5"/>
  <c r="CD27" i="5"/>
  <c r="CC28" i="5"/>
  <c r="L34" i="5"/>
  <c r="M34" i="5" s="1"/>
  <c r="K35" i="5"/>
  <c r="BU36" i="5"/>
  <c r="BV35" i="5"/>
  <c r="AZ29" i="5"/>
  <c r="AY30" i="5"/>
  <c r="V36" i="5"/>
  <c r="U37" i="5"/>
  <c r="AS30" i="5"/>
  <c r="AR31" i="5"/>
  <c r="BO29" i="5"/>
  <c r="BN30" i="5"/>
  <c r="AL29" i="5"/>
  <c r="AK30" i="5"/>
  <c r="BG28" i="5"/>
  <c r="BF29" i="5"/>
  <c r="AD30" i="5"/>
  <c r="AC31" i="5"/>
  <c r="AT65" i="1"/>
  <c r="AQ87" i="1"/>
  <c r="AQ88" i="1"/>
  <c r="AQ89" i="1"/>
  <c r="AQ90" i="1"/>
  <c r="AQ91" i="1"/>
  <c r="AQ92" i="1"/>
  <c r="AQ93" i="1"/>
  <c r="AQ94" i="1"/>
  <c r="AQ95" i="1"/>
  <c r="AQ96" i="1"/>
  <c r="AQ97" i="1"/>
  <c r="AQ104" i="1"/>
  <c r="AQ106" i="1"/>
  <c r="AQ107" i="1"/>
  <c r="AQ108" i="1"/>
  <c r="AQ109" i="1"/>
  <c r="AQ110" i="1"/>
  <c r="E213" i="11" l="1"/>
  <c r="X212" i="11"/>
  <c r="AQ212" i="11"/>
  <c r="AJ212" i="11"/>
  <c r="L212" i="11"/>
  <c r="BV119" i="8"/>
  <c r="BW118" i="8"/>
  <c r="C116" i="8"/>
  <c r="BP116" i="8" s="1"/>
  <c r="M115" i="8"/>
  <c r="N115" i="8" s="1"/>
  <c r="CE115" i="8"/>
  <c r="AE115" i="8"/>
  <c r="AM115" i="8"/>
  <c r="AD119" i="8"/>
  <c r="AT116" i="8"/>
  <c r="AS117" i="8"/>
  <c r="BA117" i="8"/>
  <c r="AZ118" i="8"/>
  <c r="V117" i="8"/>
  <c r="CD119" i="8"/>
  <c r="BO117" i="8"/>
  <c r="L128" i="8"/>
  <c r="BH118" i="8"/>
  <c r="BG119" i="8"/>
  <c r="AL118" i="8"/>
  <c r="BP115" i="8"/>
  <c r="K173" i="1"/>
  <c r="C164" i="5"/>
  <c r="BG29" i="5"/>
  <c r="BF30" i="5"/>
  <c r="BO30" i="5"/>
  <c r="BN31" i="5"/>
  <c r="CD28" i="5"/>
  <c r="CC29" i="5"/>
  <c r="BV36" i="5"/>
  <c r="BU37" i="5"/>
  <c r="AC32" i="5"/>
  <c r="AD31" i="5"/>
  <c r="AK31" i="5"/>
  <c r="AL30" i="5"/>
  <c r="AR32" i="5"/>
  <c r="AS31" i="5"/>
  <c r="AZ30" i="5"/>
  <c r="AY31" i="5"/>
  <c r="L35" i="5"/>
  <c r="M35" i="5" s="1"/>
  <c r="K36" i="5"/>
  <c r="V37" i="5"/>
  <c r="U38" i="5"/>
  <c r="BI108" i="1"/>
  <c r="BL108" i="1" s="1"/>
  <c r="BM108" i="1" s="1"/>
  <c r="BI109" i="1"/>
  <c r="BL109" i="1" s="1"/>
  <c r="BM109" i="1" s="1"/>
  <c r="BI110" i="1"/>
  <c r="BL110" i="1" s="1"/>
  <c r="BM110" i="1" s="1"/>
  <c r="BB108" i="1"/>
  <c r="BE108" i="1" s="1"/>
  <c r="BB109" i="1"/>
  <c r="BB110" i="1"/>
  <c r="BE110" i="1" s="1"/>
  <c r="AF108" i="1"/>
  <c r="AI108" i="1" s="1"/>
  <c r="AJ108" i="1" s="1"/>
  <c r="AF109" i="1"/>
  <c r="AI109" i="1" s="1"/>
  <c r="AJ109" i="1" s="1"/>
  <c r="AF110" i="1"/>
  <c r="AI110" i="1" s="1"/>
  <c r="AJ110" i="1" s="1"/>
  <c r="Z109" i="1"/>
  <c r="X110" i="1" s="1"/>
  <c r="Z108" i="1"/>
  <c r="Z110" i="1"/>
  <c r="X111" i="1" s="1"/>
  <c r="AA111" i="1" s="1"/>
  <c r="AB111" i="1" s="1"/>
  <c r="P108" i="1"/>
  <c r="S108" i="1" s="1"/>
  <c r="T108" i="1" s="1"/>
  <c r="P109" i="1"/>
  <c r="S109" i="1" s="1"/>
  <c r="P110" i="1"/>
  <c r="S110" i="1" s="1"/>
  <c r="T110" i="1" s="1"/>
  <c r="BS109" i="1"/>
  <c r="BS110" i="1"/>
  <c r="BQ111" i="1" s="1"/>
  <c r="BT111" i="1" s="1"/>
  <c r="BU111" i="1" s="1"/>
  <c r="BS108" i="1"/>
  <c r="BQ109" i="1" s="1"/>
  <c r="BS107" i="1"/>
  <c r="BQ108" i="1" s="1"/>
  <c r="BS106" i="1"/>
  <c r="BQ107" i="1" s="1"/>
  <c r="BS105" i="1"/>
  <c r="BQ106" i="1" s="1"/>
  <c r="BQ99" i="1"/>
  <c r="BR105" i="1"/>
  <c r="BS104" i="1"/>
  <c r="BQ105" i="1" s="1"/>
  <c r="BS103" i="1"/>
  <c r="BQ104" i="1" s="1"/>
  <c r="BS102" i="1"/>
  <c r="BQ103" i="1" s="1"/>
  <c r="BS101" i="1"/>
  <c r="BQ102" i="1" s="1"/>
  <c r="BS100" i="1"/>
  <c r="BQ101" i="1" s="1"/>
  <c r="BS99" i="1"/>
  <c r="BQ100" i="1" s="1"/>
  <c r="BS97" i="1"/>
  <c r="BQ98" i="1" s="1"/>
  <c r="BS96" i="1"/>
  <c r="BQ97" i="1" s="1"/>
  <c r="E214" i="11" l="1"/>
  <c r="X213" i="11"/>
  <c r="AQ213" i="11"/>
  <c r="AJ213" i="11"/>
  <c r="L213" i="11"/>
  <c r="K174" i="1"/>
  <c r="AD120" i="8"/>
  <c r="BG120" i="8"/>
  <c r="BH119" i="8"/>
  <c r="V118" i="8"/>
  <c r="AS118" i="8"/>
  <c r="AT117" i="8"/>
  <c r="C117" i="8"/>
  <c r="BP117" i="8" s="1"/>
  <c r="M116" i="8"/>
  <c r="N116" i="8" s="1"/>
  <c r="CE116" i="8"/>
  <c r="AE116" i="8"/>
  <c r="AM116" i="8"/>
  <c r="BO118" i="8"/>
  <c r="W116" i="8"/>
  <c r="AL119" i="8"/>
  <c r="L129" i="8"/>
  <c r="CD120" i="8"/>
  <c r="AZ119" i="8"/>
  <c r="BA118" i="8"/>
  <c r="BW119" i="8"/>
  <c r="BV120" i="8"/>
  <c r="C165" i="5"/>
  <c r="V38" i="5"/>
  <c r="U39" i="5"/>
  <c r="AZ31" i="5"/>
  <c r="AY32" i="5"/>
  <c r="BU38" i="5"/>
  <c r="BV37" i="5"/>
  <c r="BN32" i="5"/>
  <c r="BO31" i="5"/>
  <c r="AL31" i="5"/>
  <c r="AK32" i="5"/>
  <c r="K37" i="5"/>
  <c r="L36" i="5"/>
  <c r="M36" i="5" s="1"/>
  <c r="CD29" i="5"/>
  <c r="CC30" i="5"/>
  <c r="BF31" i="5"/>
  <c r="BG30" i="5"/>
  <c r="AS32" i="5"/>
  <c r="AR33" i="5"/>
  <c r="AC33" i="5"/>
  <c r="AD32" i="5"/>
  <c r="BT108" i="1"/>
  <c r="BU108" i="1" s="1"/>
  <c r="BT97" i="1"/>
  <c r="BU97" i="1" s="1"/>
  <c r="AA110" i="1"/>
  <c r="AB110" i="1" s="1"/>
  <c r="T109" i="1"/>
  <c r="BT109" i="1"/>
  <c r="BU109" i="1" s="1"/>
  <c r="BT107" i="1"/>
  <c r="BU107" i="1" s="1"/>
  <c r="X109" i="1"/>
  <c r="BQ110" i="1"/>
  <c r="BT110" i="1" s="1"/>
  <c r="BU110" i="1" s="1"/>
  <c r="BI96" i="1"/>
  <c r="BL96" i="1" s="1"/>
  <c r="BI97" i="1"/>
  <c r="BL97" i="1" s="1"/>
  <c r="BM97" i="1" s="1"/>
  <c r="BI98" i="1"/>
  <c r="BI99" i="1"/>
  <c r="BI100" i="1"/>
  <c r="BI101" i="1"/>
  <c r="BI102" i="1"/>
  <c r="BI103" i="1"/>
  <c r="BI104" i="1"/>
  <c r="BI105" i="1"/>
  <c r="BI106" i="1"/>
  <c r="BI107" i="1"/>
  <c r="BB96" i="1"/>
  <c r="BE96" i="1" s="1"/>
  <c r="BB97" i="1"/>
  <c r="BB98" i="1"/>
  <c r="BB99" i="1"/>
  <c r="BB100" i="1"/>
  <c r="BB101" i="1"/>
  <c r="BB102" i="1"/>
  <c r="BB103" i="1"/>
  <c r="BB104" i="1"/>
  <c r="BB105" i="1"/>
  <c r="BB106" i="1"/>
  <c r="BE106" i="1" s="1"/>
  <c r="BB107" i="1"/>
  <c r="BE107" i="1" s="1"/>
  <c r="AF96" i="1"/>
  <c r="AF97" i="1"/>
  <c r="AI97" i="1" s="1"/>
  <c r="AF98" i="1"/>
  <c r="AF99" i="1"/>
  <c r="AF100" i="1"/>
  <c r="AF101" i="1"/>
  <c r="AF102" i="1"/>
  <c r="AF103" i="1"/>
  <c r="AF104" i="1"/>
  <c r="AF105" i="1"/>
  <c r="AF106" i="1"/>
  <c r="AI106" i="1" s="1"/>
  <c r="AJ106" i="1" s="1"/>
  <c r="AF107" i="1"/>
  <c r="AI107" i="1" s="1"/>
  <c r="AJ107" i="1" s="1"/>
  <c r="Z107" i="1"/>
  <c r="X108" i="1" s="1"/>
  <c r="Z99" i="1"/>
  <c r="X100" i="1" s="1"/>
  <c r="Z100" i="1"/>
  <c r="X101" i="1" s="1"/>
  <c r="Z101" i="1"/>
  <c r="X102" i="1" s="1"/>
  <c r="Z102" i="1"/>
  <c r="X103" i="1" s="1"/>
  <c r="Z103" i="1"/>
  <c r="X104" i="1" s="1"/>
  <c r="Z104" i="1"/>
  <c r="X105" i="1" s="1"/>
  <c r="Z105" i="1"/>
  <c r="X106" i="1" s="1"/>
  <c r="Z106" i="1"/>
  <c r="X107" i="1" s="1"/>
  <c r="AA107" i="1" s="1"/>
  <c r="AB107" i="1" s="1"/>
  <c r="Z98" i="1"/>
  <c r="X99" i="1" s="1"/>
  <c r="Z97" i="1"/>
  <c r="X98" i="1" s="1"/>
  <c r="Z96" i="1"/>
  <c r="X97" i="1" s="1"/>
  <c r="P96" i="1"/>
  <c r="S96" i="1" s="1"/>
  <c r="P97" i="1"/>
  <c r="S97" i="1" s="1"/>
  <c r="T97" i="1" s="1"/>
  <c r="P98" i="1"/>
  <c r="P99" i="1"/>
  <c r="P100" i="1"/>
  <c r="P101" i="1"/>
  <c r="P102" i="1"/>
  <c r="P103" i="1"/>
  <c r="P104" i="1"/>
  <c r="P105" i="1"/>
  <c r="P106" i="1"/>
  <c r="S106" i="1" s="1"/>
  <c r="T106" i="1" s="1"/>
  <c r="P107" i="1"/>
  <c r="S107" i="1" s="1"/>
  <c r="T107" i="1" s="1"/>
  <c r="E215" i="11" l="1"/>
  <c r="X214" i="11"/>
  <c r="AQ214" i="11"/>
  <c r="AJ214" i="11"/>
  <c r="L214" i="11"/>
  <c r="BV121" i="8"/>
  <c r="BW120" i="8"/>
  <c r="CD121" i="8"/>
  <c r="AL120" i="8"/>
  <c r="BO119" i="8"/>
  <c r="V119" i="8"/>
  <c r="AD121" i="8"/>
  <c r="C118" i="8"/>
  <c r="BP118" i="8" s="1"/>
  <c r="M117" i="8"/>
  <c r="N117" i="8" s="1"/>
  <c r="CE117" i="8"/>
  <c r="AE117" i="8"/>
  <c r="AM117" i="8"/>
  <c r="W117" i="8"/>
  <c r="BA119" i="8"/>
  <c r="AZ120" i="8"/>
  <c r="L130" i="8"/>
  <c r="AS119" i="8"/>
  <c r="AT118" i="8"/>
  <c r="BG121" i="8"/>
  <c r="BH120" i="8"/>
  <c r="K175" i="1"/>
  <c r="C166" i="5"/>
  <c r="AY33" i="5"/>
  <c r="AZ32" i="5"/>
  <c r="K38" i="5"/>
  <c r="L37" i="5"/>
  <c r="M37" i="5" s="1"/>
  <c r="AS33" i="5"/>
  <c r="AR34" i="5"/>
  <c r="CD30" i="5"/>
  <c r="CC31" i="5"/>
  <c r="AL32" i="5"/>
  <c r="AK33" i="5"/>
  <c r="V39" i="5"/>
  <c r="U40" i="5"/>
  <c r="AD33" i="5"/>
  <c r="AC34" i="5"/>
  <c r="BF32" i="5"/>
  <c r="BG31" i="5"/>
  <c r="BO32" i="5"/>
  <c r="BN33" i="5"/>
  <c r="BV38" i="5"/>
  <c r="BU39" i="5"/>
  <c r="BH96" i="1"/>
  <c r="AA98" i="1"/>
  <c r="AB98" i="1" s="1"/>
  <c r="W96" i="1"/>
  <c r="BM96" i="1"/>
  <c r="BP96" i="1"/>
  <c r="AM96" i="1"/>
  <c r="AJ97" i="1"/>
  <c r="T96" i="1"/>
  <c r="E216" i="11" l="1"/>
  <c r="X215" i="11"/>
  <c r="AQ215" i="11"/>
  <c r="AJ215" i="11"/>
  <c r="L215" i="11"/>
  <c r="BA120" i="8"/>
  <c r="AZ121" i="8"/>
  <c r="K176" i="1"/>
  <c r="AS120" i="8"/>
  <c r="AT119" i="8"/>
  <c r="AD122" i="8"/>
  <c r="BO120" i="8"/>
  <c r="CD122" i="8"/>
  <c r="L131" i="8"/>
  <c r="V120" i="8"/>
  <c r="BH121" i="8"/>
  <c r="BG122" i="8"/>
  <c r="C119" i="8"/>
  <c r="W119" i="8" s="1"/>
  <c r="M118" i="8"/>
  <c r="N118" i="8" s="1"/>
  <c r="AE118" i="8"/>
  <c r="CE118" i="8"/>
  <c r="AM118" i="8"/>
  <c r="W118" i="8"/>
  <c r="AL121" i="8"/>
  <c r="BV122" i="8"/>
  <c r="BW121" i="8"/>
  <c r="C167" i="5"/>
  <c r="BU40" i="5"/>
  <c r="BV39" i="5"/>
  <c r="V40" i="5"/>
  <c r="U41" i="5"/>
  <c r="CC32" i="5"/>
  <c r="CD31" i="5"/>
  <c r="BF33" i="5"/>
  <c r="BG32" i="5"/>
  <c r="L38" i="5"/>
  <c r="M38" i="5" s="1"/>
  <c r="K39" i="5"/>
  <c r="BN34" i="5"/>
  <c r="BO33" i="5"/>
  <c r="AC35" i="5"/>
  <c r="AD34" i="5"/>
  <c r="AL33" i="5"/>
  <c r="AK34" i="5"/>
  <c r="AS34" i="5"/>
  <c r="AR35" i="5"/>
  <c r="AY34" i="5"/>
  <c r="AZ33" i="5"/>
  <c r="BS91" i="1"/>
  <c r="BQ92" i="1" s="1"/>
  <c r="BS95" i="1"/>
  <c r="BQ96" i="1" s="1"/>
  <c r="BT96" i="1" s="1"/>
  <c r="BX96" i="1" s="1"/>
  <c r="BS94" i="1"/>
  <c r="BQ95" i="1" s="1"/>
  <c r="BS93" i="1"/>
  <c r="BQ94" i="1" s="1"/>
  <c r="BS92" i="1"/>
  <c r="BQ93" i="1" s="1"/>
  <c r="BS90" i="1"/>
  <c r="BS89" i="1"/>
  <c r="BQ90" i="1" s="1"/>
  <c r="BS88" i="1"/>
  <c r="BQ89" i="1" s="1"/>
  <c r="BS87" i="1"/>
  <c r="BQ88" i="1" s="1"/>
  <c r="BS86" i="1"/>
  <c r="BQ87" i="1" s="1"/>
  <c r="BI90" i="1"/>
  <c r="BL90" i="1" s="1"/>
  <c r="BM90" i="1" s="1"/>
  <c r="BI91" i="1"/>
  <c r="BL91" i="1" s="1"/>
  <c r="BM91" i="1" s="1"/>
  <c r="BI92" i="1"/>
  <c r="BL92" i="1" s="1"/>
  <c r="BM92" i="1" s="1"/>
  <c r="BI93" i="1"/>
  <c r="BL93" i="1" s="1"/>
  <c r="BM93" i="1" s="1"/>
  <c r="BI94" i="1"/>
  <c r="BL94" i="1" s="1"/>
  <c r="BM94" i="1" s="1"/>
  <c r="BI95" i="1"/>
  <c r="BL95" i="1" s="1"/>
  <c r="BM95" i="1" s="1"/>
  <c r="BB90" i="1"/>
  <c r="BE90" i="1" s="1"/>
  <c r="BB91" i="1"/>
  <c r="BE91" i="1" s="1"/>
  <c r="BB92" i="1"/>
  <c r="BB93" i="1"/>
  <c r="BE93" i="1" s="1"/>
  <c r="BB94" i="1"/>
  <c r="BB95" i="1"/>
  <c r="BE95" i="1" s="1"/>
  <c r="AF91" i="1"/>
  <c r="AF92" i="1"/>
  <c r="AI92" i="1" s="1"/>
  <c r="AJ92" i="1" s="1"/>
  <c r="AF93" i="1"/>
  <c r="AF94" i="1"/>
  <c r="AI94" i="1" s="1"/>
  <c r="AJ94" i="1" s="1"/>
  <c r="AF95" i="1"/>
  <c r="AF90" i="1"/>
  <c r="AI90" i="1" s="1"/>
  <c r="AJ90" i="1" s="1"/>
  <c r="P90" i="1"/>
  <c r="S90" i="1" s="1"/>
  <c r="T90" i="1" s="1"/>
  <c r="P91" i="1"/>
  <c r="S91" i="1" s="1"/>
  <c r="T91" i="1" s="1"/>
  <c r="P92" i="1"/>
  <c r="S92" i="1" s="1"/>
  <c r="T92" i="1" s="1"/>
  <c r="P93" i="1"/>
  <c r="S93" i="1" s="1"/>
  <c r="T93" i="1" s="1"/>
  <c r="P94" i="1"/>
  <c r="S94" i="1" s="1"/>
  <c r="T94" i="1" s="1"/>
  <c r="P95" i="1"/>
  <c r="S95" i="1" s="1"/>
  <c r="T95" i="1" s="1"/>
  <c r="E217" i="11" l="1"/>
  <c r="X216" i="11"/>
  <c r="AQ216" i="11"/>
  <c r="AJ216" i="11"/>
  <c r="L216" i="11"/>
  <c r="AD123" i="8"/>
  <c r="BW122" i="8"/>
  <c r="BV123" i="8"/>
  <c r="C120" i="8"/>
  <c r="M119" i="8"/>
  <c r="N119" i="8" s="1"/>
  <c r="AE119" i="8"/>
  <c r="CE119" i="8"/>
  <c r="AM119" i="8"/>
  <c r="V121" i="8"/>
  <c r="W120" i="8"/>
  <c r="CD123" i="8"/>
  <c r="K177" i="1"/>
  <c r="BH122" i="8"/>
  <c r="BG123" i="8"/>
  <c r="BO121" i="8"/>
  <c r="BP120" i="8"/>
  <c r="BA121" i="8"/>
  <c r="AZ122" i="8"/>
  <c r="AL122" i="8"/>
  <c r="L132" i="8"/>
  <c r="BP119" i="8"/>
  <c r="AS121" i="8"/>
  <c r="AT120" i="8"/>
  <c r="C168" i="5"/>
  <c r="AK35" i="5"/>
  <c r="AL34" i="5"/>
  <c r="U42" i="5"/>
  <c r="V41" i="5"/>
  <c r="AY35" i="5"/>
  <c r="AZ34" i="5"/>
  <c r="BO34" i="5"/>
  <c r="BN35" i="5"/>
  <c r="BG33" i="5"/>
  <c r="BF34" i="5"/>
  <c r="AS35" i="5"/>
  <c r="AR36" i="5"/>
  <c r="L39" i="5"/>
  <c r="M39" i="5" s="1"/>
  <c r="K40" i="5"/>
  <c r="AC36" i="5"/>
  <c r="AD35" i="5"/>
  <c r="CD32" i="5"/>
  <c r="CC33" i="5"/>
  <c r="BV40" i="5"/>
  <c r="BU41" i="5"/>
  <c r="BT95" i="1"/>
  <c r="BU95" i="1" s="1"/>
  <c r="BT88" i="1"/>
  <c r="BU88" i="1" s="1"/>
  <c r="BT93" i="1"/>
  <c r="BU93" i="1" s="1"/>
  <c r="BT89" i="1"/>
  <c r="BU89" i="1" s="1"/>
  <c r="BT90" i="1"/>
  <c r="BU90" i="1" s="1"/>
  <c r="BU96" i="1"/>
  <c r="BT92" i="1"/>
  <c r="BU92" i="1" s="1"/>
  <c r="BQ91" i="1"/>
  <c r="Z95" i="1"/>
  <c r="X96" i="1" s="1"/>
  <c r="AA96" i="1" s="1"/>
  <c r="AE96" i="1" s="1"/>
  <c r="Z92" i="1"/>
  <c r="X93" i="1" s="1"/>
  <c r="Z94" i="1"/>
  <c r="X95" i="1" s="1"/>
  <c r="Z93" i="1"/>
  <c r="X94" i="1" s="1"/>
  <c r="Z91" i="1"/>
  <c r="X92" i="1" s="1"/>
  <c r="Z90" i="1"/>
  <c r="X91" i="1" s="1"/>
  <c r="E218" i="11" l="1"/>
  <c r="X217" i="11"/>
  <c r="AQ217" i="11"/>
  <c r="AJ217" i="11"/>
  <c r="L217" i="11"/>
  <c r="L133" i="8"/>
  <c r="CD124" i="8"/>
  <c r="BW123" i="8"/>
  <c r="BV124" i="8"/>
  <c r="AS122" i="8"/>
  <c r="AT121" i="8"/>
  <c r="K178" i="1"/>
  <c r="AL123" i="8"/>
  <c r="BO122" i="8"/>
  <c r="V122" i="8"/>
  <c r="AZ123" i="8"/>
  <c r="BA122" i="8"/>
  <c r="BH123" i="8"/>
  <c r="BG124" i="8"/>
  <c r="C121" i="8"/>
  <c r="W121" i="8" s="1"/>
  <c r="M120" i="8"/>
  <c r="N120" i="8" s="1"/>
  <c r="CE120" i="8"/>
  <c r="AE120" i="8"/>
  <c r="AM120" i="8"/>
  <c r="AD124" i="8"/>
  <c r="C169" i="5"/>
  <c r="AS36" i="5"/>
  <c r="AR37" i="5"/>
  <c r="AY36" i="5"/>
  <c r="AZ35" i="5"/>
  <c r="AK36" i="5"/>
  <c r="AL35" i="5"/>
  <c r="BU42" i="5"/>
  <c r="BV41" i="5"/>
  <c r="BN36" i="5"/>
  <c r="BO35" i="5"/>
  <c r="AD36" i="5"/>
  <c r="AC37" i="5"/>
  <c r="U43" i="5"/>
  <c r="V42" i="5"/>
  <c r="CC34" i="5"/>
  <c r="CD33" i="5"/>
  <c r="L40" i="5"/>
  <c r="M40" i="5" s="1"/>
  <c r="K41" i="5"/>
  <c r="BG34" i="5"/>
  <c r="BF35" i="5"/>
  <c r="AA91" i="1"/>
  <c r="AB91" i="1" s="1"/>
  <c r="AA95" i="1"/>
  <c r="AB95" i="1" s="1"/>
  <c r="AA94" i="1"/>
  <c r="AB94" i="1" s="1"/>
  <c r="AB96" i="1"/>
  <c r="AA93" i="1"/>
  <c r="AB93" i="1" s="1"/>
  <c r="BI84" i="1"/>
  <c r="BL84" i="1" s="1"/>
  <c r="BM84" i="1" s="1"/>
  <c r="BI85" i="1"/>
  <c r="BL85" i="1" s="1"/>
  <c r="BM85" i="1" s="1"/>
  <c r="BI86" i="1"/>
  <c r="BL86" i="1" s="1"/>
  <c r="BM86" i="1" s="1"/>
  <c r="BI87" i="1"/>
  <c r="BL87" i="1" s="1"/>
  <c r="BM87" i="1" s="1"/>
  <c r="BI88" i="1"/>
  <c r="BL88" i="1" s="1"/>
  <c r="BM88" i="1" s="1"/>
  <c r="BI89" i="1"/>
  <c r="BL89" i="1" s="1"/>
  <c r="BM89" i="1" s="1"/>
  <c r="BB84" i="1"/>
  <c r="BB85" i="1"/>
  <c r="BB86" i="1"/>
  <c r="BE86" i="1" s="1"/>
  <c r="BB87" i="1"/>
  <c r="BE87" i="1" s="1"/>
  <c r="BB88" i="1"/>
  <c r="BE88" i="1" s="1"/>
  <c r="BB89" i="1"/>
  <c r="AF84" i="1"/>
  <c r="AI84" i="1" s="1"/>
  <c r="AJ84" i="1" s="1"/>
  <c r="AF85" i="1"/>
  <c r="AI85" i="1" s="1"/>
  <c r="AJ85" i="1" s="1"/>
  <c r="AF86" i="1"/>
  <c r="AI86" i="1" s="1"/>
  <c r="AJ86" i="1" s="1"/>
  <c r="AF87" i="1"/>
  <c r="AI87" i="1" s="1"/>
  <c r="AJ87" i="1" s="1"/>
  <c r="AF88" i="1"/>
  <c r="AF89" i="1"/>
  <c r="AI89" i="1" s="1"/>
  <c r="AJ89" i="1" s="1"/>
  <c r="Z79" i="1"/>
  <c r="Z89" i="1"/>
  <c r="X90" i="1" s="1"/>
  <c r="AA90" i="1" s="1"/>
  <c r="Z88" i="1"/>
  <c r="X89" i="1" s="1"/>
  <c r="AA89" i="1" s="1"/>
  <c r="AB89" i="1" s="1"/>
  <c r="Z87" i="1"/>
  <c r="X88" i="1" s="1"/>
  <c r="Z86" i="1"/>
  <c r="X87" i="1" s="1"/>
  <c r="Z84" i="1"/>
  <c r="X85" i="1" s="1"/>
  <c r="Z82" i="1"/>
  <c r="Z85" i="1"/>
  <c r="X86" i="1" s="1"/>
  <c r="P84" i="1"/>
  <c r="S84" i="1" s="1"/>
  <c r="T84" i="1" s="1"/>
  <c r="P85" i="1"/>
  <c r="S85" i="1" s="1"/>
  <c r="T85" i="1" s="1"/>
  <c r="P86" i="1"/>
  <c r="S86" i="1" s="1"/>
  <c r="T86" i="1" s="1"/>
  <c r="P87" i="1"/>
  <c r="S87" i="1" s="1"/>
  <c r="T87" i="1" s="1"/>
  <c r="P88" i="1"/>
  <c r="S88" i="1" s="1"/>
  <c r="T88" i="1" s="1"/>
  <c r="P89" i="1"/>
  <c r="S89" i="1" s="1"/>
  <c r="T89" i="1" s="1"/>
  <c r="E219" i="11" l="1"/>
  <c r="X218" i="11"/>
  <c r="AQ218" i="11"/>
  <c r="AJ218" i="11"/>
  <c r="L218" i="11"/>
  <c r="BG125" i="8"/>
  <c r="BH124" i="8"/>
  <c r="CD125" i="8"/>
  <c r="V123" i="8"/>
  <c r="AL124" i="8"/>
  <c r="AS123" i="8"/>
  <c r="AT122" i="8"/>
  <c r="AD125" i="8"/>
  <c r="BO123" i="8"/>
  <c r="BW124" i="8"/>
  <c r="BV125" i="8"/>
  <c r="L134" i="8"/>
  <c r="C122" i="8"/>
  <c r="M121" i="8"/>
  <c r="N121" i="8" s="1"/>
  <c r="AE121" i="8"/>
  <c r="CE121" i="8"/>
  <c r="AM121" i="8"/>
  <c r="AZ124" i="8"/>
  <c r="BA123" i="8"/>
  <c r="BP121" i="8"/>
  <c r="K179" i="1"/>
  <c r="C170" i="5"/>
  <c r="AR38" i="5"/>
  <c r="AS37" i="5"/>
  <c r="AZ36" i="5"/>
  <c r="AY37" i="5"/>
  <c r="V43" i="5"/>
  <c r="U44" i="5"/>
  <c r="L41" i="5"/>
  <c r="M41" i="5" s="1"/>
  <c r="K42" i="5"/>
  <c r="BO36" i="5"/>
  <c r="BN37" i="5"/>
  <c r="AK37" i="5"/>
  <c r="AL36" i="5"/>
  <c r="BG35" i="5"/>
  <c r="BF36" i="5"/>
  <c r="AD37" i="5"/>
  <c r="AC38" i="5"/>
  <c r="CD34" i="5"/>
  <c r="CC35" i="5"/>
  <c r="BV42" i="5"/>
  <c r="BU43" i="5"/>
  <c r="AA88" i="1"/>
  <c r="AB88" i="1" s="1"/>
  <c r="AA87" i="1"/>
  <c r="AB87" i="1" s="1"/>
  <c r="AA85" i="1"/>
  <c r="AB85" i="1" s="1"/>
  <c r="AB90" i="1"/>
  <c r="AA86" i="1"/>
  <c r="AB86" i="1" s="1"/>
  <c r="E220" i="11" l="1"/>
  <c r="X219" i="11"/>
  <c r="AQ219" i="11"/>
  <c r="AJ219" i="11"/>
  <c r="L219" i="11"/>
  <c r="AZ125" i="8"/>
  <c r="BA124" i="8"/>
  <c r="BW125" i="8"/>
  <c r="BV126" i="8"/>
  <c r="AD126" i="8"/>
  <c r="AL125" i="8"/>
  <c r="CD126" i="8"/>
  <c r="K180" i="1"/>
  <c r="C123" i="8"/>
  <c r="W123" i="8" s="1"/>
  <c r="M122" i="8"/>
  <c r="N122" i="8" s="1"/>
  <c r="CE122" i="8"/>
  <c r="AE122" i="8"/>
  <c r="AM122" i="8"/>
  <c r="L135" i="8"/>
  <c r="BP122" i="8"/>
  <c r="W122" i="8"/>
  <c r="BO124" i="8"/>
  <c r="AS124" i="8"/>
  <c r="AT123" i="8"/>
  <c r="V124" i="8"/>
  <c r="BG126" i="8"/>
  <c r="BH125" i="8"/>
  <c r="C171" i="5"/>
  <c r="U45" i="5"/>
  <c r="V44" i="5"/>
  <c r="AS38" i="5"/>
  <c r="AR39" i="5"/>
  <c r="AY38" i="5"/>
  <c r="AZ37" i="5"/>
  <c r="BV43" i="5"/>
  <c r="BU44" i="5"/>
  <c r="AC39" i="5"/>
  <c r="AD38" i="5"/>
  <c r="L42" i="5"/>
  <c r="M42" i="5" s="1"/>
  <c r="K43" i="5"/>
  <c r="AK38" i="5"/>
  <c r="AL37" i="5"/>
  <c r="CC36" i="5"/>
  <c r="CD35" i="5"/>
  <c r="BG36" i="5"/>
  <c r="BF37" i="5"/>
  <c r="BO37" i="5"/>
  <c r="BN38" i="5"/>
  <c r="BS85" i="1"/>
  <c r="BQ86" i="1" s="1"/>
  <c r="BT86" i="1" s="1"/>
  <c r="BU86" i="1" s="1"/>
  <c r="BS84" i="1"/>
  <c r="BQ85" i="1" s="1"/>
  <c r="BS83" i="1"/>
  <c r="BQ84" i="1" s="1"/>
  <c r="BP123" i="8" l="1"/>
  <c r="E221" i="11"/>
  <c r="X220" i="11"/>
  <c r="AQ220" i="11"/>
  <c r="AJ220" i="11"/>
  <c r="L220" i="11"/>
  <c r="CD127" i="8"/>
  <c r="BH126" i="8"/>
  <c r="BG127" i="8"/>
  <c r="AT124" i="8"/>
  <c r="AS125" i="8"/>
  <c r="BW126" i="8"/>
  <c r="BV127" i="8"/>
  <c r="L136" i="8"/>
  <c r="AD127" i="8"/>
  <c r="V125" i="8"/>
  <c r="BO125" i="8"/>
  <c r="K181" i="1"/>
  <c r="AL126" i="8"/>
  <c r="C124" i="8"/>
  <c r="BP124" i="8" s="1"/>
  <c r="M123" i="8"/>
  <c r="N123" i="8" s="1"/>
  <c r="CE123" i="8"/>
  <c r="AE123" i="8"/>
  <c r="AM123" i="8"/>
  <c r="AZ126" i="8"/>
  <c r="BA125" i="8"/>
  <c r="C172" i="5"/>
  <c r="AZ38" i="5"/>
  <c r="AY39" i="5"/>
  <c r="V45" i="5"/>
  <c r="U46" i="5"/>
  <c r="L43" i="5"/>
  <c r="M43" i="5" s="1"/>
  <c r="K44" i="5"/>
  <c r="AR40" i="5"/>
  <c r="AS39" i="5"/>
  <c r="BV44" i="5"/>
  <c r="BU45" i="5"/>
  <c r="AL38" i="5"/>
  <c r="AK39" i="5"/>
  <c r="AC40" i="5"/>
  <c r="AD39" i="5"/>
  <c r="BN39" i="5"/>
  <c r="BO38" i="5"/>
  <c r="CC37" i="5"/>
  <c r="CD36" i="5"/>
  <c r="BG37" i="5"/>
  <c r="BF38" i="5"/>
  <c r="BT84" i="1"/>
  <c r="BU84" i="1" s="1"/>
  <c r="BT85" i="1"/>
  <c r="BU85" i="1" s="1"/>
  <c r="AW74" i="1"/>
  <c r="AX74" i="1" s="1"/>
  <c r="AW75" i="1"/>
  <c r="AX75" i="1" s="1"/>
  <c r="AW76" i="1"/>
  <c r="AX76" i="1" s="1"/>
  <c r="AW77" i="1"/>
  <c r="AX77" i="1" s="1"/>
  <c r="AW78" i="1"/>
  <c r="AX78" i="1" s="1"/>
  <c r="AW79" i="1"/>
  <c r="AX79" i="1" s="1"/>
  <c r="AW80" i="1"/>
  <c r="AX80" i="1" s="1"/>
  <c r="AW81" i="1"/>
  <c r="AX81" i="1" s="1"/>
  <c r="AW82" i="1"/>
  <c r="AX82" i="1" s="1"/>
  <c r="AW83" i="1"/>
  <c r="AX83" i="1" s="1"/>
  <c r="AW84" i="1"/>
  <c r="AX84" i="1" s="1"/>
  <c r="AW85" i="1"/>
  <c r="AX85" i="1" s="1"/>
  <c r="AW86" i="1"/>
  <c r="AX86" i="1" s="1"/>
  <c r="AQ74" i="1"/>
  <c r="AQ75" i="1"/>
  <c r="AQ76" i="1"/>
  <c r="AQ77" i="1"/>
  <c r="AQ78" i="1"/>
  <c r="AQ79" i="1"/>
  <c r="AQ80" i="1"/>
  <c r="AQ81" i="1"/>
  <c r="AQ82" i="1"/>
  <c r="AQ83" i="1"/>
  <c r="AQ84" i="1"/>
  <c r="AQ85" i="1"/>
  <c r="AQ86" i="1"/>
  <c r="E222" i="11" l="1"/>
  <c r="X221" i="11"/>
  <c r="AQ221" i="11"/>
  <c r="AJ221" i="11"/>
  <c r="L221" i="11"/>
  <c r="AD128" i="8"/>
  <c r="AL127" i="8"/>
  <c r="BO126" i="8"/>
  <c r="BW127" i="8"/>
  <c r="BV128" i="8"/>
  <c r="BA126" i="8"/>
  <c r="AZ127" i="8"/>
  <c r="K182" i="1"/>
  <c r="V126" i="8"/>
  <c r="AT125" i="8"/>
  <c r="AS126" i="8"/>
  <c r="BH127" i="8"/>
  <c r="BG128" i="8"/>
  <c r="C125" i="8"/>
  <c r="M124" i="8"/>
  <c r="N124" i="8" s="1"/>
  <c r="CE124" i="8"/>
  <c r="AE124" i="8"/>
  <c r="AM124" i="8"/>
  <c r="W124" i="8"/>
  <c r="L137" i="8"/>
  <c r="CD128" i="8"/>
  <c r="C173" i="5"/>
  <c r="BV45" i="5"/>
  <c r="BU46" i="5"/>
  <c r="L44" i="5"/>
  <c r="M44" i="5" s="1"/>
  <c r="K45" i="5"/>
  <c r="AZ39" i="5"/>
  <c r="AY40" i="5"/>
  <c r="U47" i="5"/>
  <c r="V46" i="5"/>
  <c r="AR41" i="5"/>
  <c r="AS40" i="5"/>
  <c r="AD40" i="5"/>
  <c r="AC41" i="5"/>
  <c r="BF39" i="5"/>
  <c r="BG38" i="5"/>
  <c r="AL39" i="5"/>
  <c r="AK40" i="5"/>
  <c r="BO39" i="5"/>
  <c r="BN40" i="5"/>
  <c r="CC38" i="5"/>
  <c r="CD37" i="5"/>
  <c r="BS82" i="1"/>
  <c r="BQ83" i="1" s="1"/>
  <c r="BT83" i="1" s="1"/>
  <c r="BU83" i="1" s="1"/>
  <c r="BS81" i="1"/>
  <c r="BS79" i="1"/>
  <c r="BQ80" i="1" s="1"/>
  <c r="BS80" i="1"/>
  <c r="BQ81" i="1" s="1"/>
  <c r="BI82" i="1"/>
  <c r="BL82" i="1" s="1"/>
  <c r="BM82" i="1" s="1"/>
  <c r="BI83" i="1"/>
  <c r="BL83" i="1" s="1"/>
  <c r="BM83" i="1" s="1"/>
  <c r="BB82" i="1"/>
  <c r="BB83" i="1"/>
  <c r="BE83" i="1" s="1"/>
  <c r="AF82" i="1"/>
  <c r="AF83" i="1"/>
  <c r="AI83" i="1" s="1"/>
  <c r="AJ83" i="1" s="1"/>
  <c r="X83" i="1"/>
  <c r="Z83" i="1"/>
  <c r="X84" i="1" s="1"/>
  <c r="AA84" i="1" s="1"/>
  <c r="AB84" i="1" s="1"/>
  <c r="P82" i="1"/>
  <c r="S82" i="1" s="1"/>
  <c r="T82" i="1" s="1"/>
  <c r="P83" i="1"/>
  <c r="S83" i="1" s="1"/>
  <c r="T83" i="1" s="1"/>
  <c r="E223" i="11" l="1"/>
  <c r="X222" i="11"/>
  <c r="AQ222" i="11"/>
  <c r="AJ222" i="11"/>
  <c r="L222" i="11"/>
  <c r="AT126" i="8"/>
  <c r="AS127" i="8"/>
  <c r="BW128" i="8"/>
  <c r="BV129" i="8"/>
  <c r="CD129" i="8"/>
  <c r="C126" i="8"/>
  <c r="BP126" i="8" s="1"/>
  <c r="M125" i="8"/>
  <c r="N125" i="8" s="1"/>
  <c r="AE125" i="8"/>
  <c r="CE125" i="8"/>
  <c r="AM125" i="8"/>
  <c r="K183" i="1"/>
  <c r="L138" i="8"/>
  <c r="BH128" i="8"/>
  <c r="BG129" i="8"/>
  <c r="V127" i="8"/>
  <c r="W126" i="8"/>
  <c r="BA127" i="8"/>
  <c r="AZ128" i="8"/>
  <c r="BP125" i="8"/>
  <c r="AD129" i="8"/>
  <c r="AL128" i="8"/>
  <c r="W125" i="8"/>
  <c r="BO127" i="8"/>
  <c r="C174" i="5"/>
  <c r="AY41" i="5"/>
  <c r="AZ40" i="5"/>
  <c r="BV46" i="5"/>
  <c r="BU47" i="5"/>
  <c r="AR42" i="5"/>
  <c r="AS41" i="5"/>
  <c r="L45" i="5"/>
  <c r="M45" i="5" s="1"/>
  <c r="K46" i="5"/>
  <c r="V47" i="5"/>
  <c r="U48" i="5"/>
  <c r="AK41" i="5"/>
  <c r="AL40" i="5"/>
  <c r="AD41" i="5"/>
  <c r="AC42" i="5"/>
  <c r="CC39" i="5"/>
  <c r="CD38" i="5"/>
  <c r="BN41" i="5"/>
  <c r="BO40" i="5"/>
  <c r="BG39" i="5"/>
  <c r="BF40" i="5"/>
  <c r="BT80" i="1"/>
  <c r="BU80" i="1" s="1"/>
  <c r="BT81" i="1"/>
  <c r="BU81" i="1" s="1"/>
  <c r="AA83" i="1"/>
  <c r="AB83" i="1" s="1"/>
  <c r="BQ82" i="1"/>
  <c r="BT82" i="1" s="1"/>
  <c r="BU82" i="1" s="1"/>
  <c r="E224" i="11" l="1"/>
  <c r="X223" i="11"/>
  <c r="AQ223" i="11"/>
  <c r="AJ223" i="11"/>
  <c r="L223" i="11"/>
  <c r="AD130" i="8"/>
  <c r="C127" i="8"/>
  <c r="BP127" i="8" s="1"/>
  <c r="M126" i="8"/>
  <c r="N126" i="8" s="1"/>
  <c r="CE126" i="8"/>
  <c r="AE126" i="8"/>
  <c r="AM126" i="8"/>
  <c r="AL129" i="8"/>
  <c r="V128" i="8"/>
  <c r="L139" i="8"/>
  <c r="CD130" i="8"/>
  <c r="AT127" i="8"/>
  <c r="AS128" i="8"/>
  <c r="BW129" i="8"/>
  <c r="BV130" i="8"/>
  <c r="BO128" i="8"/>
  <c r="BA128" i="8"/>
  <c r="AZ129" i="8"/>
  <c r="BG130" i="8"/>
  <c r="BH129" i="8"/>
  <c r="K184" i="1"/>
  <c r="C175" i="5"/>
  <c r="V48" i="5"/>
  <c r="U49" i="5"/>
  <c r="AR43" i="5"/>
  <c r="AS42" i="5"/>
  <c r="AZ41" i="5"/>
  <c r="AY42" i="5"/>
  <c r="L46" i="5"/>
  <c r="M46" i="5" s="1"/>
  <c r="K47" i="5"/>
  <c r="BV47" i="5"/>
  <c r="BU48" i="5"/>
  <c r="BO41" i="5"/>
  <c r="BN42" i="5"/>
  <c r="BF41" i="5"/>
  <c r="BF42" i="5" s="1"/>
  <c r="BG40" i="5"/>
  <c r="CC40" i="5"/>
  <c r="CD39" i="5"/>
  <c r="AL41" i="5"/>
  <c r="AK42" i="5"/>
  <c r="AD42" i="5"/>
  <c r="AC43" i="5"/>
  <c r="BI80" i="1"/>
  <c r="BL80" i="1" s="1"/>
  <c r="BI81" i="1"/>
  <c r="BL81" i="1" s="1"/>
  <c r="BM81" i="1" s="1"/>
  <c r="BB80" i="1"/>
  <c r="BB81" i="1"/>
  <c r="AF80" i="1"/>
  <c r="AI80" i="1" s="1"/>
  <c r="AJ80" i="1" s="1"/>
  <c r="AF81" i="1"/>
  <c r="X80" i="1"/>
  <c r="Z81" i="1"/>
  <c r="X82" i="1" s="1"/>
  <c r="AA82" i="1" s="1"/>
  <c r="Z80" i="1"/>
  <c r="X81" i="1" s="1"/>
  <c r="P80" i="1"/>
  <c r="S80" i="1" s="1"/>
  <c r="T80" i="1" s="1"/>
  <c r="P81" i="1"/>
  <c r="S81" i="1" s="1"/>
  <c r="T81" i="1" s="1"/>
  <c r="E225" i="11" l="1"/>
  <c r="X224" i="11"/>
  <c r="AQ224" i="11"/>
  <c r="AJ224" i="11"/>
  <c r="L224" i="11"/>
  <c r="BH130" i="8"/>
  <c r="BG131" i="8"/>
  <c r="L140" i="8"/>
  <c r="BA129" i="8"/>
  <c r="AZ130" i="8"/>
  <c r="BW130" i="8"/>
  <c r="BV131" i="8"/>
  <c r="CD131" i="8"/>
  <c r="V129" i="8"/>
  <c r="C128" i="8"/>
  <c r="W128" i="8" s="1"/>
  <c r="M127" i="8"/>
  <c r="N127" i="8" s="1"/>
  <c r="AE127" i="8"/>
  <c r="CE127" i="8"/>
  <c r="AM127" i="8"/>
  <c r="K185" i="1"/>
  <c r="W127" i="8"/>
  <c r="BO129" i="8"/>
  <c r="AT128" i="8"/>
  <c r="AS129" i="8"/>
  <c r="AL130" i="8"/>
  <c r="AD131" i="8"/>
  <c r="C176" i="5"/>
  <c r="BV48" i="5"/>
  <c r="BU49" i="5"/>
  <c r="AY43" i="5"/>
  <c r="AZ42" i="5"/>
  <c r="U50" i="5"/>
  <c r="V49" i="5"/>
  <c r="AD43" i="5"/>
  <c r="AC44" i="5"/>
  <c r="L47" i="5"/>
  <c r="M47" i="5" s="1"/>
  <c r="K48" i="5"/>
  <c r="AR44" i="5"/>
  <c r="AS43" i="5"/>
  <c r="BG42" i="5"/>
  <c r="BF43" i="5"/>
  <c r="BG41" i="5"/>
  <c r="BO42" i="5"/>
  <c r="BN43" i="5"/>
  <c r="CD40" i="5"/>
  <c r="CC41" i="5"/>
  <c r="AL42" i="5"/>
  <c r="AK43" i="5"/>
  <c r="AA81" i="1"/>
  <c r="AB81" i="1" s="1"/>
  <c r="AA80" i="1"/>
  <c r="AB80" i="1" s="1"/>
  <c r="BM80" i="1"/>
  <c r="E226" i="11" l="1"/>
  <c r="X225" i="11"/>
  <c r="AQ225" i="11"/>
  <c r="AJ225" i="11"/>
  <c r="L225" i="11"/>
  <c r="BP128" i="8"/>
  <c r="AT129" i="8"/>
  <c r="AS130" i="8"/>
  <c r="V130" i="8"/>
  <c r="BW131" i="8"/>
  <c r="BV132" i="8"/>
  <c r="AD132" i="8"/>
  <c r="L141" i="8"/>
  <c r="AL131" i="8"/>
  <c r="BO130" i="8"/>
  <c r="K186" i="1"/>
  <c r="BA130" i="8"/>
  <c r="AZ131" i="8"/>
  <c r="BH131" i="8"/>
  <c r="BG132" i="8"/>
  <c r="C129" i="8"/>
  <c r="W129" i="8" s="1"/>
  <c r="M128" i="8"/>
  <c r="N128" i="8" s="1"/>
  <c r="CE128" i="8"/>
  <c r="AE128" i="8"/>
  <c r="AM128" i="8"/>
  <c r="CD132" i="8"/>
  <c r="C177" i="5"/>
  <c r="K49" i="5"/>
  <c r="L48" i="5"/>
  <c r="M48" i="5" s="1"/>
  <c r="BU50" i="5"/>
  <c r="BV49" i="5"/>
  <c r="AD44" i="5"/>
  <c r="AC45" i="5"/>
  <c r="AR45" i="5"/>
  <c r="AS44" i="5"/>
  <c r="AY44" i="5"/>
  <c r="AZ43" i="5"/>
  <c r="AL43" i="5"/>
  <c r="AK44" i="5"/>
  <c r="BO43" i="5"/>
  <c r="BN44" i="5"/>
  <c r="V50" i="5"/>
  <c r="U51" i="5"/>
  <c r="BF44" i="5"/>
  <c r="BG43" i="5"/>
  <c r="CD41" i="5"/>
  <c r="CC42" i="5"/>
  <c r="BS78" i="1"/>
  <c r="BQ79" i="1" s="1"/>
  <c r="BT79" i="1" s="1"/>
  <c r="BU79" i="1" s="1"/>
  <c r="BS77" i="1"/>
  <c r="BQ78" i="1" s="1"/>
  <c r="BS76" i="1"/>
  <c r="BS75" i="1"/>
  <c r="BQ76" i="1" s="1"/>
  <c r="BS74" i="1"/>
  <c r="BQ75" i="1" s="1"/>
  <c r="BS73" i="1"/>
  <c r="BQ74" i="1" s="1"/>
  <c r="BS72" i="1"/>
  <c r="BQ73" i="1" s="1"/>
  <c r="E227" i="11" l="1"/>
  <c r="X226" i="11"/>
  <c r="AQ226" i="11"/>
  <c r="AJ226" i="11"/>
  <c r="L226" i="11"/>
  <c r="BH132" i="8"/>
  <c r="BG133" i="8"/>
  <c r="AD133" i="8"/>
  <c r="V131" i="8"/>
  <c r="K187" i="1"/>
  <c r="AL132" i="8"/>
  <c r="CD133" i="8"/>
  <c r="BA131" i="8"/>
  <c r="AZ132" i="8"/>
  <c r="BO131" i="8"/>
  <c r="L142" i="8"/>
  <c r="BW132" i="8"/>
  <c r="BV133" i="8"/>
  <c r="AT130" i="8"/>
  <c r="AS131" i="8"/>
  <c r="C130" i="8"/>
  <c r="BP130" i="8" s="1"/>
  <c r="M129" i="8"/>
  <c r="N129" i="8" s="1"/>
  <c r="AE129" i="8"/>
  <c r="CE129" i="8"/>
  <c r="AM129" i="8"/>
  <c r="BP129" i="8"/>
  <c r="C178" i="5"/>
  <c r="U52" i="5"/>
  <c r="V51" i="5"/>
  <c r="AL44" i="5"/>
  <c r="AK45" i="5"/>
  <c r="AR46" i="5"/>
  <c r="AS45" i="5"/>
  <c r="BU51" i="5"/>
  <c r="BV50" i="5"/>
  <c r="BO44" i="5"/>
  <c r="BN45" i="5"/>
  <c r="AC46" i="5"/>
  <c r="AD45" i="5"/>
  <c r="AY45" i="5"/>
  <c r="AZ44" i="5"/>
  <c r="L49" i="5"/>
  <c r="M49" i="5" s="1"/>
  <c r="K50" i="5"/>
  <c r="BF45" i="5"/>
  <c r="BG44" i="5"/>
  <c r="CD42" i="5"/>
  <c r="CC43" i="5"/>
  <c r="BT75" i="1"/>
  <c r="BU75" i="1" s="1"/>
  <c r="BT73" i="1"/>
  <c r="BU73" i="1" s="1"/>
  <c r="BT76" i="1"/>
  <c r="BU76" i="1" s="1"/>
  <c r="BT74" i="1"/>
  <c r="BU74" i="1" s="1"/>
  <c r="BT78" i="1"/>
  <c r="BU78" i="1" s="1"/>
  <c r="BQ77" i="1"/>
  <c r="BT77" i="1" s="1"/>
  <c r="BU77" i="1" s="1"/>
  <c r="BI76" i="1"/>
  <c r="BL76" i="1" s="1"/>
  <c r="BM76" i="1" s="1"/>
  <c r="BI77" i="1"/>
  <c r="BL77" i="1" s="1"/>
  <c r="BM77" i="1" s="1"/>
  <c r="BI78" i="1"/>
  <c r="BL78" i="1" s="1"/>
  <c r="BM78" i="1" s="1"/>
  <c r="BI79" i="1"/>
  <c r="BL79" i="1" s="1"/>
  <c r="BM79" i="1" s="1"/>
  <c r="BB79" i="1"/>
  <c r="BE79" i="1" s="1"/>
  <c r="BB76" i="1"/>
  <c r="BB77" i="1"/>
  <c r="BB78" i="1"/>
  <c r="P76" i="1"/>
  <c r="S76" i="1" s="1"/>
  <c r="T76" i="1" s="1"/>
  <c r="P77" i="1"/>
  <c r="S77" i="1" s="1"/>
  <c r="T77" i="1" s="1"/>
  <c r="P78" i="1"/>
  <c r="S78" i="1" s="1"/>
  <c r="T78" i="1" s="1"/>
  <c r="P79" i="1"/>
  <c r="S79" i="1" s="1"/>
  <c r="T79" i="1" s="1"/>
  <c r="E228" i="11" l="1"/>
  <c r="X227" i="11"/>
  <c r="AQ227" i="11"/>
  <c r="AJ227" i="11"/>
  <c r="L227" i="11"/>
  <c r="BV134" i="8"/>
  <c r="BW133" i="8"/>
  <c r="AD134" i="8"/>
  <c r="C131" i="8"/>
  <c r="BP131" i="8" s="1"/>
  <c r="M130" i="8"/>
  <c r="N130" i="8" s="1"/>
  <c r="CE130" i="8"/>
  <c r="AE130" i="8"/>
  <c r="AM130" i="8"/>
  <c r="BO132" i="8"/>
  <c r="CD134" i="8"/>
  <c r="K188" i="1"/>
  <c r="AT131" i="8"/>
  <c r="AS132" i="8"/>
  <c r="L143" i="8"/>
  <c r="BA132" i="8"/>
  <c r="AZ133" i="8"/>
  <c r="W130" i="8"/>
  <c r="BG134" i="8"/>
  <c r="BH133" i="8"/>
  <c r="AL133" i="8"/>
  <c r="W131" i="8"/>
  <c r="V132" i="8"/>
  <c r="C179" i="5"/>
  <c r="BO45" i="5"/>
  <c r="BN46" i="5"/>
  <c r="AZ45" i="5"/>
  <c r="AY46" i="5"/>
  <c r="CD43" i="5"/>
  <c r="CC44" i="5"/>
  <c r="L50" i="5"/>
  <c r="M50" i="5" s="1"/>
  <c r="K51" i="5"/>
  <c r="AL45" i="5"/>
  <c r="AK46" i="5"/>
  <c r="AC47" i="5"/>
  <c r="AD46" i="5"/>
  <c r="BV51" i="5"/>
  <c r="BU52" i="5"/>
  <c r="AR47" i="5"/>
  <c r="AS46" i="5"/>
  <c r="U53" i="5"/>
  <c r="V52" i="5"/>
  <c r="BG45" i="5"/>
  <c r="BF46" i="5"/>
  <c r="AF76" i="1"/>
  <c r="AI76" i="1" s="1"/>
  <c r="AJ76" i="1" s="1"/>
  <c r="AF77" i="1"/>
  <c r="AI77" i="1" s="1"/>
  <c r="AJ77" i="1" s="1"/>
  <c r="AF78" i="1"/>
  <c r="AI78" i="1" s="1"/>
  <c r="AJ78" i="1" s="1"/>
  <c r="AF79" i="1"/>
  <c r="AI79" i="1" s="1"/>
  <c r="AJ79" i="1" s="1"/>
  <c r="Z78" i="1"/>
  <c r="X79" i="1" s="1"/>
  <c r="AA79" i="1" s="1"/>
  <c r="AB79" i="1" s="1"/>
  <c r="Z77" i="1"/>
  <c r="X78" i="1" s="1"/>
  <c r="Z76" i="1"/>
  <c r="X77" i="1" s="1"/>
  <c r="E229" i="11" l="1"/>
  <c r="X228" i="11"/>
  <c r="AQ228" i="11"/>
  <c r="AJ228" i="11"/>
  <c r="L228" i="11"/>
  <c r="AA78" i="1"/>
  <c r="AB78" i="1" s="1"/>
  <c r="V133" i="8"/>
  <c r="CD135" i="8"/>
  <c r="AD135" i="8"/>
  <c r="BH134" i="8"/>
  <c r="BG135" i="8"/>
  <c r="K189" i="1"/>
  <c r="BO133" i="8"/>
  <c r="L144" i="8"/>
  <c r="AL134" i="8"/>
  <c r="AZ134" i="8"/>
  <c r="BA133" i="8"/>
  <c r="AS133" i="8"/>
  <c r="AT132" i="8"/>
  <c r="C132" i="8"/>
  <c r="W132" i="8" s="1"/>
  <c r="M131" i="8"/>
  <c r="N131" i="8" s="1"/>
  <c r="AE131" i="8"/>
  <c r="CE131" i="8"/>
  <c r="AM131" i="8"/>
  <c r="BW134" i="8"/>
  <c r="BV135" i="8"/>
  <c r="C180" i="5"/>
  <c r="BV52" i="5"/>
  <c r="BU53" i="5"/>
  <c r="AL46" i="5"/>
  <c r="AK47" i="5"/>
  <c r="CC45" i="5"/>
  <c r="CD44" i="5"/>
  <c r="BN47" i="5"/>
  <c r="BO46" i="5"/>
  <c r="U54" i="5"/>
  <c r="V53" i="5"/>
  <c r="L51" i="5"/>
  <c r="M51" i="5" s="1"/>
  <c r="K52" i="5"/>
  <c r="AY47" i="5"/>
  <c r="AZ46" i="5"/>
  <c r="AS47" i="5"/>
  <c r="AR48" i="5"/>
  <c r="AD47" i="5"/>
  <c r="AC48" i="5"/>
  <c r="BG46" i="5"/>
  <c r="BF47" i="5"/>
  <c r="AA77" i="1"/>
  <c r="AB77" i="1" s="1"/>
  <c r="BI74" i="1"/>
  <c r="BL74" i="1" s="1"/>
  <c r="BM74" i="1" s="1"/>
  <c r="BI75" i="1"/>
  <c r="BL75" i="1" s="1"/>
  <c r="BM75" i="1" s="1"/>
  <c r="BB74" i="1"/>
  <c r="BE74" i="1" s="1"/>
  <c r="BB75" i="1"/>
  <c r="BE75" i="1" s="1"/>
  <c r="AF74" i="1"/>
  <c r="AI74" i="1" s="1"/>
  <c r="AJ74" i="1" s="1"/>
  <c r="AF75" i="1"/>
  <c r="AI75" i="1" s="1"/>
  <c r="AJ75" i="1" s="1"/>
  <c r="P74" i="1"/>
  <c r="S74" i="1" s="1"/>
  <c r="T74" i="1" s="1"/>
  <c r="P75" i="1"/>
  <c r="S75" i="1" s="1"/>
  <c r="T75" i="1" s="1"/>
  <c r="Z75" i="1"/>
  <c r="X76" i="1" s="1"/>
  <c r="AA76" i="1" s="1"/>
  <c r="AB76" i="1" s="1"/>
  <c r="E230" i="11" l="1"/>
  <c r="X229" i="11"/>
  <c r="AQ229" i="11"/>
  <c r="AJ229" i="11"/>
  <c r="L229" i="11"/>
  <c r="BP132" i="8"/>
  <c r="AL135" i="8"/>
  <c r="BH135" i="8"/>
  <c r="BG136" i="8"/>
  <c r="CD136" i="8"/>
  <c r="BW135" i="8"/>
  <c r="BV136" i="8"/>
  <c r="AS134" i="8"/>
  <c r="AT133" i="8"/>
  <c r="BO134" i="8"/>
  <c r="K190" i="1"/>
  <c r="C133" i="8"/>
  <c r="BP133" i="8" s="1"/>
  <c r="M132" i="8"/>
  <c r="N132" i="8" s="1"/>
  <c r="AE132" i="8"/>
  <c r="CE132" i="8"/>
  <c r="AM132" i="8"/>
  <c r="AZ135" i="8"/>
  <c r="BA134" i="8"/>
  <c r="L145" i="8"/>
  <c r="AD136" i="8"/>
  <c r="V134" i="8"/>
  <c r="C181" i="5"/>
  <c r="AC49" i="5"/>
  <c r="AD48" i="5"/>
  <c r="BV53" i="5"/>
  <c r="BU54" i="5"/>
  <c r="AY48" i="5"/>
  <c r="AZ47" i="5"/>
  <c r="V54" i="5"/>
  <c r="U55" i="5"/>
  <c r="CD45" i="5"/>
  <c r="CC46" i="5"/>
  <c r="AR49" i="5"/>
  <c r="AS48" i="5"/>
  <c r="L52" i="5"/>
  <c r="M52" i="5" s="1"/>
  <c r="K53" i="5"/>
  <c r="AK48" i="5"/>
  <c r="AL47" i="5"/>
  <c r="BO47" i="5"/>
  <c r="BN48" i="5"/>
  <c r="BF48" i="5"/>
  <c r="BG47" i="5"/>
  <c r="Z74" i="1"/>
  <c r="X75" i="1" s="1"/>
  <c r="AA75" i="1" s="1"/>
  <c r="AB75" i="1" s="1"/>
  <c r="W133" i="8" l="1"/>
  <c r="E231" i="11"/>
  <c r="X230" i="11"/>
  <c r="AQ230" i="11"/>
  <c r="AJ230" i="11"/>
  <c r="L230" i="11"/>
  <c r="AZ136" i="8"/>
  <c r="BA135" i="8"/>
  <c r="BW136" i="8"/>
  <c r="BV137" i="8"/>
  <c r="BH136" i="8"/>
  <c r="BG137" i="8"/>
  <c r="V135" i="8"/>
  <c r="L146" i="8"/>
  <c r="C134" i="8"/>
  <c r="W134" i="8" s="1"/>
  <c r="M133" i="8"/>
  <c r="N133" i="8" s="1"/>
  <c r="CE133" i="8"/>
  <c r="AE133" i="8"/>
  <c r="AM133" i="8"/>
  <c r="BO135" i="8"/>
  <c r="K191" i="1"/>
  <c r="CD137" i="8"/>
  <c r="AD137" i="8"/>
  <c r="AS135" i="8"/>
  <c r="AT134" i="8"/>
  <c r="AL136" i="8"/>
  <c r="C182" i="5"/>
  <c r="BN49" i="5"/>
  <c r="BO48" i="5"/>
  <c r="L53" i="5"/>
  <c r="M53" i="5" s="1"/>
  <c r="K54" i="5"/>
  <c r="CC47" i="5"/>
  <c r="CD46" i="5"/>
  <c r="AY49" i="5"/>
  <c r="AZ48" i="5"/>
  <c r="AD49" i="5"/>
  <c r="AC50" i="5"/>
  <c r="V55" i="5"/>
  <c r="U56" i="5"/>
  <c r="BU55" i="5"/>
  <c r="BV54" i="5"/>
  <c r="AL48" i="5"/>
  <c r="AK49" i="5"/>
  <c r="AR50" i="5"/>
  <c r="AS49" i="5"/>
  <c r="BF49" i="5"/>
  <c r="BG48" i="5"/>
  <c r="BS71" i="1"/>
  <c r="BQ72" i="1" s="1"/>
  <c r="BT72" i="1" s="1"/>
  <c r="BU72" i="1" s="1"/>
  <c r="E232" i="11" l="1"/>
  <c r="X231" i="11"/>
  <c r="AQ231" i="11"/>
  <c r="AJ231" i="11"/>
  <c r="L231" i="11"/>
  <c r="AT135" i="8"/>
  <c r="AS136" i="8"/>
  <c r="BV138" i="8"/>
  <c r="BW137" i="8"/>
  <c r="AL137" i="8"/>
  <c r="C135" i="8"/>
  <c r="W135" i="8" s="1"/>
  <c r="M134" i="8"/>
  <c r="N134" i="8" s="1"/>
  <c r="AE134" i="8"/>
  <c r="CE134" i="8"/>
  <c r="AM134" i="8"/>
  <c r="V136" i="8"/>
  <c r="K192" i="1"/>
  <c r="BG138" i="8"/>
  <c r="BH137" i="8"/>
  <c r="BO136" i="8"/>
  <c r="AD138" i="8"/>
  <c r="CD138" i="8"/>
  <c r="BP134" i="8"/>
  <c r="L147" i="8"/>
  <c r="BA136" i="8"/>
  <c r="AZ137" i="8"/>
  <c r="C183" i="5"/>
  <c r="AL49" i="5"/>
  <c r="AK50" i="5"/>
  <c r="U57" i="5"/>
  <c r="V56" i="5"/>
  <c r="L54" i="5"/>
  <c r="M54" i="5" s="1"/>
  <c r="K55" i="5"/>
  <c r="AY50" i="5"/>
  <c r="AZ49" i="5"/>
  <c r="AD50" i="5"/>
  <c r="AC51" i="5"/>
  <c r="AR51" i="5"/>
  <c r="AS50" i="5"/>
  <c r="BU56" i="5"/>
  <c r="BV55" i="5"/>
  <c r="CD47" i="5"/>
  <c r="CC48" i="5"/>
  <c r="BN50" i="5"/>
  <c r="BO49" i="5"/>
  <c r="BG49" i="5"/>
  <c r="BF50" i="5"/>
  <c r="AW65" i="1"/>
  <c r="AX65" i="1" s="1"/>
  <c r="AQ66" i="1"/>
  <c r="AW66" i="1"/>
  <c r="AX66" i="1" s="1"/>
  <c r="AQ67" i="1"/>
  <c r="AW67" i="1"/>
  <c r="AX67" i="1" s="1"/>
  <c r="AQ68" i="1"/>
  <c r="AW68" i="1"/>
  <c r="AX68" i="1" s="1"/>
  <c r="AQ69" i="1"/>
  <c r="AW69" i="1"/>
  <c r="AX69" i="1" s="1"/>
  <c r="AQ70" i="1"/>
  <c r="AW70" i="1"/>
  <c r="AX70" i="1" s="1"/>
  <c r="AQ71" i="1"/>
  <c r="AW71" i="1"/>
  <c r="AX71" i="1" s="1"/>
  <c r="AQ72" i="1"/>
  <c r="AW72" i="1"/>
  <c r="AX72" i="1" s="1"/>
  <c r="AQ73" i="1"/>
  <c r="AW73" i="1"/>
  <c r="AX73" i="1" s="1"/>
  <c r="BI72" i="1"/>
  <c r="BL72" i="1" s="1"/>
  <c r="BM72" i="1" s="1"/>
  <c r="BI73" i="1"/>
  <c r="BL73" i="1" s="1"/>
  <c r="BM73" i="1" s="1"/>
  <c r="BB72" i="1"/>
  <c r="BE72" i="1" s="1"/>
  <c r="BB73" i="1"/>
  <c r="BE73" i="1" s="1"/>
  <c r="AF72" i="1"/>
  <c r="AI72" i="1" s="1"/>
  <c r="AJ72" i="1" s="1"/>
  <c r="AF73" i="1"/>
  <c r="AI73" i="1" s="1"/>
  <c r="AJ73" i="1" s="1"/>
  <c r="X72" i="1"/>
  <c r="X73" i="1"/>
  <c r="P72" i="1"/>
  <c r="S72" i="1" s="1"/>
  <c r="T72" i="1" s="1"/>
  <c r="P73" i="1"/>
  <c r="S73" i="1" s="1"/>
  <c r="T73" i="1" s="1"/>
  <c r="Z73" i="1"/>
  <c r="X74" i="1" s="1"/>
  <c r="AA74" i="1" s="1"/>
  <c r="AB74" i="1" s="1"/>
  <c r="E233" i="11" l="1"/>
  <c r="X232" i="11"/>
  <c r="AQ232" i="11"/>
  <c r="AJ232" i="11"/>
  <c r="L232" i="11"/>
  <c r="BO137" i="8"/>
  <c r="C136" i="8"/>
  <c r="W136" i="8" s="1"/>
  <c r="M135" i="8"/>
  <c r="N135" i="8" s="1"/>
  <c r="CE135" i="8"/>
  <c r="AE135" i="8"/>
  <c r="AM135" i="8"/>
  <c r="BV139" i="8"/>
  <c r="BW138" i="8"/>
  <c r="BA137" i="8"/>
  <c r="AZ138" i="8"/>
  <c r="BH138" i="8"/>
  <c r="BG139" i="8"/>
  <c r="L148" i="8"/>
  <c r="CD139" i="8"/>
  <c r="BP135" i="8"/>
  <c r="K193" i="1"/>
  <c r="AL138" i="8"/>
  <c r="AT136" i="8"/>
  <c r="AS137" i="8"/>
  <c r="AD139" i="8"/>
  <c r="V137" i="8"/>
  <c r="C184" i="5"/>
  <c r="C185" i="5" s="1"/>
  <c r="C186" i="5" s="1"/>
  <c r="C187" i="5" s="1"/>
  <c r="C188" i="5" s="1"/>
  <c r="C189" i="5" s="1"/>
  <c r="C190" i="5" s="1"/>
  <c r="C191" i="5" s="1"/>
  <c r="C192" i="5" s="1"/>
  <c r="C193" i="5" s="1"/>
  <c r="C194" i="5" s="1"/>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C218" i="5" s="1"/>
  <c r="C219" i="5" s="1"/>
  <c r="C220" i="5" s="1"/>
  <c r="C221" i="5" s="1"/>
  <c r="C222" i="5" s="1"/>
  <c r="C223" i="5" s="1"/>
  <c r="C224" i="5" s="1"/>
  <c r="C225" i="5" s="1"/>
  <c r="CD48" i="5"/>
  <c r="CC49" i="5"/>
  <c r="AR52" i="5"/>
  <c r="AS51" i="5"/>
  <c r="AY51" i="5"/>
  <c r="AZ50" i="5"/>
  <c r="V57" i="5"/>
  <c r="U58" i="5"/>
  <c r="AC52" i="5"/>
  <c r="AD51" i="5"/>
  <c r="K56" i="5"/>
  <c r="L55" i="5"/>
  <c r="M55" i="5" s="1"/>
  <c r="AL50" i="5"/>
  <c r="AK51" i="5"/>
  <c r="BN51" i="5"/>
  <c r="BO50" i="5"/>
  <c r="BV56" i="5"/>
  <c r="BU57" i="5"/>
  <c r="BG50" i="5"/>
  <c r="BF51" i="5"/>
  <c r="BA65" i="1"/>
  <c r="AA73" i="1"/>
  <c r="AB73" i="1" s="1"/>
  <c r="AQ65" i="1"/>
  <c r="BS70" i="1"/>
  <c r="BQ71" i="1" s="1"/>
  <c r="BT71" i="1" s="1"/>
  <c r="BU71" i="1" s="1"/>
  <c r="BS69" i="1"/>
  <c r="BQ70" i="1" s="1"/>
  <c r="BS68" i="1"/>
  <c r="BQ69" i="1" s="1"/>
  <c r="BS67" i="1"/>
  <c r="BS66" i="1"/>
  <c r="BQ67" i="1" s="1"/>
  <c r="BS65" i="1"/>
  <c r="BQ66" i="1" s="1"/>
  <c r="E234" i="11" l="1"/>
  <c r="X233" i="11"/>
  <c r="AQ233" i="11"/>
  <c r="AJ233" i="11"/>
  <c r="L233" i="11"/>
  <c r="V138" i="8"/>
  <c r="BW139" i="8"/>
  <c r="BV140" i="8"/>
  <c r="K194" i="1"/>
  <c r="L149" i="8"/>
  <c r="AZ139" i="8"/>
  <c r="BA138" i="8"/>
  <c r="C137" i="8"/>
  <c r="M136" i="8"/>
  <c r="N136" i="8" s="1"/>
  <c r="CE136" i="8"/>
  <c r="AE136" i="8"/>
  <c r="AM136" i="8"/>
  <c r="AS138" i="8"/>
  <c r="AT137" i="8"/>
  <c r="CD140" i="8"/>
  <c r="BO138" i="8"/>
  <c r="AD140" i="8"/>
  <c r="AL139" i="8"/>
  <c r="BH139" i="8"/>
  <c r="BG140" i="8"/>
  <c r="BP136" i="8"/>
  <c r="BV57" i="5"/>
  <c r="BU58" i="5"/>
  <c r="V58" i="5"/>
  <c r="U59" i="5"/>
  <c r="BO51" i="5"/>
  <c r="BN52" i="5"/>
  <c r="K57" i="5"/>
  <c r="L56" i="5"/>
  <c r="M56" i="5" s="1"/>
  <c r="AR53" i="5"/>
  <c r="AS52" i="5"/>
  <c r="AL51" i="5"/>
  <c r="AK52" i="5"/>
  <c r="CC50" i="5"/>
  <c r="CD49" i="5"/>
  <c r="AD52" i="5"/>
  <c r="AC53" i="5"/>
  <c r="AY52" i="5"/>
  <c r="AZ51" i="5"/>
  <c r="BF52" i="5"/>
  <c r="BG51" i="5"/>
  <c r="BT70" i="1"/>
  <c r="BU70" i="1" s="1"/>
  <c r="BT66" i="1"/>
  <c r="BU66" i="1" s="1"/>
  <c r="BT67" i="1"/>
  <c r="BU67" i="1" s="1"/>
  <c r="BT69" i="1"/>
  <c r="BU69" i="1" s="1"/>
  <c r="BQ68" i="1"/>
  <c r="BT68" i="1" s="1"/>
  <c r="BU68" i="1" s="1"/>
  <c r="BI65" i="1"/>
  <c r="BL65" i="1" s="1"/>
  <c r="BI66" i="1"/>
  <c r="BL66" i="1" s="1"/>
  <c r="BM66" i="1" s="1"/>
  <c r="BI67" i="1"/>
  <c r="BL67" i="1" s="1"/>
  <c r="BM67" i="1" s="1"/>
  <c r="BI68" i="1"/>
  <c r="BL68" i="1" s="1"/>
  <c r="BM68" i="1" s="1"/>
  <c r="BI69" i="1"/>
  <c r="BL69" i="1" s="1"/>
  <c r="BM69" i="1" s="1"/>
  <c r="BI70" i="1"/>
  <c r="BL70" i="1" s="1"/>
  <c r="BM70" i="1" s="1"/>
  <c r="BI71" i="1"/>
  <c r="BL71" i="1" s="1"/>
  <c r="BM71" i="1" s="1"/>
  <c r="BB65" i="1"/>
  <c r="BB66" i="1"/>
  <c r="BB67" i="1"/>
  <c r="BE67" i="1" s="1"/>
  <c r="BB68" i="1"/>
  <c r="BB69" i="1"/>
  <c r="BE69" i="1" s="1"/>
  <c r="BB70" i="1"/>
  <c r="BB71" i="1"/>
  <c r="BE71" i="1" s="1"/>
  <c r="AF65" i="1"/>
  <c r="AI65" i="1" s="1"/>
  <c r="AF66" i="1"/>
  <c r="AI66" i="1" s="1"/>
  <c r="AJ66" i="1" s="1"/>
  <c r="AF67" i="1"/>
  <c r="AF68" i="1"/>
  <c r="AI68" i="1" s="1"/>
  <c r="AJ68" i="1" s="1"/>
  <c r="AF69" i="1"/>
  <c r="AI69" i="1" s="1"/>
  <c r="AJ69" i="1" s="1"/>
  <c r="AF70" i="1"/>
  <c r="AI70" i="1" s="1"/>
  <c r="AJ70" i="1" s="1"/>
  <c r="AF71" i="1"/>
  <c r="AI71" i="1" s="1"/>
  <c r="AJ71" i="1" s="1"/>
  <c r="X66" i="1"/>
  <c r="AA66" i="1" s="1"/>
  <c r="AB66" i="1" s="1"/>
  <c r="X67" i="1"/>
  <c r="AA67" i="1" s="1"/>
  <c r="AB67" i="1" s="1"/>
  <c r="X68" i="1"/>
  <c r="AA68" i="1" s="1"/>
  <c r="AB68" i="1" s="1"/>
  <c r="X69" i="1"/>
  <c r="AA69" i="1" s="1"/>
  <c r="AB69" i="1" s="1"/>
  <c r="X70" i="1"/>
  <c r="AA70" i="1" s="1"/>
  <c r="AB70" i="1" s="1"/>
  <c r="X71" i="1"/>
  <c r="E235" i="11" l="1"/>
  <c r="X234" i="11"/>
  <c r="AQ234" i="11"/>
  <c r="AJ234" i="11"/>
  <c r="L234" i="11"/>
  <c r="BH140" i="8"/>
  <c r="BG141" i="8"/>
  <c r="AD141" i="8"/>
  <c r="CD141" i="8"/>
  <c r="C138" i="8"/>
  <c r="M137" i="8"/>
  <c r="N137" i="8" s="1"/>
  <c r="AE137" i="8"/>
  <c r="CE137" i="8"/>
  <c r="AM137" i="8"/>
  <c r="L150" i="8"/>
  <c r="AL140" i="8"/>
  <c r="AT138" i="8"/>
  <c r="AS139" i="8"/>
  <c r="W137" i="8"/>
  <c r="BO139" i="8"/>
  <c r="BP138" i="8"/>
  <c r="BW140" i="8"/>
  <c r="BV141" i="8"/>
  <c r="BP137" i="8"/>
  <c r="AZ140" i="8"/>
  <c r="BA139" i="8"/>
  <c r="K195" i="1"/>
  <c r="V139" i="8"/>
  <c r="W138" i="8"/>
  <c r="AD53" i="5"/>
  <c r="AC54" i="5"/>
  <c r="AL52" i="5"/>
  <c r="AK53" i="5"/>
  <c r="U60" i="5"/>
  <c r="V59" i="5"/>
  <c r="K58" i="5"/>
  <c r="L57" i="5"/>
  <c r="M57" i="5" s="1"/>
  <c r="BN53" i="5"/>
  <c r="BO52" i="5"/>
  <c r="BV58" i="5"/>
  <c r="BU59" i="5"/>
  <c r="AY53" i="5"/>
  <c r="AZ52" i="5"/>
  <c r="CC51" i="5"/>
  <c r="CD50" i="5"/>
  <c r="AR54" i="5"/>
  <c r="AS53" i="5"/>
  <c r="BF53" i="5"/>
  <c r="BG52" i="5"/>
  <c r="BH65" i="1"/>
  <c r="BM65" i="1"/>
  <c r="BP65" i="1"/>
  <c r="AJ65" i="1"/>
  <c r="AM65" i="1"/>
  <c r="P65" i="1"/>
  <c r="S65" i="1" s="1"/>
  <c r="T65" i="1" s="1"/>
  <c r="P66" i="1"/>
  <c r="S66" i="1" s="1"/>
  <c r="T66" i="1" s="1"/>
  <c r="P67" i="1"/>
  <c r="S67" i="1" s="1"/>
  <c r="T67" i="1" s="1"/>
  <c r="P68" i="1"/>
  <c r="S68" i="1" s="1"/>
  <c r="T68" i="1" s="1"/>
  <c r="P69" i="1"/>
  <c r="S69" i="1" s="1"/>
  <c r="T69" i="1" s="1"/>
  <c r="P70" i="1"/>
  <c r="S70" i="1" s="1"/>
  <c r="P71" i="1"/>
  <c r="S71" i="1" s="1"/>
  <c r="T71" i="1" s="1"/>
  <c r="E236" i="11" l="1"/>
  <c r="X235" i="11"/>
  <c r="AQ235" i="11"/>
  <c r="AJ235" i="11"/>
  <c r="L235" i="11"/>
  <c r="V140" i="8"/>
  <c r="BA140" i="8"/>
  <c r="AZ141" i="8"/>
  <c r="AD142" i="8"/>
  <c r="BO140" i="8"/>
  <c r="C139" i="8"/>
  <c r="BP139" i="8" s="1"/>
  <c r="M138" i="8"/>
  <c r="N138" i="8" s="1"/>
  <c r="CE138" i="8"/>
  <c r="AE138" i="8"/>
  <c r="AM138" i="8"/>
  <c r="K196" i="1"/>
  <c r="BW141" i="8"/>
  <c r="BV142" i="8"/>
  <c r="AL141" i="8"/>
  <c r="CD142" i="8"/>
  <c r="BH141" i="8"/>
  <c r="BG142" i="8"/>
  <c r="AT139" i="8"/>
  <c r="AS140" i="8"/>
  <c r="L151" i="8"/>
  <c r="BU60" i="5"/>
  <c r="BV59" i="5"/>
  <c r="AK54" i="5"/>
  <c r="AL53" i="5"/>
  <c r="CD51" i="5"/>
  <c r="CC52" i="5"/>
  <c r="L58" i="5"/>
  <c r="M58" i="5" s="1"/>
  <c r="K59" i="5"/>
  <c r="AD54" i="5"/>
  <c r="AC55" i="5"/>
  <c r="AR55" i="5"/>
  <c r="AS54" i="5"/>
  <c r="AY54" i="5"/>
  <c r="AZ53" i="5"/>
  <c r="BN54" i="5"/>
  <c r="BO53" i="5"/>
  <c r="V60" i="5"/>
  <c r="U61" i="5"/>
  <c r="BG53" i="5"/>
  <c r="BF54" i="5"/>
  <c r="T70" i="1"/>
  <c r="W65" i="1"/>
  <c r="BI63" i="1"/>
  <c r="BL63" i="1" s="1"/>
  <c r="BM63" i="1" s="1"/>
  <c r="BI64" i="1"/>
  <c r="BL64" i="1" s="1"/>
  <c r="BM64" i="1" s="1"/>
  <c r="BB63" i="1"/>
  <c r="BB64" i="1"/>
  <c r="AF63" i="1"/>
  <c r="AI63" i="1" s="1"/>
  <c r="AJ63" i="1" s="1"/>
  <c r="AF64" i="1"/>
  <c r="AI64" i="1" s="1"/>
  <c r="AJ64" i="1" s="1"/>
  <c r="Z64" i="1"/>
  <c r="X65" i="1" s="1"/>
  <c r="AA65" i="1" s="1"/>
  <c r="Z63" i="1"/>
  <c r="X64" i="1" s="1"/>
  <c r="E237" i="11" l="1"/>
  <c r="X236" i="11"/>
  <c r="AQ236" i="11"/>
  <c r="AJ236" i="11"/>
  <c r="L236" i="11"/>
  <c r="BO141" i="8"/>
  <c r="AZ142" i="8"/>
  <c r="BA141" i="8"/>
  <c r="BH142" i="8"/>
  <c r="BG143" i="8"/>
  <c r="AL142" i="8"/>
  <c r="L152" i="8"/>
  <c r="K197" i="1"/>
  <c r="AD143" i="8"/>
  <c r="V141" i="8"/>
  <c r="AS141" i="8"/>
  <c r="AT140" i="8"/>
  <c r="CD143" i="8"/>
  <c r="BW142" i="8"/>
  <c r="BV143" i="8"/>
  <c r="C140" i="8"/>
  <c r="M139" i="8"/>
  <c r="N139" i="8" s="1"/>
  <c r="CE139" i="8"/>
  <c r="AE139" i="8"/>
  <c r="AM139" i="8"/>
  <c r="W139" i="8"/>
  <c r="U62" i="5"/>
  <c r="V61" i="5"/>
  <c r="AD55" i="5"/>
  <c r="AC56" i="5"/>
  <c r="L59" i="5"/>
  <c r="M59" i="5" s="1"/>
  <c r="K60" i="5"/>
  <c r="BN55" i="5"/>
  <c r="BO54" i="5"/>
  <c r="AR56" i="5"/>
  <c r="AS55" i="5"/>
  <c r="AL54" i="5"/>
  <c r="AK55" i="5"/>
  <c r="CC53" i="5"/>
  <c r="CD52" i="5"/>
  <c r="AY55" i="5"/>
  <c r="AZ54" i="5"/>
  <c r="BV60" i="5"/>
  <c r="BU61" i="5"/>
  <c r="BG54" i="5"/>
  <c r="BF55" i="5"/>
  <c r="AB65" i="1"/>
  <c r="AE65" i="1"/>
  <c r="P63" i="1"/>
  <c r="S63" i="1" s="1"/>
  <c r="T63" i="1" s="1"/>
  <c r="P64" i="1"/>
  <c r="S64" i="1" s="1"/>
  <c r="T64" i="1" s="1"/>
  <c r="AW63" i="1"/>
  <c r="AX63" i="1" s="1"/>
  <c r="AW64" i="1"/>
  <c r="AX64" i="1" s="1"/>
  <c r="AQ63" i="1"/>
  <c r="AQ64" i="1"/>
  <c r="E238" i="11" l="1"/>
  <c r="X237" i="11"/>
  <c r="AQ237" i="11"/>
  <c r="AJ237" i="11"/>
  <c r="L237" i="11"/>
  <c r="V142" i="8"/>
  <c r="AL143" i="8"/>
  <c r="C141" i="8"/>
  <c r="W141" i="8" s="1"/>
  <c r="M140" i="8"/>
  <c r="N140" i="8" s="1"/>
  <c r="CE140" i="8"/>
  <c r="AE140" i="8"/>
  <c r="AM140" i="8"/>
  <c r="CD144" i="8"/>
  <c r="W140" i="8"/>
  <c r="K198" i="1"/>
  <c r="BA142" i="8"/>
  <c r="AZ143" i="8"/>
  <c r="BV144" i="8"/>
  <c r="BW143" i="8"/>
  <c r="L153" i="8"/>
  <c r="BH143" i="8"/>
  <c r="BG144" i="8"/>
  <c r="BO142" i="8"/>
  <c r="AT141" i="8"/>
  <c r="AS142" i="8"/>
  <c r="AD144" i="8"/>
  <c r="BP140" i="8"/>
  <c r="BV61" i="5"/>
  <c r="BU62" i="5"/>
  <c r="AK56" i="5"/>
  <c r="AL55" i="5"/>
  <c r="AD56" i="5"/>
  <c r="AC57" i="5"/>
  <c r="AY56" i="5"/>
  <c r="AZ55" i="5"/>
  <c r="BN56" i="5"/>
  <c r="BO55" i="5"/>
  <c r="L60" i="5"/>
  <c r="M60" i="5" s="1"/>
  <c r="K61" i="5"/>
  <c r="CC54" i="5"/>
  <c r="CD53" i="5"/>
  <c r="AR57" i="5"/>
  <c r="AS56" i="5"/>
  <c r="U63" i="5"/>
  <c r="V62" i="5"/>
  <c r="BF56" i="5"/>
  <c r="BG55" i="5"/>
  <c r="BQ64" i="1"/>
  <c r="BS64" i="1"/>
  <c r="BQ65" i="1" s="1"/>
  <c r="BT65" i="1" s="1"/>
  <c r="BS62" i="1"/>
  <c r="BQ63" i="1" s="1"/>
  <c r="E239" i="11" l="1"/>
  <c r="X238" i="11"/>
  <c r="AQ238" i="11"/>
  <c r="AJ238" i="11"/>
  <c r="L238" i="11"/>
  <c r="BP141" i="8"/>
  <c r="AD145" i="8"/>
  <c r="BO143" i="8"/>
  <c r="L154" i="8"/>
  <c r="AZ144" i="8"/>
  <c r="BA143" i="8"/>
  <c r="CD145" i="8"/>
  <c r="AL144" i="8"/>
  <c r="AT142" i="8"/>
  <c r="AS143" i="8"/>
  <c r="BH144" i="8"/>
  <c r="BG145" i="8"/>
  <c r="BW144" i="8"/>
  <c r="BV145" i="8"/>
  <c r="K199" i="1"/>
  <c r="C142" i="8"/>
  <c r="BP142" i="8" s="1"/>
  <c r="M141" i="8"/>
  <c r="N141" i="8" s="1"/>
  <c r="AE141" i="8"/>
  <c r="CE141" i="8"/>
  <c r="AM141" i="8"/>
  <c r="V143" i="8"/>
  <c r="AC58" i="5"/>
  <c r="AD57" i="5"/>
  <c r="K62" i="5"/>
  <c r="L61" i="5"/>
  <c r="M61" i="5" s="1"/>
  <c r="AR58" i="5"/>
  <c r="AS57" i="5"/>
  <c r="AY57" i="5"/>
  <c r="AZ56" i="5"/>
  <c r="AK57" i="5"/>
  <c r="AL56" i="5"/>
  <c r="BV62" i="5"/>
  <c r="BU63" i="5"/>
  <c r="U64" i="5"/>
  <c r="V63" i="5"/>
  <c r="CD54" i="5"/>
  <c r="CC55" i="5"/>
  <c r="BN57" i="5"/>
  <c r="BO56" i="5"/>
  <c r="BF57" i="5"/>
  <c r="BG56" i="5"/>
  <c r="BT64" i="1"/>
  <c r="BU64" i="1" s="1"/>
  <c r="BU65" i="1"/>
  <c r="BX65" i="1"/>
  <c r="AW60" i="1"/>
  <c r="AW61" i="1"/>
  <c r="AX61" i="1" s="1"/>
  <c r="AW62" i="1"/>
  <c r="AX62" i="1" s="1"/>
  <c r="AQ61" i="1"/>
  <c r="AQ62" i="1"/>
  <c r="E240" i="11" l="1"/>
  <c r="X239" i="11"/>
  <c r="AQ239" i="11"/>
  <c r="AJ239" i="11"/>
  <c r="L239" i="11"/>
  <c r="W142" i="8"/>
  <c r="BG146" i="8"/>
  <c r="BH145" i="8"/>
  <c r="V144" i="8"/>
  <c r="K200" i="1"/>
  <c r="AL145" i="8"/>
  <c r="AZ145" i="8"/>
  <c r="BA144" i="8"/>
  <c r="BO144" i="8"/>
  <c r="BV146" i="8"/>
  <c r="BW145" i="8"/>
  <c r="AS144" i="8"/>
  <c r="AT143" i="8"/>
  <c r="C143" i="8"/>
  <c r="W143" i="8" s="1"/>
  <c r="M142" i="8"/>
  <c r="N142" i="8" s="1"/>
  <c r="AE142" i="8"/>
  <c r="CE142" i="8"/>
  <c r="AM142" i="8"/>
  <c r="CD146" i="8"/>
  <c r="L155" i="8"/>
  <c r="AD146" i="8"/>
  <c r="CC56" i="5"/>
  <c r="CD55" i="5"/>
  <c r="BV63" i="5"/>
  <c r="BU64" i="5"/>
  <c r="AY58" i="5"/>
  <c r="AZ57" i="5"/>
  <c r="K63" i="5"/>
  <c r="L62" i="5"/>
  <c r="M62" i="5" s="1"/>
  <c r="BN58" i="5"/>
  <c r="BO57" i="5"/>
  <c r="V64" i="5"/>
  <c r="U65" i="5"/>
  <c r="AK58" i="5"/>
  <c r="AL57" i="5"/>
  <c r="AR59" i="5"/>
  <c r="AS58" i="5"/>
  <c r="AD58" i="5"/>
  <c r="AC59" i="5"/>
  <c r="BG57" i="5"/>
  <c r="BF58" i="5"/>
  <c r="AQ60" i="1"/>
  <c r="AX60" i="1"/>
  <c r="BS61" i="1"/>
  <c r="BQ62" i="1" s="1"/>
  <c r="BT62" i="1" s="1"/>
  <c r="BU62" i="1" s="1"/>
  <c r="BI60" i="1"/>
  <c r="BL60" i="1" s="1"/>
  <c r="BM60" i="1" s="1"/>
  <c r="BI61" i="1"/>
  <c r="BL61" i="1" s="1"/>
  <c r="BM61" i="1" s="1"/>
  <c r="BI62" i="1"/>
  <c r="BL62" i="1" s="1"/>
  <c r="BM62" i="1" s="1"/>
  <c r="BB60" i="1"/>
  <c r="BB61" i="1"/>
  <c r="BB62" i="1"/>
  <c r="AF60" i="1"/>
  <c r="AI60" i="1" s="1"/>
  <c r="AJ60" i="1" s="1"/>
  <c r="AF61" i="1"/>
  <c r="AI61" i="1" s="1"/>
  <c r="AJ61" i="1" s="1"/>
  <c r="AF62" i="1"/>
  <c r="AI62" i="1" s="1"/>
  <c r="AJ62" i="1" s="1"/>
  <c r="Z60" i="1"/>
  <c r="X61" i="1" s="1"/>
  <c r="Z61" i="1"/>
  <c r="X62" i="1" s="1"/>
  <c r="Z62" i="1"/>
  <c r="X63" i="1" s="1"/>
  <c r="AA63" i="1" s="1"/>
  <c r="AB63" i="1" s="1"/>
  <c r="Z59" i="1"/>
  <c r="X60" i="1" s="1"/>
  <c r="P60" i="1"/>
  <c r="S60" i="1" s="1"/>
  <c r="T60" i="1" s="1"/>
  <c r="P61" i="1"/>
  <c r="S61" i="1" s="1"/>
  <c r="T61" i="1" s="1"/>
  <c r="P62" i="1"/>
  <c r="S62" i="1" s="1"/>
  <c r="T62" i="1" s="1"/>
  <c r="X240" i="11" l="1"/>
  <c r="AQ240" i="11"/>
  <c r="AJ240" i="11"/>
  <c r="L240" i="11"/>
  <c r="BP143" i="8"/>
  <c r="BO145" i="8"/>
  <c r="AD147" i="8"/>
  <c r="AT144" i="8"/>
  <c r="AS145" i="8"/>
  <c r="AL146" i="8"/>
  <c r="V145" i="8"/>
  <c r="CD147" i="8"/>
  <c r="L156" i="8"/>
  <c r="C144" i="8"/>
  <c r="M143" i="8"/>
  <c r="N143" i="8" s="1"/>
  <c r="CE143" i="8"/>
  <c r="AE143" i="8"/>
  <c r="AM143" i="8"/>
  <c r="BW146" i="8"/>
  <c r="BV147" i="8"/>
  <c r="BA145" i="8"/>
  <c r="AZ146" i="8"/>
  <c r="K201" i="1"/>
  <c r="BH146" i="8"/>
  <c r="BG147" i="8"/>
  <c r="U66" i="5"/>
  <c r="V65" i="5"/>
  <c r="BV64" i="5"/>
  <c r="BU65" i="5"/>
  <c r="AR60" i="5"/>
  <c r="AS59" i="5"/>
  <c r="L63" i="5"/>
  <c r="M63" i="5" s="1"/>
  <c r="K64" i="5"/>
  <c r="AD59" i="5"/>
  <c r="AC60" i="5"/>
  <c r="AK59" i="5"/>
  <c r="AL58" i="5"/>
  <c r="BN59" i="5"/>
  <c r="BO58" i="5"/>
  <c r="AY59" i="5"/>
  <c r="AZ58" i="5"/>
  <c r="CC57" i="5"/>
  <c r="CD56" i="5"/>
  <c r="BF59" i="5"/>
  <c r="BG58" i="5"/>
  <c r="AA62" i="1"/>
  <c r="AB62" i="1" s="1"/>
  <c r="BI55" i="1"/>
  <c r="BL55" i="1" s="1"/>
  <c r="BM55" i="1" s="1"/>
  <c r="BI56" i="1"/>
  <c r="BL56" i="1" s="1"/>
  <c r="BM56" i="1" s="1"/>
  <c r="BI57" i="1"/>
  <c r="BL57" i="1" s="1"/>
  <c r="BM57" i="1" s="1"/>
  <c r="BI58" i="1"/>
  <c r="BL58" i="1" s="1"/>
  <c r="BM58" i="1" s="1"/>
  <c r="BI59" i="1"/>
  <c r="BL59" i="1" s="1"/>
  <c r="BM59" i="1" s="1"/>
  <c r="BB55" i="1"/>
  <c r="BB56" i="1"/>
  <c r="BB57" i="1"/>
  <c r="BB58" i="1"/>
  <c r="BB59" i="1"/>
  <c r="AF55" i="1"/>
  <c r="AI55" i="1" s="1"/>
  <c r="AJ55" i="1" s="1"/>
  <c r="AF56" i="1"/>
  <c r="AI56" i="1" s="1"/>
  <c r="AJ56" i="1" s="1"/>
  <c r="AF57" i="1"/>
  <c r="AI57" i="1" s="1"/>
  <c r="AJ57" i="1" s="1"/>
  <c r="AF58" i="1"/>
  <c r="AI58" i="1" s="1"/>
  <c r="AJ58" i="1" s="1"/>
  <c r="AF59" i="1"/>
  <c r="AI59" i="1" s="1"/>
  <c r="AJ59" i="1" s="1"/>
  <c r="X55" i="1"/>
  <c r="X56" i="1"/>
  <c r="X57" i="1"/>
  <c r="X58" i="1"/>
  <c r="X59" i="1"/>
  <c r="AA59" i="1" s="1"/>
  <c r="P55" i="1"/>
  <c r="S55" i="1" s="1"/>
  <c r="P56" i="1"/>
  <c r="S56" i="1" s="1"/>
  <c r="T56" i="1" s="1"/>
  <c r="P57" i="1"/>
  <c r="S57" i="1" s="1"/>
  <c r="T57" i="1" s="1"/>
  <c r="P58" i="1"/>
  <c r="S58" i="1" s="1"/>
  <c r="T58" i="1" s="1"/>
  <c r="P59" i="1"/>
  <c r="S59" i="1" s="1"/>
  <c r="T59" i="1" s="1"/>
  <c r="K202" i="1" l="1"/>
  <c r="AL147" i="8"/>
  <c r="BH147" i="8"/>
  <c r="BG148" i="8"/>
  <c r="AZ147" i="8"/>
  <c r="BA146" i="8"/>
  <c r="C145" i="8"/>
  <c r="M144" i="8"/>
  <c r="N144" i="8" s="1"/>
  <c r="AE144" i="8"/>
  <c r="CE144" i="8"/>
  <c r="AM144" i="8"/>
  <c r="CD148" i="8"/>
  <c r="AD148" i="8"/>
  <c r="V146" i="8"/>
  <c r="W145" i="8"/>
  <c r="AT145" i="8"/>
  <c r="AS146" i="8"/>
  <c r="BP144" i="8"/>
  <c r="BW147" i="8"/>
  <c r="BV148" i="8"/>
  <c r="L157" i="8"/>
  <c r="W144" i="8"/>
  <c r="BP145" i="8"/>
  <c r="BO146" i="8"/>
  <c r="L64" i="5"/>
  <c r="M64" i="5" s="1"/>
  <c r="K65" i="5"/>
  <c r="BV65" i="5"/>
  <c r="BU66" i="5"/>
  <c r="AY60" i="5"/>
  <c r="AZ59" i="5"/>
  <c r="AK60" i="5"/>
  <c r="AL59" i="5"/>
  <c r="AD60" i="5"/>
  <c r="AC61" i="5"/>
  <c r="CD57" i="5"/>
  <c r="CC58" i="5"/>
  <c r="BN60" i="5"/>
  <c r="BO59" i="5"/>
  <c r="AR61" i="5"/>
  <c r="AS60" i="5"/>
  <c r="V66" i="5"/>
  <c r="U67" i="5"/>
  <c r="BG59" i="5"/>
  <c r="BF60" i="5"/>
  <c r="AB59" i="1"/>
  <c r="T55" i="1"/>
  <c r="BS57" i="1"/>
  <c r="BQ58" i="1" s="1"/>
  <c r="BS56" i="1"/>
  <c r="BQ57" i="1" s="1"/>
  <c r="BS58" i="1"/>
  <c r="BQ59" i="1" s="1"/>
  <c r="BS59" i="1"/>
  <c r="BQ60" i="1" s="1"/>
  <c r="BS60" i="1"/>
  <c r="BQ61" i="1" s="1"/>
  <c r="BT61" i="1" s="1"/>
  <c r="BU61" i="1" s="1"/>
  <c r="BS55" i="1"/>
  <c r="BQ56" i="1" s="1"/>
  <c r="AW45" i="1"/>
  <c r="AX45" i="1" s="1"/>
  <c r="AW46" i="1"/>
  <c r="AX46" i="1" s="1"/>
  <c r="AW48" i="1"/>
  <c r="AX48" i="1" s="1"/>
  <c r="AW49" i="1"/>
  <c r="AX49" i="1" s="1"/>
  <c r="AW50" i="1"/>
  <c r="AX50" i="1" s="1"/>
  <c r="AW51" i="1"/>
  <c r="AX51" i="1" s="1"/>
  <c r="AW52" i="1"/>
  <c r="AX52" i="1" s="1"/>
  <c r="AW53" i="1"/>
  <c r="AX53" i="1" s="1"/>
  <c r="AW54" i="1"/>
  <c r="AX54" i="1" s="1"/>
  <c r="AW55" i="1"/>
  <c r="AX55" i="1" s="1"/>
  <c r="AW56" i="1"/>
  <c r="AX56" i="1" s="1"/>
  <c r="AW57" i="1"/>
  <c r="AX57" i="1" s="1"/>
  <c r="AW58" i="1"/>
  <c r="AX58" i="1" s="1"/>
  <c r="AW59" i="1"/>
  <c r="AX59" i="1" s="1"/>
  <c r="AQ45" i="1"/>
  <c r="AQ46" i="1"/>
  <c r="AQ48" i="1"/>
  <c r="AQ49" i="1"/>
  <c r="AQ50" i="1"/>
  <c r="AQ51" i="1"/>
  <c r="AQ52" i="1"/>
  <c r="AQ53" i="1"/>
  <c r="AQ54" i="1"/>
  <c r="AQ55" i="1"/>
  <c r="AQ56" i="1"/>
  <c r="AQ57" i="1"/>
  <c r="AQ58" i="1"/>
  <c r="AQ59" i="1"/>
  <c r="BA147" i="8" l="1"/>
  <c r="AZ148" i="8"/>
  <c r="AL148" i="8"/>
  <c r="BW148" i="8"/>
  <c r="BV149" i="8"/>
  <c r="L158" i="8"/>
  <c r="V147" i="8"/>
  <c r="CD149" i="8"/>
  <c r="BG149" i="8"/>
  <c r="BH148" i="8"/>
  <c r="BO147" i="8"/>
  <c r="AS147" i="8"/>
  <c r="AT146" i="8"/>
  <c r="AD149" i="8"/>
  <c r="C146" i="8"/>
  <c r="BP146" i="8" s="1"/>
  <c r="M145" i="8"/>
  <c r="N145" i="8" s="1"/>
  <c r="AE145" i="8"/>
  <c r="CE145" i="8"/>
  <c r="AM145" i="8"/>
  <c r="CC59" i="5"/>
  <c r="CD58" i="5"/>
  <c r="BV66" i="5"/>
  <c r="BU67" i="5"/>
  <c r="AR62" i="5"/>
  <c r="AS61" i="5"/>
  <c r="AK61" i="5"/>
  <c r="AL60" i="5"/>
  <c r="V67" i="5"/>
  <c r="U68" i="5"/>
  <c r="AD61" i="5"/>
  <c r="AC62" i="5"/>
  <c r="K66" i="5"/>
  <c r="L65" i="5"/>
  <c r="M65" i="5" s="1"/>
  <c r="BN61" i="5"/>
  <c r="BO60" i="5"/>
  <c r="AZ60" i="5"/>
  <c r="AY61" i="5"/>
  <c r="BG60" i="5"/>
  <c r="BF61" i="5"/>
  <c r="BT59" i="1"/>
  <c r="BU59" i="1" s="1"/>
  <c r="BT60" i="1"/>
  <c r="BU60" i="1" s="1"/>
  <c r="BT58" i="1"/>
  <c r="BU58" i="1" s="1"/>
  <c r="AF53" i="1"/>
  <c r="AI53" i="1" s="1"/>
  <c r="AF54" i="1"/>
  <c r="AI54" i="1" s="1"/>
  <c r="AJ54" i="1" s="1"/>
  <c r="X53" i="1"/>
  <c r="AA53" i="1" s="1"/>
  <c r="X54" i="1"/>
  <c r="AA54" i="1" s="1"/>
  <c r="AB54" i="1" s="1"/>
  <c r="P53" i="1"/>
  <c r="S53" i="1" s="1"/>
  <c r="P54" i="1"/>
  <c r="S54" i="1" s="1"/>
  <c r="T54" i="1" s="1"/>
  <c r="BB54" i="1"/>
  <c r="BI53" i="1"/>
  <c r="BL53" i="1" s="1"/>
  <c r="BM53" i="1" s="1"/>
  <c r="BI54" i="1"/>
  <c r="BL54" i="1" s="1"/>
  <c r="BM54" i="1" s="1"/>
  <c r="BS54" i="1"/>
  <c r="BQ55" i="1" s="1"/>
  <c r="BT55" i="1" s="1"/>
  <c r="BU55" i="1" s="1"/>
  <c r="BS53" i="1"/>
  <c r="BQ54" i="1" s="1"/>
  <c r="BS52" i="1"/>
  <c r="BQ53" i="1" s="1"/>
  <c r="AD150" i="8" l="1"/>
  <c r="BO148" i="8"/>
  <c r="CD150" i="8"/>
  <c r="AL149" i="8"/>
  <c r="V148" i="8"/>
  <c r="BW149" i="8"/>
  <c r="BV150" i="8"/>
  <c r="AZ149" i="8"/>
  <c r="BA148" i="8"/>
  <c r="L159" i="8"/>
  <c r="C147" i="8"/>
  <c r="W147" i="8" s="1"/>
  <c r="M146" i="8"/>
  <c r="N146" i="8" s="1"/>
  <c r="AE146" i="8"/>
  <c r="CE146" i="8"/>
  <c r="AM146" i="8"/>
  <c r="AT147" i="8"/>
  <c r="AS148" i="8"/>
  <c r="BG150" i="8"/>
  <c r="BH149" i="8"/>
  <c r="W146" i="8"/>
  <c r="AC63" i="5"/>
  <c r="AD62" i="5"/>
  <c r="BU68" i="5"/>
  <c r="BV67" i="5"/>
  <c r="BN62" i="5"/>
  <c r="BO61" i="5"/>
  <c r="AL61" i="5"/>
  <c r="AK62" i="5"/>
  <c r="AY62" i="5"/>
  <c r="AZ61" i="5"/>
  <c r="U69" i="5"/>
  <c r="V68" i="5"/>
  <c r="L66" i="5"/>
  <c r="M66" i="5" s="1"/>
  <c r="K67" i="5"/>
  <c r="AS62" i="5"/>
  <c r="AR63" i="5"/>
  <c r="CD59" i="5"/>
  <c r="CC60" i="5"/>
  <c r="BG61" i="5"/>
  <c r="BF62" i="5"/>
  <c r="BF63" i="5" s="1"/>
  <c r="BT53" i="1"/>
  <c r="BU53" i="1" s="1"/>
  <c r="BT54" i="1"/>
  <c r="BU54" i="1" s="1"/>
  <c r="T53" i="1"/>
  <c r="AB53" i="1"/>
  <c r="AJ53" i="1"/>
  <c r="BI52" i="1"/>
  <c r="BL52" i="1" s="1"/>
  <c r="BM52" i="1" s="1"/>
  <c r="BB52" i="1"/>
  <c r="BB53" i="1"/>
  <c r="X52" i="1"/>
  <c r="AF52" i="1"/>
  <c r="AI52" i="1" s="1"/>
  <c r="AJ52" i="1" s="1"/>
  <c r="P52" i="1"/>
  <c r="S52" i="1" s="1"/>
  <c r="T52" i="1" s="1"/>
  <c r="BW150" i="8" l="1"/>
  <c r="BV151" i="8"/>
  <c r="AT148" i="8"/>
  <c r="AS149" i="8"/>
  <c r="AL150" i="8"/>
  <c r="BP147" i="8"/>
  <c r="BH150" i="8"/>
  <c r="BG151" i="8"/>
  <c r="BO149" i="8"/>
  <c r="CD151" i="8"/>
  <c r="L160" i="8"/>
  <c r="C148" i="8"/>
  <c r="M147" i="8"/>
  <c r="N147" i="8" s="1"/>
  <c r="AE147" i="8"/>
  <c r="CE147" i="8"/>
  <c r="AM147" i="8"/>
  <c r="BA149" i="8"/>
  <c r="AZ150" i="8"/>
  <c r="V149" i="8"/>
  <c r="W148" i="8"/>
  <c r="AD151" i="8"/>
  <c r="CD60" i="5"/>
  <c r="CC61" i="5"/>
  <c r="BF64" i="5"/>
  <c r="BG63" i="5"/>
  <c r="AS63" i="5"/>
  <c r="AR64" i="5"/>
  <c r="AL62" i="5"/>
  <c r="AK63" i="5"/>
  <c r="V69" i="5"/>
  <c r="U70" i="5"/>
  <c r="BU69" i="5"/>
  <c r="BV68" i="5"/>
  <c r="L67" i="5"/>
  <c r="M67" i="5" s="1"/>
  <c r="K68" i="5"/>
  <c r="AZ62" i="5"/>
  <c r="AY63" i="5"/>
  <c r="BN63" i="5"/>
  <c r="BO62" i="5"/>
  <c r="AD63" i="5"/>
  <c r="AC64" i="5"/>
  <c r="BG62" i="5"/>
  <c r="BQ48" i="1"/>
  <c r="BS45" i="1"/>
  <c r="BQ46" i="1" s="1"/>
  <c r="BS46" i="1"/>
  <c r="BQ47" i="1" s="1"/>
  <c r="BT47" i="1" s="1"/>
  <c r="BS49" i="1"/>
  <c r="BS48" i="1"/>
  <c r="BQ49" i="1" s="1"/>
  <c r="BS51" i="1"/>
  <c r="BQ52" i="1" s="1"/>
  <c r="BT52" i="1" s="1"/>
  <c r="BU52" i="1" s="1"/>
  <c r="BS50" i="1"/>
  <c r="BQ51" i="1" s="1"/>
  <c r="BI47" i="1"/>
  <c r="BL47" i="1" s="1"/>
  <c r="BM47" i="1" s="1"/>
  <c r="BI48" i="1"/>
  <c r="BL48" i="1" s="1"/>
  <c r="BM48" i="1" s="1"/>
  <c r="BI49" i="1"/>
  <c r="BI50" i="1"/>
  <c r="BI51" i="1"/>
  <c r="BL51" i="1" s="1"/>
  <c r="BM51" i="1" s="1"/>
  <c r="BB47" i="1"/>
  <c r="BB48" i="1"/>
  <c r="BB49" i="1"/>
  <c r="BB50" i="1"/>
  <c r="BB51" i="1"/>
  <c r="AF47" i="1"/>
  <c r="AI47" i="1" s="1"/>
  <c r="AJ47" i="1" s="1"/>
  <c r="AF48" i="1"/>
  <c r="AI48" i="1" s="1"/>
  <c r="AJ48" i="1" s="1"/>
  <c r="AF49" i="1"/>
  <c r="AF50" i="1"/>
  <c r="AF51" i="1"/>
  <c r="AI51" i="1" s="1"/>
  <c r="AJ51" i="1" s="1"/>
  <c r="X47" i="1"/>
  <c r="AA47" i="1" s="1"/>
  <c r="AB47" i="1" s="1"/>
  <c r="X48" i="1"/>
  <c r="AA48" i="1" s="1"/>
  <c r="AB48" i="1" s="1"/>
  <c r="X49" i="1"/>
  <c r="X50" i="1"/>
  <c r="X51" i="1"/>
  <c r="AA51" i="1" s="1"/>
  <c r="AB51" i="1" s="1"/>
  <c r="T47" i="1"/>
  <c r="T49" i="1"/>
  <c r="P47" i="1"/>
  <c r="P48" i="1"/>
  <c r="S48" i="1" s="1"/>
  <c r="T48" i="1" s="1"/>
  <c r="P49" i="1"/>
  <c r="P50" i="1"/>
  <c r="T50" i="1" s="1"/>
  <c r="P51" i="1"/>
  <c r="S51" i="1" s="1"/>
  <c r="T51" i="1" s="1"/>
  <c r="C3" i="1"/>
  <c r="C149" i="8" l="1"/>
  <c r="M148" i="8"/>
  <c r="N148" i="8" s="1"/>
  <c r="AE148" i="8"/>
  <c r="CE148" i="8"/>
  <c r="AM148" i="8"/>
  <c r="AT149" i="8"/>
  <c r="AS150" i="8"/>
  <c r="V150" i="8"/>
  <c r="W149" i="8"/>
  <c r="L161" i="8"/>
  <c r="BP148" i="8"/>
  <c r="BA150" i="8"/>
  <c r="AZ151" i="8"/>
  <c r="BP149" i="8"/>
  <c r="BO150" i="8"/>
  <c r="AL151" i="8"/>
  <c r="BV152" i="8"/>
  <c r="BW151" i="8"/>
  <c r="AD152" i="8"/>
  <c r="CD152" i="8"/>
  <c r="BH151" i="8"/>
  <c r="BG152" i="8"/>
  <c r="AD64" i="5"/>
  <c r="AC65" i="5"/>
  <c r="AY64" i="5"/>
  <c r="AZ63" i="5"/>
  <c r="AK64" i="5"/>
  <c r="AL63" i="5"/>
  <c r="BV69" i="5"/>
  <c r="BU70" i="5"/>
  <c r="BF65" i="5"/>
  <c r="BG64" i="5"/>
  <c r="K69" i="5"/>
  <c r="L68" i="5"/>
  <c r="M68" i="5" s="1"/>
  <c r="U71" i="5"/>
  <c r="V70" i="5"/>
  <c r="AS64" i="5"/>
  <c r="AR65" i="5"/>
  <c r="CD61" i="5"/>
  <c r="CC62" i="5"/>
  <c r="BN64" i="5"/>
  <c r="BO63" i="5"/>
  <c r="BT46" i="1"/>
  <c r="BU46" i="1" s="1"/>
  <c r="BT49" i="1"/>
  <c r="BU49" i="1" s="1"/>
  <c r="BT51" i="1"/>
  <c r="BU51" i="1" s="1"/>
  <c r="BQ50" i="1"/>
  <c r="BT50" i="1" s="1"/>
  <c r="BU50" i="1" s="1"/>
  <c r="BI45" i="1"/>
  <c r="BL45" i="1" s="1"/>
  <c r="BM45" i="1" s="1"/>
  <c r="BI46" i="1"/>
  <c r="BL46" i="1" s="1"/>
  <c r="BM46" i="1" s="1"/>
  <c r="BB45" i="1"/>
  <c r="BB46" i="1"/>
  <c r="X45" i="1"/>
  <c r="AA45" i="1" s="1"/>
  <c r="X46" i="1"/>
  <c r="AA46" i="1" s="1"/>
  <c r="AB46" i="1" s="1"/>
  <c r="AF45" i="1"/>
  <c r="AI45" i="1" s="1"/>
  <c r="AF46" i="1"/>
  <c r="AI46" i="1" s="1"/>
  <c r="AJ46" i="1" s="1"/>
  <c r="P46" i="1"/>
  <c r="S46" i="1" s="1"/>
  <c r="P45" i="1"/>
  <c r="S45" i="1" s="1"/>
  <c r="CD153" i="8" l="1"/>
  <c r="BW152" i="8"/>
  <c r="BV153" i="8"/>
  <c r="AS151" i="8"/>
  <c r="AT150" i="8"/>
  <c r="BO151" i="8"/>
  <c r="BH152" i="8"/>
  <c r="BG153" i="8"/>
  <c r="BA151" i="8"/>
  <c r="AZ152" i="8"/>
  <c r="L162" i="8"/>
  <c r="V151" i="8"/>
  <c r="AD153" i="8"/>
  <c r="AL152" i="8"/>
  <c r="C150" i="8"/>
  <c r="W150" i="8" s="1"/>
  <c r="M149" i="8"/>
  <c r="N149" i="8" s="1"/>
  <c r="CE149" i="8"/>
  <c r="AE149" i="8"/>
  <c r="AM149" i="8"/>
  <c r="AS65" i="5"/>
  <c r="AR66" i="5"/>
  <c r="BV70" i="5"/>
  <c r="BU71" i="5"/>
  <c r="BN65" i="5"/>
  <c r="BO64" i="5"/>
  <c r="L69" i="5"/>
  <c r="M69" i="5" s="1"/>
  <c r="K70" i="5"/>
  <c r="AZ64" i="5"/>
  <c r="AY65" i="5"/>
  <c r="CD62" i="5"/>
  <c r="CC63" i="5"/>
  <c r="AC66" i="5"/>
  <c r="AD65" i="5"/>
  <c r="V71" i="5"/>
  <c r="U72" i="5"/>
  <c r="BG65" i="5"/>
  <c r="BF66" i="5"/>
  <c r="AL64" i="5"/>
  <c r="AK65" i="5"/>
  <c r="T46" i="1"/>
  <c r="AB45" i="1"/>
  <c r="T45" i="1"/>
  <c r="AJ45" i="1"/>
  <c r="AW31" i="1"/>
  <c r="AX31" i="1" s="1"/>
  <c r="AW35" i="1"/>
  <c r="AW36" i="1"/>
  <c r="AX36" i="1" s="1"/>
  <c r="AW37" i="1"/>
  <c r="AX37" i="1" s="1"/>
  <c r="AW38" i="1"/>
  <c r="AX38" i="1" s="1"/>
  <c r="AW39" i="1"/>
  <c r="AX39" i="1" s="1"/>
  <c r="AW40" i="1"/>
  <c r="AX40" i="1" s="1"/>
  <c r="AW41" i="1"/>
  <c r="AX41" i="1" s="1"/>
  <c r="AW42" i="1"/>
  <c r="AX42" i="1" s="1"/>
  <c r="AW43" i="1"/>
  <c r="AX43" i="1" s="1"/>
  <c r="AW44" i="1"/>
  <c r="AX44" i="1" s="1"/>
  <c r="AQ35" i="1"/>
  <c r="AQ36" i="1"/>
  <c r="AQ37" i="1"/>
  <c r="AQ38" i="1"/>
  <c r="AQ39" i="1"/>
  <c r="AQ40" i="1"/>
  <c r="AQ41" i="1"/>
  <c r="AQ42" i="1"/>
  <c r="AQ43" i="1"/>
  <c r="AQ44" i="1"/>
  <c r="AQ31" i="1"/>
  <c r="BP150" i="8" l="1"/>
  <c r="AL153" i="8"/>
  <c r="BO152" i="8"/>
  <c r="V152" i="8"/>
  <c r="BV154" i="8"/>
  <c r="BW153" i="8"/>
  <c r="BG154" i="8"/>
  <c r="BH153" i="8"/>
  <c r="BA152" i="8"/>
  <c r="AZ153" i="8"/>
  <c r="C151" i="8"/>
  <c r="W151" i="8" s="1"/>
  <c r="M150" i="8"/>
  <c r="N150" i="8" s="1"/>
  <c r="AE150" i="8"/>
  <c r="CE150" i="8"/>
  <c r="AM150" i="8"/>
  <c r="AD154" i="8"/>
  <c r="L163" i="8"/>
  <c r="AS152" i="8"/>
  <c r="AT151" i="8"/>
  <c r="CD154" i="8"/>
  <c r="AL65" i="5"/>
  <c r="AK66" i="5"/>
  <c r="U73" i="5"/>
  <c r="V72" i="5"/>
  <c r="CD63" i="5"/>
  <c r="CC64" i="5"/>
  <c r="L70" i="5"/>
  <c r="M70" i="5" s="1"/>
  <c r="K71" i="5"/>
  <c r="BV71" i="5"/>
  <c r="BU72" i="5"/>
  <c r="BF67" i="5"/>
  <c r="BG66" i="5"/>
  <c r="AZ65" i="5"/>
  <c r="AY66" i="5"/>
  <c r="AS66" i="5"/>
  <c r="AR67" i="5"/>
  <c r="AC67" i="5"/>
  <c r="AD66" i="5"/>
  <c r="BN66" i="5"/>
  <c r="BO65" i="5"/>
  <c r="AX35" i="1"/>
  <c r="BA35" i="1"/>
  <c r="AT35" i="1"/>
  <c r="BI42" i="1"/>
  <c r="BL42" i="1" s="1"/>
  <c r="BM42" i="1" s="1"/>
  <c r="BI43" i="1"/>
  <c r="BL43" i="1" s="1"/>
  <c r="BM43" i="1" s="1"/>
  <c r="BI44" i="1"/>
  <c r="BL44" i="1" s="1"/>
  <c r="BM44" i="1" s="1"/>
  <c r="BB42" i="1"/>
  <c r="BB43" i="1"/>
  <c r="BB44" i="1"/>
  <c r="AF42" i="1"/>
  <c r="AI42" i="1" s="1"/>
  <c r="AJ42" i="1" s="1"/>
  <c r="AF43" i="1"/>
  <c r="AI43" i="1" s="1"/>
  <c r="AJ43" i="1" s="1"/>
  <c r="AF44" i="1"/>
  <c r="AI44" i="1" s="1"/>
  <c r="AJ44" i="1" s="1"/>
  <c r="Z42" i="1"/>
  <c r="X43" i="1" s="1"/>
  <c r="AA43" i="1" s="1"/>
  <c r="AB43" i="1" s="1"/>
  <c r="X42" i="1"/>
  <c r="X44" i="1"/>
  <c r="AA44" i="1" s="1"/>
  <c r="AB44" i="1" s="1"/>
  <c r="P42" i="1"/>
  <c r="S42" i="1" s="1"/>
  <c r="P43" i="1"/>
  <c r="S43" i="1" s="1"/>
  <c r="T43" i="1" s="1"/>
  <c r="P44" i="1"/>
  <c r="S44" i="1" s="1"/>
  <c r="T44" i="1" s="1"/>
  <c r="BQ43" i="1"/>
  <c r="BS43" i="1"/>
  <c r="BQ44" i="1" s="1"/>
  <c r="BS44" i="1"/>
  <c r="BQ45" i="1" s="1"/>
  <c r="BA153" i="8" l="1"/>
  <c r="AZ154" i="8"/>
  <c r="AD155" i="8"/>
  <c r="BV155" i="8"/>
  <c r="BW154" i="8"/>
  <c r="BP151" i="8"/>
  <c r="BO153" i="8"/>
  <c r="AT152" i="8"/>
  <c r="AS153" i="8"/>
  <c r="AL154" i="8"/>
  <c r="CD155" i="8"/>
  <c r="L164" i="8"/>
  <c r="C152" i="8"/>
  <c r="BP152" i="8" s="1"/>
  <c r="M151" i="8"/>
  <c r="N151" i="8" s="1"/>
  <c r="AE151" i="8"/>
  <c r="CE151" i="8"/>
  <c r="AM151" i="8"/>
  <c r="BG155" i="8"/>
  <c r="BH154" i="8"/>
  <c r="V153" i="8"/>
  <c r="AZ66" i="5"/>
  <c r="AY67" i="5"/>
  <c r="AR68" i="5"/>
  <c r="AS67" i="5"/>
  <c r="K72" i="5"/>
  <c r="L71" i="5"/>
  <c r="M71" i="5" s="1"/>
  <c r="BO66" i="5"/>
  <c r="BN67" i="5"/>
  <c r="BG67" i="5"/>
  <c r="BF68" i="5"/>
  <c r="V73" i="5"/>
  <c r="U74" i="5"/>
  <c r="BU73" i="5"/>
  <c r="BV72" i="5"/>
  <c r="CD64" i="5"/>
  <c r="CC65" i="5"/>
  <c r="AK67" i="5"/>
  <c r="AL66" i="5"/>
  <c r="AD67" i="5"/>
  <c r="AC68" i="5"/>
  <c r="BT44" i="1"/>
  <c r="BU44" i="1" s="1"/>
  <c r="T42" i="1"/>
  <c r="BT43" i="1"/>
  <c r="BU43" i="1" s="1"/>
  <c r="AA42" i="1"/>
  <c r="AB42" i="1" s="1"/>
  <c r="BS39" i="1"/>
  <c r="BQ40" i="1" s="1"/>
  <c r="BQ39" i="1"/>
  <c r="BS40" i="1"/>
  <c r="BQ41" i="1" s="1"/>
  <c r="BS41" i="1"/>
  <c r="BQ42" i="1" s="1"/>
  <c r="BQ38" i="1"/>
  <c r="W152" i="8" l="1"/>
  <c r="BH155" i="8"/>
  <c r="BG156" i="8"/>
  <c r="AT153" i="8"/>
  <c r="AS154" i="8"/>
  <c r="AD156" i="8"/>
  <c r="V154" i="8"/>
  <c r="C153" i="8"/>
  <c r="W153" i="8" s="1"/>
  <c r="M152" i="8"/>
  <c r="N152" i="8" s="1"/>
  <c r="CE152" i="8"/>
  <c r="AE152" i="8"/>
  <c r="AM152" i="8"/>
  <c r="CD156" i="8"/>
  <c r="AZ155" i="8"/>
  <c r="BA154" i="8"/>
  <c r="L165" i="8"/>
  <c r="AL155" i="8"/>
  <c r="BO154" i="8"/>
  <c r="BW155" i="8"/>
  <c r="BV156" i="8"/>
  <c r="AC69" i="5"/>
  <c r="AD68" i="5"/>
  <c r="CD65" i="5"/>
  <c r="CC66" i="5"/>
  <c r="U75" i="5"/>
  <c r="V74" i="5"/>
  <c r="BO67" i="5"/>
  <c r="BN68" i="5"/>
  <c r="AS68" i="5"/>
  <c r="AR69" i="5"/>
  <c r="BG68" i="5"/>
  <c r="BF69" i="5"/>
  <c r="AY68" i="5"/>
  <c r="AZ67" i="5"/>
  <c r="AL67" i="5"/>
  <c r="AK68" i="5"/>
  <c r="BV73" i="5"/>
  <c r="BU74" i="5"/>
  <c r="K73" i="5"/>
  <c r="L72" i="5"/>
  <c r="M72" i="5" s="1"/>
  <c r="BT40" i="1"/>
  <c r="BU40" i="1" s="1"/>
  <c r="BT39" i="1"/>
  <c r="BU39" i="1" s="1"/>
  <c r="BT41" i="1"/>
  <c r="BU41" i="1" s="1"/>
  <c r="BI39" i="1"/>
  <c r="BL39" i="1" s="1"/>
  <c r="BI40" i="1"/>
  <c r="BL40" i="1" s="1"/>
  <c r="BM40" i="1" s="1"/>
  <c r="BI41" i="1"/>
  <c r="BL41" i="1" s="1"/>
  <c r="BM41" i="1" s="1"/>
  <c r="BB38" i="1"/>
  <c r="BB39" i="1"/>
  <c r="BB40" i="1"/>
  <c r="BB41" i="1"/>
  <c r="AF39" i="1"/>
  <c r="AI39" i="1" s="1"/>
  <c r="AJ39" i="1" s="1"/>
  <c r="AF40" i="1"/>
  <c r="AI40" i="1" s="1"/>
  <c r="AJ40" i="1" s="1"/>
  <c r="AF41" i="1"/>
  <c r="AI41" i="1" s="1"/>
  <c r="AJ41" i="1" s="1"/>
  <c r="X39" i="1"/>
  <c r="AA39" i="1" s="1"/>
  <c r="AB39" i="1" s="1"/>
  <c r="X40" i="1"/>
  <c r="AA40" i="1" s="1"/>
  <c r="AB40" i="1" s="1"/>
  <c r="X41" i="1"/>
  <c r="P39" i="1"/>
  <c r="S39" i="1" s="1"/>
  <c r="T39" i="1" s="1"/>
  <c r="P40" i="1"/>
  <c r="S40" i="1" s="1"/>
  <c r="T40" i="1" s="1"/>
  <c r="P41" i="1"/>
  <c r="S41" i="1" s="1"/>
  <c r="T41" i="1" s="1"/>
  <c r="BP153" i="8" l="1"/>
  <c r="AL156" i="8"/>
  <c r="AZ156" i="8"/>
  <c r="BA155" i="8"/>
  <c r="AT154" i="8"/>
  <c r="AS155" i="8"/>
  <c r="BO155" i="8"/>
  <c r="CD157" i="8"/>
  <c r="V155" i="8"/>
  <c r="L166" i="8"/>
  <c r="AD157" i="8"/>
  <c r="BH156" i="8"/>
  <c r="BG157" i="8"/>
  <c r="BW156" i="8"/>
  <c r="BV157" i="8"/>
  <c r="C154" i="8"/>
  <c r="W154" i="8" s="1"/>
  <c r="M153" i="8"/>
  <c r="N153" i="8" s="1"/>
  <c r="CE153" i="8"/>
  <c r="AE153" i="8"/>
  <c r="AM153" i="8"/>
  <c r="BU75" i="5"/>
  <c r="BV74" i="5"/>
  <c r="AR70" i="5"/>
  <c r="AS69" i="5"/>
  <c r="AL68" i="5"/>
  <c r="AK69" i="5"/>
  <c r="BG69" i="5"/>
  <c r="BF70" i="5"/>
  <c r="BO68" i="5"/>
  <c r="BN69" i="5"/>
  <c r="CC67" i="5"/>
  <c r="CD66" i="5"/>
  <c r="K74" i="5"/>
  <c r="L73" i="5"/>
  <c r="M73" i="5" s="1"/>
  <c r="AY69" i="5"/>
  <c r="AZ68" i="5"/>
  <c r="U76" i="5"/>
  <c r="V75" i="5"/>
  <c r="AC70" i="5"/>
  <c r="AD69" i="5"/>
  <c r="BM39" i="1"/>
  <c r="P38" i="1"/>
  <c r="S38" i="1" s="1"/>
  <c r="T38" i="1" s="1"/>
  <c r="BI38" i="1"/>
  <c r="BL38" i="1" s="1"/>
  <c r="BM38" i="1" s="1"/>
  <c r="AF31" i="1"/>
  <c r="AF32" i="1"/>
  <c r="AF33" i="1"/>
  <c r="AF34" i="1"/>
  <c r="AF35" i="1"/>
  <c r="AF36" i="1"/>
  <c r="AF37" i="1"/>
  <c r="AF38" i="1"/>
  <c r="AI38" i="1" s="1"/>
  <c r="X38" i="1"/>
  <c r="AA38" i="1" s="1"/>
  <c r="BP154" i="8" l="1"/>
  <c r="V156" i="8"/>
  <c r="BO156" i="8"/>
  <c r="BA156" i="8"/>
  <c r="AZ157" i="8"/>
  <c r="BW157" i="8"/>
  <c r="BV158" i="8"/>
  <c r="BH157" i="8"/>
  <c r="BG158" i="8"/>
  <c r="CD158" i="8"/>
  <c r="AS156" i="8"/>
  <c r="AT155" i="8"/>
  <c r="AD158" i="8"/>
  <c r="C155" i="8"/>
  <c r="BP155" i="8" s="1"/>
  <c r="M154" i="8"/>
  <c r="N154" i="8" s="1"/>
  <c r="AE154" i="8"/>
  <c r="CE154" i="8"/>
  <c r="AM154" i="8"/>
  <c r="L167" i="8"/>
  <c r="AL157" i="8"/>
  <c r="BF71" i="5"/>
  <c r="BG70" i="5"/>
  <c r="AC71" i="5"/>
  <c r="AD70" i="5"/>
  <c r="AZ69" i="5"/>
  <c r="AY70" i="5"/>
  <c r="CD67" i="5"/>
  <c r="CC68" i="5"/>
  <c r="AR71" i="5"/>
  <c r="AS70" i="5"/>
  <c r="BN70" i="5"/>
  <c r="BO69" i="5"/>
  <c r="AK70" i="5"/>
  <c r="AL69" i="5"/>
  <c r="V76" i="5"/>
  <c r="U77" i="5"/>
  <c r="L74" i="5"/>
  <c r="M74" i="5" s="1"/>
  <c r="K75" i="5"/>
  <c r="BV75" i="5"/>
  <c r="BU76" i="5"/>
  <c r="AB38" i="1"/>
  <c r="AE35" i="1"/>
  <c r="AJ38" i="1"/>
  <c r="AM35" i="1"/>
  <c r="BB31" i="1"/>
  <c r="BB32" i="1"/>
  <c r="BB33" i="1"/>
  <c r="BB34" i="1"/>
  <c r="BB35" i="1"/>
  <c r="BB36" i="1"/>
  <c r="BB37" i="1"/>
  <c r="BI31" i="1"/>
  <c r="BI32" i="1"/>
  <c r="BI33" i="1"/>
  <c r="BI34" i="1"/>
  <c r="BI35" i="1"/>
  <c r="BI36" i="1"/>
  <c r="BI37" i="1"/>
  <c r="BL37" i="1" s="1"/>
  <c r="BM37" i="1" s="1"/>
  <c r="X31" i="1"/>
  <c r="AA31" i="1" s="1"/>
  <c r="AB31" i="1" s="1"/>
  <c r="X32" i="1"/>
  <c r="X33" i="1"/>
  <c r="X34" i="1"/>
  <c r="X35" i="1"/>
  <c r="X36" i="1"/>
  <c r="X37" i="1"/>
  <c r="P34" i="1"/>
  <c r="P35" i="1"/>
  <c r="P36" i="1"/>
  <c r="P37" i="1"/>
  <c r="S37" i="1" s="1"/>
  <c r="P31" i="1"/>
  <c r="S31" i="1" s="1"/>
  <c r="T31" i="1" s="1"/>
  <c r="P32" i="1"/>
  <c r="P33" i="1"/>
  <c r="BS33" i="1"/>
  <c r="BQ34" i="1" s="1"/>
  <c r="BS32" i="1"/>
  <c r="BQ33" i="1" s="1"/>
  <c r="BQ36" i="1"/>
  <c r="BT36" i="1" s="1"/>
  <c r="BQ37" i="1"/>
  <c r="BT37" i="1" s="1"/>
  <c r="BU37" i="1" s="1"/>
  <c r="BS34" i="1"/>
  <c r="BQ35" i="1" s="1"/>
  <c r="BS31" i="1"/>
  <c r="BS24" i="1"/>
  <c r="BS25" i="1"/>
  <c r="BS26" i="1"/>
  <c r="BS27" i="1"/>
  <c r="BS28" i="1"/>
  <c r="BS29" i="1"/>
  <c r="BS30" i="1"/>
  <c r="BQ32" i="1"/>
  <c r="L168" i="8" l="1"/>
  <c r="CD159" i="8"/>
  <c r="BO157" i="8"/>
  <c r="BH158" i="8"/>
  <c r="BG159" i="8"/>
  <c r="BA157" i="8"/>
  <c r="AZ158" i="8"/>
  <c r="V157" i="8"/>
  <c r="AD159" i="8"/>
  <c r="BW158" i="8"/>
  <c r="BV159" i="8"/>
  <c r="AL158" i="8"/>
  <c r="C156" i="8"/>
  <c r="M155" i="8"/>
  <c r="N155" i="8" s="1"/>
  <c r="AE155" i="8"/>
  <c r="CE155" i="8"/>
  <c r="AM155" i="8"/>
  <c r="AT156" i="8"/>
  <c r="AS157" i="8"/>
  <c r="W155" i="8"/>
  <c r="BU77" i="5"/>
  <c r="BV76" i="5"/>
  <c r="U78" i="5"/>
  <c r="V77" i="5"/>
  <c r="CC69" i="5"/>
  <c r="CD68" i="5"/>
  <c r="BN71" i="5"/>
  <c r="BO70" i="5"/>
  <c r="AC72" i="5"/>
  <c r="AD71" i="5"/>
  <c r="L75" i="5"/>
  <c r="M75" i="5" s="1"/>
  <c r="K76" i="5"/>
  <c r="AY71" i="5"/>
  <c r="AZ70" i="5"/>
  <c r="AL70" i="5"/>
  <c r="AK71" i="5"/>
  <c r="AR72" i="5"/>
  <c r="AS71" i="5"/>
  <c r="BG71" i="5"/>
  <c r="BF72" i="5"/>
  <c r="T37" i="1"/>
  <c r="W35" i="1"/>
  <c r="BU36" i="1"/>
  <c r="BX35" i="1"/>
  <c r="BQ31" i="1"/>
  <c r="BT31" i="1" s="1"/>
  <c r="BU31" i="1" s="1"/>
  <c r="BH159" i="8" l="1"/>
  <c r="BG160" i="8"/>
  <c r="CD160" i="8"/>
  <c r="V158" i="8"/>
  <c r="C157" i="8"/>
  <c r="BP157" i="8" s="1"/>
  <c r="M156" i="8"/>
  <c r="N156" i="8" s="1"/>
  <c r="CE156" i="8"/>
  <c r="AE156" i="8"/>
  <c r="AM156" i="8"/>
  <c r="W156" i="8"/>
  <c r="BW159" i="8"/>
  <c r="BV160" i="8"/>
  <c r="AL159" i="8"/>
  <c r="AD160" i="8"/>
  <c r="BA158" i="8"/>
  <c r="AZ159" i="8"/>
  <c r="BO158" i="8"/>
  <c r="L169" i="8"/>
  <c r="AT157" i="8"/>
  <c r="AS158" i="8"/>
  <c r="BP156" i="8"/>
  <c r="AK72" i="5"/>
  <c r="AL71" i="5"/>
  <c r="L76" i="5"/>
  <c r="M76" i="5" s="1"/>
  <c r="K77" i="5"/>
  <c r="BN72" i="5"/>
  <c r="BO71" i="5"/>
  <c r="V78" i="5"/>
  <c r="U79" i="5"/>
  <c r="BF73" i="5"/>
  <c r="BG72" i="5"/>
  <c r="AS72" i="5"/>
  <c r="AR73" i="5"/>
  <c r="AZ71" i="5"/>
  <c r="AY72" i="5"/>
  <c r="AC73" i="5"/>
  <c r="AD72" i="5"/>
  <c r="CD69" i="5"/>
  <c r="CC70" i="5"/>
  <c r="BV77" i="5"/>
  <c r="BU78" i="5"/>
  <c r="AW22" i="1"/>
  <c r="AX22" i="1" s="1"/>
  <c r="AW24" i="1"/>
  <c r="AX24" i="1" s="1"/>
  <c r="AW25" i="1"/>
  <c r="AX25" i="1" s="1"/>
  <c r="AW26" i="1"/>
  <c r="AX26" i="1" s="1"/>
  <c r="AW27" i="1"/>
  <c r="AX27" i="1" s="1"/>
  <c r="AW28" i="1"/>
  <c r="AX28" i="1" s="1"/>
  <c r="AW29" i="1"/>
  <c r="AX29" i="1" s="1"/>
  <c r="AW30" i="1"/>
  <c r="AX30" i="1" s="1"/>
  <c r="AQ22" i="1"/>
  <c r="AQ24" i="1"/>
  <c r="AQ25" i="1"/>
  <c r="AQ26" i="1"/>
  <c r="AQ27" i="1"/>
  <c r="AQ28" i="1"/>
  <c r="AQ29" i="1"/>
  <c r="AQ30" i="1"/>
  <c r="BA159" i="8" l="1"/>
  <c r="AZ160" i="8"/>
  <c r="AL160" i="8"/>
  <c r="CD161" i="8"/>
  <c r="L170" i="8"/>
  <c r="C158" i="8"/>
  <c r="BP158" i="8" s="1"/>
  <c r="M157" i="8"/>
  <c r="N157" i="8" s="1"/>
  <c r="CE157" i="8"/>
  <c r="AE157" i="8"/>
  <c r="AM157" i="8"/>
  <c r="AT158" i="8"/>
  <c r="AS159" i="8"/>
  <c r="BO159" i="8"/>
  <c r="AD161" i="8"/>
  <c r="BW160" i="8"/>
  <c r="BV161" i="8"/>
  <c r="V159" i="8"/>
  <c r="BH160" i="8"/>
  <c r="BG161" i="8"/>
  <c r="W157" i="8"/>
  <c r="AZ72" i="5"/>
  <c r="AY73" i="5"/>
  <c r="BV78" i="5"/>
  <c r="BU79" i="5"/>
  <c r="AS73" i="5"/>
  <c r="AR74" i="5"/>
  <c r="U80" i="5"/>
  <c r="V79" i="5"/>
  <c r="K78" i="5"/>
  <c r="L77" i="5"/>
  <c r="M77" i="5" s="1"/>
  <c r="AC74" i="5"/>
  <c r="AD73" i="5"/>
  <c r="CC71" i="5"/>
  <c r="CD70" i="5"/>
  <c r="BF74" i="5"/>
  <c r="BG73" i="5"/>
  <c r="BN73" i="5"/>
  <c r="BO72" i="5"/>
  <c r="AK73" i="5"/>
  <c r="AL72" i="5"/>
  <c r="BI30" i="1"/>
  <c r="BL30" i="1" s="1"/>
  <c r="BM30" i="1" s="1"/>
  <c r="BB30" i="1"/>
  <c r="BE30" i="1" s="1"/>
  <c r="AF30" i="1"/>
  <c r="AI30" i="1" s="1"/>
  <c r="AJ30" i="1" s="1"/>
  <c r="X30" i="1"/>
  <c r="AA30" i="1" s="1"/>
  <c r="AB30" i="1" s="1"/>
  <c r="P30" i="1"/>
  <c r="S30" i="1" s="1"/>
  <c r="T30" i="1" s="1"/>
  <c r="BI28" i="1"/>
  <c r="BI29" i="1"/>
  <c r="BL29" i="1" s="1"/>
  <c r="BM29" i="1" s="1"/>
  <c r="AF28" i="1"/>
  <c r="AF29" i="1"/>
  <c r="AI29" i="1" s="1"/>
  <c r="AJ29" i="1" s="1"/>
  <c r="X28" i="1"/>
  <c r="X29" i="1"/>
  <c r="AA29" i="1" s="1"/>
  <c r="AB29" i="1" s="1"/>
  <c r="BB28" i="1"/>
  <c r="BB29" i="1"/>
  <c r="BE29" i="1" s="1"/>
  <c r="P28" i="1"/>
  <c r="P29" i="1"/>
  <c r="S29" i="1" s="1"/>
  <c r="T29" i="1" s="1"/>
  <c r="BQ29" i="1"/>
  <c r="BT29" i="1" s="1"/>
  <c r="BU29" i="1" s="1"/>
  <c r="BQ30" i="1"/>
  <c r="BT30" i="1" s="1"/>
  <c r="BU30" i="1" s="1"/>
  <c r="W158" i="8" l="1"/>
  <c r="AL161" i="8"/>
  <c r="V160" i="8"/>
  <c r="AT159" i="8"/>
  <c r="AS160" i="8"/>
  <c r="L171" i="8"/>
  <c r="AD162" i="8"/>
  <c r="AZ161" i="8"/>
  <c r="BA160" i="8"/>
  <c r="BH161" i="8"/>
  <c r="BG162" i="8"/>
  <c r="BV162" i="8"/>
  <c r="BW161" i="8"/>
  <c r="BO160" i="8"/>
  <c r="C159" i="8"/>
  <c r="W159" i="8" s="1"/>
  <c r="M158" i="8"/>
  <c r="N158" i="8" s="1"/>
  <c r="AE158" i="8"/>
  <c r="CE158" i="8"/>
  <c r="AM158" i="8"/>
  <c r="CD162" i="8"/>
  <c r="BU80" i="5"/>
  <c r="BV79" i="5"/>
  <c r="AL73" i="5"/>
  <c r="AK74" i="5"/>
  <c r="BF75" i="5"/>
  <c r="BG74" i="5"/>
  <c r="AD74" i="5"/>
  <c r="AC75" i="5"/>
  <c r="V80" i="5"/>
  <c r="U81" i="5"/>
  <c r="AR75" i="5"/>
  <c r="AS74" i="5"/>
  <c r="AY74" i="5"/>
  <c r="AZ73" i="5"/>
  <c r="BO73" i="5"/>
  <c r="BN74" i="5"/>
  <c r="CC72" i="5"/>
  <c r="CD71" i="5"/>
  <c r="L78" i="5"/>
  <c r="M78" i="5" s="1"/>
  <c r="K79" i="5"/>
  <c r="BI27" i="1"/>
  <c r="BL27" i="1" s="1"/>
  <c r="BM27" i="1" s="1"/>
  <c r="BB27" i="1"/>
  <c r="BQ28" i="1"/>
  <c r="BT28" i="1" s="1"/>
  <c r="BU28" i="1" s="1"/>
  <c r="AF27" i="1"/>
  <c r="AI27" i="1" s="1"/>
  <c r="AJ27" i="1" s="1"/>
  <c r="X27" i="1"/>
  <c r="AA27" i="1" s="1"/>
  <c r="AB27" i="1" s="1"/>
  <c r="P27" i="1"/>
  <c r="S27" i="1" s="1"/>
  <c r="T27" i="1" s="1"/>
  <c r="L172" i="8" l="1"/>
  <c r="C160" i="8"/>
  <c r="M159" i="8"/>
  <c r="N159" i="8" s="1"/>
  <c r="AE159" i="8"/>
  <c r="CE159" i="8"/>
  <c r="AM159" i="8"/>
  <c r="BW162" i="8"/>
  <c r="BV163" i="8"/>
  <c r="BA161" i="8"/>
  <c r="AZ162" i="8"/>
  <c r="W160" i="8"/>
  <c r="V161" i="8"/>
  <c r="BO161" i="8"/>
  <c r="BP160" i="8"/>
  <c r="BH162" i="8"/>
  <c r="BG163" i="8"/>
  <c r="AD163" i="8"/>
  <c r="AS161" i="8"/>
  <c r="AT160" i="8"/>
  <c r="AL162" i="8"/>
  <c r="CD163" i="8"/>
  <c r="BP159" i="8"/>
  <c r="L79" i="5"/>
  <c r="M79" i="5" s="1"/>
  <c r="K80" i="5"/>
  <c r="BO74" i="5"/>
  <c r="BN75" i="5"/>
  <c r="AC76" i="5"/>
  <c r="AD75" i="5"/>
  <c r="AL74" i="5"/>
  <c r="AK75" i="5"/>
  <c r="AR76" i="5"/>
  <c r="AS75" i="5"/>
  <c r="U82" i="5"/>
  <c r="V81" i="5"/>
  <c r="CD72" i="5"/>
  <c r="CC73" i="5"/>
  <c r="AZ74" i="5"/>
  <c r="AY75" i="5"/>
  <c r="BG75" i="5"/>
  <c r="BF76" i="5"/>
  <c r="BU81" i="5"/>
  <c r="BV80" i="5"/>
  <c r="BQ27" i="1"/>
  <c r="BT27" i="1" s="1"/>
  <c r="BU27" i="1" s="1"/>
  <c r="BQ26" i="1"/>
  <c r="CD164" i="8" l="1"/>
  <c r="AS162" i="8"/>
  <c r="AT161" i="8"/>
  <c r="AL163" i="8"/>
  <c r="BA162" i="8"/>
  <c r="AZ163" i="8"/>
  <c r="C161" i="8"/>
  <c r="BP161" i="8" s="1"/>
  <c r="M160" i="8"/>
  <c r="N160" i="8" s="1"/>
  <c r="CE160" i="8"/>
  <c r="AE160" i="8"/>
  <c r="AM160" i="8"/>
  <c r="AD164" i="8"/>
  <c r="BO162" i="8"/>
  <c r="BG164" i="8"/>
  <c r="BH163" i="8"/>
  <c r="W161" i="8"/>
  <c r="V162" i="8"/>
  <c r="BV164" i="8"/>
  <c r="BW163" i="8"/>
  <c r="L173" i="8"/>
  <c r="AZ75" i="5"/>
  <c r="AY76" i="5"/>
  <c r="AL75" i="5"/>
  <c r="AK76" i="5"/>
  <c r="BO75" i="5"/>
  <c r="BN76" i="5"/>
  <c r="BV81" i="5"/>
  <c r="BU82" i="5"/>
  <c r="U83" i="5"/>
  <c r="V82" i="5"/>
  <c r="BF77" i="5"/>
  <c r="BG76" i="5"/>
  <c r="CD73" i="5"/>
  <c r="CC74" i="5"/>
  <c r="L80" i="5"/>
  <c r="M80" i="5" s="1"/>
  <c r="K81" i="5"/>
  <c r="AR77" i="5"/>
  <c r="AS76" i="5"/>
  <c r="AC77" i="5"/>
  <c r="AD76" i="5"/>
  <c r="BT26" i="1"/>
  <c r="BU26" i="1" s="1"/>
  <c r="BB26" i="1"/>
  <c r="BI26" i="1"/>
  <c r="BL26" i="1" s="1"/>
  <c r="BM26" i="1" s="1"/>
  <c r="AF26" i="1"/>
  <c r="AI26" i="1" s="1"/>
  <c r="AJ26" i="1" s="1"/>
  <c r="X26" i="1"/>
  <c r="AA26" i="1" s="1"/>
  <c r="AB26" i="1" s="1"/>
  <c r="P26" i="1"/>
  <c r="S26" i="1" s="1"/>
  <c r="T26" i="1" s="1"/>
  <c r="L174" i="8" l="1"/>
  <c r="BA163" i="8"/>
  <c r="AZ164" i="8"/>
  <c r="AS163" i="8"/>
  <c r="AT162" i="8"/>
  <c r="BW164" i="8"/>
  <c r="BV165" i="8"/>
  <c r="BG165" i="8"/>
  <c r="BH164" i="8"/>
  <c r="AD165" i="8"/>
  <c r="V163" i="8"/>
  <c r="BO163" i="8"/>
  <c r="C162" i="8"/>
  <c r="BP162" i="8" s="1"/>
  <c r="M161" i="8"/>
  <c r="N161" i="8" s="1"/>
  <c r="AE161" i="8"/>
  <c r="CE161" i="8"/>
  <c r="AM161" i="8"/>
  <c r="AL164" i="8"/>
  <c r="CD165" i="8"/>
  <c r="L81" i="5"/>
  <c r="M81" i="5" s="1"/>
  <c r="K82" i="5"/>
  <c r="BU83" i="5"/>
  <c r="BV82" i="5"/>
  <c r="AK77" i="5"/>
  <c r="AL76" i="5"/>
  <c r="AD77" i="5"/>
  <c r="AC78" i="5"/>
  <c r="BF78" i="5"/>
  <c r="BG77" i="5"/>
  <c r="CD74" i="5"/>
  <c r="CC75" i="5"/>
  <c r="BN77" i="5"/>
  <c r="BO76" i="5"/>
  <c r="AZ76" i="5"/>
  <c r="AY77" i="5"/>
  <c r="AR78" i="5"/>
  <c r="AS77" i="5"/>
  <c r="U84" i="5"/>
  <c r="V83" i="5"/>
  <c r="BI25" i="1"/>
  <c r="BL25" i="1" s="1"/>
  <c r="BM25" i="1" s="1"/>
  <c r="BQ25" i="1"/>
  <c r="BB25" i="1"/>
  <c r="AF25" i="1"/>
  <c r="AI25" i="1" s="1"/>
  <c r="AJ25" i="1" s="1"/>
  <c r="X25" i="1"/>
  <c r="AA25" i="1" s="1"/>
  <c r="AB25" i="1" s="1"/>
  <c r="P25" i="1"/>
  <c r="S25" i="1" s="1"/>
  <c r="T25" i="1" s="1"/>
  <c r="BO164" i="8" l="1"/>
  <c r="BW165" i="8"/>
  <c r="BV166" i="8"/>
  <c r="AZ165" i="8"/>
  <c r="BA164" i="8"/>
  <c r="AL165" i="8"/>
  <c r="AD166" i="8"/>
  <c r="V164" i="8"/>
  <c r="L175" i="8"/>
  <c r="CD166" i="8"/>
  <c r="C163" i="8"/>
  <c r="W163" i="8" s="1"/>
  <c r="M162" i="8"/>
  <c r="N162" i="8" s="1"/>
  <c r="CE162" i="8"/>
  <c r="AE162" i="8"/>
  <c r="AM162" i="8"/>
  <c r="W162" i="8"/>
  <c r="BH165" i="8"/>
  <c r="BG166" i="8"/>
  <c r="AT163" i="8"/>
  <c r="AS164" i="8"/>
  <c r="AZ77" i="5"/>
  <c r="AY78" i="5"/>
  <c r="CD75" i="5"/>
  <c r="CC76" i="5"/>
  <c r="AD78" i="5"/>
  <c r="AC79" i="5"/>
  <c r="U85" i="5"/>
  <c r="V84" i="5"/>
  <c r="BV83" i="5"/>
  <c r="BU84" i="5"/>
  <c r="K83" i="5"/>
  <c r="L82" i="5"/>
  <c r="M82" i="5" s="1"/>
  <c r="AS78" i="5"/>
  <c r="AR79" i="5"/>
  <c r="BN78" i="5"/>
  <c r="BO77" i="5"/>
  <c r="BG78" i="5"/>
  <c r="BF79" i="5"/>
  <c r="AK78" i="5"/>
  <c r="AL77" i="5"/>
  <c r="BI21" i="1"/>
  <c r="BI22" i="1"/>
  <c r="BL22" i="1" s="1"/>
  <c r="BM22" i="1" s="1"/>
  <c r="BI23" i="1"/>
  <c r="BI24" i="1"/>
  <c r="BL24" i="1" s="1"/>
  <c r="BM24" i="1" s="1"/>
  <c r="BW3" i="1"/>
  <c r="BQ21" i="1"/>
  <c r="BQ22" i="1"/>
  <c r="BQ23" i="1"/>
  <c r="BQ24" i="1"/>
  <c r="BB21" i="1"/>
  <c r="BB22" i="1"/>
  <c r="BB23" i="1"/>
  <c r="BB24" i="1"/>
  <c r="AF24" i="1"/>
  <c r="AI24" i="1" s="1"/>
  <c r="AJ24" i="1" s="1"/>
  <c r="X24" i="1"/>
  <c r="AA24" i="1" s="1"/>
  <c r="AB24" i="1" s="1"/>
  <c r="P24" i="1"/>
  <c r="S24" i="1" s="1"/>
  <c r="T24" i="1" s="1"/>
  <c r="AF21" i="1"/>
  <c r="AF22" i="1"/>
  <c r="AI22" i="1" s="1"/>
  <c r="AJ22" i="1" s="1"/>
  <c r="AF23" i="1"/>
  <c r="X21" i="1"/>
  <c r="X22" i="1"/>
  <c r="X23" i="1"/>
  <c r="P23" i="1"/>
  <c r="P21" i="1"/>
  <c r="P22" i="1"/>
  <c r="S22" i="1" s="1"/>
  <c r="T22" i="1" s="1"/>
  <c r="BG167" i="8" l="1"/>
  <c r="BH166" i="8"/>
  <c r="V165" i="8"/>
  <c r="BV167" i="8"/>
  <c r="BW166" i="8"/>
  <c r="CD167" i="8"/>
  <c r="AL166" i="8"/>
  <c r="AS165" i="8"/>
  <c r="AT164" i="8"/>
  <c r="BO165" i="8"/>
  <c r="C164" i="8"/>
  <c r="W164" i="8" s="1"/>
  <c r="M163" i="8"/>
  <c r="N163" i="8" s="1"/>
  <c r="CE163" i="8"/>
  <c r="AE163" i="8"/>
  <c r="AM163" i="8"/>
  <c r="L176" i="8"/>
  <c r="AD167" i="8"/>
  <c r="BA165" i="8"/>
  <c r="AZ166" i="8"/>
  <c r="BP163" i="8"/>
  <c r="CD76" i="5"/>
  <c r="CC77" i="5"/>
  <c r="AL78" i="5"/>
  <c r="AK79" i="5"/>
  <c r="BO78" i="5"/>
  <c r="BN79" i="5"/>
  <c r="K84" i="5"/>
  <c r="L83" i="5"/>
  <c r="M83" i="5" s="1"/>
  <c r="U86" i="5"/>
  <c r="V85" i="5"/>
  <c r="BG79" i="5"/>
  <c r="BF80" i="5"/>
  <c r="AR80" i="5"/>
  <c r="AS79" i="5"/>
  <c r="BV84" i="5"/>
  <c r="BU85" i="5"/>
  <c r="AC80" i="5"/>
  <c r="AD79" i="5"/>
  <c r="AZ78" i="5"/>
  <c r="AY79" i="5"/>
  <c r="AS3" i="1"/>
  <c r="AZ3" i="1"/>
  <c r="AW21" i="1"/>
  <c r="AX21" i="1" s="1"/>
  <c r="AQ21" i="1"/>
  <c r="AW13" i="1"/>
  <c r="AW14" i="1"/>
  <c r="AX14" i="1" s="1"/>
  <c r="AW15" i="1"/>
  <c r="AX15" i="1" s="1"/>
  <c r="AW16" i="1"/>
  <c r="AX16" i="1" s="1"/>
  <c r="AW17" i="1"/>
  <c r="AX17" i="1" s="1"/>
  <c r="AW18" i="1"/>
  <c r="AX18" i="1" s="1"/>
  <c r="AW19" i="1"/>
  <c r="AX19" i="1" s="1"/>
  <c r="AW20" i="1"/>
  <c r="AX20" i="1" s="1"/>
  <c r="AQ14" i="1"/>
  <c r="AQ15" i="1"/>
  <c r="AQ16" i="1"/>
  <c r="AQ17" i="1"/>
  <c r="AQ18" i="1"/>
  <c r="AQ19" i="1"/>
  <c r="AQ20" i="1"/>
  <c r="BV4" i="1"/>
  <c r="BV5" i="1" s="1"/>
  <c r="BQ4" i="1"/>
  <c r="BE3" i="1"/>
  <c r="C4" i="1"/>
  <c r="C5" i="1" s="1"/>
  <c r="C6" i="1" s="1"/>
  <c r="C7" i="1" s="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C88" i="1" s="1"/>
  <c r="C89" i="1" s="1"/>
  <c r="C90" i="1" s="1"/>
  <c r="C91" i="1" s="1"/>
  <c r="C92" i="1" s="1"/>
  <c r="C93" i="1" s="1"/>
  <c r="C94" i="1" s="1"/>
  <c r="C95" i="1" s="1"/>
  <c r="C96" i="1" s="1"/>
  <c r="C97" i="1" s="1"/>
  <c r="E4" i="1"/>
  <c r="BI4" i="1"/>
  <c r="BL3" i="1"/>
  <c r="AI3" i="1"/>
  <c r="AK3" i="1" s="1"/>
  <c r="AA3" i="1"/>
  <c r="S3" i="1"/>
  <c r="BT3" i="1"/>
  <c r="BX3" i="1" s="1"/>
  <c r="BQ20" i="1"/>
  <c r="BT20" i="1" s="1"/>
  <c r="BQ19" i="1"/>
  <c r="BQ18" i="1"/>
  <c r="BQ17" i="1"/>
  <c r="BQ16" i="1"/>
  <c r="BQ15" i="1"/>
  <c r="BQ14" i="1"/>
  <c r="BQ13" i="1"/>
  <c r="BQ12" i="1"/>
  <c r="BQ11" i="1"/>
  <c r="BQ10" i="1"/>
  <c r="BQ9" i="1"/>
  <c r="BQ8" i="1"/>
  <c r="BQ7" i="1"/>
  <c r="BQ6" i="1"/>
  <c r="BQ5" i="1"/>
  <c r="C165" i="8" l="1"/>
  <c r="M164" i="8"/>
  <c r="N164" i="8" s="1"/>
  <c r="AE164" i="8"/>
  <c r="CE164" i="8"/>
  <c r="AM164" i="8"/>
  <c r="AT165" i="8"/>
  <c r="AS166" i="8"/>
  <c r="CD168" i="8"/>
  <c r="W165" i="8"/>
  <c r="V166" i="8"/>
  <c r="AD168" i="8"/>
  <c r="BP164" i="8"/>
  <c r="AL167" i="8"/>
  <c r="BA166" i="8"/>
  <c r="AZ167" i="8"/>
  <c r="L177" i="8"/>
  <c r="BP165" i="8"/>
  <c r="BO166" i="8"/>
  <c r="BW167" i="8"/>
  <c r="BV168" i="8"/>
  <c r="BH167" i="8"/>
  <c r="BG168" i="8"/>
  <c r="BV85" i="5"/>
  <c r="BU86" i="5"/>
  <c r="BF81" i="5"/>
  <c r="BG80" i="5"/>
  <c r="AK80" i="5"/>
  <c r="AL79" i="5"/>
  <c r="L84" i="5"/>
  <c r="M84" i="5" s="1"/>
  <c r="K85" i="5"/>
  <c r="AY80" i="5"/>
  <c r="AZ79" i="5"/>
  <c r="BN80" i="5"/>
  <c r="BO79" i="5"/>
  <c r="CC78" i="5"/>
  <c r="CD77" i="5"/>
  <c r="AD80" i="5"/>
  <c r="AC81" i="5"/>
  <c r="AR81" i="5"/>
  <c r="AS80" i="5"/>
  <c r="U87" i="5"/>
  <c r="V86" i="5"/>
  <c r="BN3" i="1"/>
  <c r="BO3" i="1" s="1"/>
  <c r="C98" i="1"/>
  <c r="C99" i="1" s="1"/>
  <c r="C100" i="1" s="1"/>
  <c r="C101" i="1" s="1"/>
  <c r="C102" i="1" s="1"/>
  <c r="C103" i="1" s="1"/>
  <c r="C104" i="1" s="1"/>
  <c r="C105" i="1" s="1"/>
  <c r="C106" i="1" s="1"/>
  <c r="T3" i="1"/>
  <c r="AC3" i="1"/>
  <c r="BU20" i="1"/>
  <c r="BX4" i="1"/>
  <c r="BU3" i="1"/>
  <c r="BM3" i="1"/>
  <c r="U3" i="1"/>
  <c r="AL3" i="1"/>
  <c r="AJ3" i="1"/>
  <c r="AD3" i="1"/>
  <c r="AB3" i="1"/>
  <c r="BV6" i="1"/>
  <c r="BV7" i="1" s="1"/>
  <c r="BF3" i="1"/>
  <c r="BF4" i="1" s="1"/>
  <c r="AX13" i="1"/>
  <c r="AQ13" i="1"/>
  <c r="BI20" i="1"/>
  <c r="AF20" i="1"/>
  <c r="AI20" i="1" s="1"/>
  <c r="AJ20" i="1" s="1"/>
  <c r="X20" i="1"/>
  <c r="AA20" i="1" s="1"/>
  <c r="AB20" i="1" s="1"/>
  <c r="P20" i="1"/>
  <c r="S20" i="1" s="1"/>
  <c r="T20" i="1" s="1"/>
  <c r="BB20" i="1"/>
  <c r="BE20" i="1" s="1"/>
  <c r="BB19" i="1"/>
  <c r="BI19" i="1"/>
  <c r="BL19" i="1" s="1"/>
  <c r="BM19" i="1" s="1"/>
  <c r="AF19" i="1"/>
  <c r="AI19" i="1" s="1"/>
  <c r="AJ19" i="1" s="1"/>
  <c r="X19" i="1"/>
  <c r="AA19" i="1" s="1"/>
  <c r="AB19" i="1" s="1"/>
  <c r="P19" i="1"/>
  <c r="S19" i="1" s="1"/>
  <c r="T19" i="1" s="1"/>
  <c r="BB18" i="1"/>
  <c r="BI18" i="1"/>
  <c r="BL18" i="1" s="1"/>
  <c r="BM18" i="1" s="1"/>
  <c r="AF18" i="1"/>
  <c r="AI18" i="1" s="1"/>
  <c r="AJ18" i="1" s="1"/>
  <c r="X18" i="1"/>
  <c r="AA18" i="1" s="1"/>
  <c r="AB18" i="1" s="1"/>
  <c r="P18" i="1"/>
  <c r="S18" i="1" s="1"/>
  <c r="T18" i="1" s="1"/>
  <c r="AL168" i="8" l="1"/>
  <c r="V167" i="8"/>
  <c r="AS167" i="8"/>
  <c r="AT166" i="8"/>
  <c r="L178" i="8"/>
  <c r="BH168" i="8"/>
  <c r="BG169" i="8"/>
  <c r="BO167" i="8"/>
  <c r="BA167" i="8"/>
  <c r="AZ168" i="8"/>
  <c r="BW168" i="8"/>
  <c r="BV169" i="8"/>
  <c r="CD169" i="8"/>
  <c r="AD169" i="8"/>
  <c r="C166" i="8"/>
  <c r="BP166" i="8" s="1"/>
  <c r="M165" i="8"/>
  <c r="N165" i="8" s="1"/>
  <c r="AE165" i="8"/>
  <c r="CE165" i="8"/>
  <c r="AM165" i="8"/>
  <c r="BU87" i="5"/>
  <c r="BV86" i="5"/>
  <c r="AR82" i="5"/>
  <c r="AS81" i="5"/>
  <c r="CD78" i="5"/>
  <c r="CC79" i="5"/>
  <c r="AZ80" i="5"/>
  <c r="AY81" i="5"/>
  <c r="AL80" i="5"/>
  <c r="AK81" i="5"/>
  <c r="AD81" i="5"/>
  <c r="AC82" i="5"/>
  <c r="L85" i="5"/>
  <c r="M85" i="5" s="1"/>
  <c r="K86" i="5"/>
  <c r="V87" i="5"/>
  <c r="U88" i="5"/>
  <c r="BN81" i="5"/>
  <c r="BO80" i="5"/>
  <c r="BG81" i="5"/>
  <c r="BF82" i="5"/>
  <c r="C107" i="1"/>
  <c r="C108" i="1" s="1"/>
  <c r="C109" i="1" s="1"/>
  <c r="C110" i="1" s="1"/>
  <c r="C111" i="1" s="1"/>
  <c r="C112" i="1" s="1"/>
  <c r="C113" i="1" s="1"/>
  <c r="C114" i="1" s="1"/>
  <c r="C115" i="1" s="1"/>
  <c r="C116" i="1" s="1"/>
  <c r="C117" i="1" s="1"/>
  <c r="C118" i="1" s="1"/>
  <c r="C119" i="1" s="1"/>
  <c r="C120" i="1" s="1"/>
  <c r="C121" i="1" s="1"/>
  <c r="C122" i="1" s="1"/>
  <c r="C123" i="1" s="1"/>
  <c r="C124" i="1" s="1"/>
  <c r="C125" i="1" s="1"/>
  <c r="V3" i="1"/>
  <c r="BV8" i="1"/>
  <c r="BG3" i="1"/>
  <c r="AF17" i="1"/>
  <c r="AI17" i="1" s="1"/>
  <c r="AJ17" i="1" s="1"/>
  <c r="X17" i="1"/>
  <c r="AA17" i="1" s="1"/>
  <c r="AB17" i="1" s="1"/>
  <c r="BI17" i="1"/>
  <c r="BL17" i="1" s="1"/>
  <c r="BB17" i="1"/>
  <c r="W166" i="8" l="1"/>
  <c r="AD170" i="8"/>
  <c r="BO168" i="8"/>
  <c r="V168" i="8"/>
  <c r="AZ169" i="8"/>
  <c r="BA168" i="8"/>
  <c r="BH169" i="8"/>
  <c r="BG170" i="8"/>
  <c r="AL169" i="8"/>
  <c r="BW169" i="8"/>
  <c r="BV170" i="8"/>
  <c r="L179" i="8"/>
  <c r="C167" i="8"/>
  <c r="BP167" i="8" s="1"/>
  <c r="M166" i="8"/>
  <c r="N166" i="8" s="1"/>
  <c r="AE166" i="8"/>
  <c r="CE166" i="8"/>
  <c r="AM166" i="8"/>
  <c r="CD170" i="8"/>
  <c r="AT167" i="8"/>
  <c r="AS168" i="8"/>
  <c r="BU88" i="5"/>
  <c r="BV87" i="5"/>
  <c r="V88" i="5"/>
  <c r="U89" i="5"/>
  <c r="BG82" i="5"/>
  <c r="BF83" i="5"/>
  <c r="AD82" i="5"/>
  <c r="AC83" i="5"/>
  <c r="AZ81" i="5"/>
  <c r="AY82" i="5"/>
  <c r="K87" i="5"/>
  <c r="L86" i="5"/>
  <c r="M86" i="5" s="1"/>
  <c r="AL81" i="5"/>
  <c r="AK82" i="5"/>
  <c r="CD79" i="5"/>
  <c r="CC80" i="5"/>
  <c r="BO81" i="5"/>
  <c r="BN82" i="5"/>
  <c r="AR83" i="5"/>
  <c r="AS82" i="5"/>
  <c r="C126" i="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BV9" i="1"/>
  <c r="BM17" i="1"/>
  <c r="BI15" i="1"/>
  <c r="BL15" i="1" s="1"/>
  <c r="BI16" i="1"/>
  <c r="BL16" i="1" s="1"/>
  <c r="BB15" i="1"/>
  <c r="BB16" i="1"/>
  <c r="P17" i="1"/>
  <c r="S17" i="1" s="1"/>
  <c r="T17" i="1" s="1"/>
  <c r="P16" i="1"/>
  <c r="AF15" i="1"/>
  <c r="AI15" i="1" s="1"/>
  <c r="AJ15" i="1" s="1"/>
  <c r="AF16" i="1"/>
  <c r="AI16" i="1" s="1"/>
  <c r="AJ16" i="1" s="1"/>
  <c r="X16" i="1"/>
  <c r="AA16" i="1" s="1"/>
  <c r="AB16" i="1" s="1"/>
  <c r="X15" i="1"/>
  <c r="AA15" i="1" s="1"/>
  <c r="AB15" i="1" s="1"/>
  <c r="BO169" i="8" l="1"/>
  <c r="AL170" i="8"/>
  <c r="C167" i="1"/>
  <c r="L166" i="1"/>
  <c r="M166" i="1" s="1"/>
  <c r="CD171" i="8"/>
  <c r="BW170" i="8"/>
  <c r="BV171" i="8"/>
  <c r="BH170" i="8"/>
  <c r="BG171" i="8"/>
  <c r="V169" i="8"/>
  <c r="AD171" i="8"/>
  <c r="L180" i="8"/>
  <c r="BA169" i="8"/>
  <c r="AZ170" i="8"/>
  <c r="AS169" i="8"/>
  <c r="AT168" i="8"/>
  <c r="C168" i="8"/>
  <c r="M167" i="8"/>
  <c r="N167" i="8" s="1"/>
  <c r="CE167" i="8"/>
  <c r="AE167" i="8"/>
  <c r="AM167" i="8"/>
  <c r="W167" i="8"/>
  <c r="U90" i="5"/>
  <c r="V89" i="5"/>
  <c r="BU89" i="5"/>
  <c r="BV88" i="5"/>
  <c r="BO82" i="5"/>
  <c r="BN83" i="5"/>
  <c r="AK83" i="5"/>
  <c r="AL82" i="5"/>
  <c r="AY83" i="5"/>
  <c r="AZ82" i="5"/>
  <c r="BG83" i="5"/>
  <c r="BF84" i="5"/>
  <c r="CC81" i="5"/>
  <c r="CD80" i="5"/>
  <c r="AD83" i="5"/>
  <c r="AC84" i="5"/>
  <c r="AR84" i="5"/>
  <c r="AS83" i="5"/>
  <c r="K88" i="5"/>
  <c r="L87" i="5"/>
  <c r="M87" i="5" s="1"/>
  <c r="L156" i="1"/>
  <c r="M156" i="1" s="1"/>
  <c r="BV10" i="1"/>
  <c r="BM16" i="1"/>
  <c r="BM15" i="1"/>
  <c r="BI14" i="1"/>
  <c r="BL14" i="1" s="1"/>
  <c r="BM14" i="1" s="1"/>
  <c r="BI13" i="1"/>
  <c r="BL13" i="1" s="1"/>
  <c r="BI12" i="1"/>
  <c r="BL12" i="1" s="1"/>
  <c r="BI11" i="1"/>
  <c r="BL11" i="1" s="1"/>
  <c r="BI10" i="1"/>
  <c r="BL10" i="1" s="1"/>
  <c r="BM10" i="1" s="1"/>
  <c r="BI9" i="1"/>
  <c r="BL9" i="1" s="1"/>
  <c r="BI8" i="1"/>
  <c r="BL8" i="1" s="1"/>
  <c r="BI7" i="1"/>
  <c r="BL7" i="1" s="1"/>
  <c r="BI6" i="1"/>
  <c r="BL6" i="1" s="1"/>
  <c r="BI5" i="1"/>
  <c r="BL5" i="1" s="1"/>
  <c r="BL4" i="1"/>
  <c r="AF14" i="1"/>
  <c r="AI14" i="1" s="1"/>
  <c r="X14" i="1"/>
  <c r="AA14" i="1" s="1"/>
  <c r="AB14" i="1" s="1"/>
  <c r="P14" i="1"/>
  <c r="S14" i="1" s="1"/>
  <c r="T14" i="1" s="1"/>
  <c r="P15" i="1"/>
  <c r="S15" i="1" s="1"/>
  <c r="T15" i="1" s="1"/>
  <c r="BB14" i="1"/>
  <c r="BB13" i="1"/>
  <c r="BB12" i="1"/>
  <c r="BB11" i="1"/>
  <c r="BB10" i="1"/>
  <c r="BB9" i="1"/>
  <c r="BB8" i="1"/>
  <c r="BB7" i="1"/>
  <c r="BE7" i="1" s="1"/>
  <c r="BB6" i="1"/>
  <c r="BE6" i="1" s="1"/>
  <c r="BB5" i="1"/>
  <c r="BE5" i="1" s="1"/>
  <c r="BA170" i="8" l="1"/>
  <c r="AZ171" i="8"/>
  <c r="BG172" i="8"/>
  <c r="BH171" i="8"/>
  <c r="AL171" i="8"/>
  <c r="C169" i="8"/>
  <c r="W169" i="8" s="1"/>
  <c r="M168" i="8"/>
  <c r="N168" i="8" s="1"/>
  <c r="AE168" i="8"/>
  <c r="CE168" i="8"/>
  <c r="AM168" i="8"/>
  <c r="AD172" i="8"/>
  <c r="CD172" i="8"/>
  <c r="W168" i="8"/>
  <c r="BV172" i="8"/>
  <c r="BW171" i="8"/>
  <c r="BP168" i="8"/>
  <c r="AT169" i="8"/>
  <c r="AS170" i="8"/>
  <c r="L181" i="8"/>
  <c r="V170" i="8"/>
  <c r="C168" i="1"/>
  <c r="L167" i="1"/>
  <c r="M167" i="1" s="1"/>
  <c r="BP169" i="8"/>
  <c r="BO170" i="8"/>
  <c r="L88" i="5"/>
  <c r="M88" i="5" s="1"/>
  <c r="K89" i="5"/>
  <c r="BU90" i="5"/>
  <c r="BV89" i="5"/>
  <c r="V90" i="5"/>
  <c r="U91" i="5"/>
  <c r="AD84" i="5"/>
  <c r="AC85" i="5"/>
  <c r="AK84" i="5"/>
  <c r="AL83" i="5"/>
  <c r="BN84" i="5"/>
  <c r="BO83" i="5"/>
  <c r="BF85" i="5"/>
  <c r="BF86" i="5" s="1"/>
  <c r="BG84" i="5"/>
  <c r="AS84" i="5"/>
  <c r="AR85" i="5"/>
  <c r="CD81" i="5"/>
  <c r="CC82" i="5"/>
  <c r="AY84" i="5"/>
  <c r="AZ83" i="5"/>
  <c r="BH4" i="1"/>
  <c r="L157" i="1"/>
  <c r="M157" i="1" s="1"/>
  <c r="BP4" i="1"/>
  <c r="BP35" i="1"/>
  <c r="BV11" i="1"/>
  <c r="BM9" i="1"/>
  <c r="BM6" i="1"/>
  <c r="AJ14" i="1"/>
  <c r="BM13" i="1"/>
  <c r="BM5" i="1"/>
  <c r="BM12" i="1"/>
  <c r="BM8" i="1"/>
  <c r="BM4" i="1"/>
  <c r="BM11" i="1"/>
  <c r="BM7" i="1"/>
  <c r="BN4" i="1"/>
  <c r="BF5" i="1"/>
  <c r="AW12" i="1"/>
  <c r="AX12" i="1" s="1"/>
  <c r="AW11" i="1"/>
  <c r="AX11" i="1" s="1"/>
  <c r="AW10" i="1"/>
  <c r="AX10" i="1" s="1"/>
  <c r="AW9" i="1"/>
  <c r="AX9" i="1" s="1"/>
  <c r="AW8" i="1"/>
  <c r="AX8" i="1" s="1"/>
  <c r="AW7" i="1"/>
  <c r="AX7" i="1" s="1"/>
  <c r="AW6" i="1"/>
  <c r="AX6" i="1" s="1"/>
  <c r="AW5" i="1"/>
  <c r="AX5" i="1" s="1"/>
  <c r="AW4" i="1"/>
  <c r="AQ11" i="1"/>
  <c r="AQ5" i="1"/>
  <c r="AQ6" i="1"/>
  <c r="AQ7" i="1"/>
  <c r="AQ8" i="1"/>
  <c r="AQ9" i="1"/>
  <c r="AQ10" i="1"/>
  <c r="AQ12" i="1"/>
  <c r="AF13" i="1"/>
  <c r="AI13" i="1" s="1"/>
  <c r="AJ13" i="1" s="1"/>
  <c r="X13" i="1"/>
  <c r="AA13" i="1" s="1"/>
  <c r="AB13" i="1" s="1"/>
  <c r="P13" i="1"/>
  <c r="S13" i="1" s="1"/>
  <c r="T13" i="1" s="1"/>
  <c r="AF12" i="1"/>
  <c r="AF11" i="1"/>
  <c r="AF10" i="1"/>
  <c r="AI10" i="1" s="1"/>
  <c r="AJ10" i="1" s="1"/>
  <c r="AF9" i="1"/>
  <c r="AI9" i="1" s="1"/>
  <c r="AJ9" i="1" s="1"/>
  <c r="AF8" i="1"/>
  <c r="AI8" i="1" s="1"/>
  <c r="AJ8" i="1" s="1"/>
  <c r="AF7" i="1"/>
  <c r="AF6" i="1"/>
  <c r="AI6" i="1" s="1"/>
  <c r="AJ6" i="1" s="1"/>
  <c r="AF5" i="1"/>
  <c r="AI5" i="1" s="1"/>
  <c r="AJ5" i="1" s="1"/>
  <c r="AI4" i="1"/>
  <c r="BG4" i="1"/>
  <c r="AA4" i="1"/>
  <c r="X6" i="1"/>
  <c r="AA6" i="1" s="1"/>
  <c r="AB6" i="1" s="1"/>
  <c r="X7" i="1"/>
  <c r="X8" i="1"/>
  <c r="AA8" i="1" s="1"/>
  <c r="AB8" i="1" s="1"/>
  <c r="X9" i="1"/>
  <c r="AA9" i="1" s="1"/>
  <c r="AB9" i="1" s="1"/>
  <c r="X10" i="1"/>
  <c r="X5" i="1"/>
  <c r="AA5" i="1" s="1"/>
  <c r="AB5" i="1" s="1"/>
  <c r="S4" i="1"/>
  <c r="P5" i="1"/>
  <c r="S5" i="1" s="1"/>
  <c r="T5" i="1" s="1"/>
  <c r="P6" i="1"/>
  <c r="S6" i="1" s="1"/>
  <c r="T6" i="1" s="1"/>
  <c r="P7" i="1"/>
  <c r="S7" i="1" s="1"/>
  <c r="T7" i="1" s="1"/>
  <c r="P8" i="1"/>
  <c r="S8" i="1" s="1"/>
  <c r="T8" i="1" s="1"/>
  <c r="P9" i="1"/>
  <c r="S9" i="1" s="1"/>
  <c r="T9" i="1" s="1"/>
  <c r="P10" i="1"/>
  <c r="S10" i="1" s="1"/>
  <c r="T10" i="1" s="1"/>
  <c r="P11" i="1"/>
  <c r="S11" i="1" s="1"/>
  <c r="T11" i="1" s="1"/>
  <c r="P12" i="1"/>
  <c r="S12" i="1" s="1"/>
  <c r="T12" i="1" s="1"/>
  <c r="AD173" i="8" l="1"/>
  <c r="CD173" i="8"/>
  <c r="C170" i="8"/>
  <c r="W170" i="8" s="1"/>
  <c r="M169" i="8"/>
  <c r="N169" i="8" s="1"/>
  <c r="AE169" i="8"/>
  <c r="CE169" i="8"/>
  <c r="AM169" i="8"/>
  <c r="BH172" i="8"/>
  <c r="BG173" i="8"/>
  <c r="C169" i="1"/>
  <c r="L168" i="1"/>
  <c r="M168" i="1" s="1"/>
  <c r="L182" i="8"/>
  <c r="AL172" i="8"/>
  <c r="BA171" i="8"/>
  <c r="AZ172" i="8"/>
  <c r="BO171" i="8"/>
  <c r="V171" i="8"/>
  <c r="AS171" i="8"/>
  <c r="AT170" i="8"/>
  <c r="BV173" i="8"/>
  <c r="BW172" i="8"/>
  <c r="BU91" i="5"/>
  <c r="BV90" i="5"/>
  <c r="U92" i="5"/>
  <c r="V91" i="5"/>
  <c r="K90" i="5"/>
  <c r="L89" i="5"/>
  <c r="M89" i="5" s="1"/>
  <c r="BF87" i="5"/>
  <c r="BG86" i="5"/>
  <c r="CC83" i="5"/>
  <c r="CD82" i="5"/>
  <c r="BG85" i="5"/>
  <c r="AK85" i="5"/>
  <c r="AL84" i="5"/>
  <c r="AS85" i="5"/>
  <c r="AR86" i="5"/>
  <c r="AD85" i="5"/>
  <c r="AC86" i="5"/>
  <c r="AZ84" i="5"/>
  <c r="AY85" i="5"/>
  <c r="BN85" i="5"/>
  <c r="BO84" i="5"/>
  <c r="L158" i="1"/>
  <c r="M158" i="1" s="1"/>
  <c r="AR4" i="1"/>
  <c r="AR5" i="1" s="1"/>
  <c r="AT4" i="1"/>
  <c r="AY4" i="1"/>
  <c r="AZ4" i="1" s="1"/>
  <c r="BA4" i="1"/>
  <c r="AK4" i="1"/>
  <c r="AL4" i="1" s="1"/>
  <c r="AC4" i="1"/>
  <c r="AD4" i="1" s="1"/>
  <c r="W4" i="1"/>
  <c r="AX4" i="1"/>
  <c r="T4" i="1"/>
  <c r="U4" i="1"/>
  <c r="BV12" i="1"/>
  <c r="E5" i="1"/>
  <c r="AJ4" i="1"/>
  <c r="AQ4" i="1"/>
  <c r="BO4" i="1"/>
  <c r="AB4" i="1"/>
  <c r="BN5" i="1"/>
  <c r="BO5" i="1" s="1"/>
  <c r="BF6" i="1"/>
  <c r="AI12" i="1"/>
  <c r="AJ12" i="1" s="1"/>
  <c r="AI11" i="1"/>
  <c r="AJ11" i="1" s="1"/>
  <c r="C25" i="4"/>
  <c r="C27" i="4" s="1"/>
  <c r="E20" i="4"/>
  <c r="G15" i="4" s="1"/>
  <c r="C19" i="4"/>
  <c r="H5" i="4" s="1"/>
  <c r="J5" i="4" s="1"/>
  <c r="BP170" i="8" l="1"/>
  <c r="AS172" i="8"/>
  <c r="AT171" i="8"/>
  <c r="C170" i="1"/>
  <c r="L169" i="1"/>
  <c r="M169" i="1" s="1"/>
  <c r="CD174" i="8"/>
  <c r="V172" i="8"/>
  <c r="AZ173" i="8"/>
  <c r="BA172" i="8"/>
  <c r="BH173" i="8"/>
  <c r="BG174" i="8"/>
  <c r="BW173" i="8"/>
  <c r="BV174" i="8"/>
  <c r="L183" i="8"/>
  <c r="AD174" i="8"/>
  <c r="BO172" i="8"/>
  <c r="AL173" i="8"/>
  <c r="C171" i="8"/>
  <c r="M170" i="8"/>
  <c r="N170" i="8" s="1"/>
  <c r="CE170" i="8"/>
  <c r="AE170" i="8"/>
  <c r="AM170" i="8"/>
  <c r="BF88" i="5"/>
  <c r="BG87" i="5"/>
  <c r="U93" i="5"/>
  <c r="V92" i="5"/>
  <c r="L90" i="5"/>
  <c r="M90" i="5" s="1"/>
  <c r="K91" i="5"/>
  <c r="BU92" i="5"/>
  <c r="BV91" i="5"/>
  <c r="AZ85" i="5"/>
  <c r="AY86" i="5"/>
  <c r="AS86" i="5"/>
  <c r="AR87" i="5"/>
  <c r="AD86" i="5"/>
  <c r="AC87" i="5"/>
  <c r="BO85" i="5"/>
  <c r="BN86" i="5"/>
  <c r="AK86" i="5"/>
  <c r="AL85" i="5"/>
  <c r="CD83" i="5"/>
  <c r="CC84" i="5"/>
  <c r="H13" i="4"/>
  <c r="J13" i="4" s="1"/>
  <c r="K13" i="4" s="1"/>
  <c r="L159" i="1"/>
  <c r="M159" i="1" s="1"/>
  <c r="AS4" i="1"/>
  <c r="AC5" i="1"/>
  <c r="AD5" i="1" s="1"/>
  <c r="AK5" i="1"/>
  <c r="AK6" i="1" s="1"/>
  <c r="AM4" i="1"/>
  <c r="AY5" i="1"/>
  <c r="AZ5" i="1" s="1"/>
  <c r="C21" i="4"/>
  <c r="E6" i="1"/>
  <c r="BG6" i="1" s="1"/>
  <c r="BV13" i="1"/>
  <c r="BG5" i="1"/>
  <c r="U5" i="1"/>
  <c r="V4" i="1"/>
  <c r="AS5" i="1"/>
  <c r="AR6" i="1"/>
  <c r="BN6" i="1"/>
  <c r="BO6" i="1" s="1"/>
  <c r="BF7" i="1"/>
  <c r="H10" i="4"/>
  <c r="J10" i="4" s="1"/>
  <c r="K5" i="4"/>
  <c r="H6" i="4"/>
  <c r="J6" i="4" s="1"/>
  <c r="H9" i="4"/>
  <c r="J9" i="4" s="1"/>
  <c r="H8" i="4"/>
  <c r="J8" i="4" s="1"/>
  <c r="J15" i="4"/>
  <c r="K15" i="4"/>
  <c r="H7" i="4"/>
  <c r="J7" i="4" s="1"/>
  <c r="H11" i="4"/>
  <c r="J11" i="4" s="1"/>
  <c r="BO173" i="8" l="1"/>
  <c r="L184" i="8"/>
  <c r="BH174" i="8"/>
  <c r="BG175" i="8"/>
  <c r="V173" i="8"/>
  <c r="C172" i="8"/>
  <c r="BP172" i="8" s="1"/>
  <c r="M171" i="8"/>
  <c r="N171" i="8" s="1"/>
  <c r="AE171" i="8"/>
  <c r="CE171" i="8"/>
  <c r="AM171" i="8"/>
  <c r="BP171" i="8"/>
  <c r="W171" i="8"/>
  <c r="C171" i="1"/>
  <c r="L170" i="1"/>
  <c r="M170" i="1" s="1"/>
  <c r="AY6" i="1"/>
  <c r="AY7" i="1" s="1"/>
  <c r="AZ7" i="1" s="1"/>
  <c r="AD175" i="8"/>
  <c r="BV175" i="8"/>
  <c r="BW174" i="8"/>
  <c r="CD175" i="8"/>
  <c r="AL174" i="8"/>
  <c r="BA173" i="8"/>
  <c r="AZ174" i="8"/>
  <c r="AS173" i="8"/>
  <c r="AT172" i="8"/>
  <c r="BU93" i="5"/>
  <c r="BV92" i="5"/>
  <c r="V93" i="5"/>
  <c r="U94" i="5"/>
  <c r="L91" i="5"/>
  <c r="M91" i="5" s="1"/>
  <c r="K92" i="5"/>
  <c r="BF89" i="5"/>
  <c r="BG88" i="5"/>
  <c r="AD87" i="5"/>
  <c r="AC88" i="5"/>
  <c r="AR88" i="5"/>
  <c r="AS87" i="5"/>
  <c r="AL86" i="5"/>
  <c r="AK87" i="5"/>
  <c r="CC85" i="5"/>
  <c r="CD84" i="5"/>
  <c r="BO86" i="5"/>
  <c r="BN87" i="5"/>
  <c r="AY87" i="5"/>
  <c r="AZ86" i="5"/>
  <c r="AC6" i="1"/>
  <c r="AC7" i="1" s="1"/>
  <c r="L160" i="1"/>
  <c r="M160" i="1" s="1"/>
  <c r="AL5" i="1"/>
  <c r="AZ6" i="1"/>
  <c r="E7" i="1"/>
  <c r="BG7" i="1" s="1"/>
  <c r="BV14" i="1"/>
  <c r="V5" i="1"/>
  <c r="U6" i="1"/>
  <c r="AR7" i="1"/>
  <c r="AS6" i="1"/>
  <c r="AK7" i="1"/>
  <c r="AL6" i="1"/>
  <c r="BN7" i="1"/>
  <c r="BO7" i="1" s="1"/>
  <c r="BF8" i="1"/>
  <c r="X11" i="1"/>
  <c r="W172" i="8" l="1"/>
  <c r="AZ175" i="8"/>
  <c r="BA174" i="8"/>
  <c r="C172" i="1"/>
  <c r="L171" i="1"/>
  <c r="M171" i="1" s="1"/>
  <c r="L185" i="8"/>
  <c r="CD176" i="8"/>
  <c r="AD176" i="8"/>
  <c r="V174" i="8"/>
  <c r="AL175" i="8"/>
  <c r="BH175" i="8"/>
  <c r="BG176" i="8"/>
  <c r="AT173" i="8"/>
  <c r="AS174" i="8"/>
  <c r="BW175" i="8"/>
  <c r="BV176" i="8"/>
  <c r="C173" i="8"/>
  <c r="BP173" i="8" s="1"/>
  <c r="M172" i="8"/>
  <c r="N172" i="8" s="1"/>
  <c r="AE172" i="8"/>
  <c r="CE172" i="8"/>
  <c r="AM172" i="8"/>
  <c r="BO174" i="8"/>
  <c r="AS88" i="5"/>
  <c r="AR89" i="5"/>
  <c r="BO87" i="5"/>
  <c r="BN88" i="5"/>
  <c r="AL87" i="5"/>
  <c r="AK88" i="5"/>
  <c r="AD88" i="5"/>
  <c r="AC89" i="5"/>
  <c r="K93" i="5"/>
  <c r="L92" i="5"/>
  <c r="M92" i="5" s="1"/>
  <c r="BU94" i="5"/>
  <c r="BV93" i="5"/>
  <c r="V94" i="5"/>
  <c r="U95" i="5"/>
  <c r="BF90" i="5"/>
  <c r="BG89" i="5"/>
  <c r="AY88" i="5"/>
  <c r="AZ87" i="5"/>
  <c r="CD85" i="5"/>
  <c r="CC86" i="5"/>
  <c r="AD6" i="1"/>
  <c r="L161" i="1"/>
  <c r="M161" i="1" s="1"/>
  <c r="E8" i="1"/>
  <c r="BG8" i="1" s="1"/>
  <c r="BV15" i="1"/>
  <c r="AK8" i="1"/>
  <c r="AC8" i="1"/>
  <c r="U7" i="1"/>
  <c r="V6" i="1"/>
  <c r="AR8" i="1"/>
  <c r="AS7" i="1"/>
  <c r="BN8" i="1"/>
  <c r="BO8" i="1" s="1"/>
  <c r="BF9" i="1"/>
  <c r="AY8" i="1"/>
  <c r="AA10" i="1"/>
  <c r="X12" i="1"/>
  <c r="BW176" i="8" l="1"/>
  <c r="BV177" i="8"/>
  <c r="BH176" i="8"/>
  <c r="BG177" i="8"/>
  <c r="V175" i="8"/>
  <c r="CD177" i="8"/>
  <c r="BO175" i="8"/>
  <c r="W173" i="8"/>
  <c r="C173" i="1"/>
  <c r="L172" i="1"/>
  <c r="M172" i="1" s="1"/>
  <c r="AS175" i="8"/>
  <c r="AT174" i="8"/>
  <c r="AD177" i="8"/>
  <c r="C174" i="8"/>
  <c r="M173" i="8"/>
  <c r="N173" i="8" s="1"/>
  <c r="CE173" i="8"/>
  <c r="AE173" i="8"/>
  <c r="AM173" i="8"/>
  <c r="AL176" i="8"/>
  <c r="L186" i="8"/>
  <c r="BA175" i="8"/>
  <c r="AZ176" i="8"/>
  <c r="V95" i="5"/>
  <c r="U96" i="5"/>
  <c r="BV94" i="5"/>
  <c r="BU95" i="5"/>
  <c r="AC90" i="5"/>
  <c r="AD89" i="5"/>
  <c r="BN89" i="5"/>
  <c r="BO88" i="5"/>
  <c r="BF91" i="5"/>
  <c r="BG90" i="5"/>
  <c r="AL88" i="5"/>
  <c r="AK89" i="5"/>
  <c r="AR90" i="5"/>
  <c r="AS89" i="5"/>
  <c r="AZ88" i="5"/>
  <c r="AY89" i="5"/>
  <c r="L93" i="5"/>
  <c r="M93" i="5" s="1"/>
  <c r="K94" i="5"/>
  <c r="CC87" i="5"/>
  <c r="CD86" i="5"/>
  <c r="L162" i="1"/>
  <c r="M162" i="1" s="1"/>
  <c r="AB10" i="1"/>
  <c r="AZ8" i="1"/>
  <c r="E9" i="1"/>
  <c r="BG9" i="1" s="1"/>
  <c r="BV16" i="1"/>
  <c r="U8" i="1"/>
  <c r="V7" i="1"/>
  <c r="AK9" i="1"/>
  <c r="AL8" i="1"/>
  <c r="AR9" i="1"/>
  <c r="AS8" i="1"/>
  <c r="AC9" i="1"/>
  <c r="AD8" i="1"/>
  <c r="BN9" i="1"/>
  <c r="BO9" i="1" s="1"/>
  <c r="BF10" i="1"/>
  <c r="AY9" i="1"/>
  <c r="AZ177" i="8" l="1"/>
  <c r="BA176" i="8"/>
  <c r="AL177" i="8"/>
  <c r="AD178" i="8"/>
  <c r="C174" i="1"/>
  <c r="L173" i="1"/>
  <c r="M173" i="1" s="1"/>
  <c r="BH177" i="8"/>
  <c r="BG178" i="8"/>
  <c r="CD178" i="8"/>
  <c r="L187" i="8"/>
  <c r="C175" i="8"/>
  <c r="M174" i="8"/>
  <c r="N174" i="8" s="1"/>
  <c r="AE174" i="8"/>
  <c r="CE174" i="8"/>
  <c r="AM174" i="8"/>
  <c r="AS176" i="8"/>
  <c r="AT175" i="8"/>
  <c r="BP174" i="8"/>
  <c r="W174" i="8"/>
  <c r="BW177" i="8"/>
  <c r="BV178" i="8"/>
  <c r="BO176" i="8"/>
  <c r="W175" i="8"/>
  <c r="V176" i="8"/>
  <c r="U97" i="5"/>
  <c r="V96" i="5"/>
  <c r="BV95" i="5"/>
  <c r="BU96" i="5"/>
  <c r="BN90" i="5"/>
  <c r="BO89" i="5"/>
  <c r="L94" i="5"/>
  <c r="M94" i="5" s="1"/>
  <c r="K95" i="5"/>
  <c r="AR91" i="5"/>
  <c r="AS90" i="5"/>
  <c r="BF92" i="5"/>
  <c r="BG91" i="5"/>
  <c r="AD90" i="5"/>
  <c r="AC91" i="5"/>
  <c r="AY90" i="5"/>
  <c r="AZ89" i="5"/>
  <c r="AK90" i="5"/>
  <c r="AL89" i="5"/>
  <c r="CD87" i="5"/>
  <c r="CC88" i="5"/>
  <c r="AZ9" i="1"/>
  <c r="L163" i="1"/>
  <c r="M163" i="1" s="1"/>
  <c r="E10" i="1"/>
  <c r="BG10" i="1" s="1"/>
  <c r="BV17" i="1"/>
  <c r="AR10" i="1"/>
  <c r="AS9" i="1"/>
  <c r="U9" i="1"/>
  <c r="V8" i="1"/>
  <c r="AC10" i="1"/>
  <c r="AD9" i="1"/>
  <c r="AK10" i="1"/>
  <c r="AL9" i="1"/>
  <c r="BN10" i="1"/>
  <c r="BO10" i="1" s="1"/>
  <c r="BF11" i="1"/>
  <c r="AY10" i="1"/>
  <c r="AA12" i="1"/>
  <c r="AT176" i="8" l="1"/>
  <c r="AS177" i="8"/>
  <c r="CD179" i="8"/>
  <c r="AL178" i="8"/>
  <c r="BO177" i="8"/>
  <c r="C176" i="8"/>
  <c r="BP176" i="8" s="1"/>
  <c r="M175" i="8"/>
  <c r="N175" i="8" s="1"/>
  <c r="AE175" i="8"/>
  <c r="CE175" i="8"/>
  <c r="AM175" i="8"/>
  <c r="C175" i="1"/>
  <c r="L174" i="1"/>
  <c r="M174" i="1" s="1"/>
  <c r="BP175" i="8"/>
  <c r="L188" i="8"/>
  <c r="BH178" i="8"/>
  <c r="BG179" i="8"/>
  <c r="V177" i="8"/>
  <c r="BW178" i="8"/>
  <c r="BV179" i="8"/>
  <c r="AD179" i="8"/>
  <c r="BA177" i="8"/>
  <c r="AZ178" i="8"/>
  <c r="BU97" i="5"/>
  <c r="BV96" i="5"/>
  <c r="U98" i="5"/>
  <c r="V97" i="5"/>
  <c r="L95" i="5"/>
  <c r="M95" i="5" s="1"/>
  <c r="K96" i="5"/>
  <c r="AY91" i="5"/>
  <c r="AZ90" i="5"/>
  <c r="BF93" i="5"/>
  <c r="BG92" i="5"/>
  <c r="AC92" i="5"/>
  <c r="AD91" i="5"/>
  <c r="AL90" i="5"/>
  <c r="AK91" i="5"/>
  <c r="AR92" i="5"/>
  <c r="AS91" i="5"/>
  <c r="BN91" i="5"/>
  <c r="BO90" i="5"/>
  <c r="CD88" i="5"/>
  <c r="CC89" i="5"/>
  <c r="L164" i="1"/>
  <c r="M164" i="1" s="1"/>
  <c r="AB12" i="1"/>
  <c r="AE4" i="1"/>
  <c r="AZ10" i="1"/>
  <c r="E11" i="1"/>
  <c r="BG11" i="1" s="1"/>
  <c r="BV18" i="1"/>
  <c r="AC11" i="1"/>
  <c r="AD10" i="1"/>
  <c r="AR11" i="1"/>
  <c r="AS10" i="1"/>
  <c r="AK11" i="1"/>
  <c r="AL10" i="1"/>
  <c r="U10" i="1"/>
  <c r="V9" i="1"/>
  <c r="BN11" i="1"/>
  <c r="BO11" i="1" s="1"/>
  <c r="BF12" i="1"/>
  <c r="AY11" i="1"/>
  <c r="AZ11" i="1" l="1"/>
  <c r="W176" i="8"/>
  <c r="AZ179" i="8"/>
  <c r="BA178" i="8"/>
  <c r="BV180" i="8"/>
  <c r="BW179" i="8"/>
  <c r="BG180" i="8"/>
  <c r="BH179" i="8"/>
  <c r="BO178" i="8"/>
  <c r="CD180" i="8"/>
  <c r="V178" i="8"/>
  <c r="L189" i="8"/>
  <c r="C176" i="1"/>
  <c r="L175" i="1"/>
  <c r="M175" i="1" s="1"/>
  <c r="AL179" i="8"/>
  <c r="AS178" i="8"/>
  <c r="AT177" i="8"/>
  <c r="AD180" i="8"/>
  <c r="C177" i="8"/>
  <c r="M176" i="8"/>
  <c r="N176" i="8" s="1"/>
  <c r="AE176" i="8"/>
  <c r="CE176" i="8"/>
  <c r="AM176" i="8"/>
  <c r="V98" i="5"/>
  <c r="U99" i="5"/>
  <c r="BU98" i="5"/>
  <c r="BV97" i="5"/>
  <c r="L96" i="5"/>
  <c r="M96" i="5" s="1"/>
  <c r="K97" i="5"/>
  <c r="AR93" i="5"/>
  <c r="AS92" i="5"/>
  <c r="AC93" i="5"/>
  <c r="AD92" i="5"/>
  <c r="AK92" i="5"/>
  <c r="AL91" i="5"/>
  <c r="BN92" i="5"/>
  <c r="BO91" i="5"/>
  <c r="BF94" i="5"/>
  <c r="BG93" i="5"/>
  <c r="AY92" i="5"/>
  <c r="AZ91" i="5"/>
  <c r="CD89" i="5"/>
  <c r="CC90" i="5"/>
  <c r="L165" i="1"/>
  <c r="M165" i="1" s="1"/>
  <c r="E12" i="1"/>
  <c r="BG12" i="1" s="1"/>
  <c r="BV19" i="1"/>
  <c r="AL11" i="1"/>
  <c r="AK12" i="1"/>
  <c r="AC12" i="1"/>
  <c r="U11" i="1"/>
  <c r="V10" i="1"/>
  <c r="AR12" i="1"/>
  <c r="AS11" i="1"/>
  <c r="BN12" i="1"/>
  <c r="BO12" i="1" s="1"/>
  <c r="BF13" i="1"/>
  <c r="AY12" i="1"/>
  <c r="V179" i="8" l="1"/>
  <c r="BO179" i="8"/>
  <c r="C178" i="8"/>
  <c r="W178" i="8" s="1"/>
  <c r="M177" i="8"/>
  <c r="N177" i="8" s="1"/>
  <c r="AE177" i="8"/>
  <c r="CE177" i="8"/>
  <c r="AM177" i="8"/>
  <c r="AS179" i="8"/>
  <c r="AT178" i="8"/>
  <c r="C177" i="1"/>
  <c r="L176" i="1"/>
  <c r="M176" i="1" s="1"/>
  <c r="W177" i="8"/>
  <c r="BP177" i="8"/>
  <c r="BV181" i="8"/>
  <c r="BW180" i="8"/>
  <c r="AD181" i="8"/>
  <c r="L190" i="8"/>
  <c r="CD181" i="8"/>
  <c r="AL180" i="8"/>
  <c r="BG181" i="8"/>
  <c r="BH180" i="8"/>
  <c r="AZ180" i="8"/>
  <c r="BA179" i="8"/>
  <c r="BU99" i="5"/>
  <c r="BV98" i="5"/>
  <c r="U100" i="5"/>
  <c r="V99" i="5"/>
  <c r="K98" i="5"/>
  <c r="L97" i="5"/>
  <c r="M97" i="5" s="1"/>
  <c r="AY93" i="5"/>
  <c r="AZ92" i="5"/>
  <c r="BN93" i="5"/>
  <c r="BO92" i="5"/>
  <c r="AD93" i="5"/>
  <c r="AC94" i="5"/>
  <c r="BF95" i="5"/>
  <c r="BG94" i="5"/>
  <c r="AK93" i="5"/>
  <c r="AL92" i="5"/>
  <c r="AR94" i="5"/>
  <c r="AS93" i="5"/>
  <c r="CD90" i="5"/>
  <c r="CC91" i="5"/>
  <c r="E13" i="1"/>
  <c r="BV20" i="1"/>
  <c r="AS12" i="1"/>
  <c r="AR13" i="1"/>
  <c r="AZ12" i="1"/>
  <c r="AY13" i="1"/>
  <c r="AL12" i="1"/>
  <c r="AK13" i="1"/>
  <c r="U12" i="1"/>
  <c r="V11" i="1"/>
  <c r="AD12" i="1"/>
  <c r="AC13" i="1"/>
  <c r="BN13" i="1"/>
  <c r="BO13" i="1" s="1"/>
  <c r="BF14" i="1"/>
  <c r="BF15" i="1" s="1"/>
  <c r="BP178" i="8" l="1"/>
  <c r="BA180" i="8"/>
  <c r="AZ181" i="8"/>
  <c r="AL181" i="8"/>
  <c r="BW181" i="8"/>
  <c r="BV182" i="8"/>
  <c r="C178" i="1"/>
  <c r="L177" i="1"/>
  <c r="M177" i="1" s="1"/>
  <c r="AD182" i="8"/>
  <c r="BO180" i="8"/>
  <c r="BH181" i="8"/>
  <c r="BG182" i="8"/>
  <c r="CD182" i="8"/>
  <c r="AT179" i="8"/>
  <c r="AS180" i="8"/>
  <c r="C179" i="8"/>
  <c r="M178" i="8"/>
  <c r="N178" i="8" s="1"/>
  <c r="AE178" i="8"/>
  <c r="CE178" i="8"/>
  <c r="AM178" i="8"/>
  <c r="V180" i="8"/>
  <c r="V100" i="5"/>
  <c r="U101" i="5"/>
  <c r="AS94" i="5"/>
  <c r="AR95" i="5"/>
  <c r="BG95" i="5"/>
  <c r="BF96" i="5"/>
  <c r="BU100" i="5"/>
  <c r="BV99" i="5"/>
  <c r="K99" i="5"/>
  <c r="L98" i="5"/>
  <c r="M98" i="5" s="1"/>
  <c r="BN94" i="5"/>
  <c r="BO93" i="5"/>
  <c r="AD94" i="5"/>
  <c r="AC95" i="5"/>
  <c r="AL93" i="5"/>
  <c r="AK94" i="5"/>
  <c r="AY94" i="5"/>
  <c r="AZ93" i="5"/>
  <c r="CC92" i="5"/>
  <c r="CD91" i="5"/>
  <c r="E14" i="1"/>
  <c r="BG14" i="1" s="1"/>
  <c r="BG13" i="1"/>
  <c r="BV21" i="1"/>
  <c r="AR14" i="1"/>
  <c r="AS13" i="1"/>
  <c r="AY14" i="1"/>
  <c r="AZ13" i="1"/>
  <c r="AC14" i="1"/>
  <c r="AD13" i="1"/>
  <c r="AK14" i="1"/>
  <c r="AL13" i="1"/>
  <c r="BF16" i="1"/>
  <c r="V12" i="1"/>
  <c r="U13" i="1"/>
  <c r="BN14" i="1"/>
  <c r="C180" i="8" l="1"/>
  <c r="W180" i="8" s="1"/>
  <c r="M179" i="8"/>
  <c r="N179" i="8" s="1"/>
  <c r="CE179" i="8"/>
  <c r="AE179" i="8"/>
  <c r="AM179" i="8"/>
  <c r="CD183" i="8"/>
  <c r="BO181" i="8"/>
  <c r="BP179" i="8"/>
  <c r="C179" i="1"/>
  <c r="L178" i="1"/>
  <c r="M178" i="1" s="1"/>
  <c r="AL182" i="8"/>
  <c r="V181" i="8"/>
  <c r="AS181" i="8"/>
  <c r="AT180" i="8"/>
  <c r="BH182" i="8"/>
  <c r="BG183" i="8"/>
  <c r="AD183" i="8"/>
  <c r="BW182" i="8"/>
  <c r="BV183" i="8"/>
  <c r="BA181" i="8"/>
  <c r="AZ182" i="8"/>
  <c r="W179" i="8"/>
  <c r="BU101" i="5"/>
  <c r="BV100" i="5"/>
  <c r="AD95" i="5"/>
  <c r="AC96" i="5"/>
  <c r="BF97" i="5"/>
  <c r="BG96" i="5"/>
  <c r="AR96" i="5"/>
  <c r="AS95" i="5"/>
  <c r="BO94" i="5"/>
  <c r="BN95" i="5"/>
  <c r="U102" i="5"/>
  <c r="V101" i="5"/>
  <c r="AZ94" i="5"/>
  <c r="AY95" i="5"/>
  <c r="K100" i="5"/>
  <c r="L99" i="5"/>
  <c r="M99" i="5" s="1"/>
  <c r="AK95" i="5"/>
  <c r="AL94" i="5"/>
  <c r="CC93" i="5"/>
  <c r="CD92" i="5"/>
  <c r="E15" i="1"/>
  <c r="BV22" i="1"/>
  <c r="AR15" i="1"/>
  <c r="AS14" i="1"/>
  <c r="AY15" i="1"/>
  <c r="AZ14" i="1"/>
  <c r="BN15" i="1"/>
  <c r="BO14" i="1"/>
  <c r="BF17" i="1"/>
  <c r="AD14" i="1"/>
  <c r="AC15" i="1"/>
  <c r="U14" i="1"/>
  <c r="V13" i="1"/>
  <c r="AL14" i="1"/>
  <c r="AK15" i="1"/>
  <c r="BP180" i="8" l="1"/>
  <c r="BW183" i="8"/>
  <c r="BV184" i="8"/>
  <c r="BH183" i="8"/>
  <c r="BG184" i="8"/>
  <c r="BO182" i="8"/>
  <c r="V182" i="8"/>
  <c r="C180" i="1"/>
  <c r="L179" i="1"/>
  <c r="M179" i="1" s="1"/>
  <c r="AZ183" i="8"/>
  <c r="BA182" i="8"/>
  <c r="AD184" i="8"/>
  <c r="AL183" i="8"/>
  <c r="CD184" i="8"/>
  <c r="AS182" i="8"/>
  <c r="AT181" i="8"/>
  <c r="C181" i="8"/>
  <c r="BP181" i="8" s="1"/>
  <c r="M180" i="8"/>
  <c r="N180" i="8" s="1"/>
  <c r="AE180" i="8"/>
  <c r="CE180" i="8"/>
  <c r="AM180" i="8"/>
  <c r="AR97" i="5"/>
  <c r="AS96" i="5"/>
  <c r="BO95" i="5"/>
  <c r="BN96" i="5"/>
  <c r="AC97" i="5"/>
  <c r="AD96" i="5"/>
  <c r="U103" i="5"/>
  <c r="V102" i="5"/>
  <c r="AZ95" i="5"/>
  <c r="AY96" i="5"/>
  <c r="AL95" i="5"/>
  <c r="AK96" i="5"/>
  <c r="BG97" i="5"/>
  <c r="BF98" i="5"/>
  <c r="BU102" i="5"/>
  <c r="BV101" i="5"/>
  <c r="L100" i="5"/>
  <c r="M100" i="5" s="1"/>
  <c r="K101" i="5"/>
  <c r="CD93" i="5"/>
  <c r="CC94" i="5"/>
  <c r="E16" i="1"/>
  <c r="BG15" i="1"/>
  <c r="BV23" i="1"/>
  <c r="AR16" i="1"/>
  <c r="AS15" i="1"/>
  <c r="AY16" i="1"/>
  <c r="AZ15" i="1"/>
  <c r="AL15" i="1"/>
  <c r="AK16" i="1"/>
  <c r="AD15" i="1"/>
  <c r="AC16" i="1"/>
  <c r="BO15" i="1"/>
  <c r="BN16" i="1"/>
  <c r="BF18" i="1"/>
  <c r="U15" i="1"/>
  <c r="V14" i="1"/>
  <c r="W181" i="8" l="1"/>
  <c r="BG185" i="8"/>
  <c r="BH184" i="8"/>
  <c r="AS183" i="8"/>
  <c r="AT182" i="8"/>
  <c r="AL184" i="8"/>
  <c r="AZ184" i="8"/>
  <c r="BA183" i="8"/>
  <c r="V183" i="8"/>
  <c r="BV185" i="8"/>
  <c r="BW184" i="8"/>
  <c r="C182" i="8"/>
  <c r="W182" i="8" s="1"/>
  <c r="M181" i="8"/>
  <c r="N181" i="8" s="1"/>
  <c r="AE181" i="8"/>
  <c r="CE181" i="8"/>
  <c r="AM181" i="8"/>
  <c r="CD185" i="8"/>
  <c r="AD185" i="8"/>
  <c r="C181" i="1"/>
  <c r="L180" i="1"/>
  <c r="M180" i="1" s="1"/>
  <c r="BO183" i="8"/>
  <c r="BP182" i="8"/>
  <c r="V103" i="5"/>
  <c r="U104" i="5"/>
  <c r="AY97" i="5"/>
  <c r="AZ96" i="5"/>
  <c r="CD94" i="5"/>
  <c r="CC95" i="5"/>
  <c r="AL96" i="5"/>
  <c r="AK97" i="5"/>
  <c r="BO96" i="5"/>
  <c r="BN97" i="5"/>
  <c r="BU103" i="5"/>
  <c r="BV102" i="5"/>
  <c r="BG98" i="5"/>
  <c r="BF99" i="5"/>
  <c r="AD97" i="5"/>
  <c r="AC98" i="5"/>
  <c r="AR98" i="5"/>
  <c r="AS97" i="5"/>
  <c r="L101" i="5"/>
  <c r="M101" i="5" s="1"/>
  <c r="K102" i="5"/>
  <c r="E17" i="1"/>
  <c r="BG16" i="1"/>
  <c r="BV24" i="1"/>
  <c r="AR17" i="1"/>
  <c r="AS16" i="1"/>
  <c r="AY17" i="1"/>
  <c r="AZ16" i="1"/>
  <c r="BO16" i="1"/>
  <c r="BN17" i="1"/>
  <c r="AL16" i="1"/>
  <c r="AK17" i="1"/>
  <c r="V15" i="1"/>
  <c r="U16" i="1"/>
  <c r="BF19" i="1"/>
  <c r="AC17" i="1"/>
  <c r="AD16" i="1"/>
  <c r="BW185" i="8" l="1"/>
  <c r="BV186" i="8"/>
  <c r="AZ185" i="8"/>
  <c r="BA184" i="8"/>
  <c r="AS184" i="8"/>
  <c r="AT183" i="8"/>
  <c r="C182" i="1"/>
  <c r="L181" i="1"/>
  <c r="M181" i="1" s="1"/>
  <c r="CD186" i="8"/>
  <c r="AL185" i="8"/>
  <c r="AD186" i="8"/>
  <c r="C183" i="8"/>
  <c r="M182" i="8"/>
  <c r="N182" i="8" s="1"/>
  <c r="AE182" i="8"/>
  <c r="CE182" i="8"/>
  <c r="AM182" i="8"/>
  <c r="V184" i="8"/>
  <c r="BH185" i="8"/>
  <c r="BG186" i="8"/>
  <c r="BO184" i="8"/>
  <c r="BV103" i="5"/>
  <c r="BU104" i="5"/>
  <c r="BN98" i="5"/>
  <c r="BO97" i="5"/>
  <c r="V104" i="5"/>
  <c r="U105" i="5"/>
  <c r="AD98" i="5"/>
  <c r="AC99" i="5"/>
  <c r="AK98" i="5"/>
  <c r="AL97" i="5"/>
  <c r="AY98" i="5"/>
  <c r="AZ97" i="5"/>
  <c r="BF100" i="5"/>
  <c r="BG99" i="5"/>
  <c r="CC96" i="5"/>
  <c r="CD95" i="5"/>
  <c r="AR99" i="5"/>
  <c r="AS98" i="5"/>
  <c r="K103" i="5"/>
  <c r="L102" i="5"/>
  <c r="M102" i="5" s="1"/>
  <c r="E18" i="1"/>
  <c r="BG17" i="1"/>
  <c r="BV25" i="1"/>
  <c r="AR18" i="1"/>
  <c r="AS17" i="1"/>
  <c r="AZ17" i="1"/>
  <c r="AY18" i="1"/>
  <c r="U17" i="1"/>
  <c r="BN18" i="1"/>
  <c r="BO17" i="1"/>
  <c r="AD17" i="1"/>
  <c r="AC18" i="1"/>
  <c r="AL17" i="1"/>
  <c r="AK18" i="1"/>
  <c r="BF20" i="1"/>
  <c r="BO185" i="8" l="1"/>
  <c r="V185" i="8"/>
  <c r="BH186" i="8"/>
  <c r="BG187" i="8"/>
  <c r="C184" i="8"/>
  <c r="W184" i="8" s="1"/>
  <c r="M183" i="8"/>
  <c r="N183" i="8" s="1"/>
  <c r="AE183" i="8"/>
  <c r="CE183" i="8"/>
  <c r="AM183" i="8"/>
  <c r="AL186" i="8"/>
  <c r="C183" i="1"/>
  <c r="L182" i="1"/>
  <c r="M182" i="1" s="1"/>
  <c r="BA185" i="8"/>
  <c r="AZ186" i="8"/>
  <c r="AD187" i="8"/>
  <c r="CD187" i="8"/>
  <c r="BW186" i="8"/>
  <c r="BV187" i="8"/>
  <c r="BP183" i="8"/>
  <c r="W183" i="8"/>
  <c r="AS185" i="8"/>
  <c r="AT184" i="8"/>
  <c r="AY99" i="5"/>
  <c r="AZ98" i="5"/>
  <c r="BO98" i="5"/>
  <c r="BN99" i="5"/>
  <c r="V105" i="5"/>
  <c r="U106" i="5"/>
  <c r="AC100" i="5"/>
  <c r="AD99" i="5"/>
  <c r="CD96" i="5"/>
  <c r="CC97" i="5"/>
  <c r="BV104" i="5"/>
  <c r="BU105" i="5"/>
  <c r="AR100" i="5"/>
  <c r="AS99" i="5"/>
  <c r="BF101" i="5"/>
  <c r="BG100" i="5"/>
  <c r="AL98" i="5"/>
  <c r="AK99" i="5"/>
  <c r="K104" i="5"/>
  <c r="L103" i="5"/>
  <c r="M103" i="5" s="1"/>
  <c r="E19" i="1"/>
  <c r="BG18" i="1"/>
  <c r="BV26" i="1"/>
  <c r="BF21" i="1"/>
  <c r="AR19" i="1"/>
  <c r="AS18" i="1"/>
  <c r="AZ18" i="1"/>
  <c r="AY19" i="1"/>
  <c r="AC19" i="1"/>
  <c r="AD18" i="1"/>
  <c r="U18" i="1"/>
  <c r="V17" i="1"/>
  <c r="AL18" i="1"/>
  <c r="AK19" i="1"/>
  <c r="BO18" i="1"/>
  <c r="BN19" i="1"/>
  <c r="BW187" i="8" l="1"/>
  <c r="BV188" i="8"/>
  <c r="AD188" i="8"/>
  <c r="C185" i="8"/>
  <c r="W185" i="8" s="1"/>
  <c r="M184" i="8"/>
  <c r="N184" i="8" s="1"/>
  <c r="AE184" i="8"/>
  <c r="CE184" i="8"/>
  <c r="AM184" i="8"/>
  <c r="V186" i="8"/>
  <c r="AT185" i="8"/>
  <c r="AS186" i="8"/>
  <c r="C184" i="1"/>
  <c r="L183" i="1"/>
  <c r="M183" i="1" s="1"/>
  <c r="BH187" i="8"/>
  <c r="BG188" i="8"/>
  <c r="BP185" i="8"/>
  <c r="BO186" i="8"/>
  <c r="CD188" i="8"/>
  <c r="BA186" i="8"/>
  <c r="AZ187" i="8"/>
  <c r="AL187" i="8"/>
  <c r="BP184" i="8"/>
  <c r="CC98" i="5"/>
  <c r="CD97" i="5"/>
  <c r="BU106" i="5"/>
  <c r="BV105" i="5"/>
  <c r="BO99" i="5"/>
  <c r="BN100" i="5"/>
  <c r="BF102" i="5"/>
  <c r="BG101" i="5"/>
  <c r="AC101" i="5"/>
  <c r="AD100" i="5"/>
  <c r="AL99" i="5"/>
  <c r="AK100" i="5"/>
  <c r="U107" i="5"/>
  <c r="V106" i="5"/>
  <c r="AR101" i="5"/>
  <c r="AS100" i="5"/>
  <c r="AY100" i="5"/>
  <c r="AZ99" i="5"/>
  <c r="L104" i="5"/>
  <c r="M104" i="5" s="1"/>
  <c r="K105" i="5"/>
  <c r="E20" i="1"/>
  <c r="BG19" i="1"/>
  <c r="BV27" i="1"/>
  <c r="BF22" i="1"/>
  <c r="AR20" i="1"/>
  <c r="AS19" i="1"/>
  <c r="AY20" i="1"/>
  <c r="AZ19" i="1"/>
  <c r="AK20" i="1"/>
  <c r="AL19" i="1"/>
  <c r="AC20" i="1"/>
  <c r="AD19" i="1"/>
  <c r="BN20" i="1"/>
  <c r="BO19" i="1"/>
  <c r="U19" i="1"/>
  <c r="V18" i="1"/>
  <c r="AD189" i="8" l="1"/>
  <c r="BA187" i="8"/>
  <c r="AZ188" i="8"/>
  <c r="BO187" i="8"/>
  <c r="V187" i="8"/>
  <c r="C185" i="1"/>
  <c r="L184" i="1"/>
  <c r="M184" i="1" s="1"/>
  <c r="BW188" i="8"/>
  <c r="BV189" i="8"/>
  <c r="AL188" i="8"/>
  <c r="CD189" i="8"/>
  <c r="BH188" i="8"/>
  <c r="BG189" i="8"/>
  <c r="AT186" i="8"/>
  <c r="AS187" i="8"/>
  <c r="C186" i="8"/>
  <c r="W186" i="8" s="1"/>
  <c r="M185" i="8"/>
  <c r="N185" i="8" s="1"/>
  <c r="CE185" i="8"/>
  <c r="AE185" i="8"/>
  <c r="AM185" i="8"/>
  <c r="AS101" i="5"/>
  <c r="AR102" i="5"/>
  <c r="BF103" i="5"/>
  <c r="BG102" i="5"/>
  <c r="AL100" i="5"/>
  <c r="AK101" i="5"/>
  <c r="BV106" i="5"/>
  <c r="BU107" i="5"/>
  <c r="BN101" i="5"/>
  <c r="BO100" i="5"/>
  <c r="AZ100" i="5"/>
  <c r="AY101" i="5"/>
  <c r="V107" i="5"/>
  <c r="U108" i="5"/>
  <c r="AC102" i="5"/>
  <c r="AD101" i="5"/>
  <c r="CC99" i="5"/>
  <c r="CD98" i="5"/>
  <c r="L105" i="5"/>
  <c r="M105" i="5" s="1"/>
  <c r="K106" i="5"/>
  <c r="E21" i="1"/>
  <c r="BW20" i="1"/>
  <c r="BG20" i="1"/>
  <c r="BV28" i="1"/>
  <c r="BN21" i="1"/>
  <c r="BF23" i="1"/>
  <c r="AD20" i="1"/>
  <c r="AC21" i="1"/>
  <c r="AL20" i="1"/>
  <c r="AK21" i="1"/>
  <c r="AS20" i="1"/>
  <c r="AR21" i="1"/>
  <c r="AZ20" i="1"/>
  <c r="AY21" i="1"/>
  <c r="U20" i="1"/>
  <c r="V19" i="1"/>
  <c r="AT187" i="8" l="1"/>
  <c r="AS188" i="8"/>
  <c r="CD190" i="8"/>
  <c r="BW189" i="8"/>
  <c r="BV190" i="8"/>
  <c r="BW190" i="8" s="1"/>
  <c r="V188" i="8"/>
  <c r="BA188" i="8"/>
  <c r="AZ189" i="8"/>
  <c r="BH189" i="8"/>
  <c r="BG190" i="8"/>
  <c r="BH190" i="8" s="1"/>
  <c r="AL189" i="8"/>
  <c r="BO188" i="8"/>
  <c r="AD190" i="8"/>
  <c r="C187" i="8"/>
  <c r="M186" i="8"/>
  <c r="N186" i="8" s="1"/>
  <c r="AE186" i="8"/>
  <c r="CE186" i="8"/>
  <c r="AM186" i="8"/>
  <c r="C186" i="1"/>
  <c r="L185" i="1"/>
  <c r="M185" i="1" s="1"/>
  <c r="BP186" i="8"/>
  <c r="AR103" i="5"/>
  <c r="AS102" i="5"/>
  <c r="AY102" i="5"/>
  <c r="AZ101" i="5"/>
  <c r="BV107" i="5"/>
  <c r="BU108" i="5"/>
  <c r="AD102" i="5"/>
  <c r="AC103" i="5"/>
  <c r="BF104" i="5"/>
  <c r="BG103" i="5"/>
  <c r="V108" i="5"/>
  <c r="U109" i="5"/>
  <c r="AK102" i="5"/>
  <c r="AL101" i="5"/>
  <c r="CC100" i="5"/>
  <c r="CD99" i="5"/>
  <c r="BO101" i="5"/>
  <c r="BN102" i="5"/>
  <c r="K107" i="5"/>
  <c r="L106" i="5"/>
  <c r="M106" i="5" s="1"/>
  <c r="AZ21" i="1"/>
  <c r="AY22" i="1"/>
  <c r="E22" i="1"/>
  <c r="BG21" i="1"/>
  <c r="AS21" i="1"/>
  <c r="AR22" i="1"/>
  <c r="BV29" i="1"/>
  <c r="BN22" i="1"/>
  <c r="BF24" i="1"/>
  <c r="V20" i="1"/>
  <c r="U21" i="1"/>
  <c r="AC22" i="1"/>
  <c r="AK22" i="1"/>
  <c r="C187" i="1" l="1"/>
  <c r="L186" i="1"/>
  <c r="M186" i="1" s="1"/>
  <c r="BO189" i="8"/>
  <c r="V189" i="8"/>
  <c r="C188" i="8"/>
  <c r="W188" i="8" s="1"/>
  <c r="M187" i="8"/>
  <c r="N187" i="8" s="1"/>
  <c r="AE187" i="8"/>
  <c r="CE187" i="8"/>
  <c r="AM187" i="8"/>
  <c r="BP187" i="8"/>
  <c r="W187" i="8"/>
  <c r="AL190" i="8"/>
  <c r="BA189" i="8"/>
  <c r="AZ190" i="8"/>
  <c r="BA190" i="8" s="1"/>
  <c r="AT188" i="8"/>
  <c r="AS189" i="8"/>
  <c r="AZ102" i="5"/>
  <c r="AY103" i="5"/>
  <c r="BV108" i="5"/>
  <c r="BU109" i="5"/>
  <c r="V109" i="5"/>
  <c r="U110" i="5"/>
  <c r="AD103" i="5"/>
  <c r="AC104" i="5"/>
  <c r="CD100" i="5"/>
  <c r="CC101" i="5"/>
  <c r="BN103" i="5"/>
  <c r="BO102" i="5"/>
  <c r="AL102" i="5"/>
  <c r="AK103" i="5"/>
  <c r="BF105" i="5"/>
  <c r="BG104" i="5"/>
  <c r="AS103" i="5"/>
  <c r="AR104" i="5"/>
  <c r="K108" i="5"/>
  <c r="L107" i="5"/>
  <c r="M107" i="5" s="1"/>
  <c r="AS22" i="1"/>
  <c r="AR23" i="1"/>
  <c r="E23" i="1"/>
  <c r="BG22" i="1"/>
  <c r="AY23" i="1"/>
  <c r="AZ22" i="1"/>
  <c r="BV30" i="1"/>
  <c r="BO22" i="1"/>
  <c r="BN23" i="1"/>
  <c r="BF25" i="1"/>
  <c r="U22" i="1"/>
  <c r="AC23" i="1"/>
  <c r="AL22" i="1"/>
  <c r="AK23" i="1"/>
  <c r="C189" i="8" l="1"/>
  <c r="M188" i="8"/>
  <c r="N188" i="8" s="1"/>
  <c r="AE188" i="8"/>
  <c r="CE188" i="8"/>
  <c r="AM188" i="8"/>
  <c r="BP189" i="8"/>
  <c r="BO190" i="8"/>
  <c r="BP188" i="8"/>
  <c r="W189" i="8"/>
  <c r="V190" i="8"/>
  <c r="AT189" i="8"/>
  <c r="AS190" i="8"/>
  <c r="AT190" i="8" s="1"/>
  <c r="C188" i="1"/>
  <c r="L187" i="1"/>
  <c r="M187" i="1" s="1"/>
  <c r="AR105" i="5"/>
  <c r="AS104" i="5"/>
  <c r="CC102" i="5"/>
  <c r="CD101" i="5"/>
  <c r="V110" i="5"/>
  <c r="U111" i="5"/>
  <c r="AD104" i="5"/>
  <c r="AC105" i="5"/>
  <c r="BV109" i="5"/>
  <c r="BU110" i="5"/>
  <c r="BG105" i="5"/>
  <c r="BF106" i="5"/>
  <c r="BO103" i="5"/>
  <c r="BN104" i="5"/>
  <c r="AL103" i="5"/>
  <c r="AK104" i="5"/>
  <c r="AZ103" i="5"/>
  <c r="AY104" i="5"/>
  <c r="K109" i="5"/>
  <c r="L108" i="5"/>
  <c r="M108" i="5" s="1"/>
  <c r="E24" i="1"/>
  <c r="BG23" i="1"/>
  <c r="AY24" i="1"/>
  <c r="AZ23" i="1"/>
  <c r="AR24" i="1"/>
  <c r="AS23" i="1"/>
  <c r="AK24" i="1"/>
  <c r="AC24" i="1"/>
  <c r="BV31" i="1"/>
  <c r="BN24" i="1"/>
  <c r="BF26" i="1"/>
  <c r="V22" i="1"/>
  <c r="U23" i="1"/>
  <c r="C189" i="1" l="1"/>
  <c r="L188" i="1"/>
  <c r="M188" i="1" s="1"/>
  <c r="C190" i="8"/>
  <c r="W190" i="8" s="1"/>
  <c r="M189" i="8"/>
  <c r="N189" i="8" s="1"/>
  <c r="AE189" i="8"/>
  <c r="CE189" i="8"/>
  <c r="AM189" i="8"/>
  <c r="CD102" i="5"/>
  <c r="CC103" i="5"/>
  <c r="BN105" i="5"/>
  <c r="BO104" i="5"/>
  <c r="V111" i="5"/>
  <c r="U112" i="5"/>
  <c r="AK105" i="5"/>
  <c r="AL104" i="5"/>
  <c r="BG106" i="5"/>
  <c r="BF107" i="5"/>
  <c r="AD105" i="5"/>
  <c r="AC106" i="5"/>
  <c r="AY105" i="5"/>
  <c r="AZ104" i="5"/>
  <c r="BV110" i="5"/>
  <c r="BU111" i="5"/>
  <c r="AR106" i="5"/>
  <c r="AS105" i="5"/>
  <c r="K110" i="5"/>
  <c r="L109" i="5"/>
  <c r="M109" i="5" s="1"/>
  <c r="E25" i="1"/>
  <c r="BG24" i="1"/>
  <c r="AY25" i="1"/>
  <c r="AZ24" i="1"/>
  <c r="AR25" i="1"/>
  <c r="AS24" i="1"/>
  <c r="U24" i="1"/>
  <c r="AK25" i="1"/>
  <c r="AL24" i="1"/>
  <c r="AC25" i="1"/>
  <c r="AD24" i="1"/>
  <c r="BV32" i="1"/>
  <c r="BN25" i="1"/>
  <c r="BO24" i="1"/>
  <c r="BF27" i="1"/>
  <c r="C190" i="1" l="1"/>
  <c r="L189" i="1"/>
  <c r="M189" i="1" s="1"/>
  <c r="M190" i="8"/>
  <c r="N190" i="8" s="1"/>
  <c r="CE190" i="8"/>
  <c r="AE190" i="8"/>
  <c r="AM190" i="8"/>
  <c r="BP190" i="8"/>
  <c r="AC107" i="5"/>
  <c r="AD106" i="5"/>
  <c r="AK106" i="5"/>
  <c r="AL105" i="5"/>
  <c r="BG107" i="5"/>
  <c r="BF108" i="5"/>
  <c r="V112" i="5"/>
  <c r="U113" i="5"/>
  <c r="CD103" i="5"/>
  <c r="CC104" i="5"/>
  <c r="BU112" i="5"/>
  <c r="BV111" i="5"/>
  <c r="BO105" i="5"/>
  <c r="BN106" i="5"/>
  <c r="AR107" i="5"/>
  <c r="AS106" i="5"/>
  <c r="AZ105" i="5"/>
  <c r="AY106" i="5"/>
  <c r="K111" i="5"/>
  <c r="L110" i="5"/>
  <c r="M110" i="5" s="1"/>
  <c r="E26" i="1"/>
  <c r="BG25" i="1"/>
  <c r="AY26" i="1"/>
  <c r="AZ25" i="1"/>
  <c r="AR26" i="1"/>
  <c r="AS25" i="1"/>
  <c r="U25" i="1"/>
  <c r="V24" i="1"/>
  <c r="AK26" i="1"/>
  <c r="AL25" i="1"/>
  <c r="AC26" i="1"/>
  <c r="AD25" i="1"/>
  <c r="BF28" i="1"/>
  <c r="BV33" i="1"/>
  <c r="BN26" i="1"/>
  <c r="BO25" i="1"/>
  <c r="C191" i="1" l="1"/>
  <c r="L190" i="1"/>
  <c r="M190" i="1" s="1"/>
  <c r="V113" i="5"/>
  <c r="U114" i="5"/>
  <c r="AS107" i="5"/>
  <c r="AR108" i="5"/>
  <c r="AZ106" i="5"/>
  <c r="AY107" i="5"/>
  <c r="BN107" i="5"/>
  <c r="BO106" i="5"/>
  <c r="CD104" i="5"/>
  <c r="CC105" i="5"/>
  <c r="BF109" i="5"/>
  <c r="BG108" i="5"/>
  <c r="BV112" i="5"/>
  <c r="BU113" i="5"/>
  <c r="AL106" i="5"/>
  <c r="AK107" i="5"/>
  <c r="AD107" i="5"/>
  <c r="AC108" i="5"/>
  <c r="K112" i="5"/>
  <c r="L111" i="5"/>
  <c r="M111" i="5" s="1"/>
  <c r="E27" i="1"/>
  <c r="BW26" i="1"/>
  <c r="BG26" i="1"/>
  <c r="AY27" i="1"/>
  <c r="AZ26" i="1"/>
  <c r="AR27" i="1"/>
  <c r="AS26" i="1"/>
  <c r="U26" i="1"/>
  <c r="V25" i="1"/>
  <c r="AK27" i="1"/>
  <c r="AL26" i="1"/>
  <c r="AC27" i="1"/>
  <c r="AD26" i="1"/>
  <c r="BF29" i="1"/>
  <c r="BV34" i="1"/>
  <c r="BN27" i="1"/>
  <c r="BO26" i="1"/>
  <c r="C192" i="1" l="1"/>
  <c r="L191" i="1"/>
  <c r="M191" i="1" s="1"/>
  <c r="BG109" i="5"/>
  <c r="BF110" i="5"/>
  <c r="CC106" i="5"/>
  <c r="CD105" i="5"/>
  <c r="V114" i="5"/>
  <c r="U115" i="5"/>
  <c r="AL107" i="5"/>
  <c r="AK108" i="5"/>
  <c r="AS108" i="5"/>
  <c r="AR109" i="5"/>
  <c r="BN108" i="5"/>
  <c r="BO107" i="5"/>
  <c r="AC109" i="5"/>
  <c r="AD108" i="5"/>
  <c r="BU114" i="5"/>
  <c r="BV113" i="5"/>
  <c r="AY108" i="5"/>
  <c r="AZ107" i="5"/>
  <c r="K113" i="5"/>
  <c r="L112" i="5"/>
  <c r="M112" i="5" s="1"/>
  <c r="E28" i="1"/>
  <c r="BW27" i="1"/>
  <c r="BG27" i="1"/>
  <c r="AY28" i="1"/>
  <c r="AZ27" i="1"/>
  <c r="AR28" i="1"/>
  <c r="AS27" i="1"/>
  <c r="U27" i="1"/>
  <c r="V26" i="1"/>
  <c r="AK28" i="1"/>
  <c r="AL27" i="1"/>
  <c r="AC28" i="1"/>
  <c r="AD27" i="1"/>
  <c r="BF30" i="1"/>
  <c r="BV35" i="1"/>
  <c r="BN28" i="1"/>
  <c r="BO27" i="1"/>
  <c r="C193" i="1" l="1"/>
  <c r="L192" i="1"/>
  <c r="M192" i="1" s="1"/>
  <c r="BN109" i="5"/>
  <c r="BO108" i="5"/>
  <c r="CD106" i="5"/>
  <c r="CC107" i="5"/>
  <c r="AS109" i="5"/>
  <c r="AR110" i="5"/>
  <c r="BF111" i="5"/>
  <c r="BG110" i="5"/>
  <c r="AK109" i="5"/>
  <c r="AL108" i="5"/>
  <c r="BU115" i="5"/>
  <c r="BV114" i="5"/>
  <c r="U116" i="5"/>
  <c r="V115" i="5"/>
  <c r="AZ108" i="5"/>
  <c r="AY109" i="5"/>
  <c r="AC110" i="5"/>
  <c r="AD109" i="5"/>
  <c r="K114" i="5"/>
  <c r="L113" i="5"/>
  <c r="M113" i="5" s="1"/>
  <c r="E29" i="1"/>
  <c r="BW28" i="1"/>
  <c r="BG28" i="1"/>
  <c r="AY29" i="1"/>
  <c r="AZ28" i="1"/>
  <c r="BF31" i="1"/>
  <c r="AR29" i="1"/>
  <c r="AS28" i="1"/>
  <c r="U28" i="1"/>
  <c r="V27" i="1"/>
  <c r="AK29" i="1"/>
  <c r="AC29" i="1"/>
  <c r="BV36" i="1"/>
  <c r="BN29" i="1"/>
  <c r="C194" i="1" l="1"/>
  <c r="L193" i="1"/>
  <c r="M193" i="1" s="1"/>
  <c r="CD107" i="5"/>
  <c r="CC108" i="5"/>
  <c r="BU116" i="5"/>
  <c r="BV115" i="5"/>
  <c r="AS110" i="5"/>
  <c r="AR111" i="5"/>
  <c r="AZ109" i="5"/>
  <c r="AY110" i="5"/>
  <c r="BF112" i="5"/>
  <c r="BG111" i="5"/>
  <c r="AD110" i="5"/>
  <c r="AC111" i="5"/>
  <c r="U117" i="5"/>
  <c r="V116" i="5"/>
  <c r="AL109" i="5"/>
  <c r="AK110" i="5"/>
  <c r="BO109" i="5"/>
  <c r="BN110" i="5"/>
  <c r="K115" i="5"/>
  <c r="L114" i="5"/>
  <c r="M114" i="5" s="1"/>
  <c r="E30" i="1"/>
  <c r="BW29" i="1"/>
  <c r="BG29" i="1"/>
  <c r="AR30" i="1"/>
  <c r="AS29" i="1"/>
  <c r="AY30" i="1"/>
  <c r="AZ29" i="1"/>
  <c r="BF32" i="1"/>
  <c r="U29" i="1"/>
  <c r="AK30" i="1"/>
  <c r="AL29" i="1"/>
  <c r="AC30" i="1"/>
  <c r="AD29" i="1"/>
  <c r="BV37" i="1"/>
  <c r="BN30" i="1"/>
  <c r="BO29" i="1"/>
  <c r="C195" i="1" l="1"/>
  <c r="L194" i="1"/>
  <c r="M194" i="1" s="1"/>
  <c r="BN111" i="5"/>
  <c r="BO110" i="5"/>
  <c r="AS111" i="5"/>
  <c r="AR112" i="5"/>
  <c r="AK111" i="5"/>
  <c r="AL110" i="5"/>
  <c r="AC112" i="5"/>
  <c r="AD111" i="5"/>
  <c r="AZ110" i="5"/>
  <c r="AY111" i="5"/>
  <c r="BU117" i="5"/>
  <c r="BV116" i="5"/>
  <c r="CD108" i="5"/>
  <c r="CC109" i="5"/>
  <c r="V117" i="5"/>
  <c r="U118" i="5"/>
  <c r="BF113" i="5"/>
  <c r="BG112" i="5"/>
  <c r="K116" i="5"/>
  <c r="L115" i="5"/>
  <c r="M115" i="5" s="1"/>
  <c r="E31" i="1"/>
  <c r="BW30" i="1"/>
  <c r="BG30" i="1"/>
  <c r="AL30" i="1"/>
  <c r="AK31" i="1"/>
  <c r="BF33" i="1"/>
  <c r="AR31" i="1"/>
  <c r="AS30" i="1"/>
  <c r="AY31" i="1"/>
  <c r="AZ30" i="1"/>
  <c r="BV38" i="1"/>
  <c r="U30" i="1"/>
  <c r="V29" i="1"/>
  <c r="AC31" i="1"/>
  <c r="AD30" i="1"/>
  <c r="BN31" i="1"/>
  <c r="BO30" i="1"/>
  <c r="C196" i="1" l="1"/>
  <c r="L195" i="1"/>
  <c r="M195" i="1" s="1"/>
  <c r="AC113" i="5"/>
  <c r="AD112" i="5"/>
  <c r="AY112" i="5"/>
  <c r="AZ111" i="5"/>
  <c r="U119" i="5"/>
  <c r="V118" i="5"/>
  <c r="AS112" i="5"/>
  <c r="AR113" i="5"/>
  <c r="BV117" i="5"/>
  <c r="BU118" i="5"/>
  <c r="CC110" i="5"/>
  <c r="CD109" i="5"/>
  <c r="BG113" i="5"/>
  <c r="BF114" i="5"/>
  <c r="AK112" i="5"/>
  <c r="AL111" i="5"/>
  <c r="BN112" i="5"/>
  <c r="BO111" i="5"/>
  <c r="K117" i="5"/>
  <c r="L116" i="5"/>
  <c r="M116" i="5" s="1"/>
  <c r="AK32" i="1"/>
  <c r="E32" i="1"/>
  <c r="BW31" i="1"/>
  <c r="BG31" i="1"/>
  <c r="AS31" i="1"/>
  <c r="AR32" i="1"/>
  <c r="AZ31" i="1"/>
  <c r="AY32" i="1"/>
  <c r="BF34" i="1"/>
  <c r="BV39" i="1"/>
  <c r="U31" i="1"/>
  <c r="V30" i="1"/>
  <c r="AD31" i="1"/>
  <c r="AC32" i="1"/>
  <c r="BN32" i="1"/>
  <c r="C197" i="1" l="1"/>
  <c r="L196" i="1"/>
  <c r="M196" i="1" s="1"/>
  <c r="AL112" i="5"/>
  <c r="AK113" i="5"/>
  <c r="BU119" i="5"/>
  <c r="BV118" i="5"/>
  <c r="AS113" i="5"/>
  <c r="AR114" i="5"/>
  <c r="CD110" i="5"/>
  <c r="CC111" i="5"/>
  <c r="AZ112" i="5"/>
  <c r="AY113" i="5"/>
  <c r="BG114" i="5"/>
  <c r="BF115" i="5"/>
  <c r="BN113" i="5"/>
  <c r="BO112" i="5"/>
  <c r="U120" i="5"/>
  <c r="V119" i="5"/>
  <c r="AD113" i="5"/>
  <c r="AC114" i="5"/>
  <c r="K118" i="5"/>
  <c r="L117" i="5"/>
  <c r="M117" i="5" s="1"/>
  <c r="AS32" i="1"/>
  <c r="AR33" i="1"/>
  <c r="E33" i="1"/>
  <c r="BG32" i="1"/>
  <c r="BF35" i="1"/>
  <c r="AK33" i="1"/>
  <c r="AY33" i="1"/>
  <c r="AZ32" i="1"/>
  <c r="BV40" i="1"/>
  <c r="U32" i="1"/>
  <c r="V31" i="1"/>
  <c r="AC33" i="1"/>
  <c r="BN33" i="1"/>
  <c r="C198" i="1" l="1"/>
  <c r="L197" i="1"/>
  <c r="M197" i="1" s="1"/>
  <c r="BV119" i="5"/>
  <c r="BU120" i="5"/>
  <c r="AS114" i="5"/>
  <c r="AR115" i="5"/>
  <c r="BF116" i="5"/>
  <c r="BG115" i="5"/>
  <c r="CC112" i="5"/>
  <c r="CD111" i="5"/>
  <c r="V120" i="5"/>
  <c r="U121" i="5"/>
  <c r="AD114" i="5"/>
  <c r="AC115" i="5"/>
  <c r="AZ113" i="5"/>
  <c r="AY114" i="5"/>
  <c r="AK114" i="5"/>
  <c r="AL113" i="5"/>
  <c r="BO113" i="5"/>
  <c r="BN114" i="5"/>
  <c r="K119" i="5"/>
  <c r="L118" i="5"/>
  <c r="M118" i="5" s="1"/>
  <c r="AK34" i="1"/>
  <c r="E34" i="1"/>
  <c r="BG33" i="1"/>
  <c r="AY34" i="1"/>
  <c r="AZ33" i="1"/>
  <c r="BF36" i="1"/>
  <c r="AR34" i="1"/>
  <c r="AS33" i="1"/>
  <c r="BV41" i="1"/>
  <c r="U33" i="1"/>
  <c r="AC34" i="1"/>
  <c r="BN34" i="1"/>
  <c r="C199" i="1" l="1"/>
  <c r="L198" i="1"/>
  <c r="M198" i="1" s="1"/>
  <c r="AK115" i="5"/>
  <c r="AL114" i="5"/>
  <c r="CD112" i="5"/>
  <c r="CC113" i="5"/>
  <c r="BO114" i="5"/>
  <c r="BN115" i="5"/>
  <c r="V121" i="5"/>
  <c r="U122" i="5"/>
  <c r="AD115" i="5"/>
  <c r="AC116" i="5"/>
  <c r="AS115" i="5"/>
  <c r="AR116" i="5"/>
  <c r="AY115" i="5"/>
  <c r="AZ114" i="5"/>
  <c r="BU121" i="5"/>
  <c r="BV120" i="5"/>
  <c r="BG116" i="5"/>
  <c r="BF117" i="5"/>
  <c r="L119" i="5"/>
  <c r="M119" i="5" s="1"/>
  <c r="K120" i="5"/>
  <c r="AK35" i="1"/>
  <c r="BV42" i="1"/>
  <c r="BF37" i="1"/>
  <c r="E35" i="1"/>
  <c r="BG34" i="1"/>
  <c r="AR35" i="1"/>
  <c r="AS34" i="1"/>
  <c r="AZ34" i="1"/>
  <c r="AY35" i="1"/>
  <c r="U34" i="1"/>
  <c r="AC35" i="1"/>
  <c r="BN35" i="1"/>
  <c r="C200" i="1" l="1"/>
  <c r="L199" i="1"/>
  <c r="M199" i="1" s="1"/>
  <c r="BU122" i="5"/>
  <c r="BV121" i="5"/>
  <c r="BG117" i="5"/>
  <c r="BF118" i="5"/>
  <c r="AD116" i="5"/>
  <c r="AC117" i="5"/>
  <c r="BN116" i="5"/>
  <c r="BO115" i="5"/>
  <c r="AS116" i="5"/>
  <c r="AR117" i="5"/>
  <c r="V122" i="5"/>
  <c r="U123" i="5"/>
  <c r="CC114" i="5"/>
  <c r="CD113" i="5"/>
  <c r="AY116" i="5"/>
  <c r="AZ115" i="5"/>
  <c r="AK116" i="5"/>
  <c r="AL115" i="5"/>
  <c r="K121" i="5"/>
  <c r="L120" i="5"/>
  <c r="M120" i="5" s="1"/>
  <c r="AK36" i="1"/>
  <c r="BV43" i="1"/>
  <c r="AY36" i="1"/>
  <c r="AZ35" i="1"/>
  <c r="E36" i="1"/>
  <c r="BG35" i="1"/>
  <c r="AR36" i="1"/>
  <c r="AS35" i="1"/>
  <c r="BF38" i="1"/>
  <c r="U35" i="1"/>
  <c r="AC36" i="1"/>
  <c r="BN36" i="1"/>
  <c r="C201" i="1" l="1"/>
  <c r="L200" i="1"/>
  <c r="M200" i="1" s="1"/>
  <c r="AY117" i="5"/>
  <c r="AZ116" i="5"/>
  <c r="BO116" i="5"/>
  <c r="BN117" i="5"/>
  <c r="AS117" i="5"/>
  <c r="AR118" i="5"/>
  <c r="AC118" i="5"/>
  <c r="AD117" i="5"/>
  <c r="V123" i="5"/>
  <c r="U124" i="5"/>
  <c r="BF119" i="5"/>
  <c r="BG118" i="5"/>
  <c r="AL116" i="5"/>
  <c r="AK117" i="5"/>
  <c r="CD114" i="5"/>
  <c r="CC115" i="5"/>
  <c r="BV122" i="5"/>
  <c r="BU123" i="5"/>
  <c r="L121" i="5"/>
  <c r="M121" i="5" s="1"/>
  <c r="K122" i="5"/>
  <c r="AY37" i="1"/>
  <c r="AZ36" i="1"/>
  <c r="BF39" i="1"/>
  <c r="E37" i="1"/>
  <c r="BW36" i="1"/>
  <c r="BG36" i="1"/>
  <c r="BV44" i="1"/>
  <c r="BV45" i="1" s="1"/>
  <c r="AR37" i="1"/>
  <c r="AS36" i="1"/>
  <c r="AK37" i="1"/>
  <c r="U36" i="1"/>
  <c r="AC37" i="1"/>
  <c r="BN37" i="1"/>
  <c r="C202" i="1" l="1"/>
  <c r="L202" i="1" s="1"/>
  <c r="M202" i="1" s="1"/>
  <c r="L201" i="1"/>
  <c r="M201" i="1" s="1"/>
  <c r="AC119" i="5"/>
  <c r="AD118" i="5"/>
  <c r="BU124" i="5"/>
  <c r="BV123" i="5"/>
  <c r="U125" i="5"/>
  <c r="V124" i="5"/>
  <c r="CD115" i="5"/>
  <c r="CC116" i="5"/>
  <c r="BN118" i="5"/>
  <c r="BO117" i="5"/>
  <c r="BF120" i="5"/>
  <c r="BG119" i="5"/>
  <c r="AL117" i="5"/>
  <c r="AK118" i="5"/>
  <c r="AR119" i="5"/>
  <c r="AS118" i="5"/>
  <c r="AZ117" i="5"/>
  <c r="AY118" i="5"/>
  <c r="K123" i="5"/>
  <c r="L122" i="5"/>
  <c r="M122" i="5" s="1"/>
  <c r="BV46" i="1"/>
  <c r="AY38" i="1"/>
  <c r="AZ37" i="1"/>
  <c r="AK38" i="1"/>
  <c r="E38" i="1"/>
  <c r="BW37" i="1"/>
  <c r="BG37" i="1"/>
  <c r="BO37" i="1"/>
  <c r="BN38" i="1"/>
  <c r="BF40" i="1"/>
  <c r="AR38" i="1"/>
  <c r="AS37" i="1"/>
  <c r="AC38" i="1"/>
  <c r="U37" i="1"/>
  <c r="AR120" i="5" l="1"/>
  <c r="AS119" i="5"/>
  <c r="BU125" i="5"/>
  <c r="BV124" i="5"/>
  <c r="AY119" i="5"/>
  <c r="AZ118" i="5"/>
  <c r="CD116" i="5"/>
  <c r="CC117" i="5"/>
  <c r="BF121" i="5"/>
  <c r="BG120" i="5"/>
  <c r="AL118" i="5"/>
  <c r="AK119" i="5"/>
  <c r="BN119" i="5"/>
  <c r="BO118" i="5"/>
  <c r="V125" i="5"/>
  <c r="U126" i="5"/>
  <c r="AC120" i="5"/>
  <c r="AD119" i="5"/>
  <c r="K124" i="5"/>
  <c r="L123" i="5"/>
  <c r="M123" i="5" s="1"/>
  <c r="BV47" i="1"/>
  <c r="AS38" i="1"/>
  <c r="AR39" i="1"/>
  <c r="AY39" i="1"/>
  <c r="AZ38" i="1"/>
  <c r="AL38" i="1"/>
  <c r="AK39" i="1"/>
  <c r="BF41" i="1"/>
  <c r="BN39" i="1"/>
  <c r="BO38" i="1"/>
  <c r="E39" i="1"/>
  <c r="BG38" i="1"/>
  <c r="AD38" i="1"/>
  <c r="AC39" i="1"/>
  <c r="U38" i="1"/>
  <c r="V37" i="1"/>
  <c r="BV125" i="5" l="1"/>
  <c r="BU126" i="5"/>
  <c r="V126" i="5"/>
  <c r="U127" i="5"/>
  <c r="AL119" i="5"/>
  <c r="AK120" i="5"/>
  <c r="CD117" i="5"/>
  <c r="CC118" i="5"/>
  <c r="AD120" i="5"/>
  <c r="AC121" i="5"/>
  <c r="BN120" i="5"/>
  <c r="BO119" i="5"/>
  <c r="BG121" i="5"/>
  <c r="BF122" i="5"/>
  <c r="AY120" i="5"/>
  <c r="AZ119" i="5"/>
  <c r="AR121" i="5"/>
  <c r="AS120" i="5"/>
  <c r="K125" i="5"/>
  <c r="L124" i="5"/>
  <c r="M124" i="5" s="1"/>
  <c r="BV48" i="1"/>
  <c r="BO39" i="1"/>
  <c r="BN40" i="1"/>
  <c r="BF42" i="1"/>
  <c r="E40" i="1"/>
  <c r="BW39" i="1"/>
  <c r="BG39" i="1"/>
  <c r="AY40" i="1"/>
  <c r="AZ39" i="1"/>
  <c r="AL39" i="1"/>
  <c r="AK40" i="1"/>
  <c r="AS39" i="1"/>
  <c r="AR40" i="1"/>
  <c r="V38" i="1"/>
  <c r="U39" i="1"/>
  <c r="AC40" i="1"/>
  <c r="AD39" i="1"/>
  <c r="AY121" i="5" l="1"/>
  <c r="AZ120" i="5"/>
  <c r="AD121" i="5"/>
  <c r="AC122" i="5"/>
  <c r="AL120" i="5"/>
  <c r="AK121" i="5"/>
  <c r="CD118" i="5"/>
  <c r="CC119" i="5"/>
  <c r="V127" i="5"/>
  <c r="U128" i="5"/>
  <c r="BO120" i="5"/>
  <c r="BN121" i="5"/>
  <c r="BG122" i="5"/>
  <c r="BF123" i="5"/>
  <c r="BV126" i="5"/>
  <c r="BU127" i="5"/>
  <c r="AR122" i="5"/>
  <c r="AS121" i="5"/>
  <c r="L125" i="5"/>
  <c r="M125" i="5" s="1"/>
  <c r="K126" i="5"/>
  <c r="BV49" i="1"/>
  <c r="AR41" i="1"/>
  <c r="AS40" i="1"/>
  <c r="E41" i="1"/>
  <c r="BW40" i="1"/>
  <c r="BG40" i="1"/>
  <c r="AY41" i="1"/>
  <c r="AZ40" i="1"/>
  <c r="BF43" i="1"/>
  <c r="AL40" i="1"/>
  <c r="AK41" i="1"/>
  <c r="BN41" i="1"/>
  <c r="BO40" i="1"/>
  <c r="U40" i="1"/>
  <c r="V39" i="1"/>
  <c r="AC41" i="1"/>
  <c r="AD40" i="1"/>
  <c r="BF124" i="5" l="1"/>
  <c r="BG123" i="5"/>
  <c r="AL121" i="5"/>
  <c r="AK122" i="5"/>
  <c r="BV127" i="5"/>
  <c r="BU128" i="5"/>
  <c r="BO121" i="5"/>
  <c r="BN122" i="5"/>
  <c r="CD119" i="5"/>
  <c r="CC120" i="5"/>
  <c r="AC123" i="5"/>
  <c r="AD122" i="5"/>
  <c r="V128" i="5"/>
  <c r="U129" i="5"/>
  <c r="AS122" i="5"/>
  <c r="AR123" i="5"/>
  <c r="AZ121" i="5"/>
  <c r="AY122" i="5"/>
  <c r="L126" i="5"/>
  <c r="M126" i="5" s="1"/>
  <c r="K127" i="5"/>
  <c r="BV50" i="1"/>
  <c r="BF44" i="1"/>
  <c r="AR42" i="1"/>
  <c r="AS41" i="1"/>
  <c r="BO41" i="1"/>
  <c r="BN42" i="1"/>
  <c r="AL41" i="1"/>
  <c r="AK42" i="1"/>
  <c r="E42" i="1"/>
  <c r="BW41" i="1"/>
  <c r="BG41" i="1"/>
  <c r="AY42" i="1"/>
  <c r="AZ41" i="1"/>
  <c r="AC42" i="1"/>
  <c r="U41" i="1"/>
  <c r="V40" i="1"/>
  <c r="AZ122" i="5" l="1"/>
  <c r="AY123" i="5"/>
  <c r="CD120" i="5"/>
  <c r="CC121" i="5"/>
  <c r="AR124" i="5"/>
  <c r="AS123" i="5"/>
  <c r="BO122" i="5"/>
  <c r="BN123" i="5"/>
  <c r="AK123" i="5"/>
  <c r="AL122" i="5"/>
  <c r="AC124" i="5"/>
  <c r="AD123" i="5"/>
  <c r="U130" i="5"/>
  <c r="V129" i="5"/>
  <c r="BV128" i="5"/>
  <c r="BU129" i="5"/>
  <c r="BG124" i="5"/>
  <c r="BF125" i="5"/>
  <c r="L127" i="5"/>
  <c r="M127" i="5" s="1"/>
  <c r="K128" i="5"/>
  <c r="BV51" i="1"/>
  <c r="E43" i="1"/>
  <c r="BG42" i="1"/>
  <c r="BF45" i="1"/>
  <c r="V41" i="1"/>
  <c r="U42" i="1"/>
  <c r="AZ42" i="1"/>
  <c r="AY43" i="1"/>
  <c r="AK43" i="1"/>
  <c r="AL42" i="1"/>
  <c r="AR43" i="1"/>
  <c r="AS42" i="1"/>
  <c r="BO42" i="1"/>
  <c r="BN43" i="1"/>
  <c r="AD42" i="1"/>
  <c r="AC43" i="1"/>
  <c r="BG125" i="5" l="1"/>
  <c r="BF126" i="5"/>
  <c r="BU130" i="5"/>
  <c r="BV129" i="5"/>
  <c r="BO123" i="5"/>
  <c r="BN124" i="5"/>
  <c r="CD121" i="5"/>
  <c r="CC122" i="5"/>
  <c r="AD124" i="5"/>
  <c r="AC125" i="5"/>
  <c r="AZ123" i="5"/>
  <c r="AY124" i="5"/>
  <c r="U131" i="5"/>
  <c r="V130" i="5"/>
  <c r="AK124" i="5"/>
  <c r="AL123" i="5"/>
  <c r="AS124" i="5"/>
  <c r="AR125" i="5"/>
  <c r="L128" i="5"/>
  <c r="M128" i="5" s="1"/>
  <c r="K129" i="5"/>
  <c r="BV52" i="1"/>
  <c r="AY44" i="1"/>
  <c r="AY45" i="1" s="1"/>
  <c r="AZ43" i="1"/>
  <c r="E44" i="1"/>
  <c r="BW43" i="1"/>
  <c r="BG43" i="1"/>
  <c r="AR44" i="1"/>
  <c r="AR45" i="1" s="1"/>
  <c r="AS43" i="1"/>
  <c r="BF46" i="1"/>
  <c r="BF47" i="1" s="1"/>
  <c r="BN44" i="1"/>
  <c r="BO43" i="1"/>
  <c r="U43" i="1"/>
  <c r="V42" i="1"/>
  <c r="AK44" i="1"/>
  <c r="AL43" i="1"/>
  <c r="AC44" i="1"/>
  <c r="AD43" i="1"/>
  <c r="BU131" i="5" l="1"/>
  <c r="BV130" i="5"/>
  <c r="AR126" i="5"/>
  <c r="AS125" i="5"/>
  <c r="AD125" i="5"/>
  <c r="AC126" i="5"/>
  <c r="BN125" i="5"/>
  <c r="BO124" i="5"/>
  <c r="AY125" i="5"/>
  <c r="AZ124" i="5"/>
  <c r="CD122" i="5"/>
  <c r="CC123" i="5"/>
  <c r="AK125" i="5"/>
  <c r="AL124" i="5"/>
  <c r="BF127" i="5"/>
  <c r="BG126" i="5"/>
  <c r="U132" i="5"/>
  <c r="V131" i="5"/>
  <c r="L129" i="5"/>
  <c r="M129" i="5" s="1"/>
  <c r="K130" i="5"/>
  <c r="BV53" i="1"/>
  <c r="BF48" i="1"/>
  <c r="AY46" i="1"/>
  <c r="AR46" i="1"/>
  <c r="AZ44" i="1"/>
  <c r="AD44" i="1"/>
  <c r="AC45" i="1"/>
  <c r="U44" i="1"/>
  <c r="V43" i="1"/>
  <c r="E45" i="1"/>
  <c r="AZ45" i="1" s="1"/>
  <c r="BW44" i="1"/>
  <c r="BG44" i="1"/>
  <c r="AL44" i="1"/>
  <c r="AK45" i="1"/>
  <c r="BO44" i="1"/>
  <c r="BN45" i="1"/>
  <c r="AS44" i="1"/>
  <c r="BG127" i="5" l="1"/>
  <c r="BF128" i="5"/>
  <c r="BO125" i="5"/>
  <c r="BN126" i="5"/>
  <c r="AD126" i="5"/>
  <c r="AC127" i="5"/>
  <c r="CC124" i="5"/>
  <c r="CD123" i="5"/>
  <c r="AR127" i="5"/>
  <c r="AS126" i="5"/>
  <c r="V132" i="5"/>
  <c r="U133" i="5"/>
  <c r="AL125" i="5"/>
  <c r="AK126" i="5"/>
  <c r="AY126" i="5"/>
  <c r="AZ125" i="5"/>
  <c r="BV131" i="5"/>
  <c r="BU132" i="5"/>
  <c r="L130" i="5"/>
  <c r="M130" i="5" s="1"/>
  <c r="K131" i="5"/>
  <c r="AS45" i="1"/>
  <c r="BV54" i="1"/>
  <c r="BF49" i="1"/>
  <c r="AY47" i="1"/>
  <c r="AR47" i="1"/>
  <c r="V44" i="1"/>
  <c r="U45" i="1"/>
  <c r="AK46" i="1"/>
  <c r="AL45" i="1"/>
  <c r="E46" i="1"/>
  <c r="BW46" i="1" s="1"/>
  <c r="BG45" i="1"/>
  <c r="AC46" i="1"/>
  <c r="AD45" i="1"/>
  <c r="BO45" i="1"/>
  <c r="BN46" i="1"/>
  <c r="AZ126" i="5" l="1"/>
  <c r="AY127" i="5"/>
  <c r="CC125" i="5"/>
  <c r="CD124" i="5"/>
  <c r="BU133" i="5"/>
  <c r="BV132" i="5"/>
  <c r="BF129" i="5"/>
  <c r="BG128" i="5"/>
  <c r="U134" i="5"/>
  <c r="V133" i="5"/>
  <c r="BN127" i="5"/>
  <c r="BO126" i="5"/>
  <c r="AL126" i="5"/>
  <c r="AK127" i="5"/>
  <c r="AD127" i="5"/>
  <c r="AC128" i="5"/>
  <c r="AS127" i="5"/>
  <c r="AR128" i="5"/>
  <c r="L131" i="5"/>
  <c r="M131" i="5" s="1"/>
  <c r="K132" i="5"/>
  <c r="AD46" i="1"/>
  <c r="AC47" i="1"/>
  <c r="AS46" i="1"/>
  <c r="AZ46" i="1"/>
  <c r="BV55" i="1"/>
  <c r="BF50" i="1"/>
  <c r="BO46" i="1"/>
  <c r="BN47" i="1"/>
  <c r="AY48" i="1"/>
  <c r="AR48" i="1"/>
  <c r="AL46" i="1"/>
  <c r="AK47" i="1"/>
  <c r="BG46" i="1"/>
  <c r="E47" i="1"/>
  <c r="AZ47" i="1" s="1"/>
  <c r="U46" i="1"/>
  <c r="V45" i="1"/>
  <c r="BG129" i="5" l="1"/>
  <c r="BF130" i="5"/>
  <c r="AS128" i="5"/>
  <c r="AR129" i="5"/>
  <c r="AZ127" i="5"/>
  <c r="AY128" i="5"/>
  <c r="AC129" i="5"/>
  <c r="AD128" i="5"/>
  <c r="BO127" i="5"/>
  <c r="BN128" i="5"/>
  <c r="CD125" i="5"/>
  <c r="CC126" i="5"/>
  <c r="AL127" i="5"/>
  <c r="AK128" i="5"/>
  <c r="U135" i="5"/>
  <c r="V134" i="5"/>
  <c r="BV133" i="5"/>
  <c r="BU134" i="5"/>
  <c r="L132" i="5"/>
  <c r="M132" i="5" s="1"/>
  <c r="K133" i="5"/>
  <c r="AS47" i="1"/>
  <c r="V46" i="1"/>
  <c r="U47" i="1"/>
  <c r="U48" i="1" s="1"/>
  <c r="E48" i="1"/>
  <c r="AZ48" i="1" s="1"/>
  <c r="BW47" i="1"/>
  <c r="BG47" i="1"/>
  <c r="BV56" i="1"/>
  <c r="AD47" i="1"/>
  <c r="AC48" i="1"/>
  <c r="BF51" i="1"/>
  <c r="BN48" i="1"/>
  <c r="BO47" i="1"/>
  <c r="AY49" i="1"/>
  <c r="AR49" i="1"/>
  <c r="AL47" i="1"/>
  <c r="AK48" i="1"/>
  <c r="V135" i="5" l="1"/>
  <c r="U136" i="5"/>
  <c r="AC130" i="5"/>
  <c r="AD129" i="5"/>
  <c r="BV134" i="5"/>
  <c r="BU135" i="5"/>
  <c r="BO128" i="5"/>
  <c r="BN129" i="5"/>
  <c r="AZ128" i="5"/>
  <c r="AY129" i="5"/>
  <c r="CD126" i="5"/>
  <c r="CC127" i="5"/>
  <c r="AS129" i="5"/>
  <c r="AR130" i="5"/>
  <c r="AL128" i="5"/>
  <c r="AK129" i="5"/>
  <c r="BG130" i="5"/>
  <c r="BF131" i="5"/>
  <c r="L133" i="5"/>
  <c r="M133" i="5" s="1"/>
  <c r="K134" i="5"/>
  <c r="AS48" i="1"/>
  <c r="AC49" i="1"/>
  <c r="AC50" i="1" s="1"/>
  <c r="AC51" i="1" s="1"/>
  <c r="AD48" i="1"/>
  <c r="BV57" i="1"/>
  <c r="E49" i="1"/>
  <c r="BG48" i="1"/>
  <c r="U49" i="1"/>
  <c r="U50" i="1" s="1"/>
  <c r="U51" i="1" s="1"/>
  <c r="V48" i="1"/>
  <c r="BF52" i="1"/>
  <c r="BO48" i="1"/>
  <c r="BN49" i="1"/>
  <c r="BN50" i="1" s="1"/>
  <c r="BN51" i="1" s="1"/>
  <c r="AY50" i="1"/>
  <c r="AR50" i="1"/>
  <c r="AK49" i="1"/>
  <c r="AK50" i="1" s="1"/>
  <c r="AK51" i="1" s="1"/>
  <c r="AL48" i="1"/>
  <c r="BF132" i="5" l="1"/>
  <c r="BG131" i="5"/>
  <c r="AZ129" i="5"/>
  <c r="AY130" i="5"/>
  <c r="BU136" i="5"/>
  <c r="BV135" i="5"/>
  <c r="AK130" i="5"/>
  <c r="AL129" i="5"/>
  <c r="CD127" i="5"/>
  <c r="CC128" i="5"/>
  <c r="BO129" i="5"/>
  <c r="BN130" i="5"/>
  <c r="AD130" i="5"/>
  <c r="AC131" i="5"/>
  <c r="AS130" i="5"/>
  <c r="AR131" i="5"/>
  <c r="U137" i="5"/>
  <c r="V136" i="5"/>
  <c r="L134" i="5"/>
  <c r="M134" i="5" s="1"/>
  <c r="K135" i="5"/>
  <c r="AL51" i="1"/>
  <c r="AK52" i="1"/>
  <c r="E50" i="1"/>
  <c r="AS50" i="1" s="1"/>
  <c r="BW49" i="1"/>
  <c r="BG49" i="1"/>
  <c r="AD51" i="1"/>
  <c r="AC52" i="1"/>
  <c r="AS49" i="1"/>
  <c r="BV58" i="1"/>
  <c r="V51" i="1"/>
  <c r="U52" i="1"/>
  <c r="AZ49" i="1"/>
  <c r="BF53" i="1"/>
  <c r="BO51" i="1"/>
  <c r="BN52" i="1"/>
  <c r="AY51" i="1"/>
  <c r="AR51" i="1"/>
  <c r="AK131" i="5" l="1"/>
  <c r="AL130" i="5"/>
  <c r="CC129" i="5"/>
  <c r="CD128" i="5"/>
  <c r="AR132" i="5"/>
  <c r="AS131" i="5"/>
  <c r="BO130" i="5"/>
  <c r="BN131" i="5"/>
  <c r="AZ130" i="5"/>
  <c r="AY131" i="5"/>
  <c r="AD131" i="5"/>
  <c r="AC132" i="5"/>
  <c r="U138" i="5"/>
  <c r="V137" i="5"/>
  <c r="BV136" i="5"/>
  <c r="BU137" i="5"/>
  <c r="BF133" i="5"/>
  <c r="BG132" i="5"/>
  <c r="K136" i="5"/>
  <c r="L135" i="5"/>
  <c r="M135" i="5" s="1"/>
  <c r="V52" i="1"/>
  <c r="U53" i="1"/>
  <c r="AC53" i="1"/>
  <c r="AD52" i="1"/>
  <c r="E51" i="1"/>
  <c r="BW50" i="1"/>
  <c r="BG50" i="1"/>
  <c r="AZ50" i="1"/>
  <c r="BV59" i="1"/>
  <c r="AK53" i="1"/>
  <c r="AL52" i="1"/>
  <c r="BF54" i="1"/>
  <c r="BN53" i="1"/>
  <c r="BO52" i="1"/>
  <c r="AY52" i="1"/>
  <c r="AR52" i="1"/>
  <c r="AY132" i="5" l="1"/>
  <c r="AZ131" i="5"/>
  <c r="BU138" i="5"/>
  <c r="BV137" i="5"/>
  <c r="AD132" i="5"/>
  <c r="AC133" i="5"/>
  <c r="BO131" i="5"/>
  <c r="BN132" i="5"/>
  <c r="CD129" i="5"/>
  <c r="CC130" i="5"/>
  <c r="BG133" i="5"/>
  <c r="BF134" i="5"/>
  <c r="V138" i="5"/>
  <c r="U139" i="5"/>
  <c r="AS132" i="5"/>
  <c r="AR133" i="5"/>
  <c r="AK132" i="5"/>
  <c r="AL131" i="5"/>
  <c r="K137" i="5"/>
  <c r="L136" i="5"/>
  <c r="M136" i="5" s="1"/>
  <c r="E52" i="1"/>
  <c r="AS52" i="1" s="1"/>
  <c r="BW51" i="1"/>
  <c r="BG51" i="1"/>
  <c r="AS51" i="1"/>
  <c r="AK54" i="1"/>
  <c r="AL53" i="1"/>
  <c r="AD53" i="1"/>
  <c r="AC54" i="1"/>
  <c r="AZ51" i="1"/>
  <c r="BV60" i="1"/>
  <c r="U54" i="1"/>
  <c r="V53" i="1"/>
  <c r="BF55" i="1"/>
  <c r="BN54" i="1"/>
  <c r="BO53" i="1"/>
  <c r="AY53" i="1"/>
  <c r="AR53" i="1"/>
  <c r="CD130" i="5" l="1"/>
  <c r="CC131" i="5"/>
  <c r="AR134" i="5"/>
  <c r="AS133" i="5"/>
  <c r="BG134" i="5"/>
  <c r="BF135" i="5"/>
  <c r="BO132" i="5"/>
  <c r="BN133" i="5"/>
  <c r="BV138" i="5"/>
  <c r="BU139" i="5"/>
  <c r="U140" i="5"/>
  <c r="V139" i="5"/>
  <c r="AD133" i="5"/>
  <c r="AC134" i="5"/>
  <c r="AL132" i="5"/>
  <c r="AK133" i="5"/>
  <c r="AZ132" i="5"/>
  <c r="AY133" i="5"/>
  <c r="L137" i="5"/>
  <c r="M137" i="5" s="1"/>
  <c r="K138" i="5"/>
  <c r="AL54" i="1"/>
  <c r="AK55" i="1"/>
  <c r="E53" i="1"/>
  <c r="AS53" i="1" s="1"/>
  <c r="BW52" i="1"/>
  <c r="BG52" i="1"/>
  <c r="U55" i="1"/>
  <c r="V54" i="1"/>
  <c r="AD54" i="1"/>
  <c r="AC55" i="1"/>
  <c r="AZ52" i="1"/>
  <c r="BV61" i="1"/>
  <c r="BF56" i="1"/>
  <c r="BN55" i="1"/>
  <c r="BO54" i="1"/>
  <c r="AY54" i="1"/>
  <c r="AR54" i="1"/>
  <c r="AZ53" i="1" l="1"/>
  <c r="AZ133" i="5"/>
  <c r="AY134" i="5"/>
  <c r="BU140" i="5"/>
  <c r="BV139" i="5"/>
  <c r="BG135" i="5"/>
  <c r="BF136" i="5"/>
  <c r="AL133" i="5"/>
  <c r="AK134" i="5"/>
  <c r="BN134" i="5"/>
  <c r="BO133" i="5"/>
  <c r="V140" i="5"/>
  <c r="U141" i="5"/>
  <c r="AR135" i="5"/>
  <c r="AS134" i="5"/>
  <c r="AD134" i="5"/>
  <c r="AC135" i="5"/>
  <c r="CC132" i="5"/>
  <c r="CD131" i="5"/>
  <c r="L138" i="5"/>
  <c r="M138" i="5" s="1"/>
  <c r="K139" i="5"/>
  <c r="AC56" i="1"/>
  <c r="AD55" i="1"/>
  <c r="BV62" i="1"/>
  <c r="E54" i="1"/>
  <c r="AS54" i="1" s="1"/>
  <c r="BW53" i="1"/>
  <c r="BG53" i="1"/>
  <c r="V55" i="1"/>
  <c r="U56" i="1"/>
  <c r="AL55" i="1"/>
  <c r="AK56" i="1"/>
  <c r="BF57" i="1"/>
  <c r="BN56" i="1"/>
  <c r="BO55" i="1"/>
  <c r="AY55" i="1"/>
  <c r="AR55" i="1"/>
  <c r="AY135" i="5" l="1"/>
  <c r="AZ134" i="5"/>
  <c r="AC136" i="5"/>
  <c r="AD135" i="5"/>
  <c r="V141" i="5"/>
  <c r="U142" i="5"/>
  <c r="AK135" i="5"/>
  <c r="AL134" i="5"/>
  <c r="BU141" i="5"/>
  <c r="BV140" i="5"/>
  <c r="BG136" i="5"/>
  <c r="BF137" i="5"/>
  <c r="CC133" i="5"/>
  <c r="CD132" i="5"/>
  <c r="AS135" i="5"/>
  <c r="AR136" i="5"/>
  <c r="BN135" i="5"/>
  <c r="BO134" i="5"/>
  <c r="L139" i="5"/>
  <c r="M139" i="5" s="1"/>
  <c r="K140" i="5"/>
  <c r="AZ54" i="1"/>
  <c r="AK57" i="1"/>
  <c r="AL56" i="1"/>
  <c r="BV63" i="1"/>
  <c r="U57" i="1"/>
  <c r="V56" i="1"/>
  <c r="E55" i="1"/>
  <c r="AS55" i="1" s="1"/>
  <c r="BW54" i="1"/>
  <c r="BG54" i="1"/>
  <c r="AC57" i="1"/>
  <c r="AD56" i="1"/>
  <c r="BF58" i="1"/>
  <c r="BN57" i="1"/>
  <c r="BO56" i="1"/>
  <c r="AY56" i="1"/>
  <c r="AR56" i="1"/>
  <c r="AS136" i="5" l="1"/>
  <c r="AR137" i="5"/>
  <c r="BG137" i="5"/>
  <c r="BF138" i="5"/>
  <c r="AL135" i="5"/>
  <c r="AK136" i="5"/>
  <c r="AD136" i="5"/>
  <c r="AC137" i="5"/>
  <c r="V142" i="5"/>
  <c r="U143" i="5"/>
  <c r="BO135" i="5"/>
  <c r="BN136" i="5"/>
  <c r="CD133" i="5"/>
  <c r="CC134" i="5"/>
  <c r="BV141" i="5"/>
  <c r="BU142" i="5"/>
  <c r="AZ135" i="5"/>
  <c r="AY136" i="5"/>
  <c r="L140" i="5"/>
  <c r="M140" i="5" s="1"/>
  <c r="K141" i="5"/>
  <c r="BV64" i="1"/>
  <c r="E56" i="1"/>
  <c r="AS56" i="1" s="1"/>
  <c r="BW55" i="1"/>
  <c r="BG55" i="1"/>
  <c r="AC58" i="1"/>
  <c r="AD57" i="1"/>
  <c r="AZ55" i="1"/>
  <c r="U58" i="1"/>
  <c r="V57" i="1"/>
  <c r="AK58" i="1"/>
  <c r="AL57" i="1"/>
  <c r="BF59" i="1"/>
  <c r="BO57" i="1"/>
  <c r="BN58" i="1"/>
  <c r="AY57" i="1"/>
  <c r="AR57" i="1"/>
  <c r="AZ136" i="5" l="1"/>
  <c r="AY137" i="5"/>
  <c r="U144" i="5"/>
  <c r="V143" i="5"/>
  <c r="AS137" i="5"/>
  <c r="AR138" i="5"/>
  <c r="BU143" i="5"/>
  <c r="BV142" i="5"/>
  <c r="BO136" i="5"/>
  <c r="BN137" i="5"/>
  <c r="AD137" i="5"/>
  <c r="AC138" i="5"/>
  <c r="BG138" i="5"/>
  <c r="BF139" i="5"/>
  <c r="CD134" i="5"/>
  <c r="CC135" i="5"/>
  <c r="AL136" i="5"/>
  <c r="AK137" i="5"/>
  <c r="L141" i="5"/>
  <c r="M141" i="5" s="1"/>
  <c r="K142" i="5"/>
  <c r="AD58" i="1"/>
  <c r="AC59" i="1"/>
  <c r="AK59" i="1"/>
  <c r="AL58" i="1"/>
  <c r="E57" i="1"/>
  <c r="AZ57" i="1" s="1"/>
  <c r="BW56" i="1"/>
  <c r="BG56" i="1"/>
  <c r="AZ56" i="1"/>
  <c r="U59" i="1"/>
  <c r="V58" i="1"/>
  <c r="BV65" i="1"/>
  <c r="BF60" i="1"/>
  <c r="BO58" i="1"/>
  <c r="BN59" i="1"/>
  <c r="AY58" i="1"/>
  <c r="AR58" i="1"/>
  <c r="U145" i="5" l="1"/>
  <c r="V144" i="5"/>
  <c r="AK138" i="5"/>
  <c r="AL137" i="5"/>
  <c r="BO137" i="5"/>
  <c r="BN138" i="5"/>
  <c r="AY138" i="5"/>
  <c r="AZ137" i="5"/>
  <c r="CD135" i="5"/>
  <c r="CC136" i="5"/>
  <c r="AD138" i="5"/>
  <c r="AC139" i="5"/>
  <c r="BU144" i="5"/>
  <c r="BV143" i="5"/>
  <c r="BF140" i="5"/>
  <c r="BG139" i="5"/>
  <c r="AR139" i="5"/>
  <c r="AS138" i="5"/>
  <c r="L142" i="5"/>
  <c r="M142" i="5" s="1"/>
  <c r="K143" i="5"/>
  <c r="V59" i="1"/>
  <c r="U60" i="1"/>
  <c r="E58" i="1"/>
  <c r="AS58" i="1" s="1"/>
  <c r="BW57" i="1"/>
  <c r="BG57" i="1"/>
  <c r="AS57" i="1"/>
  <c r="BV66" i="1"/>
  <c r="AL59" i="1"/>
  <c r="AK60" i="1"/>
  <c r="AD59" i="1"/>
  <c r="AC60" i="1"/>
  <c r="BF61" i="1"/>
  <c r="BO59" i="1"/>
  <c r="BN60" i="1"/>
  <c r="AY59" i="1"/>
  <c r="AR59" i="1"/>
  <c r="AZ58" i="1" l="1"/>
  <c r="BF141" i="5"/>
  <c r="BG140" i="5"/>
  <c r="AZ138" i="5"/>
  <c r="AY139" i="5"/>
  <c r="CD136" i="5"/>
  <c r="CC137" i="5"/>
  <c r="L143" i="5"/>
  <c r="M143" i="5" s="1"/>
  <c r="K144" i="5"/>
  <c r="AC140" i="5"/>
  <c r="AD139" i="5"/>
  <c r="AK139" i="5"/>
  <c r="AL138" i="5"/>
  <c r="BN139" i="5"/>
  <c r="BO138" i="5"/>
  <c r="AR140" i="5"/>
  <c r="AS139" i="5"/>
  <c r="BU145" i="5"/>
  <c r="BV144" i="5"/>
  <c r="U146" i="5"/>
  <c r="V145" i="5"/>
  <c r="AC61" i="1"/>
  <c r="AD60" i="1"/>
  <c r="BV67" i="1"/>
  <c r="E59" i="1"/>
  <c r="AS59" i="1" s="1"/>
  <c r="BW58" i="1"/>
  <c r="BG58" i="1"/>
  <c r="AY60" i="1"/>
  <c r="AL60" i="1"/>
  <c r="AK61" i="1"/>
  <c r="U61" i="1"/>
  <c r="V60" i="1"/>
  <c r="AR60" i="1"/>
  <c r="BF62" i="1"/>
  <c r="BN61" i="1"/>
  <c r="BO60" i="1"/>
  <c r="U147" i="5" l="1"/>
  <c r="V146" i="5"/>
  <c r="L144" i="5"/>
  <c r="M144" i="5" s="1"/>
  <c r="K145" i="5"/>
  <c r="AY140" i="5"/>
  <c r="AZ139" i="5"/>
  <c r="AR141" i="5"/>
  <c r="AS140" i="5"/>
  <c r="AL139" i="5"/>
  <c r="AK140" i="5"/>
  <c r="CC138" i="5"/>
  <c r="CD137" i="5"/>
  <c r="BU146" i="5"/>
  <c r="BV145" i="5"/>
  <c r="BN140" i="5"/>
  <c r="BO139" i="5"/>
  <c r="AC141" i="5"/>
  <c r="AD140" i="5"/>
  <c r="BF142" i="5"/>
  <c r="BG141" i="5"/>
  <c r="AZ59" i="1"/>
  <c r="U62" i="1"/>
  <c r="V61" i="1"/>
  <c r="BV68" i="1"/>
  <c r="AR61" i="1"/>
  <c r="AL61" i="1"/>
  <c r="AK62" i="1"/>
  <c r="AY61" i="1"/>
  <c r="E60" i="1"/>
  <c r="BW59" i="1"/>
  <c r="BG59" i="1"/>
  <c r="AC62" i="1"/>
  <c r="AD61" i="1"/>
  <c r="BF63" i="1"/>
  <c r="BN62" i="1"/>
  <c r="BO61" i="1"/>
  <c r="CD138" i="5" l="1"/>
  <c r="CC139" i="5"/>
  <c r="AR142" i="5"/>
  <c r="AS141" i="5"/>
  <c r="AK141" i="5"/>
  <c r="AL140" i="5"/>
  <c r="K146" i="5"/>
  <c r="L145" i="5"/>
  <c r="M145" i="5" s="1"/>
  <c r="BF143" i="5"/>
  <c r="BG142" i="5"/>
  <c r="BO140" i="5"/>
  <c r="BN141" i="5"/>
  <c r="AC142" i="5"/>
  <c r="AD141" i="5"/>
  <c r="BU147" i="5"/>
  <c r="BV146" i="5"/>
  <c r="AY141" i="5"/>
  <c r="AZ140" i="5"/>
  <c r="U148" i="5"/>
  <c r="V147" i="5"/>
  <c r="AY62" i="1"/>
  <c r="AR62" i="1"/>
  <c r="V62" i="1"/>
  <c r="U63" i="1"/>
  <c r="AL62" i="1"/>
  <c r="AK63" i="1"/>
  <c r="BV69" i="1"/>
  <c r="E61" i="1"/>
  <c r="AS61" i="1" s="1"/>
  <c r="BW60" i="1"/>
  <c r="BG60" i="1"/>
  <c r="AD62" i="1"/>
  <c r="AC63" i="1"/>
  <c r="AZ60" i="1"/>
  <c r="AS60" i="1"/>
  <c r="BF64" i="1"/>
  <c r="BO62" i="1"/>
  <c r="BN63" i="1"/>
  <c r="U149" i="5" l="1"/>
  <c r="V148" i="5"/>
  <c r="K147" i="5"/>
  <c r="L146" i="5"/>
  <c r="M146" i="5" s="1"/>
  <c r="BN142" i="5"/>
  <c r="BO141" i="5"/>
  <c r="BU148" i="5"/>
  <c r="BV147" i="5"/>
  <c r="AR143" i="5"/>
  <c r="AS142" i="5"/>
  <c r="CC140" i="5"/>
  <c r="CD139" i="5"/>
  <c r="AY142" i="5"/>
  <c r="AZ141" i="5"/>
  <c r="AC143" i="5"/>
  <c r="AD142" i="5"/>
  <c r="BG143" i="5"/>
  <c r="BF144" i="5"/>
  <c r="AL141" i="5"/>
  <c r="AK142" i="5"/>
  <c r="AY63" i="1"/>
  <c r="AL63" i="1"/>
  <c r="AK64" i="1"/>
  <c r="AD63" i="1"/>
  <c r="AC64" i="1"/>
  <c r="E62" i="1"/>
  <c r="BW61" i="1"/>
  <c r="BG61" i="1"/>
  <c r="AR63" i="1"/>
  <c r="AS62" i="1"/>
  <c r="BV70" i="1"/>
  <c r="U64" i="1"/>
  <c r="V63" i="1"/>
  <c r="AZ61" i="1"/>
  <c r="BF65" i="1"/>
  <c r="BN64" i="1"/>
  <c r="BO63" i="1"/>
  <c r="CC141" i="5" l="1"/>
  <c r="CD140" i="5"/>
  <c r="L147" i="5"/>
  <c r="M147" i="5" s="1"/>
  <c r="K148" i="5"/>
  <c r="AK143" i="5"/>
  <c r="AL142" i="5"/>
  <c r="AC144" i="5"/>
  <c r="AD143" i="5"/>
  <c r="BU149" i="5"/>
  <c r="BV148" i="5"/>
  <c r="BF145" i="5"/>
  <c r="BG144" i="5"/>
  <c r="AY143" i="5"/>
  <c r="AZ142" i="5"/>
  <c r="AR144" i="5"/>
  <c r="AS143" i="5"/>
  <c r="BO142" i="5"/>
  <c r="BN143" i="5"/>
  <c r="U150" i="5"/>
  <c r="V149" i="5"/>
  <c r="BV71" i="1"/>
  <c r="AY64" i="1"/>
  <c r="AL64" i="1"/>
  <c r="AK65" i="1"/>
  <c r="BO64" i="1"/>
  <c r="BN65" i="1"/>
  <c r="E63" i="1"/>
  <c r="BW62" i="1"/>
  <c r="BG62" i="1"/>
  <c r="V64" i="1"/>
  <c r="U65" i="1"/>
  <c r="AR64" i="1"/>
  <c r="AD64" i="1"/>
  <c r="AC65" i="1"/>
  <c r="AZ62" i="1"/>
  <c r="BF66" i="1"/>
  <c r="BV149" i="5" l="1"/>
  <c r="BU150" i="5"/>
  <c r="U151" i="5"/>
  <c r="V150" i="5"/>
  <c r="BF146" i="5"/>
  <c r="BG145" i="5"/>
  <c r="AD144" i="5"/>
  <c r="AC145" i="5"/>
  <c r="BN144" i="5"/>
  <c r="BO143" i="5"/>
  <c r="L148" i="5"/>
  <c r="M148" i="5" s="1"/>
  <c r="K149" i="5"/>
  <c r="AS144" i="5"/>
  <c r="AR145" i="5"/>
  <c r="AY144" i="5"/>
  <c r="AZ143" i="5"/>
  <c r="AK144" i="5"/>
  <c r="AL143" i="5"/>
  <c r="CD141" i="5"/>
  <c r="CC142" i="5"/>
  <c r="AC66" i="1"/>
  <c r="AD65" i="1"/>
  <c r="U66" i="1"/>
  <c r="V65" i="1"/>
  <c r="E64" i="1"/>
  <c r="AS64" i="1" s="1"/>
  <c r="BW63" i="1"/>
  <c r="BG63" i="1"/>
  <c r="BV72" i="1"/>
  <c r="BN66" i="1"/>
  <c r="BO65" i="1"/>
  <c r="AZ63" i="1"/>
  <c r="AS63" i="1"/>
  <c r="AY65" i="1"/>
  <c r="AR65" i="1"/>
  <c r="AL65" i="1"/>
  <c r="AK66" i="1"/>
  <c r="BF67" i="1"/>
  <c r="AZ64" i="1" l="1"/>
  <c r="BU151" i="5"/>
  <c r="BV150" i="5"/>
  <c r="BN145" i="5"/>
  <c r="BO144" i="5"/>
  <c r="CD142" i="5"/>
  <c r="CC143" i="5"/>
  <c r="L149" i="5"/>
  <c r="M149" i="5" s="1"/>
  <c r="K150" i="5"/>
  <c r="AS145" i="5"/>
  <c r="AR146" i="5"/>
  <c r="AK145" i="5"/>
  <c r="AL144" i="5"/>
  <c r="BG146" i="5"/>
  <c r="BF147" i="5"/>
  <c r="AC146" i="5"/>
  <c r="AD145" i="5"/>
  <c r="AY145" i="5"/>
  <c r="AZ144" i="5"/>
  <c r="U152" i="5"/>
  <c r="V151" i="5"/>
  <c r="AY66" i="1"/>
  <c r="BN67" i="1"/>
  <c r="BO66" i="1"/>
  <c r="AR66" i="1"/>
  <c r="AK67" i="1"/>
  <c r="AL66" i="1"/>
  <c r="U67" i="1"/>
  <c r="V66" i="1"/>
  <c r="BV73" i="1"/>
  <c r="E65" i="1"/>
  <c r="AS65" i="1" s="1"/>
  <c r="BW64" i="1"/>
  <c r="BG64" i="1"/>
  <c r="AC67" i="1"/>
  <c r="AD66" i="1"/>
  <c r="BF68" i="1"/>
  <c r="BV151" i="5" l="1"/>
  <c r="BU152" i="5"/>
  <c r="AY146" i="5"/>
  <c r="AZ145" i="5"/>
  <c r="BG147" i="5"/>
  <c r="BF148" i="5"/>
  <c r="BF149" i="5" s="1"/>
  <c r="AS146" i="5"/>
  <c r="AR147" i="5"/>
  <c r="CD143" i="5"/>
  <c r="CC144" i="5"/>
  <c r="K151" i="5"/>
  <c r="L150" i="5"/>
  <c r="M150" i="5" s="1"/>
  <c r="U153" i="5"/>
  <c r="V152" i="5"/>
  <c r="AC147" i="5"/>
  <c r="AD146" i="5"/>
  <c r="AK146" i="5"/>
  <c r="AL145" i="5"/>
  <c r="BN146" i="5"/>
  <c r="BO145" i="5"/>
  <c r="AL67" i="1"/>
  <c r="AK68" i="1"/>
  <c r="BN68" i="1"/>
  <c r="BO67" i="1"/>
  <c r="AY67" i="1"/>
  <c r="E66" i="1"/>
  <c r="BW65" i="1"/>
  <c r="BG65" i="1"/>
  <c r="U68" i="1"/>
  <c r="V67" i="1"/>
  <c r="AR67" i="1"/>
  <c r="AZ65" i="1"/>
  <c r="AC68" i="1"/>
  <c r="AD67" i="1"/>
  <c r="BV74" i="1"/>
  <c r="BF69" i="1"/>
  <c r="BV152" i="5" l="1"/>
  <c r="BU153" i="5"/>
  <c r="BG149" i="5"/>
  <c r="BF150" i="5"/>
  <c r="AK147" i="5"/>
  <c r="AL146" i="5"/>
  <c r="AR148" i="5"/>
  <c r="AS147" i="5"/>
  <c r="CD144" i="5"/>
  <c r="CC145" i="5"/>
  <c r="BG148" i="5"/>
  <c r="U154" i="5"/>
  <c r="V153" i="5"/>
  <c r="BN147" i="5"/>
  <c r="BO146" i="5"/>
  <c r="AC148" i="5"/>
  <c r="AD147" i="5"/>
  <c r="L151" i="5"/>
  <c r="M151" i="5" s="1"/>
  <c r="K152" i="5"/>
  <c r="AZ146" i="5"/>
  <c r="AY147" i="5"/>
  <c r="AC69" i="1"/>
  <c r="AD68" i="1"/>
  <c r="E67" i="1"/>
  <c r="AS67" i="1" s="1"/>
  <c r="BW66" i="1"/>
  <c r="BG66" i="1"/>
  <c r="BN69" i="1"/>
  <c r="BO68" i="1"/>
  <c r="BV75" i="1"/>
  <c r="U69" i="1"/>
  <c r="V68" i="1"/>
  <c r="AY68" i="1"/>
  <c r="AL68" i="1"/>
  <c r="AK69" i="1"/>
  <c r="AS66" i="1"/>
  <c r="AZ66" i="1"/>
  <c r="AR68" i="1"/>
  <c r="BF70" i="1"/>
  <c r="BV153" i="5" l="1"/>
  <c r="BU154" i="5"/>
  <c r="BF151" i="5"/>
  <c r="BG150" i="5"/>
  <c r="AZ147" i="5"/>
  <c r="AY148" i="5"/>
  <c r="L152" i="5"/>
  <c r="M152" i="5" s="1"/>
  <c r="K153" i="5"/>
  <c r="BN148" i="5"/>
  <c r="BO147" i="5"/>
  <c r="AR149" i="5"/>
  <c r="AS148" i="5"/>
  <c r="CC146" i="5"/>
  <c r="CD145" i="5"/>
  <c r="AC149" i="5"/>
  <c r="AD148" i="5"/>
  <c r="U155" i="5"/>
  <c r="V154" i="5"/>
  <c r="AK148" i="5"/>
  <c r="AL147" i="5"/>
  <c r="AZ67" i="1"/>
  <c r="BV76" i="1"/>
  <c r="AK70" i="1"/>
  <c r="AL69" i="1"/>
  <c r="E68" i="1"/>
  <c r="BW67" i="1"/>
  <c r="BG67" i="1"/>
  <c r="AR69" i="1"/>
  <c r="U70" i="1"/>
  <c r="V69" i="1"/>
  <c r="BO69" i="1"/>
  <c r="BN70" i="1"/>
  <c r="AY69" i="1"/>
  <c r="AD69" i="1"/>
  <c r="AC70" i="1"/>
  <c r="BF71" i="1"/>
  <c r="BV154" i="5" l="1"/>
  <c r="BU155" i="5"/>
  <c r="BG151" i="5"/>
  <c r="BF152" i="5"/>
  <c r="AD149" i="5"/>
  <c r="AC150" i="5"/>
  <c r="AY149" i="5"/>
  <c r="AZ148" i="5"/>
  <c r="K154" i="5"/>
  <c r="L153" i="5"/>
  <c r="M153" i="5" s="1"/>
  <c r="AK149" i="5"/>
  <c r="AL148" i="5"/>
  <c r="AR150" i="5"/>
  <c r="AS149" i="5"/>
  <c r="U156" i="5"/>
  <c r="V155" i="5"/>
  <c r="CC147" i="5"/>
  <c r="CD146" i="5"/>
  <c r="BN149" i="5"/>
  <c r="BO148" i="5"/>
  <c r="AC71" i="1"/>
  <c r="AD70" i="1"/>
  <c r="BN71" i="1"/>
  <c r="BO70" i="1"/>
  <c r="AR70" i="1"/>
  <c r="E69" i="1"/>
  <c r="BW68" i="1"/>
  <c r="BG68" i="1"/>
  <c r="BV77" i="1"/>
  <c r="AS68" i="1"/>
  <c r="AZ68" i="1"/>
  <c r="AK71" i="1"/>
  <c r="AL70" i="1"/>
  <c r="AZ69" i="1"/>
  <c r="AY70" i="1"/>
  <c r="V70" i="1"/>
  <c r="U71" i="1"/>
  <c r="BF72" i="1"/>
  <c r="BO149" i="5" l="1"/>
  <c r="BN150" i="5"/>
  <c r="V156" i="5"/>
  <c r="U157" i="5"/>
  <c r="BV155" i="5"/>
  <c r="BU156" i="5"/>
  <c r="BG152" i="5"/>
  <c r="BF153" i="5"/>
  <c r="AK150" i="5"/>
  <c r="AL149" i="5"/>
  <c r="AC151" i="5"/>
  <c r="AD150" i="5"/>
  <c r="AY150" i="5"/>
  <c r="AZ149" i="5"/>
  <c r="CD147" i="5"/>
  <c r="CC148" i="5"/>
  <c r="AS150" i="5"/>
  <c r="AR151" i="5"/>
  <c r="K155" i="5"/>
  <c r="L154" i="5"/>
  <c r="M154" i="5" s="1"/>
  <c r="AY71" i="1"/>
  <c r="V71" i="1"/>
  <c r="U72" i="1"/>
  <c r="BV78" i="1"/>
  <c r="E70" i="1"/>
  <c r="AZ70" i="1" s="1"/>
  <c r="BW69" i="1"/>
  <c r="BG69" i="1"/>
  <c r="BO71" i="1"/>
  <c r="BN72" i="1"/>
  <c r="AL71" i="1"/>
  <c r="AK72" i="1"/>
  <c r="AS69" i="1"/>
  <c r="AR71" i="1"/>
  <c r="AC72" i="1"/>
  <c r="AD71" i="1"/>
  <c r="BF73" i="1"/>
  <c r="U158" i="5" l="1"/>
  <c r="V157" i="5"/>
  <c r="BV156" i="5"/>
  <c r="BU157" i="5"/>
  <c r="BN151" i="5"/>
  <c r="BO150" i="5"/>
  <c r="L155" i="5"/>
  <c r="M155" i="5" s="1"/>
  <c r="K156" i="5"/>
  <c r="BF154" i="5"/>
  <c r="BG153" i="5"/>
  <c r="CC149" i="5"/>
  <c r="CD148" i="5"/>
  <c r="AC152" i="5"/>
  <c r="AD151" i="5"/>
  <c r="AR152" i="5"/>
  <c r="AS151" i="5"/>
  <c r="AY151" i="5"/>
  <c r="AZ150" i="5"/>
  <c r="AL150" i="5"/>
  <c r="AK151" i="5"/>
  <c r="AS70" i="1"/>
  <c r="U73" i="1"/>
  <c r="V72" i="1"/>
  <c r="BO72" i="1"/>
  <c r="BN73" i="1"/>
  <c r="AR72" i="1"/>
  <c r="E71" i="1"/>
  <c r="AS71" i="1" s="1"/>
  <c r="BW70" i="1"/>
  <c r="BG70" i="1"/>
  <c r="AC73" i="1"/>
  <c r="AD72" i="1"/>
  <c r="AK73" i="1"/>
  <c r="AL72" i="1"/>
  <c r="BV79" i="1"/>
  <c r="AY72" i="1"/>
  <c r="BF74" i="1"/>
  <c r="L156" i="5" l="1"/>
  <c r="M156" i="5" s="1"/>
  <c r="K157" i="5"/>
  <c r="BV157" i="5"/>
  <c r="BU158" i="5"/>
  <c r="CD149" i="5"/>
  <c r="CC150" i="5"/>
  <c r="BN152" i="5"/>
  <c r="BO151" i="5"/>
  <c r="U159" i="5"/>
  <c r="V158" i="5"/>
  <c r="BF155" i="5"/>
  <c r="BG154" i="5"/>
  <c r="AR153" i="5"/>
  <c r="AS152" i="5"/>
  <c r="AY152" i="5"/>
  <c r="AZ151" i="5"/>
  <c r="AC153" i="5"/>
  <c r="AD152" i="5"/>
  <c r="AL151" i="5"/>
  <c r="AK152" i="5"/>
  <c r="AZ71" i="1"/>
  <c r="BV80" i="1"/>
  <c r="AK74" i="1"/>
  <c r="AL73" i="1"/>
  <c r="BO73" i="1"/>
  <c r="BN74" i="1"/>
  <c r="E72" i="1"/>
  <c r="AZ72" i="1" s="1"/>
  <c r="BW71" i="1"/>
  <c r="BG71" i="1"/>
  <c r="AD73" i="1"/>
  <c r="AC74" i="1"/>
  <c r="AY73" i="1"/>
  <c r="AR73" i="1"/>
  <c r="V73" i="1"/>
  <c r="U74" i="1"/>
  <c r="BF75" i="1"/>
  <c r="BV158" i="5" l="1"/>
  <c r="BU159" i="5"/>
  <c r="BN153" i="5"/>
  <c r="BO152" i="5"/>
  <c r="CC151" i="5"/>
  <c r="CD150" i="5"/>
  <c r="K158" i="5"/>
  <c r="L157" i="5"/>
  <c r="M157" i="5" s="1"/>
  <c r="U160" i="5"/>
  <c r="V159" i="5"/>
  <c r="BG155" i="5"/>
  <c r="BF156" i="5"/>
  <c r="AY153" i="5"/>
  <c r="AZ152" i="5"/>
  <c r="AL152" i="5"/>
  <c r="AK153" i="5"/>
  <c r="AC154" i="5"/>
  <c r="AD153" i="5"/>
  <c r="AR154" i="5"/>
  <c r="AS153" i="5"/>
  <c r="AS72" i="1"/>
  <c r="AY74" i="1"/>
  <c r="AD74" i="1"/>
  <c r="AC75" i="1"/>
  <c r="E73" i="1"/>
  <c r="BW72" i="1"/>
  <c r="BG72" i="1"/>
  <c r="AK75" i="1"/>
  <c r="AL74" i="1"/>
  <c r="AR74" i="1"/>
  <c r="BO74" i="1"/>
  <c r="BN75" i="1"/>
  <c r="BV81" i="1"/>
  <c r="V74" i="1"/>
  <c r="U75" i="1"/>
  <c r="BF76" i="1"/>
  <c r="BG156" i="5" l="1"/>
  <c r="BF157" i="5"/>
  <c r="K159" i="5"/>
  <c r="L158" i="5"/>
  <c r="M158" i="5" s="1"/>
  <c r="BN154" i="5"/>
  <c r="BO153" i="5"/>
  <c r="BU160" i="5"/>
  <c r="BV159" i="5"/>
  <c r="U161" i="5"/>
  <c r="V160" i="5"/>
  <c r="CC152" i="5"/>
  <c r="CD151" i="5"/>
  <c r="AL153" i="5"/>
  <c r="AK154" i="5"/>
  <c r="AS154" i="5"/>
  <c r="AR155" i="5"/>
  <c r="AC155" i="5"/>
  <c r="AD154" i="5"/>
  <c r="AY154" i="5"/>
  <c r="AZ153" i="5"/>
  <c r="U76" i="1"/>
  <c r="V75" i="1"/>
  <c r="BO75" i="1"/>
  <c r="BN76" i="1"/>
  <c r="E74" i="1"/>
  <c r="BW73" i="1"/>
  <c r="BG73" i="1"/>
  <c r="AZ73" i="1"/>
  <c r="AK76" i="1"/>
  <c r="AL75" i="1"/>
  <c r="AC76" i="1"/>
  <c r="AD75" i="1"/>
  <c r="BV82" i="1"/>
  <c r="AR75" i="1"/>
  <c r="AS73" i="1"/>
  <c r="AY75" i="1"/>
  <c r="BF77" i="1"/>
  <c r="CC153" i="5" l="1"/>
  <c r="CD152" i="5"/>
  <c r="BU161" i="5"/>
  <c r="BV160" i="5"/>
  <c r="K160" i="5"/>
  <c r="L159" i="5"/>
  <c r="M159" i="5" s="1"/>
  <c r="BG157" i="5"/>
  <c r="BF158" i="5"/>
  <c r="U162" i="5"/>
  <c r="V161" i="5"/>
  <c r="BN155" i="5"/>
  <c r="BO154" i="5"/>
  <c r="AR156" i="5"/>
  <c r="AS155" i="5"/>
  <c r="AY155" i="5"/>
  <c r="AZ154" i="5"/>
  <c r="AL154" i="5"/>
  <c r="AK155" i="5"/>
  <c r="AC156" i="5"/>
  <c r="AD155" i="5"/>
  <c r="AK77" i="1"/>
  <c r="AL76" i="1"/>
  <c r="E75" i="1"/>
  <c r="AS75" i="1" s="1"/>
  <c r="BW74" i="1"/>
  <c r="BG74" i="1"/>
  <c r="V76" i="1"/>
  <c r="U77" i="1"/>
  <c r="AS74" i="1"/>
  <c r="BO76" i="1"/>
  <c r="BN77" i="1"/>
  <c r="AZ74" i="1"/>
  <c r="AR76" i="1"/>
  <c r="AD76" i="1"/>
  <c r="AC77" i="1"/>
  <c r="AY76" i="1"/>
  <c r="BV83" i="1"/>
  <c r="BF78" i="1"/>
  <c r="AL155" i="5" l="1"/>
  <c r="AK156" i="5"/>
  <c r="U163" i="5"/>
  <c r="V162" i="5"/>
  <c r="K161" i="5"/>
  <c r="L160" i="5"/>
  <c r="M160" i="5" s="1"/>
  <c r="CC154" i="5"/>
  <c r="CD153" i="5"/>
  <c r="BF159" i="5"/>
  <c r="BG158" i="5"/>
  <c r="AS156" i="5"/>
  <c r="AR157" i="5"/>
  <c r="AD156" i="5"/>
  <c r="AC157" i="5"/>
  <c r="BN156" i="5"/>
  <c r="BO155" i="5"/>
  <c r="BU162" i="5"/>
  <c r="BV161" i="5"/>
  <c r="AY156" i="5"/>
  <c r="AZ155" i="5"/>
  <c r="AZ75" i="1"/>
  <c r="AR77" i="1"/>
  <c r="AK78" i="1"/>
  <c r="AL77" i="1"/>
  <c r="AY77" i="1"/>
  <c r="BV84" i="1"/>
  <c r="AD77" i="1"/>
  <c r="AC78" i="1"/>
  <c r="U78" i="1"/>
  <c r="V77" i="1"/>
  <c r="E76" i="1"/>
  <c r="AZ76" i="1" s="1"/>
  <c r="BW75" i="1"/>
  <c r="BG75" i="1"/>
  <c r="BO77" i="1"/>
  <c r="BN78" i="1"/>
  <c r="BF79" i="1"/>
  <c r="AS157" i="5" l="1"/>
  <c r="AR158" i="5"/>
  <c r="AZ156" i="5"/>
  <c r="AY157" i="5"/>
  <c r="BN157" i="5"/>
  <c r="BO156" i="5"/>
  <c r="CC155" i="5"/>
  <c r="CD154" i="5"/>
  <c r="U164" i="5"/>
  <c r="V163" i="5"/>
  <c r="AC158" i="5"/>
  <c r="AD157" i="5"/>
  <c r="AK157" i="5"/>
  <c r="AL156" i="5"/>
  <c r="BV162" i="5"/>
  <c r="BU163" i="5"/>
  <c r="BF160" i="5"/>
  <c r="BG159" i="5"/>
  <c r="K162" i="5"/>
  <c r="L161" i="5"/>
  <c r="M161" i="5" s="1"/>
  <c r="BO78" i="1"/>
  <c r="BN79" i="1"/>
  <c r="AY78" i="1"/>
  <c r="BV85" i="1"/>
  <c r="U79" i="1"/>
  <c r="V78" i="1"/>
  <c r="AL78" i="1"/>
  <c r="AK79" i="1"/>
  <c r="AD78" i="1"/>
  <c r="AC79" i="1"/>
  <c r="AR78" i="1"/>
  <c r="E77" i="1"/>
  <c r="BW76" i="1"/>
  <c r="BG76" i="1"/>
  <c r="AS76" i="1"/>
  <c r="BF80" i="1"/>
  <c r="BU164" i="5" l="1"/>
  <c r="BV163" i="5"/>
  <c r="AZ157" i="5"/>
  <c r="AY158" i="5"/>
  <c r="K163" i="5"/>
  <c r="L162" i="5"/>
  <c r="M162" i="5" s="1"/>
  <c r="AC159" i="5"/>
  <c r="AD158" i="5"/>
  <c r="CC156" i="5"/>
  <c r="CD155" i="5"/>
  <c r="AS158" i="5"/>
  <c r="AR159" i="5"/>
  <c r="BF161" i="5"/>
  <c r="BG160" i="5"/>
  <c r="AK158" i="5"/>
  <c r="AL157" i="5"/>
  <c r="U165" i="5"/>
  <c r="V164" i="5"/>
  <c r="BN158" i="5"/>
  <c r="BO157" i="5"/>
  <c r="E78" i="1"/>
  <c r="AZ78" i="1" s="1"/>
  <c r="BW77" i="1"/>
  <c r="BG77" i="1"/>
  <c r="V79" i="1"/>
  <c r="U80" i="1"/>
  <c r="AL79" i="1"/>
  <c r="AK80" i="1"/>
  <c r="BO79" i="1"/>
  <c r="BN80" i="1"/>
  <c r="BV86" i="1"/>
  <c r="AC80" i="1"/>
  <c r="AD79" i="1"/>
  <c r="AZ77" i="1"/>
  <c r="AY79" i="1"/>
  <c r="AS77" i="1"/>
  <c r="AR79" i="1"/>
  <c r="AS78" i="1"/>
  <c r="BF81" i="1"/>
  <c r="AS159" i="5" l="1"/>
  <c r="AR160" i="5"/>
  <c r="AZ158" i="5"/>
  <c r="AY159" i="5"/>
  <c r="BN159" i="5"/>
  <c r="BO158" i="5"/>
  <c r="AK159" i="5"/>
  <c r="AL158" i="5"/>
  <c r="AC160" i="5"/>
  <c r="AD159" i="5"/>
  <c r="U166" i="5"/>
  <c r="V165" i="5"/>
  <c r="BG161" i="5"/>
  <c r="BF162" i="5"/>
  <c r="CC157" i="5"/>
  <c r="CD156" i="5"/>
  <c r="K164" i="5"/>
  <c r="L163" i="5"/>
  <c r="M163" i="5" s="1"/>
  <c r="BV164" i="5"/>
  <c r="BU165" i="5"/>
  <c r="BV87" i="1"/>
  <c r="AK81" i="1"/>
  <c r="AL80" i="1"/>
  <c r="AR80" i="1"/>
  <c r="BO80" i="1"/>
  <c r="BN81" i="1"/>
  <c r="U81" i="1"/>
  <c r="V80" i="1"/>
  <c r="AC81" i="1"/>
  <c r="AD80" i="1"/>
  <c r="AY80" i="1"/>
  <c r="E79" i="1"/>
  <c r="BW78" i="1"/>
  <c r="BG78" i="1"/>
  <c r="BF82" i="1"/>
  <c r="BV165" i="5" l="1"/>
  <c r="BU166" i="5"/>
  <c r="AY160" i="5"/>
  <c r="AZ159" i="5"/>
  <c r="CC158" i="5"/>
  <c r="CD157" i="5"/>
  <c r="U167" i="5"/>
  <c r="V166" i="5"/>
  <c r="AK160" i="5"/>
  <c r="AL159" i="5"/>
  <c r="BF163" i="5"/>
  <c r="BG162" i="5"/>
  <c r="AR161" i="5"/>
  <c r="AS160" i="5"/>
  <c r="K165" i="5"/>
  <c r="L164" i="5"/>
  <c r="M164" i="5" s="1"/>
  <c r="AC161" i="5"/>
  <c r="AD160" i="5"/>
  <c r="BN160" i="5"/>
  <c r="BO159" i="5"/>
  <c r="E80" i="1"/>
  <c r="AS80" i="1" s="1"/>
  <c r="BW79" i="1"/>
  <c r="BG79" i="1"/>
  <c r="AD81" i="1"/>
  <c r="AC82" i="1"/>
  <c r="AL81" i="1"/>
  <c r="AK82" i="1"/>
  <c r="AZ79" i="1"/>
  <c r="AR81" i="1"/>
  <c r="BV88" i="1"/>
  <c r="AY81" i="1"/>
  <c r="V81" i="1"/>
  <c r="U82" i="1"/>
  <c r="AS79" i="1"/>
  <c r="BO81" i="1"/>
  <c r="BN82" i="1"/>
  <c r="BF83" i="1"/>
  <c r="BN161" i="5" l="1"/>
  <c r="BO160" i="5"/>
  <c r="K166" i="5"/>
  <c r="L165" i="5"/>
  <c r="M165" i="5" s="1"/>
  <c r="BF164" i="5"/>
  <c r="BG163" i="5"/>
  <c r="U168" i="5"/>
  <c r="V167" i="5"/>
  <c r="AY161" i="5"/>
  <c r="AZ160" i="5"/>
  <c r="BV166" i="5"/>
  <c r="BU167" i="5"/>
  <c r="AC162" i="5"/>
  <c r="AD161" i="5"/>
  <c r="AS161" i="5"/>
  <c r="AR162" i="5"/>
  <c r="AK161" i="5"/>
  <c r="AL160" i="5"/>
  <c r="CC159" i="5"/>
  <c r="CD158" i="5"/>
  <c r="AZ80" i="1"/>
  <c r="BO82" i="1"/>
  <c r="BN83" i="1"/>
  <c r="AL82" i="1"/>
  <c r="AK83" i="1"/>
  <c r="AY82" i="1"/>
  <c r="AR82" i="1"/>
  <c r="AC83" i="1"/>
  <c r="AD82" i="1"/>
  <c r="E81" i="1"/>
  <c r="BW80" i="1"/>
  <c r="BG80" i="1"/>
  <c r="U83" i="1"/>
  <c r="V82" i="1"/>
  <c r="BV89" i="1"/>
  <c r="BF84" i="1"/>
  <c r="AR163" i="5" l="1"/>
  <c r="AS162" i="5"/>
  <c r="BU168" i="5"/>
  <c r="BV167" i="5"/>
  <c r="CC160" i="5"/>
  <c r="CD159" i="5"/>
  <c r="U169" i="5"/>
  <c r="V168" i="5"/>
  <c r="K167" i="5"/>
  <c r="L166" i="5"/>
  <c r="M166" i="5" s="1"/>
  <c r="AK162" i="5"/>
  <c r="AL161" i="5"/>
  <c r="AC163" i="5"/>
  <c r="AD162" i="5"/>
  <c r="AY162" i="5"/>
  <c r="AZ161" i="5"/>
  <c r="BF165" i="5"/>
  <c r="BG164" i="5"/>
  <c r="BN162" i="5"/>
  <c r="BO161" i="5"/>
  <c r="E82" i="1"/>
  <c r="BW81" i="1"/>
  <c r="BG81" i="1"/>
  <c r="AR83" i="1"/>
  <c r="V83" i="1"/>
  <c r="U84" i="1"/>
  <c r="AZ81" i="1"/>
  <c r="BO83" i="1"/>
  <c r="BN84" i="1"/>
  <c r="BV90" i="1"/>
  <c r="AD83" i="1"/>
  <c r="AC84" i="1"/>
  <c r="AY83" i="1"/>
  <c r="AS81" i="1"/>
  <c r="AL83" i="1"/>
  <c r="AK84" i="1"/>
  <c r="BF85" i="1"/>
  <c r="BN163" i="5" l="1"/>
  <c r="BO162" i="5"/>
  <c r="AY163" i="5"/>
  <c r="AZ162" i="5"/>
  <c r="AK163" i="5"/>
  <c r="AL162" i="5"/>
  <c r="U170" i="5"/>
  <c r="V169" i="5"/>
  <c r="BU169" i="5"/>
  <c r="BV168" i="5"/>
  <c r="BG165" i="5"/>
  <c r="BF166" i="5"/>
  <c r="AC164" i="5"/>
  <c r="AD163" i="5"/>
  <c r="K168" i="5"/>
  <c r="L167" i="5"/>
  <c r="M167" i="5" s="1"/>
  <c r="CC161" i="5"/>
  <c r="CD160" i="5"/>
  <c r="AR164" i="5"/>
  <c r="AS163" i="5"/>
  <c r="AK85" i="1"/>
  <c r="AL84" i="1"/>
  <c r="AY84" i="1"/>
  <c r="V84" i="1"/>
  <c r="U85" i="1"/>
  <c r="AD84" i="1"/>
  <c r="AC85" i="1"/>
  <c r="BO84" i="1"/>
  <c r="BN85" i="1"/>
  <c r="E83" i="1"/>
  <c r="AS83" i="1" s="1"/>
  <c r="BW82" i="1"/>
  <c r="BG82" i="1"/>
  <c r="AZ82" i="1"/>
  <c r="AS82" i="1"/>
  <c r="BV91" i="1"/>
  <c r="AR84" i="1"/>
  <c r="BF86" i="1"/>
  <c r="BF167" i="5" l="1"/>
  <c r="BG166" i="5"/>
  <c r="AS164" i="5"/>
  <c r="AR165" i="5"/>
  <c r="K169" i="5"/>
  <c r="L168" i="5"/>
  <c r="M168" i="5" s="1"/>
  <c r="U171" i="5"/>
  <c r="V170" i="5"/>
  <c r="AY164" i="5"/>
  <c r="AZ163" i="5"/>
  <c r="CC162" i="5"/>
  <c r="CD161" i="5"/>
  <c r="AC165" i="5"/>
  <c r="AD164" i="5"/>
  <c r="BV169" i="5"/>
  <c r="BU170" i="5"/>
  <c r="AK164" i="5"/>
  <c r="AL163" i="5"/>
  <c r="BN164" i="5"/>
  <c r="BO163" i="5"/>
  <c r="E84" i="1"/>
  <c r="AS84" i="1" s="1"/>
  <c r="BW83" i="1"/>
  <c r="BG83" i="1"/>
  <c r="AY85" i="1"/>
  <c r="AR85" i="1"/>
  <c r="BN86" i="1"/>
  <c r="BO85" i="1"/>
  <c r="U86" i="1"/>
  <c r="V85" i="1"/>
  <c r="BV92" i="1"/>
  <c r="AD85" i="1"/>
  <c r="AC86" i="1"/>
  <c r="AZ83" i="1"/>
  <c r="AK86" i="1"/>
  <c r="AL85" i="1"/>
  <c r="BF87" i="1"/>
  <c r="AZ84" i="1" l="1"/>
  <c r="BV170" i="5"/>
  <c r="BU171" i="5"/>
  <c r="AS165" i="5"/>
  <c r="AR166" i="5"/>
  <c r="BN165" i="5"/>
  <c r="BO164" i="5"/>
  <c r="CC163" i="5"/>
  <c r="CD162" i="5"/>
  <c r="U172" i="5"/>
  <c r="V171" i="5"/>
  <c r="AK165" i="5"/>
  <c r="AL164" i="5"/>
  <c r="AC166" i="5"/>
  <c r="AD165" i="5"/>
  <c r="AY165" i="5"/>
  <c r="AZ164" i="5"/>
  <c r="K170" i="5"/>
  <c r="L169" i="5"/>
  <c r="M169" i="5" s="1"/>
  <c r="BF168" i="5"/>
  <c r="BG167" i="5"/>
  <c r="AY86" i="1"/>
  <c r="AY87" i="1" s="1"/>
  <c r="BN87" i="1"/>
  <c r="BO86" i="1"/>
  <c r="AD86" i="1"/>
  <c r="AC87" i="1"/>
  <c r="U87" i="1"/>
  <c r="V86" i="1"/>
  <c r="AR86" i="1"/>
  <c r="AR87" i="1" s="1"/>
  <c r="AK87" i="1"/>
  <c r="AL86" i="1"/>
  <c r="BV93" i="1"/>
  <c r="E85" i="1"/>
  <c r="BW84" i="1"/>
  <c r="BG84" i="1"/>
  <c r="BF88" i="1"/>
  <c r="AS166" i="5" l="1"/>
  <c r="AR167" i="5"/>
  <c r="BG168" i="5"/>
  <c r="BF169" i="5"/>
  <c r="AY166" i="5"/>
  <c r="AZ165" i="5"/>
  <c r="AK166" i="5"/>
  <c r="AL165" i="5"/>
  <c r="CC164" i="5"/>
  <c r="CD163" i="5"/>
  <c r="BV171" i="5"/>
  <c r="BU172" i="5"/>
  <c r="K171" i="5"/>
  <c r="L170" i="5"/>
  <c r="M170" i="5" s="1"/>
  <c r="AC167" i="5"/>
  <c r="AD166" i="5"/>
  <c r="U173" i="5"/>
  <c r="V172" i="5"/>
  <c r="BN166" i="5"/>
  <c r="BO165" i="5"/>
  <c r="AY88" i="1"/>
  <c r="AR88" i="1"/>
  <c r="E86" i="1"/>
  <c r="AZ86" i="1" s="1"/>
  <c r="BW85" i="1"/>
  <c r="BG85" i="1"/>
  <c r="U88" i="1"/>
  <c r="V87" i="1"/>
  <c r="BV94" i="1"/>
  <c r="AD87" i="1"/>
  <c r="AC88" i="1"/>
  <c r="AZ85" i="1"/>
  <c r="AL87" i="1"/>
  <c r="AK88" i="1"/>
  <c r="BO87" i="1"/>
  <c r="BN88" i="1"/>
  <c r="AS85" i="1"/>
  <c r="BF89" i="1"/>
  <c r="BV172" i="5" l="1"/>
  <c r="BU173" i="5"/>
  <c r="BG169" i="5"/>
  <c r="BF170" i="5"/>
  <c r="BN167" i="5"/>
  <c r="BO166" i="5"/>
  <c r="AC168" i="5"/>
  <c r="AD167" i="5"/>
  <c r="AK167" i="5"/>
  <c r="AL166" i="5"/>
  <c r="AR168" i="5"/>
  <c r="AS167" i="5"/>
  <c r="U174" i="5"/>
  <c r="V173" i="5"/>
  <c r="K172" i="5"/>
  <c r="L171" i="5"/>
  <c r="M171" i="5" s="1"/>
  <c r="CC165" i="5"/>
  <c r="CD164" i="5"/>
  <c r="AY167" i="5"/>
  <c r="AZ166" i="5"/>
  <c r="AS86" i="1"/>
  <c r="AY89" i="1"/>
  <c r="AR89" i="1"/>
  <c r="BV95" i="1"/>
  <c r="BV96" i="1" s="1"/>
  <c r="BN89" i="1"/>
  <c r="BO88" i="1"/>
  <c r="AK89" i="1"/>
  <c r="AL88" i="1"/>
  <c r="U89" i="1"/>
  <c r="V88" i="1"/>
  <c r="AC89" i="1"/>
  <c r="AD88" i="1"/>
  <c r="E87" i="1"/>
  <c r="BW86" i="1"/>
  <c r="BG86" i="1"/>
  <c r="BF90" i="1"/>
  <c r="BF171" i="5" l="1"/>
  <c r="BG170" i="5"/>
  <c r="AY168" i="5"/>
  <c r="AZ167" i="5"/>
  <c r="K173" i="5"/>
  <c r="L172" i="5"/>
  <c r="M172" i="5" s="1"/>
  <c r="AR169" i="5"/>
  <c r="AS168" i="5"/>
  <c r="AC169" i="5"/>
  <c r="AD168" i="5"/>
  <c r="BU174" i="5"/>
  <c r="BV173" i="5"/>
  <c r="CC166" i="5"/>
  <c r="CD165" i="5"/>
  <c r="U175" i="5"/>
  <c r="V174" i="5"/>
  <c r="AK168" i="5"/>
  <c r="AL167" i="5"/>
  <c r="BN168" i="5"/>
  <c r="BO167" i="5"/>
  <c r="AZ87" i="1"/>
  <c r="AS87" i="1"/>
  <c r="AY90" i="1"/>
  <c r="AR90" i="1"/>
  <c r="BV97" i="1"/>
  <c r="E88" i="1"/>
  <c r="BW87" i="1"/>
  <c r="BG87" i="1"/>
  <c r="V89" i="1"/>
  <c r="U90" i="1"/>
  <c r="AD89" i="1"/>
  <c r="AC90" i="1"/>
  <c r="AL89" i="1"/>
  <c r="AK90" i="1"/>
  <c r="BO89" i="1"/>
  <c r="BN90" i="1"/>
  <c r="BF91" i="1"/>
  <c r="BN169" i="5" l="1"/>
  <c r="BO168" i="5"/>
  <c r="U176" i="5"/>
  <c r="V175" i="5"/>
  <c r="BV174" i="5"/>
  <c r="BU175" i="5"/>
  <c r="AR170" i="5"/>
  <c r="AS169" i="5"/>
  <c r="AY169" i="5"/>
  <c r="AZ168" i="5"/>
  <c r="AK169" i="5"/>
  <c r="AL168" i="5"/>
  <c r="CC167" i="5"/>
  <c r="CD166" i="5"/>
  <c r="AC170" i="5"/>
  <c r="AD169" i="5"/>
  <c r="K174" i="5"/>
  <c r="L173" i="5"/>
  <c r="M173" i="5" s="1"/>
  <c r="BF172" i="5"/>
  <c r="BG171" i="5"/>
  <c r="AZ88" i="1"/>
  <c r="AS88" i="1"/>
  <c r="AY91" i="1"/>
  <c r="AR91" i="1"/>
  <c r="BV98" i="1"/>
  <c r="BN91" i="1"/>
  <c r="BO90" i="1"/>
  <c r="AL90" i="1"/>
  <c r="AK91" i="1"/>
  <c r="V90" i="1"/>
  <c r="U91" i="1"/>
  <c r="AC91" i="1"/>
  <c r="AD90" i="1"/>
  <c r="E89" i="1"/>
  <c r="BW88" i="1"/>
  <c r="BG88" i="1"/>
  <c r="BF92" i="1"/>
  <c r="BF173" i="5" l="1"/>
  <c r="BG172" i="5"/>
  <c r="AC171" i="5"/>
  <c r="AD170" i="5"/>
  <c r="AK170" i="5"/>
  <c r="AL169" i="5"/>
  <c r="AR171" i="5"/>
  <c r="AS170" i="5"/>
  <c r="U177" i="5"/>
  <c r="V176" i="5"/>
  <c r="BV175" i="5"/>
  <c r="BU176" i="5"/>
  <c r="K175" i="5"/>
  <c r="L174" i="5"/>
  <c r="M174" i="5" s="1"/>
  <c r="CC168" i="5"/>
  <c r="CD167" i="5"/>
  <c r="AY170" i="5"/>
  <c r="AZ169" i="5"/>
  <c r="BN170" i="5"/>
  <c r="BO169" i="5"/>
  <c r="AY92" i="1"/>
  <c r="AS89" i="1"/>
  <c r="AZ89" i="1"/>
  <c r="AR92" i="1"/>
  <c r="BV99" i="1"/>
  <c r="E90" i="1"/>
  <c r="BW89" i="1"/>
  <c r="BG89" i="1"/>
  <c r="AK92" i="1"/>
  <c r="AL91" i="1"/>
  <c r="AC92" i="1"/>
  <c r="AD91" i="1"/>
  <c r="U92" i="1"/>
  <c r="V91" i="1"/>
  <c r="BN92" i="1"/>
  <c r="BO91" i="1"/>
  <c r="BF93" i="1"/>
  <c r="BU177" i="5" l="1"/>
  <c r="BV176" i="5"/>
  <c r="BN171" i="5"/>
  <c r="BO170" i="5"/>
  <c r="CC169" i="5"/>
  <c r="CD168" i="5"/>
  <c r="AR172" i="5"/>
  <c r="AS171" i="5"/>
  <c r="AC172" i="5"/>
  <c r="AD171" i="5"/>
  <c r="AZ170" i="5"/>
  <c r="AY171" i="5"/>
  <c r="K176" i="5"/>
  <c r="L175" i="5"/>
  <c r="M175" i="5" s="1"/>
  <c r="U178" i="5"/>
  <c r="V177" i="5"/>
  <c r="AK171" i="5"/>
  <c r="AL170" i="5"/>
  <c r="BG173" i="5"/>
  <c r="BF174" i="5"/>
  <c r="AS90" i="1"/>
  <c r="AZ90" i="1"/>
  <c r="AY93" i="1"/>
  <c r="AR93" i="1"/>
  <c r="BV100" i="1"/>
  <c r="BN93" i="1"/>
  <c r="BO92" i="1"/>
  <c r="AC93" i="1"/>
  <c r="AD92" i="1"/>
  <c r="E91" i="1"/>
  <c r="BW90" i="1"/>
  <c r="BG90" i="1"/>
  <c r="U93" i="1"/>
  <c r="V92" i="1"/>
  <c r="AK93" i="1"/>
  <c r="AL92" i="1"/>
  <c r="BF94" i="1"/>
  <c r="BF175" i="5" l="1"/>
  <c r="BG174" i="5"/>
  <c r="AY172" i="5"/>
  <c r="AZ171" i="5"/>
  <c r="U179" i="5"/>
  <c r="V178" i="5"/>
  <c r="AR173" i="5"/>
  <c r="AS172" i="5"/>
  <c r="BN172" i="5"/>
  <c r="BO171" i="5"/>
  <c r="AK172" i="5"/>
  <c r="AL171" i="5"/>
  <c r="K177" i="5"/>
  <c r="L176" i="5"/>
  <c r="M176" i="5" s="1"/>
  <c r="AC173" i="5"/>
  <c r="AD172" i="5"/>
  <c r="CC170" i="5"/>
  <c r="CD169" i="5"/>
  <c r="BV177" i="5"/>
  <c r="BU178" i="5"/>
  <c r="AZ91" i="1"/>
  <c r="AS91" i="1"/>
  <c r="AY94" i="1"/>
  <c r="AR94" i="1"/>
  <c r="BV101" i="1"/>
  <c r="AC94" i="1"/>
  <c r="AD93" i="1"/>
  <c r="AL93" i="1"/>
  <c r="AK94" i="1"/>
  <c r="E92" i="1"/>
  <c r="BW91" i="1"/>
  <c r="BG91" i="1"/>
  <c r="V93" i="1"/>
  <c r="U94" i="1"/>
  <c r="BN94" i="1"/>
  <c r="BO93" i="1"/>
  <c r="BF95" i="1"/>
  <c r="BF96" i="1" s="1"/>
  <c r="CC171" i="5" l="1"/>
  <c r="CD170" i="5"/>
  <c r="BN173" i="5"/>
  <c r="BO172" i="5"/>
  <c r="BF176" i="5"/>
  <c r="BG175" i="5"/>
  <c r="BU179" i="5"/>
  <c r="BV178" i="5"/>
  <c r="K178" i="5"/>
  <c r="L177" i="5"/>
  <c r="M177" i="5" s="1"/>
  <c r="U180" i="5"/>
  <c r="V179" i="5"/>
  <c r="AC174" i="5"/>
  <c r="AD173" i="5"/>
  <c r="AK173" i="5"/>
  <c r="AL172" i="5"/>
  <c r="AR174" i="5"/>
  <c r="AS173" i="5"/>
  <c r="AY173" i="5"/>
  <c r="AZ172" i="5"/>
  <c r="AS92" i="1"/>
  <c r="AZ92" i="1"/>
  <c r="AY95" i="1"/>
  <c r="AY96" i="1" s="1"/>
  <c r="AR95" i="1"/>
  <c r="BF97" i="1"/>
  <c r="BV102" i="1"/>
  <c r="BN95" i="1"/>
  <c r="BO94" i="1"/>
  <c r="U95" i="1"/>
  <c r="V94" i="1"/>
  <c r="AD94" i="1"/>
  <c r="AC95" i="1"/>
  <c r="AK95" i="1"/>
  <c r="AL94" i="1"/>
  <c r="E93" i="1"/>
  <c r="BW92" i="1"/>
  <c r="BG92" i="1"/>
  <c r="AY174" i="5" l="1"/>
  <c r="AZ173" i="5"/>
  <c r="AK174" i="5"/>
  <c r="AL173" i="5"/>
  <c r="U181" i="5"/>
  <c r="V180" i="5"/>
  <c r="BU180" i="5"/>
  <c r="BV179" i="5"/>
  <c r="BN174" i="5"/>
  <c r="BO173" i="5"/>
  <c r="AR175" i="5"/>
  <c r="AS174" i="5"/>
  <c r="AC175" i="5"/>
  <c r="AD174" i="5"/>
  <c r="K179" i="5"/>
  <c r="L178" i="5"/>
  <c r="M178" i="5" s="1"/>
  <c r="BF177" i="5"/>
  <c r="BG176" i="5"/>
  <c r="CC172" i="5"/>
  <c r="CD171" i="5"/>
  <c r="AY97" i="1"/>
  <c r="AS93" i="1"/>
  <c r="AZ93" i="1"/>
  <c r="AR96" i="1"/>
  <c r="V95" i="1"/>
  <c r="U96" i="1"/>
  <c r="BF98" i="1"/>
  <c r="BO95" i="1"/>
  <c r="BN96" i="1"/>
  <c r="BV103" i="1"/>
  <c r="AD95" i="1"/>
  <c r="AC96" i="1"/>
  <c r="AL95" i="1"/>
  <c r="AK96" i="1"/>
  <c r="E94" i="1"/>
  <c r="BW93" i="1"/>
  <c r="BG93" i="1"/>
  <c r="CC173" i="5" l="1"/>
  <c r="CD172" i="5"/>
  <c r="K180" i="5"/>
  <c r="L179" i="5"/>
  <c r="M179" i="5" s="1"/>
  <c r="AR176" i="5"/>
  <c r="AS175" i="5"/>
  <c r="BV180" i="5"/>
  <c r="BU181" i="5"/>
  <c r="AK175" i="5"/>
  <c r="AL174" i="5"/>
  <c r="BF178" i="5"/>
  <c r="BG177" i="5"/>
  <c r="AC176" i="5"/>
  <c r="AD175" i="5"/>
  <c r="BN175" i="5"/>
  <c r="BO174" i="5"/>
  <c r="U182" i="5"/>
  <c r="V181" i="5"/>
  <c r="AZ174" i="5"/>
  <c r="AY175" i="5"/>
  <c r="AY98" i="1"/>
  <c r="AS94" i="1"/>
  <c r="AZ94" i="1"/>
  <c r="AR97" i="1"/>
  <c r="BF99" i="1"/>
  <c r="BO96" i="1"/>
  <c r="BN97" i="1"/>
  <c r="V96" i="1"/>
  <c r="U97" i="1"/>
  <c r="BV104" i="1"/>
  <c r="AC97" i="1"/>
  <c r="AD96" i="1"/>
  <c r="AL96" i="1"/>
  <c r="AK97" i="1"/>
  <c r="E95" i="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BW94" i="1"/>
  <c r="BG94" i="1"/>
  <c r="AY176" i="5" l="1"/>
  <c r="AZ175" i="5"/>
  <c r="BV181" i="5"/>
  <c r="BU182" i="5"/>
  <c r="BN176" i="5"/>
  <c r="BO175" i="5"/>
  <c r="BG178" i="5"/>
  <c r="BF179" i="5"/>
  <c r="K181" i="5"/>
  <c r="L180" i="5"/>
  <c r="M180" i="5" s="1"/>
  <c r="U183" i="5"/>
  <c r="V182" i="5"/>
  <c r="AC177" i="5"/>
  <c r="AD176" i="5"/>
  <c r="AK176" i="5"/>
  <c r="AL175" i="5"/>
  <c r="AR177" i="5"/>
  <c r="AS176" i="5"/>
  <c r="CC174" i="5"/>
  <c r="CD173" i="5"/>
  <c r="AY99" i="1"/>
  <c r="BG96" i="1"/>
  <c r="AZ95" i="1"/>
  <c r="AS95" i="1"/>
  <c r="AR98" i="1"/>
  <c r="BO97" i="1"/>
  <c r="BN98" i="1"/>
  <c r="U98" i="1"/>
  <c r="V97" i="1"/>
  <c r="BF100" i="1"/>
  <c r="BV105" i="1"/>
  <c r="AD97" i="1"/>
  <c r="AC98" i="1"/>
  <c r="AK98" i="1"/>
  <c r="AL97" i="1"/>
  <c r="BW95" i="1"/>
  <c r="BG95" i="1"/>
  <c r="BF180" i="5" l="1"/>
  <c r="BG179" i="5"/>
  <c r="BU183" i="5"/>
  <c r="BV182" i="5"/>
  <c r="CC175" i="5"/>
  <c r="CD174" i="5"/>
  <c r="AK177" i="5"/>
  <c r="AL176" i="5"/>
  <c r="U184" i="5"/>
  <c r="V183" i="5"/>
  <c r="AS177" i="5"/>
  <c r="AR178" i="5"/>
  <c r="AC178" i="5"/>
  <c r="AD177" i="5"/>
  <c r="K182" i="5"/>
  <c r="L181" i="5"/>
  <c r="M181" i="5" s="1"/>
  <c r="BN177" i="5"/>
  <c r="BO176" i="5"/>
  <c r="AY177" i="5"/>
  <c r="AZ176" i="5"/>
  <c r="BW96" i="1"/>
  <c r="AS97" i="1"/>
  <c r="AZ97" i="1"/>
  <c r="AS96" i="1"/>
  <c r="AZ96" i="1"/>
  <c r="AY100" i="1"/>
  <c r="AR99" i="1"/>
  <c r="U99" i="1"/>
  <c r="V98" i="1"/>
  <c r="BO98" i="1"/>
  <c r="BN99" i="1"/>
  <c r="BF101" i="1"/>
  <c r="BW97" i="1"/>
  <c r="BG97" i="1"/>
  <c r="BV106" i="1"/>
  <c r="AD98" i="1"/>
  <c r="AC99" i="1"/>
  <c r="AK99" i="1"/>
  <c r="AL98" i="1"/>
  <c r="AR179" i="5" l="1"/>
  <c r="AS178" i="5"/>
  <c r="AY178" i="5"/>
  <c r="AZ177" i="5"/>
  <c r="K183" i="5"/>
  <c r="L182" i="5"/>
  <c r="M182" i="5" s="1"/>
  <c r="AK178" i="5"/>
  <c r="AL177" i="5"/>
  <c r="BV183" i="5"/>
  <c r="BU184" i="5"/>
  <c r="BN178" i="5"/>
  <c r="BO177" i="5"/>
  <c r="AC179" i="5"/>
  <c r="AD178" i="5"/>
  <c r="V184" i="5"/>
  <c r="U185" i="5"/>
  <c r="CC176" i="5"/>
  <c r="CD175" i="5"/>
  <c r="BF181" i="5"/>
  <c r="BG180" i="5"/>
  <c r="AS98" i="1"/>
  <c r="AZ98" i="1"/>
  <c r="AY101" i="1"/>
  <c r="AR100" i="1"/>
  <c r="BN100" i="1"/>
  <c r="BO99" i="1"/>
  <c r="AZ99" i="1"/>
  <c r="BW98" i="1"/>
  <c r="BG98" i="1"/>
  <c r="BF102" i="1"/>
  <c r="U100" i="1"/>
  <c r="V99" i="1"/>
  <c r="BV107" i="1"/>
  <c r="AD99" i="1"/>
  <c r="AC100" i="1"/>
  <c r="AK100" i="1"/>
  <c r="AL99" i="1"/>
  <c r="V185" i="5" l="1"/>
  <c r="U186" i="5"/>
  <c r="BF182" i="5"/>
  <c r="BG181" i="5"/>
  <c r="BN179" i="5"/>
  <c r="BO178" i="5"/>
  <c r="AK179" i="5"/>
  <c r="AL178" i="5"/>
  <c r="AZ178" i="5"/>
  <c r="AY179" i="5"/>
  <c r="BU185" i="5"/>
  <c r="BV184" i="5"/>
  <c r="CC177" i="5"/>
  <c r="CD176" i="5"/>
  <c r="AC180" i="5"/>
  <c r="AD179" i="5"/>
  <c r="K184" i="5"/>
  <c r="L183" i="5"/>
  <c r="M183" i="5" s="1"/>
  <c r="AR180" i="5"/>
  <c r="AS179" i="5"/>
  <c r="AS99" i="1"/>
  <c r="AY102" i="1"/>
  <c r="AR101" i="1"/>
  <c r="AZ100" i="1"/>
  <c r="BW99" i="1"/>
  <c r="BG99" i="1"/>
  <c r="BF103" i="1"/>
  <c r="U101" i="1"/>
  <c r="V100" i="1"/>
  <c r="BN101" i="1"/>
  <c r="BO100" i="1"/>
  <c r="BV108" i="1"/>
  <c r="AC101" i="1"/>
  <c r="AD100" i="1"/>
  <c r="AK101" i="1"/>
  <c r="AL100" i="1"/>
  <c r="AR181" i="5" l="1"/>
  <c r="AS180" i="5"/>
  <c r="AC181" i="5"/>
  <c r="AD180" i="5"/>
  <c r="BU186" i="5"/>
  <c r="BV185" i="5"/>
  <c r="AK180" i="5"/>
  <c r="AL179" i="5"/>
  <c r="BF183" i="5"/>
  <c r="BG182" i="5"/>
  <c r="AY180" i="5"/>
  <c r="AZ179" i="5"/>
  <c r="V186" i="5"/>
  <c r="U187" i="5"/>
  <c r="L184" i="5"/>
  <c r="M184" i="5" s="1"/>
  <c r="K185" i="5"/>
  <c r="CC178" i="5"/>
  <c r="CD177" i="5"/>
  <c r="BN180" i="5"/>
  <c r="BO179" i="5"/>
  <c r="AY103" i="1"/>
  <c r="AS100" i="1"/>
  <c r="AR102" i="1"/>
  <c r="BN102" i="1"/>
  <c r="BO101" i="1"/>
  <c r="U102" i="1"/>
  <c r="V101" i="1"/>
  <c r="BF104" i="1"/>
  <c r="AZ101" i="1"/>
  <c r="BW100" i="1"/>
  <c r="BG100" i="1"/>
  <c r="BV109" i="1"/>
  <c r="AC102" i="1"/>
  <c r="AD101" i="1"/>
  <c r="AL101" i="1"/>
  <c r="AK102" i="1"/>
  <c r="CC179" i="5" l="1"/>
  <c r="CD178" i="5"/>
  <c r="L185" i="5"/>
  <c r="M185" i="5" s="1"/>
  <c r="K186" i="5"/>
  <c r="BN181" i="5"/>
  <c r="BO180" i="5"/>
  <c r="AZ180" i="5"/>
  <c r="AY181" i="5"/>
  <c r="AK181" i="5"/>
  <c r="AL180" i="5"/>
  <c r="AC182" i="5"/>
  <c r="AD181" i="5"/>
  <c r="U188" i="5"/>
  <c r="V187" i="5"/>
  <c r="BG183" i="5"/>
  <c r="BF184" i="5"/>
  <c r="BU187" i="5"/>
  <c r="BV186" i="5"/>
  <c r="AR182" i="5"/>
  <c r="AS181" i="5"/>
  <c r="AS101" i="1"/>
  <c r="AY104" i="1"/>
  <c r="AR103" i="1"/>
  <c r="U103" i="1"/>
  <c r="V102" i="1"/>
  <c r="BW101" i="1"/>
  <c r="BG101" i="1"/>
  <c r="BF105" i="1"/>
  <c r="BN103" i="1"/>
  <c r="BO102" i="1"/>
  <c r="BV110" i="1"/>
  <c r="BV111" i="1" s="1"/>
  <c r="AC103" i="1"/>
  <c r="AD102" i="1"/>
  <c r="AK103" i="1"/>
  <c r="AL102" i="1"/>
  <c r="BV187" i="5" l="1"/>
  <c r="BU188" i="5"/>
  <c r="V188" i="5"/>
  <c r="U189" i="5"/>
  <c r="AK182" i="5"/>
  <c r="AL181" i="5"/>
  <c r="BN182" i="5"/>
  <c r="BO181" i="5"/>
  <c r="CC180" i="5"/>
  <c r="CD179" i="5"/>
  <c r="BG184" i="5"/>
  <c r="BF185" i="5"/>
  <c r="AY182" i="5"/>
  <c r="AZ181" i="5"/>
  <c r="K187" i="5"/>
  <c r="L186" i="5"/>
  <c r="M186" i="5" s="1"/>
  <c r="AR183" i="5"/>
  <c r="AS182" i="5"/>
  <c r="AC183" i="5"/>
  <c r="AD182" i="5"/>
  <c r="AS102" i="1"/>
  <c r="AZ102" i="1"/>
  <c r="AY105" i="1"/>
  <c r="BV112" i="1"/>
  <c r="AR104" i="1"/>
  <c r="BN104" i="1"/>
  <c r="BO103" i="1"/>
  <c r="BW102" i="1"/>
  <c r="BG102" i="1"/>
  <c r="BF106" i="1"/>
  <c r="U104" i="1"/>
  <c r="V103" i="1"/>
  <c r="AC104" i="1"/>
  <c r="AD103" i="1"/>
  <c r="AK104" i="1"/>
  <c r="AL103" i="1"/>
  <c r="BG185" i="5" l="1"/>
  <c r="BF186" i="5"/>
  <c r="V189" i="5"/>
  <c r="U190" i="5"/>
  <c r="AC184" i="5"/>
  <c r="AD183" i="5"/>
  <c r="L187" i="5"/>
  <c r="M187" i="5" s="1"/>
  <c r="K188" i="5"/>
  <c r="BN183" i="5"/>
  <c r="BO182" i="5"/>
  <c r="BV188" i="5"/>
  <c r="BU189" i="5"/>
  <c r="AR184" i="5"/>
  <c r="AS183" i="5"/>
  <c r="AY183" i="5"/>
  <c r="AZ182" i="5"/>
  <c r="CC181" i="5"/>
  <c r="CD180" i="5"/>
  <c r="AK183" i="5"/>
  <c r="AL182" i="5"/>
  <c r="AS103" i="1"/>
  <c r="AZ103" i="1"/>
  <c r="AY106" i="1"/>
  <c r="BV113" i="1"/>
  <c r="AR105" i="1"/>
  <c r="AZ104" i="1"/>
  <c r="BW103" i="1"/>
  <c r="BG103" i="1"/>
  <c r="BF107" i="1"/>
  <c r="U105" i="1"/>
  <c r="V104" i="1"/>
  <c r="BN105" i="1"/>
  <c r="BO104" i="1"/>
  <c r="AC105" i="1"/>
  <c r="AD104" i="1"/>
  <c r="AK105" i="1"/>
  <c r="AL104" i="1"/>
  <c r="BV189" i="5" l="1"/>
  <c r="BU190" i="5"/>
  <c r="L188" i="5"/>
  <c r="M188" i="5" s="1"/>
  <c r="K189" i="5"/>
  <c r="U191" i="5"/>
  <c r="V190" i="5"/>
  <c r="AK184" i="5"/>
  <c r="AL183" i="5"/>
  <c r="AY184" i="5"/>
  <c r="AZ183" i="5"/>
  <c r="BG186" i="5"/>
  <c r="BF187" i="5"/>
  <c r="CC182" i="5"/>
  <c r="CD181" i="5"/>
  <c r="AS184" i="5"/>
  <c r="AR185" i="5"/>
  <c r="BN184" i="5"/>
  <c r="BO183" i="5"/>
  <c r="AD184" i="5"/>
  <c r="AC185" i="5"/>
  <c r="AS104" i="1"/>
  <c r="AY107" i="1"/>
  <c r="BV114" i="1"/>
  <c r="AR106" i="1"/>
  <c r="BN106" i="1"/>
  <c r="BO105" i="1"/>
  <c r="U106" i="1"/>
  <c r="V105" i="1"/>
  <c r="BF108" i="1"/>
  <c r="BW104" i="1"/>
  <c r="BG104" i="1"/>
  <c r="AC106" i="1"/>
  <c r="AD105" i="1"/>
  <c r="AK106" i="1"/>
  <c r="AL105" i="1"/>
  <c r="AD185" i="5" l="1"/>
  <c r="AC186" i="5"/>
  <c r="AS185" i="5"/>
  <c r="AR186" i="5"/>
  <c r="BG187" i="5"/>
  <c r="BF188" i="5"/>
  <c r="K190" i="5"/>
  <c r="L189" i="5"/>
  <c r="M189" i="5" s="1"/>
  <c r="AL184" i="5"/>
  <c r="AK185" i="5"/>
  <c r="BV190" i="5"/>
  <c r="BU191" i="5"/>
  <c r="BN185" i="5"/>
  <c r="BO184" i="5"/>
  <c r="CC183" i="5"/>
  <c r="CD182" i="5"/>
  <c r="AY185" i="5"/>
  <c r="AZ184" i="5"/>
  <c r="U192" i="5"/>
  <c r="V191" i="5"/>
  <c r="AS105" i="1"/>
  <c r="AZ105" i="1"/>
  <c r="AY108" i="1"/>
  <c r="BV115" i="1"/>
  <c r="AR107" i="1"/>
  <c r="BW105" i="1"/>
  <c r="BG105" i="1"/>
  <c r="U107" i="1"/>
  <c r="V106" i="1"/>
  <c r="BF109" i="1"/>
  <c r="BN107" i="1"/>
  <c r="BO106" i="1"/>
  <c r="AC107" i="1"/>
  <c r="AD106" i="1"/>
  <c r="AL106" i="1"/>
  <c r="AK107" i="1"/>
  <c r="BV191" i="5" l="1"/>
  <c r="BU192" i="5"/>
  <c r="AS186" i="5"/>
  <c r="AR187" i="5"/>
  <c r="U193" i="5"/>
  <c r="V192" i="5"/>
  <c r="CC184" i="5"/>
  <c r="CD183" i="5"/>
  <c r="K191" i="5"/>
  <c r="L190" i="5"/>
  <c r="M190" i="5" s="1"/>
  <c r="AL185" i="5"/>
  <c r="AK186" i="5"/>
  <c r="BG188" i="5"/>
  <c r="BF189" i="5"/>
  <c r="AD186" i="5"/>
  <c r="AC187" i="5"/>
  <c r="AZ185" i="5"/>
  <c r="AY186" i="5"/>
  <c r="BN186" i="5"/>
  <c r="BO185" i="5"/>
  <c r="AS106" i="1"/>
  <c r="AZ106" i="1"/>
  <c r="AY109" i="1"/>
  <c r="BV116" i="1"/>
  <c r="AR108" i="1"/>
  <c r="BO107" i="1"/>
  <c r="BN108" i="1"/>
  <c r="V107" i="1"/>
  <c r="U108" i="1"/>
  <c r="AD107" i="1"/>
  <c r="AC108" i="1"/>
  <c r="BF110" i="1"/>
  <c r="BF111" i="1" s="1"/>
  <c r="AL107" i="1"/>
  <c r="AK108" i="1"/>
  <c r="BW106" i="1"/>
  <c r="BG106" i="1"/>
  <c r="AD187" i="5" l="1"/>
  <c r="AC188" i="5"/>
  <c r="AL186" i="5"/>
  <c r="AK187" i="5"/>
  <c r="AR188" i="5"/>
  <c r="AS187" i="5"/>
  <c r="BN187" i="5"/>
  <c r="BO186" i="5"/>
  <c r="CD184" i="5"/>
  <c r="CC185" i="5"/>
  <c r="AY187" i="5"/>
  <c r="AZ186" i="5"/>
  <c r="BG189" i="5"/>
  <c r="BF190" i="5"/>
  <c r="BU193" i="5"/>
  <c r="BV192" i="5"/>
  <c r="K192" i="5"/>
  <c r="L191" i="5"/>
  <c r="M191" i="5" s="1"/>
  <c r="V193" i="5"/>
  <c r="U194" i="5"/>
  <c r="AS107" i="1"/>
  <c r="AZ107" i="1"/>
  <c r="AY110" i="1"/>
  <c r="BF112" i="1"/>
  <c r="BV117" i="1"/>
  <c r="AR109" i="1"/>
  <c r="BO108" i="1"/>
  <c r="BN109" i="1"/>
  <c r="AC109" i="1"/>
  <c r="AD108" i="1"/>
  <c r="V108" i="1"/>
  <c r="U109" i="1"/>
  <c r="AK109" i="1"/>
  <c r="AL108" i="1"/>
  <c r="AZ108" i="1"/>
  <c r="BW107" i="1"/>
  <c r="BG107" i="1"/>
  <c r="V194" i="5" l="1"/>
  <c r="U195" i="5"/>
  <c r="AK188" i="5"/>
  <c r="AL187" i="5"/>
  <c r="BU194" i="5"/>
  <c r="BV193" i="5"/>
  <c r="AZ187" i="5"/>
  <c r="AY188" i="5"/>
  <c r="BN188" i="5"/>
  <c r="BO187" i="5"/>
  <c r="BG190" i="5"/>
  <c r="BF191" i="5"/>
  <c r="CC186" i="5"/>
  <c r="CD185" i="5"/>
  <c r="AD188" i="5"/>
  <c r="AC189" i="5"/>
  <c r="K193" i="5"/>
  <c r="L192" i="5"/>
  <c r="M192" i="5" s="1"/>
  <c r="AS188" i="5"/>
  <c r="AR189" i="5"/>
  <c r="AS108" i="1"/>
  <c r="AY111" i="1"/>
  <c r="BV118" i="1"/>
  <c r="BF113" i="1"/>
  <c r="AR110" i="1"/>
  <c r="BO109" i="1"/>
  <c r="BN110" i="1"/>
  <c r="V109" i="1"/>
  <c r="U110" i="1"/>
  <c r="AZ109" i="1"/>
  <c r="BW108" i="1"/>
  <c r="BG108" i="1"/>
  <c r="AK110" i="1"/>
  <c r="AL109" i="1"/>
  <c r="AC110" i="1"/>
  <c r="AD109" i="1"/>
  <c r="AR190" i="5" l="1"/>
  <c r="AS189" i="5"/>
  <c r="AD189" i="5"/>
  <c r="AC190" i="5"/>
  <c r="BG191" i="5"/>
  <c r="BF192" i="5"/>
  <c r="AZ188" i="5"/>
  <c r="AY189" i="5"/>
  <c r="AL188" i="5"/>
  <c r="AK189" i="5"/>
  <c r="U196" i="5"/>
  <c r="V195" i="5"/>
  <c r="K194" i="5"/>
  <c r="L193" i="5"/>
  <c r="M193" i="5" s="1"/>
  <c r="CD186" i="5"/>
  <c r="CC187" i="5"/>
  <c r="BO188" i="5"/>
  <c r="BN189" i="5"/>
  <c r="BU195" i="5"/>
  <c r="BV194" i="5"/>
  <c r="AY112" i="1"/>
  <c r="AS109" i="1"/>
  <c r="AL110" i="1"/>
  <c r="AK111" i="1"/>
  <c r="V110" i="1"/>
  <c r="U111" i="1"/>
  <c r="BV119" i="1"/>
  <c r="BO110" i="1"/>
  <c r="BN111" i="1"/>
  <c r="BF114" i="1"/>
  <c r="AR111" i="1"/>
  <c r="AD110" i="1"/>
  <c r="AC111" i="1"/>
  <c r="BW109" i="1"/>
  <c r="BG109" i="1"/>
  <c r="CD187" i="5" l="1"/>
  <c r="CC188" i="5"/>
  <c r="AZ189" i="5"/>
  <c r="AY190" i="5"/>
  <c r="AD190" i="5"/>
  <c r="AC191" i="5"/>
  <c r="BU196" i="5"/>
  <c r="BV195" i="5"/>
  <c r="V196" i="5"/>
  <c r="U197" i="5"/>
  <c r="BO189" i="5"/>
  <c r="BN190" i="5"/>
  <c r="AL189" i="5"/>
  <c r="AK190" i="5"/>
  <c r="BF193" i="5"/>
  <c r="BG192" i="5"/>
  <c r="L194" i="5"/>
  <c r="M194" i="5" s="1"/>
  <c r="K195" i="5"/>
  <c r="AR191" i="5"/>
  <c r="AS190" i="5"/>
  <c r="AZ111" i="1"/>
  <c r="AZ110" i="1"/>
  <c r="AY113" i="1"/>
  <c r="BF115" i="1"/>
  <c r="BV120" i="1"/>
  <c r="BO111" i="1"/>
  <c r="BN112" i="1"/>
  <c r="U112" i="1"/>
  <c r="V111" i="1"/>
  <c r="AS110" i="1"/>
  <c r="AK112" i="1"/>
  <c r="AL111" i="1"/>
  <c r="AR112" i="1"/>
  <c r="AS111" i="1"/>
  <c r="AC112" i="1"/>
  <c r="AD111" i="1"/>
  <c r="BW110" i="1"/>
  <c r="BG110" i="1"/>
  <c r="BO190" i="5" l="1"/>
  <c r="BN191" i="5"/>
  <c r="AZ190" i="5"/>
  <c r="AY191" i="5"/>
  <c r="BG193" i="5"/>
  <c r="BF194" i="5"/>
  <c r="BV196" i="5"/>
  <c r="BU197" i="5"/>
  <c r="AR192" i="5"/>
  <c r="AS191" i="5"/>
  <c r="L195" i="5"/>
  <c r="M195" i="5" s="1"/>
  <c r="K196" i="5"/>
  <c r="AK191" i="5"/>
  <c r="AL190" i="5"/>
  <c r="U198" i="5"/>
  <c r="V197" i="5"/>
  <c r="AC192" i="5"/>
  <c r="AD191" i="5"/>
  <c r="CC189" i="5"/>
  <c r="CD188" i="5"/>
  <c r="AZ112" i="1"/>
  <c r="BG111" i="1"/>
  <c r="BW111" i="1"/>
  <c r="AY114" i="1"/>
  <c r="BV121" i="1"/>
  <c r="V112" i="1"/>
  <c r="U113" i="1"/>
  <c r="BO112" i="1"/>
  <c r="BN113" i="1"/>
  <c r="BF116" i="1"/>
  <c r="AK113" i="1"/>
  <c r="AL112" i="1"/>
  <c r="AZ113" i="1"/>
  <c r="BW112" i="1"/>
  <c r="BG112" i="1"/>
  <c r="AR113" i="1"/>
  <c r="AS112" i="1"/>
  <c r="AD112" i="1"/>
  <c r="AC113" i="1"/>
  <c r="L196" i="5" l="1"/>
  <c r="M196" i="5" s="1"/>
  <c r="K197" i="5"/>
  <c r="BU198" i="5"/>
  <c r="BV197" i="5"/>
  <c r="AY192" i="5"/>
  <c r="AZ191" i="5"/>
  <c r="CD189" i="5"/>
  <c r="CC190" i="5"/>
  <c r="V198" i="5"/>
  <c r="U199" i="5"/>
  <c r="BG194" i="5"/>
  <c r="BF195" i="5"/>
  <c r="BN192" i="5"/>
  <c r="BO191" i="5"/>
  <c r="AD192" i="5"/>
  <c r="AC193" i="5"/>
  <c r="AK192" i="5"/>
  <c r="AL191" i="5"/>
  <c r="AR193" i="5"/>
  <c r="AS192" i="5"/>
  <c r="AY115" i="1"/>
  <c r="U114" i="1"/>
  <c r="V113" i="1"/>
  <c r="AZ114" i="1"/>
  <c r="BW113" i="1"/>
  <c r="BG113" i="1"/>
  <c r="BN114" i="1"/>
  <c r="BO113" i="1"/>
  <c r="BF117" i="1"/>
  <c r="AL113" i="1"/>
  <c r="AK114" i="1"/>
  <c r="BV122" i="1"/>
  <c r="AR114" i="1"/>
  <c r="AS113" i="1"/>
  <c r="AC114" i="1"/>
  <c r="AD113" i="1"/>
  <c r="AC194" i="5" l="1"/>
  <c r="AD193" i="5"/>
  <c r="BG195" i="5"/>
  <c r="BF196" i="5"/>
  <c r="CC191" i="5"/>
  <c r="CD190" i="5"/>
  <c r="AR194" i="5"/>
  <c r="AS193" i="5"/>
  <c r="BV198" i="5"/>
  <c r="BU199" i="5"/>
  <c r="U200" i="5"/>
  <c r="V199" i="5"/>
  <c r="K198" i="5"/>
  <c r="L197" i="5"/>
  <c r="M197" i="5" s="1"/>
  <c r="AK193" i="5"/>
  <c r="AL192" i="5"/>
  <c r="BN193" i="5"/>
  <c r="BO192" i="5"/>
  <c r="AZ192" i="5"/>
  <c r="AY193" i="5"/>
  <c r="AY116" i="1"/>
  <c r="AL114" i="1"/>
  <c r="AK115" i="1"/>
  <c r="AZ115" i="1"/>
  <c r="BW114" i="1"/>
  <c r="BG114" i="1"/>
  <c r="BV123" i="1"/>
  <c r="BO114" i="1"/>
  <c r="BN115" i="1"/>
  <c r="BF118" i="1"/>
  <c r="V114" i="1"/>
  <c r="U115" i="1"/>
  <c r="AS114" i="1"/>
  <c r="AR115" i="1"/>
  <c r="AD114" i="1"/>
  <c r="AC115" i="1"/>
  <c r="AZ193" i="5" l="1"/>
  <c r="AY194" i="5"/>
  <c r="BG196" i="5"/>
  <c r="BF197" i="5"/>
  <c r="AK194" i="5"/>
  <c r="AL193" i="5"/>
  <c r="V200" i="5"/>
  <c r="U201" i="5"/>
  <c r="AR195" i="5"/>
  <c r="AS194" i="5"/>
  <c r="BV199" i="5"/>
  <c r="BU200" i="5"/>
  <c r="BN194" i="5"/>
  <c r="BO193" i="5"/>
  <c r="K199" i="5"/>
  <c r="L198" i="5"/>
  <c r="M198" i="5" s="1"/>
  <c r="CC192" i="5"/>
  <c r="CD191" i="5"/>
  <c r="AD194" i="5"/>
  <c r="AC195" i="5"/>
  <c r="AY117" i="1"/>
  <c r="BF119" i="1"/>
  <c r="AZ116" i="1"/>
  <c r="BW115" i="1"/>
  <c r="BG115" i="1"/>
  <c r="BV124" i="1"/>
  <c r="AL115" i="1"/>
  <c r="AK116" i="1"/>
  <c r="U116" i="1"/>
  <c r="V115" i="1"/>
  <c r="BO115" i="1"/>
  <c r="BN116" i="1"/>
  <c r="AS115" i="1"/>
  <c r="AR116" i="1"/>
  <c r="AD115" i="1"/>
  <c r="AC116" i="1"/>
  <c r="AC196" i="5" l="1"/>
  <c r="AD195" i="5"/>
  <c r="BU201" i="5"/>
  <c r="BV200" i="5"/>
  <c r="V201" i="5"/>
  <c r="U202" i="5"/>
  <c r="BF198" i="5"/>
  <c r="BG197" i="5"/>
  <c r="L199" i="5"/>
  <c r="M199" i="5" s="1"/>
  <c r="K200" i="5"/>
  <c r="AZ194" i="5"/>
  <c r="AY195" i="5"/>
  <c r="CC193" i="5"/>
  <c r="CD192" i="5"/>
  <c r="BO194" i="5"/>
  <c r="BN195" i="5"/>
  <c r="AR196" i="5"/>
  <c r="AS195" i="5"/>
  <c r="AL194" i="5"/>
  <c r="AK195" i="5"/>
  <c r="AY118" i="1"/>
  <c r="BV125" i="1"/>
  <c r="AZ117" i="1"/>
  <c r="BW116" i="1"/>
  <c r="BG116" i="1"/>
  <c r="V116" i="1"/>
  <c r="U117" i="1"/>
  <c r="BO116" i="1"/>
  <c r="BN117" i="1"/>
  <c r="AK117" i="1"/>
  <c r="AL116" i="1"/>
  <c r="BF120" i="1"/>
  <c r="AR117" i="1"/>
  <c r="AS116" i="1"/>
  <c r="AD116" i="1"/>
  <c r="AC117" i="1"/>
  <c r="AL195" i="5" l="1"/>
  <c r="AK196" i="5"/>
  <c r="BO195" i="5"/>
  <c r="BN196" i="5"/>
  <c r="AY196" i="5"/>
  <c r="AZ195" i="5"/>
  <c r="BF199" i="5"/>
  <c r="BG198" i="5"/>
  <c r="BV201" i="5"/>
  <c r="BU202" i="5"/>
  <c r="K201" i="5"/>
  <c r="L200" i="5"/>
  <c r="M200" i="5" s="1"/>
  <c r="V202" i="5"/>
  <c r="U203" i="5"/>
  <c r="AS196" i="5"/>
  <c r="AR197" i="5"/>
  <c r="CC194" i="5"/>
  <c r="CD193" i="5"/>
  <c r="AD196" i="5"/>
  <c r="AC197" i="5"/>
  <c r="AY119" i="1"/>
  <c r="V117" i="1"/>
  <c r="U118" i="1"/>
  <c r="AZ118" i="1"/>
  <c r="BW117" i="1"/>
  <c r="BG117" i="1"/>
  <c r="AL117" i="1"/>
  <c r="AK118" i="1"/>
  <c r="BF121" i="1"/>
  <c r="BO117" i="1"/>
  <c r="BN118" i="1"/>
  <c r="BV126" i="1"/>
  <c r="AR118" i="1"/>
  <c r="AS117" i="1"/>
  <c r="AD117" i="1"/>
  <c r="AC118" i="1"/>
  <c r="AC198" i="5" l="1"/>
  <c r="AD197" i="5"/>
  <c r="AR198" i="5"/>
  <c r="AS197" i="5"/>
  <c r="BO196" i="5"/>
  <c r="BN197" i="5"/>
  <c r="L201" i="5"/>
  <c r="M201" i="5" s="1"/>
  <c r="K202" i="5"/>
  <c r="BG199" i="5"/>
  <c r="BF200" i="5"/>
  <c r="U204" i="5"/>
  <c r="V203" i="5"/>
  <c r="BV202" i="5"/>
  <c r="BU203" i="5"/>
  <c r="AL196" i="5"/>
  <c r="AK197" i="5"/>
  <c r="CC195" i="5"/>
  <c r="CD194" i="5"/>
  <c r="AY197" i="5"/>
  <c r="AZ196" i="5"/>
  <c r="AY120" i="1"/>
  <c r="BO118" i="1"/>
  <c r="BN119" i="1"/>
  <c r="AL118" i="1"/>
  <c r="AK119" i="1"/>
  <c r="AZ119" i="1"/>
  <c r="BW118" i="1"/>
  <c r="BG118" i="1"/>
  <c r="V118" i="1"/>
  <c r="U119" i="1"/>
  <c r="BV127" i="1"/>
  <c r="BF122" i="1"/>
  <c r="AR119" i="1"/>
  <c r="AS118" i="1"/>
  <c r="AD118" i="1"/>
  <c r="AC119" i="1"/>
  <c r="AK198" i="5" l="1"/>
  <c r="AL197" i="5"/>
  <c r="K203" i="5"/>
  <c r="L202" i="5"/>
  <c r="M202" i="5" s="1"/>
  <c r="AY198" i="5"/>
  <c r="AZ197" i="5"/>
  <c r="U205" i="5"/>
  <c r="V204" i="5"/>
  <c r="AR199" i="5"/>
  <c r="AS198" i="5"/>
  <c r="BV203" i="5"/>
  <c r="BU204" i="5"/>
  <c r="BF201" i="5"/>
  <c r="BG200" i="5"/>
  <c r="BO197" i="5"/>
  <c r="BN198" i="5"/>
  <c r="CC196" i="5"/>
  <c r="CD195" i="5"/>
  <c r="AC199" i="5"/>
  <c r="AD198" i="5"/>
  <c r="AY121" i="1"/>
  <c r="BV128" i="1"/>
  <c r="BO119" i="1"/>
  <c r="BN120" i="1"/>
  <c r="AL119" i="1"/>
  <c r="AK120" i="1"/>
  <c r="BF123" i="1"/>
  <c r="V119" i="1"/>
  <c r="U120" i="1"/>
  <c r="AZ120" i="1"/>
  <c r="BW119" i="1"/>
  <c r="BG119" i="1"/>
  <c r="AS119" i="1"/>
  <c r="AR120" i="1"/>
  <c r="AC120" i="1"/>
  <c r="AD119" i="1"/>
  <c r="BN199" i="5" l="1"/>
  <c r="BO198" i="5"/>
  <c r="BU205" i="5"/>
  <c r="BV204" i="5"/>
  <c r="AD199" i="5"/>
  <c r="AC200" i="5"/>
  <c r="U206" i="5"/>
  <c r="V205" i="5"/>
  <c r="K204" i="5"/>
  <c r="L203" i="5"/>
  <c r="M203" i="5" s="1"/>
  <c r="CC197" i="5"/>
  <c r="CD196" i="5"/>
  <c r="BG201" i="5"/>
  <c r="BF202" i="5"/>
  <c r="AS199" i="5"/>
  <c r="AR200" i="5"/>
  <c r="AY199" i="5"/>
  <c r="AZ198" i="5"/>
  <c r="AK199" i="5"/>
  <c r="AL198" i="5"/>
  <c r="AY122" i="1"/>
  <c r="BO120" i="1"/>
  <c r="BN121" i="1"/>
  <c r="AZ121" i="1"/>
  <c r="BW120" i="1"/>
  <c r="BG120" i="1"/>
  <c r="V120" i="1"/>
  <c r="U121" i="1"/>
  <c r="BF124" i="1"/>
  <c r="AL120" i="1"/>
  <c r="AK121" i="1"/>
  <c r="BV129" i="1"/>
  <c r="AS120" i="1"/>
  <c r="AR121" i="1"/>
  <c r="AC121" i="1"/>
  <c r="AD120" i="1"/>
  <c r="AR201" i="5" l="1"/>
  <c r="AS200" i="5"/>
  <c r="AK200" i="5"/>
  <c r="AL199" i="5"/>
  <c r="CD197" i="5"/>
  <c r="CC198" i="5"/>
  <c r="U207" i="5"/>
  <c r="V206" i="5"/>
  <c r="BV205" i="5"/>
  <c r="BU206" i="5"/>
  <c r="BF203" i="5"/>
  <c r="BG202" i="5"/>
  <c r="AC201" i="5"/>
  <c r="AD200" i="5"/>
  <c r="AY200" i="5"/>
  <c r="AZ199" i="5"/>
  <c r="L204" i="5"/>
  <c r="M204" i="5" s="1"/>
  <c r="K205" i="5"/>
  <c r="BN200" i="5"/>
  <c r="BO199" i="5"/>
  <c r="AY123" i="1"/>
  <c r="BV130" i="1"/>
  <c r="AL121" i="1"/>
  <c r="AK122" i="1"/>
  <c r="V121" i="1"/>
  <c r="U122" i="1"/>
  <c r="AZ122" i="1"/>
  <c r="BW121" i="1"/>
  <c r="BG121" i="1"/>
  <c r="BN122" i="1"/>
  <c r="BO121" i="1"/>
  <c r="BF125" i="1"/>
  <c r="AR122" i="1"/>
  <c r="AS121" i="1"/>
  <c r="AC122" i="1"/>
  <c r="AD121" i="1"/>
  <c r="BN201" i="5" l="1"/>
  <c r="BO200" i="5"/>
  <c r="AY201" i="5"/>
  <c r="AZ200" i="5"/>
  <c r="BF204" i="5"/>
  <c r="BG203" i="5"/>
  <c r="U208" i="5"/>
  <c r="V207" i="5"/>
  <c r="AK201" i="5"/>
  <c r="AL200" i="5"/>
  <c r="K206" i="5"/>
  <c r="L205" i="5"/>
  <c r="M205" i="5" s="1"/>
  <c r="BV206" i="5"/>
  <c r="BU207" i="5"/>
  <c r="CD198" i="5"/>
  <c r="CC199" i="5"/>
  <c r="AD201" i="5"/>
  <c r="AC202" i="5"/>
  <c r="AS201" i="5"/>
  <c r="AR202" i="5"/>
  <c r="AY124" i="1"/>
  <c r="AL122" i="1"/>
  <c r="AK123" i="1"/>
  <c r="AZ123" i="1"/>
  <c r="BW122" i="1"/>
  <c r="BG122" i="1"/>
  <c r="BO122" i="1"/>
  <c r="BN123" i="1"/>
  <c r="V122" i="1"/>
  <c r="U123" i="1"/>
  <c r="BF126" i="1"/>
  <c r="BV131" i="1"/>
  <c r="AS122" i="1"/>
  <c r="AR123" i="1"/>
  <c r="AD122" i="1"/>
  <c r="AC123" i="1"/>
  <c r="BV207" i="5" l="1"/>
  <c r="BU208" i="5"/>
  <c r="AR203" i="5"/>
  <c r="AS202" i="5"/>
  <c r="CD199" i="5"/>
  <c r="CC200" i="5"/>
  <c r="L206" i="5"/>
  <c r="M206" i="5" s="1"/>
  <c r="K207" i="5"/>
  <c r="U209" i="5"/>
  <c r="V208" i="5"/>
  <c r="AY202" i="5"/>
  <c r="AZ201" i="5"/>
  <c r="AC203" i="5"/>
  <c r="AD202" i="5"/>
  <c r="AK202" i="5"/>
  <c r="AL201" i="5"/>
  <c r="BG204" i="5"/>
  <c r="BF205" i="5"/>
  <c r="BO201" i="5"/>
  <c r="BN202" i="5"/>
  <c r="AY125" i="1"/>
  <c r="BF127" i="1"/>
  <c r="BO123" i="1"/>
  <c r="BN124" i="1"/>
  <c r="AZ124" i="1"/>
  <c r="BW123" i="1"/>
  <c r="BG123" i="1"/>
  <c r="BV132" i="1"/>
  <c r="AK124" i="1"/>
  <c r="AL123" i="1"/>
  <c r="AD123" i="1"/>
  <c r="AC124" i="1"/>
  <c r="V123" i="1"/>
  <c r="U124" i="1"/>
  <c r="AS123" i="1"/>
  <c r="AR124" i="1"/>
  <c r="BN203" i="5" l="1"/>
  <c r="BO202" i="5"/>
  <c r="L207" i="5"/>
  <c r="M207" i="5" s="1"/>
  <c r="K208" i="5"/>
  <c r="AK203" i="5"/>
  <c r="AL202" i="5"/>
  <c r="AY203" i="5"/>
  <c r="AZ202" i="5"/>
  <c r="AR204" i="5"/>
  <c r="AS203" i="5"/>
  <c r="BF206" i="5"/>
  <c r="BG205" i="5"/>
  <c r="CC201" i="5"/>
  <c r="CD200" i="5"/>
  <c r="BU209" i="5"/>
  <c r="BV208" i="5"/>
  <c r="AC204" i="5"/>
  <c r="AD203" i="5"/>
  <c r="U210" i="5"/>
  <c r="V209" i="5"/>
  <c r="AY126" i="1"/>
  <c r="BN125" i="1"/>
  <c r="BO124" i="1"/>
  <c r="V124" i="1"/>
  <c r="U125" i="1"/>
  <c r="AL124" i="1"/>
  <c r="AK125" i="1"/>
  <c r="BF128" i="1"/>
  <c r="AD124" i="1"/>
  <c r="AC125" i="1"/>
  <c r="BV133" i="1"/>
  <c r="AZ125" i="1"/>
  <c r="BW124" i="1"/>
  <c r="BG124" i="1"/>
  <c r="AS124" i="1"/>
  <c r="AR125" i="1"/>
  <c r="K209" i="5" l="1"/>
  <c r="L208" i="5"/>
  <c r="M208" i="5" s="1"/>
  <c r="U211" i="5"/>
  <c r="V210" i="5"/>
  <c r="BU210" i="5"/>
  <c r="BV209" i="5"/>
  <c r="BG206" i="5"/>
  <c r="BF207" i="5"/>
  <c r="AZ203" i="5"/>
  <c r="AY204" i="5"/>
  <c r="AD204" i="5"/>
  <c r="AC205" i="5"/>
  <c r="CC202" i="5"/>
  <c r="CD201" i="5"/>
  <c r="AS204" i="5"/>
  <c r="AR205" i="5"/>
  <c r="AK204" i="5"/>
  <c r="AL203" i="5"/>
  <c r="BN204" i="5"/>
  <c r="BO203" i="5"/>
  <c r="AY127" i="1"/>
  <c r="BV134" i="1"/>
  <c r="U126" i="1"/>
  <c r="V125" i="1"/>
  <c r="BF129" i="1"/>
  <c r="AD125" i="1"/>
  <c r="AC126" i="1"/>
  <c r="AK126" i="1"/>
  <c r="AL125" i="1"/>
  <c r="AZ126" i="1"/>
  <c r="BW125" i="1"/>
  <c r="BG125" i="1"/>
  <c r="BO125" i="1"/>
  <c r="BN126" i="1"/>
  <c r="AR126" i="1"/>
  <c r="AS125" i="1"/>
  <c r="AS205" i="5" l="1"/>
  <c r="AR206" i="5"/>
  <c r="AC206" i="5"/>
  <c r="AD205" i="5"/>
  <c r="BG207" i="5"/>
  <c r="BF208" i="5"/>
  <c r="BN205" i="5"/>
  <c r="BO204" i="5"/>
  <c r="V211" i="5"/>
  <c r="U212" i="5"/>
  <c r="AY205" i="5"/>
  <c r="AZ204" i="5"/>
  <c r="AL204" i="5"/>
  <c r="AK205" i="5"/>
  <c r="CC203" i="5"/>
  <c r="CD202" i="5"/>
  <c r="BV210" i="5"/>
  <c r="BU211" i="5"/>
  <c r="L209" i="5"/>
  <c r="M209" i="5" s="1"/>
  <c r="K210" i="5"/>
  <c r="AY128" i="1"/>
  <c r="BO126" i="1"/>
  <c r="BN127" i="1"/>
  <c r="AZ127" i="1"/>
  <c r="BW126" i="1"/>
  <c r="BG126" i="1"/>
  <c r="V126" i="1"/>
  <c r="U127" i="1"/>
  <c r="AC127" i="1"/>
  <c r="AD126" i="1"/>
  <c r="BV135" i="1"/>
  <c r="AL126" i="1"/>
  <c r="AK127" i="1"/>
  <c r="BF130" i="1"/>
  <c r="AR127" i="1"/>
  <c r="AS126" i="1"/>
  <c r="K211" i="5" l="1"/>
  <c r="L210" i="5"/>
  <c r="M210" i="5" s="1"/>
  <c r="CC204" i="5"/>
  <c r="CD203" i="5"/>
  <c r="AZ205" i="5"/>
  <c r="AY206" i="5"/>
  <c r="BO205" i="5"/>
  <c r="BN206" i="5"/>
  <c r="AC207" i="5"/>
  <c r="AD206" i="5"/>
  <c r="BV211" i="5"/>
  <c r="BU212" i="5"/>
  <c r="AK206" i="5"/>
  <c r="AL205" i="5"/>
  <c r="U213" i="5"/>
  <c r="V212" i="5"/>
  <c r="BG208" i="5"/>
  <c r="BF209" i="5"/>
  <c r="AS206" i="5"/>
  <c r="AR207" i="5"/>
  <c r="AY129" i="1"/>
  <c r="BF131" i="1"/>
  <c r="BF132" i="1" s="1"/>
  <c r="AZ128" i="1"/>
  <c r="BW127" i="1"/>
  <c r="BG127" i="1"/>
  <c r="AD127" i="1"/>
  <c r="AC128" i="1"/>
  <c r="U128" i="1"/>
  <c r="V127" i="1"/>
  <c r="BN128" i="1"/>
  <c r="BO127" i="1"/>
  <c r="BV136" i="1"/>
  <c r="BV137" i="1" s="1"/>
  <c r="AK128" i="1"/>
  <c r="AL127" i="1"/>
  <c r="AS127" i="1"/>
  <c r="AR128" i="1"/>
  <c r="AR208" i="5" l="1"/>
  <c r="AS207" i="5"/>
  <c r="BU213" i="5"/>
  <c r="BV212" i="5"/>
  <c r="BN207" i="5"/>
  <c r="BO206" i="5"/>
  <c r="U214" i="5"/>
  <c r="V213" i="5"/>
  <c r="CD204" i="5"/>
  <c r="CC205" i="5"/>
  <c r="BF210" i="5"/>
  <c r="BG209" i="5"/>
  <c r="AZ206" i="5"/>
  <c r="AY207" i="5"/>
  <c r="AK207" i="5"/>
  <c r="AL206" i="5"/>
  <c r="AD207" i="5"/>
  <c r="AC208" i="5"/>
  <c r="K212" i="5"/>
  <c r="L211" i="5"/>
  <c r="M211" i="5" s="1"/>
  <c r="AY130" i="1"/>
  <c r="BV138" i="1"/>
  <c r="BF133" i="1"/>
  <c r="U129" i="1"/>
  <c r="V128" i="1"/>
  <c r="AC129" i="1"/>
  <c r="AD128" i="1"/>
  <c r="AZ129" i="1"/>
  <c r="BW128" i="1"/>
  <c r="BG128" i="1"/>
  <c r="AK129" i="1"/>
  <c r="AL128" i="1"/>
  <c r="BN129" i="1"/>
  <c r="BO128" i="1"/>
  <c r="AS128" i="1"/>
  <c r="AR129" i="1"/>
  <c r="L212" i="5" l="1"/>
  <c r="M212" i="5" s="1"/>
  <c r="K213" i="5"/>
  <c r="AL207" i="5"/>
  <c r="AK208" i="5"/>
  <c r="BG210" i="5"/>
  <c r="BF211" i="5"/>
  <c r="V214" i="5"/>
  <c r="U215" i="5"/>
  <c r="BV213" i="5"/>
  <c r="BU214" i="5"/>
  <c r="AC209" i="5"/>
  <c r="AD208" i="5"/>
  <c r="AY208" i="5"/>
  <c r="AZ207" i="5"/>
  <c r="CC206" i="5"/>
  <c r="CD205" i="5"/>
  <c r="BO207" i="5"/>
  <c r="BN208" i="5"/>
  <c r="AR209" i="5"/>
  <c r="AS208" i="5"/>
  <c r="AY131" i="1"/>
  <c r="BV139" i="1"/>
  <c r="BF134" i="1"/>
  <c r="BO129" i="1"/>
  <c r="BN130" i="1"/>
  <c r="AD129" i="1"/>
  <c r="AC130" i="1"/>
  <c r="AZ130" i="1"/>
  <c r="BW129" i="1"/>
  <c r="BG129" i="1"/>
  <c r="V129" i="1"/>
  <c r="U130" i="1"/>
  <c r="U131" i="1" s="1"/>
  <c r="AL129" i="1"/>
  <c r="AK130" i="1"/>
  <c r="AR130" i="1"/>
  <c r="AS129" i="1"/>
  <c r="V215" i="5" l="1"/>
  <c r="U216" i="5"/>
  <c r="AL208" i="5"/>
  <c r="AK209" i="5"/>
  <c r="AR210" i="5"/>
  <c r="AS209" i="5"/>
  <c r="CD206" i="5"/>
  <c r="CC207" i="5"/>
  <c r="AC210" i="5"/>
  <c r="AD209" i="5"/>
  <c r="BN209" i="5"/>
  <c r="BO208" i="5"/>
  <c r="BU215" i="5"/>
  <c r="BV214" i="5"/>
  <c r="BF212" i="5"/>
  <c r="BG211" i="5"/>
  <c r="L213" i="5"/>
  <c r="M213" i="5" s="1"/>
  <c r="K214" i="5"/>
  <c r="AY209" i="5"/>
  <c r="AZ208" i="5"/>
  <c r="AY132" i="1"/>
  <c r="V131" i="1"/>
  <c r="U132" i="1"/>
  <c r="BV140" i="1"/>
  <c r="BF135" i="1"/>
  <c r="V130" i="1"/>
  <c r="AZ131" i="1"/>
  <c r="BW130" i="1"/>
  <c r="BG130" i="1"/>
  <c r="AD130" i="1"/>
  <c r="AC131" i="1"/>
  <c r="AL130" i="1"/>
  <c r="AK131" i="1"/>
  <c r="BN131" i="1"/>
  <c r="BO130" i="1"/>
  <c r="AR131" i="1"/>
  <c r="AR132" i="1" s="1"/>
  <c r="AS130" i="1"/>
  <c r="CD207" i="5" l="1"/>
  <c r="CC208" i="5"/>
  <c r="AK210" i="5"/>
  <c r="AL209" i="5"/>
  <c r="AY210" i="5"/>
  <c r="AZ209" i="5"/>
  <c r="BG212" i="5"/>
  <c r="BF213" i="5"/>
  <c r="BN210" i="5"/>
  <c r="BO209" i="5"/>
  <c r="L214" i="5"/>
  <c r="M214" i="5" s="1"/>
  <c r="K215" i="5"/>
  <c r="U217" i="5"/>
  <c r="V216" i="5"/>
  <c r="BU216" i="5"/>
  <c r="BV215" i="5"/>
  <c r="AC211" i="5"/>
  <c r="AD210" i="5"/>
  <c r="AR211" i="5"/>
  <c r="AS210" i="5"/>
  <c r="AR133" i="1"/>
  <c r="AY133" i="1"/>
  <c r="AL131" i="1"/>
  <c r="AK132" i="1"/>
  <c r="V132" i="1"/>
  <c r="U133" i="1"/>
  <c r="BV141" i="1"/>
  <c r="BO131" i="1"/>
  <c r="BN132" i="1"/>
  <c r="BF136" i="1"/>
  <c r="AD131" i="1"/>
  <c r="AC132" i="1"/>
  <c r="AS131" i="1"/>
  <c r="BG132" i="1"/>
  <c r="BW131" i="1"/>
  <c r="BG131" i="1"/>
  <c r="L215" i="5" l="1"/>
  <c r="M215" i="5" s="1"/>
  <c r="K216" i="5"/>
  <c r="BF214" i="5"/>
  <c r="BG213" i="5"/>
  <c r="AR212" i="5"/>
  <c r="AS211" i="5"/>
  <c r="BU217" i="5"/>
  <c r="BV216" i="5"/>
  <c r="AL210" i="5"/>
  <c r="AK211" i="5"/>
  <c r="CC209" i="5"/>
  <c r="CD208" i="5"/>
  <c r="AC212" i="5"/>
  <c r="AD211" i="5"/>
  <c r="V217" i="5"/>
  <c r="U218" i="5"/>
  <c r="BN211" i="5"/>
  <c r="BO210" i="5"/>
  <c r="AY211" i="5"/>
  <c r="AZ210" i="5"/>
  <c r="AZ132" i="1"/>
  <c r="AY134" i="1"/>
  <c r="AK133" i="1"/>
  <c r="AL132" i="1"/>
  <c r="AS132" i="1"/>
  <c r="U134" i="1"/>
  <c r="V133" i="1"/>
  <c r="AR134" i="1"/>
  <c r="BV142" i="1"/>
  <c r="BN133" i="1"/>
  <c r="BO132" i="1"/>
  <c r="BF137" i="1"/>
  <c r="AC133" i="1"/>
  <c r="AD132" i="1"/>
  <c r="BG133" i="1"/>
  <c r="BW132" i="1"/>
  <c r="V218" i="5" l="1"/>
  <c r="U219" i="5"/>
  <c r="CD209" i="5"/>
  <c r="CC210" i="5"/>
  <c r="BV217" i="5"/>
  <c r="BU218" i="5"/>
  <c r="BG214" i="5"/>
  <c r="BF215" i="5"/>
  <c r="AY212" i="5"/>
  <c r="AZ211" i="5"/>
  <c r="AL211" i="5"/>
  <c r="AK212" i="5"/>
  <c r="K217" i="5"/>
  <c r="L216" i="5"/>
  <c r="M216" i="5" s="1"/>
  <c r="BN212" i="5"/>
  <c r="BO211" i="5"/>
  <c r="AC213" i="5"/>
  <c r="AD212" i="5"/>
  <c r="AR213" i="5"/>
  <c r="AS212" i="5"/>
  <c r="AL133" i="1"/>
  <c r="AK134" i="1"/>
  <c r="U135" i="1"/>
  <c r="V134" i="1"/>
  <c r="AZ133" i="1"/>
  <c r="AS133" i="1"/>
  <c r="AR135" i="1"/>
  <c r="AY135" i="1"/>
  <c r="BV143" i="1"/>
  <c r="BN134" i="1"/>
  <c r="BO133" i="1"/>
  <c r="BF138" i="1"/>
  <c r="AC134" i="1"/>
  <c r="AD133" i="1"/>
  <c r="BG134" i="1"/>
  <c r="BW133" i="1"/>
  <c r="L217" i="5" l="1"/>
  <c r="M217" i="5" s="1"/>
  <c r="K218" i="5"/>
  <c r="AK213" i="5"/>
  <c r="AL212" i="5"/>
  <c r="BG215" i="5"/>
  <c r="BF216" i="5"/>
  <c r="CC211" i="5"/>
  <c r="CD210" i="5"/>
  <c r="AR214" i="5"/>
  <c r="AS213" i="5"/>
  <c r="BN213" i="5"/>
  <c r="BO212" i="5"/>
  <c r="BU219" i="5"/>
  <c r="BV218" i="5"/>
  <c r="V219" i="5"/>
  <c r="U220" i="5"/>
  <c r="AC214" i="5"/>
  <c r="AD213" i="5"/>
  <c r="AY213" i="5"/>
  <c r="AZ212" i="5"/>
  <c r="AR136" i="1"/>
  <c r="AY136" i="1"/>
  <c r="AK135" i="1"/>
  <c r="AL134" i="1"/>
  <c r="AZ134" i="1"/>
  <c r="AS134" i="1"/>
  <c r="U136" i="1"/>
  <c r="V135" i="1"/>
  <c r="BV144" i="1"/>
  <c r="BN135" i="1"/>
  <c r="BO134" i="1"/>
  <c r="BF139" i="1"/>
  <c r="AC135" i="1"/>
  <c r="AD134" i="1"/>
  <c r="BG135" i="1"/>
  <c r="BW134" i="1"/>
  <c r="K219" i="5" l="1"/>
  <c r="L218" i="5"/>
  <c r="M218" i="5" s="1"/>
  <c r="BU220" i="5"/>
  <c r="BV219" i="5"/>
  <c r="U221" i="5"/>
  <c r="V220" i="5"/>
  <c r="BF217" i="5"/>
  <c r="BG216" i="5"/>
  <c r="AC215" i="5"/>
  <c r="AD214" i="5"/>
  <c r="AS214" i="5"/>
  <c r="AR215" i="5"/>
  <c r="AY214" i="5"/>
  <c r="AZ213" i="5"/>
  <c r="BO213" i="5"/>
  <c r="BN214" i="5"/>
  <c r="CD211" i="5"/>
  <c r="CC212" i="5"/>
  <c r="AK214" i="5"/>
  <c r="AL213" i="5"/>
  <c r="AY137" i="1"/>
  <c r="AR137" i="1"/>
  <c r="U137" i="1"/>
  <c r="V136" i="1"/>
  <c r="AL135" i="1"/>
  <c r="AK136" i="1"/>
  <c r="AS135" i="1"/>
  <c r="AZ135" i="1"/>
  <c r="BV145" i="1"/>
  <c r="BN136" i="1"/>
  <c r="BO135" i="1"/>
  <c r="BF140" i="1"/>
  <c r="AC136" i="1"/>
  <c r="AD135" i="1"/>
  <c r="BW135" i="1"/>
  <c r="BO214" i="5" l="1"/>
  <c r="BN215" i="5"/>
  <c r="AS215" i="5"/>
  <c r="AR216" i="5"/>
  <c r="AL214" i="5"/>
  <c r="AK215" i="5"/>
  <c r="BG217" i="5"/>
  <c r="BF218" i="5"/>
  <c r="BU221" i="5"/>
  <c r="BV220" i="5"/>
  <c r="CC213" i="5"/>
  <c r="CD212" i="5"/>
  <c r="AY215" i="5"/>
  <c r="AZ214" i="5"/>
  <c r="AC216" i="5"/>
  <c r="AD215" i="5"/>
  <c r="V221" i="5"/>
  <c r="U222" i="5"/>
  <c r="K220" i="5"/>
  <c r="L219" i="5"/>
  <c r="M219" i="5" s="1"/>
  <c r="BW136" i="1"/>
  <c r="BG136" i="1"/>
  <c r="AR138" i="1"/>
  <c r="AZ136" i="1"/>
  <c r="AL136" i="1"/>
  <c r="AK137" i="1"/>
  <c r="AS136" i="1"/>
  <c r="V137" i="1"/>
  <c r="U138" i="1"/>
  <c r="AY138" i="1"/>
  <c r="BV146" i="1"/>
  <c r="BN137" i="1"/>
  <c r="BO136" i="1"/>
  <c r="BF141" i="1"/>
  <c r="AC137" i="1"/>
  <c r="AD136" i="1"/>
  <c r="BF219" i="5" l="1"/>
  <c r="BG218" i="5"/>
  <c r="AS216" i="5"/>
  <c r="AR217" i="5"/>
  <c r="L220" i="5"/>
  <c r="M220" i="5" s="1"/>
  <c r="K221" i="5"/>
  <c r="AD216" i="5"/>
  <c r="AC217" i="5"/>
  <c r="CD213" i="5"/>
  <c r="CC214" i="5"/>
  <c r="V222" i="5"/>
  <c r="U223" i="5"/>
  <c r="AK216" i="5"/>
  <c r="AL215" i="5"/>
  <c r="BO215" i="5"/>
  <c r="BN216" i="5"/>
  <c r="AZ215" i="5"/>
  <c r="AY216" i="5"/>
  <c r="BV221" i="5"/>
  <c r="BU222" i="5"/>
  <c r="AY139" i="1"/>
  <c r="AL137" i="1"/>
  <c r="AK138" i="1"/>
  <c r="AR139" i="1"/>
  <c r="V138" i="1"/>
  <c r="U139" i="1"/>
  <c r="AZ138" i="1"/>
  <c r="BW137" i="1"/>
  <c r="BG137" i="1"/>
  <c r="AZ137" i="1"/>
  <c r="AS137" i="1"/>
  <c r="BV147" i="1"/>
  <c r="BN138" i="1"/>
  <c r="BO137" i="1"/>
  <c r="BF142" i="1"/>
  <c r="AC138" i="1"/>
  <c r="AD137" i="1"/>
  <c r="BU223" i="5" l="1"/>
  <c r="BV222" i="5"/>
  <c r="BN217" i="5"/>
  <c r="BO216" i="5"/>
  <c r="U224" i="5"/>
  <c r="V223" i="5"/>
  <c r="AC218" i="5"/>
  <c r="AD217" i="5"/>
  <c r="AS217" i="5"/>
  <c r="AR218" i="5"/>
  <c r="AY217" i="5"/>
  <c r="AZ216" i="5"/>
  <c r="CC215" i="5"/>
  <c r="CD214" i="5"/>
  <c r="L221" i="5"/>
  <c r="M221" i="5" s="1"/>
  <c r="K222" i="5"/>
  <c r="AL216" i="5"/>
  <c r="AK217" i="5"/>
  <c r="BG219" i="5"/>
  <c r="BF220" i="5"/>
  <c r="AS138" i="1"/>
  <c r="V139" i="1"/>
  <c r="U140" i="1"/>
  <c r="AL138" i="1"/>
  <c r="AK139" i="1"/>
  <c r="BW138" i="1"/>
  <c r="BG138" i="1"/>
  <c r="AR140" i="1"/>
  <c r="AS139" i="1"/>
  <c r="AY140" i="1"/>
  <c r="AZ139" i="1"/>
  <c r="BV148" i="1"/>
  <c r="BN139" i="1"/>
  <c r="BO138" i="1"/>
  <c r="BF143" i="1"/>
  <c r="AC139" i="1"/>
  <c r="AD138" i="1"/>
  <c r="BG220" i="5" l="1"/>
  <c r="BF221" i="5"/>
  <c r="L222" i="5"/>
  <c r="M222" i="5" s="1"/>
  <c r="K223" i="5"/>
  <c r="AZ217" i="5"/>
  <c r="AY218" i="5"/>
  <c r="AD218" i="5"/>
  <c r="AC219" i="5"/>
  <c r="BO217" i="5"/>
  <c r="BN218" i="5"/>
  <c r="AL217" i="5"/>
  <c r="AK218" i="5"/>
  <c r="AR219" i="5"/>
  <c r="AS218" i="5"/>
  <c r="CD215" i="5"/>
  <c r="CC216" i="5"/>
  <c r="U225" i="5"/>
  <c r="V225" i="5" s="1"/>
  <c r="V224" i="5"/>
  <c r="BU224" i="5"/>
  <c r="BV223" i="5"/>
  <c r="AY141" i="1"/>
  <c r="V140" i="1"/>
  <c r="U141" i="1"/>
  <c r="AR141" i="1"/>
  <c r="AL139" i="1"/>
  <c r="AK140" i="1"/>
  <c r="BW139" i="1"/>
  <c r="BG139" i="1"/>
  <c r="BV149" i="1"/>
  <c r="BN140" i="1"/>
  <c r="BO139" i="1"/>
  <c r="BF144" i="1"/>
  <c r="AC140" i="1"/>
  <c r="AD139" i="1"/>
  <c r="CC217" i="5" l="1"/>
  <c r="CD216" i="5"/>
  <c r="AK219" i="5"/>
  <c r="AL218" i="5"/>
  <c r="AC220" i="5"/>
  <c r="AD219" i="5"/>
  <c r="L223" i="5"/>
  <c r="M223" i="5" s="1"/>
  <c r="K224" i="5"/>
  <c r="BV224" i="5"/>
  <c r="BU225" i="5"/>
  <c r="BV225" i="5" s="1"/>
  <c r="BO218" i="5"/>
  <c r="BN219" i="5"/>
  <c r="AY219" i="5"/>
  <c r="AZ218" i="5"/>
  <c r="BG221" i="5"/>
  <c r="BF222" i="5"/>
  <c r="AS219" i="5"/>
  <c r="AR220" i="5"/>
  <c r="AR142" i="1"/>
  <c r="AL140" i="1"/>
  <c r="AK141" i="1"/>
  <c r="U142" i="1"/>
  <c r="V141" i="1"/>
  <c r="AY142" i="1"/>
  <c r="AZ141" i="1"/>
  <c r="BW140" i="1"/>
  <c r="BG140" i="1"/>
  <c r="AS140" i="1"/>
  <c r="AZ140" i="1"/>
  <c r="BV150" i="1"/>
  <c r="BN141" i="1"/>
  <c r="BO140" i="1"/>
  <c r="BF145" i="1"/>
  <c r="AC141" i="1"/>
  <c r="AD140" i="1"/>
  <c r="BG222" i="5" l="1"/>
  <c r="BF223" i="5"/>
  <c r="BO219" i="5"/>
  <c r="BN220" i="5"/>
  <c r="K225" i="5"/>
  <c r="L225" i="5" s="1"/>
  <c r="M225" i="5" s="1"/>
  <c r="L224" i="5"/>
  <c r="M224" i="5" s="1"/>
  <c r="AL219" i="5"/>
  <c r="AK220" i="5"/>
  <c r="AS220" i="5"/>
  <c r="AR221" i="5"/>
  <c r="AZ219" i="5"/>
  <c r="AY220" i="5"/>
  <c r="AD220" i="5"/>
  <c r="AC221" i="5"/>
  <c r="CD217" i="5"/>
  <c r="CC218" i="5"/>
  <c r="AY143" i="1"/>
  <c r="AL141" i="1"/>
  <c r="AK142" i="1"/>
  <c r="AR143" i="1"/>
  <c r="BW141" i="1"/>
  <c r="BG141" i="1"/>
  <c r="V142" i="1"/>
  <c r="U143" i="1"/>
  <c r="AS141" i="1"/>
  <c r="BV151" i="1"/>
  <c r="BN142" i="1"/>
  <c r="BO141" i="1"/>
  <c r="BF146" i="1"/>
  <c r="AC142" i="1"/>
  <c r="AD141" i="1"/>
  <c r="CC219" i="5" l="1"/>
  <c r="CD218" i="5"/>
  <c r="AZ220" i="5"/>
  <c r="AY221" i="5"/>
  <c r="AL220" i="5"/>
  <c r="AK221" i="5"/>
  <c r="BN221" i="5"/>
  <c r="BO220" i="5"/>
  <c r="AC222" i="5"/>
  <c r="AD221" i="5"/>
  <c r="AS221" i="5"/>
  <c r="AR222" i="5"/>
  <c r="BF224" i="5"/>
  <c r="BG223" i="5"/>
  <c r="AZ143" i="1"/>
  <c r="BW142" i="1"/>
  <c r="BG142" i="1"/>
  <c r="AL142" i="1"/>
  <c r="AK143" i="1"/>
  <c r="V143" i="1"/>
  <c r="U144" i="1"/>
  <c r="AR144" i="1"/>
  <c r="AY144" i="1"/>
  <c r="AS142" i="1"/>
  <c r="AZ142" i="1"/>
  <c r="BV152" i="1"/>
  <c r="BN143" i="1"/>
  <c r="BO142" i="1"/>
  <c r="BF147" i="1"/>
  <c r="AC143" i="1"/>
  <c r="AD142" i="1"/>
  <c r="AS222" i="5" l="1"/>
  <c r="AR223" i="5"/>
  <c r="AZ221" i="5"/>
  <c r="AY222" i="5"/>
  <c r="BN222" i="5"/>
  <c r="BO221" i="5"/>
  <c r="AK222" i="5"/>
  <c r="AL221" i="5"/>
  <c r="BF225" i="5"/>
  <c r="BG225" i="5" s="1"/>
  <c r="BG224" i="5"/>
  <c r="AC223" i="5"/>
  <c r="AD222" i="5"/>
  <c r="CD219" i="5"/>
  <c r="CC220" i="5"/>
  <c r="AS143" i="1"/>
  <c r="U145" i="1"/>
  <c r="V144" i="1"/>
  <c r="AY145" i="1"/>
  <c r="AR145" i="1"/>
  <c r="AL143" i="1"/>
  <c r="AK144" i="1"/>
  <c r="AZ144" i="1"/>
  <c r="BW143" i="1"/>
  <c r="BG143" i="1"/>
  <c r="BV153" i="1"/>
  <c r="BN144" i="1"/>
  <c r="BO143" i="1"/>
  <c r="BF148" i="1"/>
  <c r="AC144" i="1"/>
  <c r="AD143" i="1"/>
  <c r="AZ222" i="5" l="1"/>
  <c r="AY223" i="5"/>
  <c r="AD223" i="5"/>
  <c r="AC224" i="5"/>
  <c r="AL222" i="5"/>
  <c r="AK223" i="5"/>
  <c r="CD220" i="5"/>
  <c r="CC221" i="5"/>
  <c r="AR224" i="5"/>
  <c r="AS223" i="5"/>
  <c r="BO222" i="5"/>
  <c r="BN223" i="5"/>
  <c r="AS144" i="1"/>
  <c r="BV154" i="1"/>
  <c r="AL144" i="1"/>
  <c r="AK145" i="1"/>
  <c r="AY146" i="1"/>
  <c r="BW144" i="1"/>
  <c r="BG144" i="1"/>
  <c r="AR146" i="1"/>
  <c r="U146" i="1"/>
  <c r="V145" i="1"/>
  <c r="BN145" i="1"/>
  <c r="BO144" i="1"/>
  <c r="BF149" i="1"/>
  <c r="AC145" i="1"/>
  <c r="AD144" i="1"/>
  <c r="BN224" i="5" l="1"/>
  <c r="BO223" i="5"/>
  <c r="CC222" i="5"/>
  <c r="CD221" i="5"/>
  <c r="AC225" i="5"/>
  <c r="AD225" i="5" s="1"/>
  <c r="AD224" i="5"/>
  <c r="AL223" i="5"/>
  <c r="AK224" i="5"/>
  <c r="AY224" i="5"/>
  <c r="AZ223" i="5"/>
  <c r="AR225" i="5"/>
  <c r="AS225" i="5" s="1"/>
  <c r="AS224" i="5"/>
  <c r="AR147" i="1"/>
  <c r="AZ146" i="1"/>
  <c r="BW145" i="1"/>
  <c r="BG145" i="1"/>
  <c r="AS145" i="1"/>
  <c r="AY147" i="1"/>
  <c r="BV155" i="1"/>
  <c r="AZ145" i="1"/>
  <c r="U147" i="1"/>
  <c r="V146" i="1"/>
  <c r="AL145" i="1"/>
  <c r="AK146" i="1"/>
  <c r="BN146" i="1"/>
  <c r="BO145" i="1"/>
  <c r="BF150" i="1"/>
  <c r="AC146" i="1"/>
  <c r="AD145" i="1"/>
  <c r="AK225" i="5" l="1"/>
  <c r="AL225" i="5" s="1"/>
  <c r="AL224" i="5"/>
  <c r="CC223" i="5"/>
  <c r="CD222" i="5"/>
  <c r="AZ224" i="5"/>
  <c r="AY225" i="5"/>
  <c r="AZ225" i="5" s="1"/>
  <c r="BN225" i="5"/>
  <c r="BO225" i="5" s="1"/>
  <c r="BO224" i="5"/>
  <c r="AK147" i="1"/>
  <c r="AL146" i="1"/>
  <c r="BF151" i="1"/>
  <c r="AR148" i="1"/>
  <c r="BV156" i="1"/>
  <c r="BV157" i="1" s="1"/>
  <c r="BV158" i="1" s="1"/>
  <c r="BV159" i="1" s="1"/>
  <c r="BV160" i="1" s="1"/>
  <c r="BV161" i="1" s="1"/>
  <c r="BV162" i="1" s="1"/>
  <c r="BV163" i="1" s="1"/>
  <c r="BV164" i="1" s="1"/>
  <c r="BV165" i="1" s="1"/>
  <c r="BV166" i="1" s="1"/>
  <c r="BV167" i="1" s="1"/>
  <c r="BV168" i="1" s="1"/>
  <c r="BV169" i="1" s="1"/>
  <c r="BV170" i="1" s="1"/>
  <c r="BV171" i="1" s="1"/>
  <c r="BV172" i="1" s="1"/>
  <c r="BV173" i="1" s="1"/>
  <c r="BV174" i="1" s="1"/>
  <c r="BV175" i="1" s="1"/>
  <c r="BV176" i="1" s="1"/>
  <c r="BV177" i="1" s="1"/>
  <c r="BV178" i="1" s="1"/>
  <c r="BV179" i="1" s="1"/>
  <c r="BV180" i="1" s="1"/>
  <c r="BV181" i="1" s="1"/>
  <c r="BV182" i="1" s="1"/>
  <c r="BV183" i="1" s="1"/>
  <c r="BV184" i="1" s="1"/>
  <c r="BV185" i="1" s="1"/>
  <c r="BV186" i="1" s="1"/>
  <c r="BV187" i="1" s="1"/>
  <c r="BV188" i="1" s="1"/>
  <c r="BV189" i="1" s="1"/>
  <c r="BV190" i="1" s="1"/>
  <c r="BV191" i="1" s="1"/>
  <c r="BV192" i="1" s="1"/>
  <c r="BV193" i="1" s="1"/>
  <c r="BV194" i="1" s="1"/>
  <c r="BV195" i="1" s="1"/>
  <c r="BV196" i="1" s="1"/>
  <c r="BV197" i="1" s="1"/>
  <c r="BV198" i="1" s="1"/>
  <c r="BV199" i="1" s="1"/>
  <c r="U148" i="1"/>
  <c r="V147" i="1"/>
  <c r="AY148" i="1"/>
  <c r="AZ147" i="1"/>
  <c r="BW146" i="1"/>
  <c r="BG146" i="1"/>
  <c r="AS146" i="1"/>
  <c r="BN147" i="1"/>
  <c r="BO146" i="1"/>
  <c r="AC147" i="1"/>
  <c r="AD146" i="1"/>
  <c r="CC224" i="5" l="1"/>
  <c r="CD223" i="5"/>
  <c r="BW199" i="1"/>
  <c r="BV200" i="1"/>
  <c r="AS147" i="1"/>
  <c r="AY149" i="1"/>
  <c r="BF152" i="1"/>
  <c r="BW147" i="1"/>
  <c r="BG147" i="1"/>
  <c r="U149" i="1"/>
  <c r="V148" i="1"/>
  <c r="AR149" i="1"/>
  <c r="AK148" i="1"/>
  <c r="AL147" i="1"/>
  <c r="BN148" i="1"/>
  <c r="BO147" i="1"/>
  <c r="AC148" i="1"/>
  <c r="AD147" i="1"/>
  <c r="BV201" i="1" l="1"/>
  <c r="BW200" i="1"/>
  <c r="CC225" i="5"/>
  <c r="CD225" i="5" s="1"/>
  <c r="CD224" i="5"/>
  <c r="AR150" i="1"/>
  <c r="AS149" i="1"/>
  <c r="BW148" i="1"/>
  <c r="BG148" i="1"/>
  <c r="AZ148" i="1"/>
  <c r="AK149" i="1"/>
  <c r="AL148" i="1"/>
  <c r="U150" i="1"/>
  <c r="V149" i="1"/>
  <c r="AZ149" i="1"/>
  <c r="AY150" i="1"/>
  <c r="AS148" i="1"/>
  <c r="BF153" i="1"/>
  <c r="BN149" i="1"/>
  <c r="BO148" i="1"/>
  <c r="AC149" i="1"/>
  <c r="AD148" i="1"/>
  <c r="BW201" i="1" l="1"/>
  <c r="BV202" i="1"/>
  <c r="BW202" i="1" s="1"/>
  <c r="U151" i="1"/>
  <c r="V150" i="1"/>
  <c r="AY151" i="1"/>
  <c r="AK150" i="1"/>
  <c r="AL149" i="1"/>
  <c r="AS150" i="1"/>
  <c r="BW149" i="1"/>
  <c r="BG149" i="1"/>
  <c r="BF154" i="1"/>
  <c r="AR151" i="1"/>
  <c r="BN150" i="1"/>
  <c r="BO149" i="1"/>
  <c r="AC150" i="1"/>
  <c r="AD149" i="1"/>
  <c r="AR152" i="1" l="1"/>
  <c r="AL150" i="1"/>
  <c r="AK151" i="1"/>
  <c r="V151" i="1"/>
  <c r="U152" i="1"/>
  <c r="AY152" i="1"/>
  <c r="BW150" i="1"/>
  <c r="BG150" i="1"/>
  <c r="AZ150" i="1"/>
  <c r="BF155" i="1"/>
  <c r="BO150" i="1"/>
  <c r="BN151" i="1"/>
  <c r="AC151" i="1"/>
  <c r="AD150" i="1"/>
  <c r="AD151" i="1" l="1"/>
  <c r="AC152" i="1"/>
  <c r="AZ152" i="1"/>
  <c r="BW151" i="1"/>
  <c r="BG151" i="1"/>
  <c r="AR153" i="1"/>
  <c r="AZ151" i="1"/>
  <c r="AL151" i="1"/>
  <c r="AK152" i="1"/>
  <c r="AY153" i="1"/>
  <c r="BF156" i="1"/>
  <c r="BF157" i="1" s="1"/>
  <c r="V152" i="1"/>
  <c r="U153" i="1"/>
  <c r="AS151" i="1"/>
  <c r="BO151" i="1"/>
  <c r="BN152" i="1"/>
  <c r="BF158" i="1" l="1"/>
  <c r="V153" i="1"/>
  <c r="U154" i="1"/>
  <c r="AY154" i="1"/>
  <c r="AR154" i="1"/>
  <c r="BW152" i="1"/>
  <c r="BG152" i="1"/>
  <c r="AL152" i="1"/>
  <c r="AK153" i="1"/>
  <c r="AS152" i="1"/>
  <c r="AD152" i="1"/>
  <c r="AC153" i="1"/>
  <c r="BN153" i="1"/>
  <c r="BO152" i="1"/>
  <c r="BF159" i="1" l="1"/>
  <c r="AY155" i="1"/>
  <c r="BO153" i="1"/>
  <c r="BN154" i="1"/>
  <c r="AK154" i="1"/>
  <c r="AL153" i="1"/>
  <c r="AZ154" i="1"/>
  <c r="BW153" i="1"/>
  <c r="BG153" i="1"/>
  <c r="AZ153" i="1"/>
  <c r="AD153" i="1"/>
  <c r="AC154" i="1"/>
  <c r="AR155" i="1"/>
  <c r="V154" i="1"/>
  <c r="U155" i="1"/>
  <c r="AS153" i="1"/>
  <c r="BF160" i="1" l="1"/>
  <c r="AS154" i="1"/>
  <c r="AL154" i="1"/>
  <c r="AK155" i="1"/>
  <c r="V155" i="1"/>
  <c r="U156" i="1"/>
  <c r="AD154" i="1"/>
  <c r="AC155" i="1"/>
  <c r="BO154" i="1"/>
  <c r="BN155" i="1"/>
  <c r="BW154" i="1"/>
  <c r="BG154" i="1"/>
  <c r="AR156" i="1"/>
  <c r="AR157" i="1" s="1"/>
  <c r="AR158" i="1" s="1"/>
  <c r="AR159" i="1" s="1"/>
  <c r="AR160" i="1" s="1"/>
  <c r="AR161" i="1" s="1"/>
  <c r="AR162" i="1" s="1"/>
  <c r="AR163" i="1" s="1"/>
  <c r="AR164" i="1" s="1"/>
  <c r="AR165" i="1" s="1"/>
  <c r="AR166" i="1" s="1"/>
  <c r="AR167" i="1" s="1"/>
  <c r="AR168" i="1" s="1"/>
  <c r="AR169" i="1" s="1"/>
  <c r="AR170" i="1" s="1"/>
  <c r="AR171" i="1" s="1"/>
  <c r="AR172" i="1" s="1"/>
  <c r="AR173" i="1" s="1"/>
  <c r="AR174" i="1" s="1"/>
  <c r="AR175" i="1" s="1"/>
  <c r="AR176" i="1" s="1"/>
  <c r="AR177" i="1" s="1"/>
  <c r="AR178" i="1" s="1"/>
  <c r="AR179" i="1" s="1"/>
  <c r="AR180" i="1" s="1"/>
  <c r="AR181" i="1" s="1"/>
  <c r="AR182" i="1" s="1"/>
  <c r="AR183" i="1" s="1"/>
  <c r="AR184" i="1" s="1"/>
  <c r="AR185" i="1" s="1"/>
  <c r="AR186" i="1" s="1"/>
  <c r="AR187" i="1" s="1"/>
  <c r="AR188" i="1" s="1"/>
  <c r="AR189" i="1" s="1"/>
  <c r="AR190" i="1" s="1"/>
  <c r="AR191" i="1" s="1"/>
  <c r="AR192" i="1" s="1"/>
  <c r="AR193" i="1" s="1"/>
  <c r="AR194" i="1" s="1"/>
  <c r="AR195" i="1" s="1"/>
  <c r="AR196" i="1" s="1"/>
  <c r="AR197" i="1" s="1"/>
  <c r="AR198" i="1" s="1"/>
  <c r="AR199" i="1" s="1"/>
  <c r="AR200" i="1" s="1"/>
  <c r="AR201" i="1" s="1"/>
  <c r="AR202" i="1" s="1"/>
  <c r="AY156" i="1"/>
  <c r="AY157" i="1" s="1"/>
  <c r="AZ157" i="1" l="1"/>
  <c r="AY158" i="1"/>
  <c r="BF161" i="1"/>
  <c r="V156" i="1"/>
  <c r="U157" i="1"/>
  <c r="BW155" i="1"/>
  <c r="BG155" i="1"/>
  <c r="AS155" i="1"/>
  <c r="BN156" i="1"/>
  <c r="BO155" i="1"/>
  <c r="AZ155" i="1"/>
  <c r="AD155" i="1"/>
  <c r="AC156" i="1"/>
  <c r="AK156" i="1"/>
  <c r="AL155" i="1"/>
  <c r="AL156" i="1" l="1"/>
  <c r="AK157" i="1"/>
  <c r="BO156" i="1"/>
  <c r="BN157" i="1"/>
  <c r="AZ158" i="1"/>
  <c r="AY159" i="1"/>
  <c r="AD156" i="1"/>
  <c r="AC157" i="1"/>
  <c r="BF162" i="1"/>
  <c r="V157" i="1"/>
  <c r="U158" i="1"/>
  <c r="AS156" i="1"/>
  <c r="AZ156" i="1"/>
  <c r="BW156" i="1"/>
  <c r="BG156" i="1"/>
  <c r="BN158" i="1" l="1"/>
  <c r="BO157" i="1"/>
  <c r="AY160" i="1"/>
  <c r="AZ159" i="1"/>
  <c r="AK158" i="1"/>
  <c r="AL157" i="1"/>
  <c r="AC158" i="1"/>
  <c r="AD157" i="1"/>
  <c r="AS157" i="1"/>
  <c r="BW157" i="1"/>
  <c r="BG157" i="1"/>
  <c r="BF163" i="1"/>
  <c r="V158" i="1"/>
  <c r="U159" i="1"/>
  <c r="AZ160" i="1" l="1"/>
  <c r="AY161" i="1"/>
  <c r="AK159" i="1"/>
  <c r="AL158" i="1"/>
  <c r="BN159" i="1"/>
  <c r="BO158" i="1"/>
  <c r="AC159" i="1"/>
  <c r="AD158" i="1"/>
  <c r="AS158" i="1"/>
  <c r="BW158" i="1"/>
  <c r="BG158" i="1"/>
  <c r="BF164" i="1"/>
  <c r="V159" i="1"/>
  <c r="U160" i="1"/>
  <c r="AK160" i="1" l="1"/>
  <c r="AL159" i="1"/>
  <c r="AZ161" i="1"/>
  <c r="AY162" i="1"/>
  <c r="BN160" i="1"/>
  <c r="BO159" i="1"/>
  <c r="AC160" i="1"/>
  <c r="AD159" i="1"/>
  <c r="BW159" i="1"/>
  <c r="AS159" i="1"/>
  <c r="BG159" i="1"/>
  <c r="BF165" i="1"/>
  <c r="U161" i="1"/>
  <c r="V160" i="1"/>
  <c r="AY163" i="1" l="1"/>
  <c r="AZ162" i="1"/>
  <c r="BN161" i="1"/>
  <c r="BO160" i="1"/>
  <c r="AK161" i="1"/>
  <c r="AL160" i="1"/>
  <c r="AC161" i="1"/>
  <c r="AD160" i="1"/>
  <c r="BW160" i="1"/>
  <c r="AS160" i="1"/>
  <c r="BG160" i="1"/>
  <c r="BF166" i="1"/>
  <c r="U162" i="1"/>
  <c r="V161" i="1"/>
  <c r="BN162" i="1" l="1"/>
  <c r="BO161" i="1"/>
  <c r="AK162" i="1"/>
  <c r="AL161" i="1"/>
  <c r="AZ163" i="1"/>
  <c r="AY164" i="1"/>
  <c r="AC162" i="1"/>
  <c r="AD161" i="1"/>
  <c r="BW161" i="1"/>
  <c r="AS161" i="1"/>
  <c r="BG161" i="1"/>
  <c r="BF167" i="1"/>
  <c r="U163" i="1"/>
  <c r="V162" i="1"/>
  <c r="AK163" i="1" l="1"/>
  <c r="AL162" i="1"/>
  <c r="AZ164" i="1"/>
  <c r="AY165" i="1"/>
  <c r="BN163" i="1"/>
  <c r="BO162" i="1"/>
  <c r="AC163" i="1"/>
  <c r="AD162" i="1"/>
  <c r="BW162" i="1"/>
  <c r="AS162" i="1"/>
  <c r="BG162" i="1"/>
  <c r="BF168" i="1"/>
  <c r="U164" i="1"/>
  <c r="V163" i="1"/>
  <c r="AZ165" i="1" l="1"/>
  <c r="AY166" i="1"/>
  <c r="BN164" i="1"/>
  <c r="BO163" i="1"/>
  <c r="AK164" i="1"/>
  <c r="AL163" i="1"/>
  <c r="AC164" i="1"/>
  <c r="AD163" i="1"/>
  <c r="BW163" i="1"/>
  <c r="AS163" i="1"/>
  <c r="BG163" i="1"/>
  <c r="BF169" i="1"/>
  <c r="BF170" i="1" s="1"/>
  <c r="BF171" i="1" s="1"/>
  <c r="BF172" i="1" s="1"/>
  <c r="BF173" i="1" s="1"/>
  <c r="BF174" i="1" s="1"/>
  <c r="BF175" i="1" s="1"/>
  <c r="BF176" i="1" s="1"/>
  <c r="BF177" i="1" s="1"/>
  <c r="BF178" i="1" s="1"/>
  <c r="BF179" i="1" s="1"/>
  <c r="BF180" i="1" s="1"/>
  <c r="BF181" i="1" s="1"/>
  <c r="BF182" i="1" s="1"/>
  <c r="BF183" i="1" s="1"/>
  <c r="BF184" i="1" s="1"/>
  <c r="BF185" i="1" s="1"/>
  <c r="BF186" i="1" s="1"/>
  <c r="BF187" i="1" s="1"/>
  <c r="BF188" i="1" s="1"/>
  <c r="BF189" i="1" s="1"/>
  <c r="BF190" i="1" s="1"/>
  <c r="BF191" i="1" s="1"/>
  <c r="BF192" i="1" s="1"/>
  <c r="BF193" i="1" s="1"/>
  <c r="BF194" i="1" s="1"/>
  <c r="BF195" i="1" s="1"/>
  <c r="BF196" i="1" s="1"/>
  <c r="BF197" i="1" s="1"/>
  <c r="BF198" i="1" s="1"/>
  <c r="BF199" i="1" s="1"/>
  <c r="BF200" i="1" s="1"/>
  <c r="U165" i="1"/>
  <c r="V164" i="1"/>
  <c r="BN165" i="1" l="1"/>
  <c r="BO164" i="1"/>
  <c r="AY167" i="1"/>
  <c r="AZ166" i="1"/>
  <c r="AK165" i="1"/>
  <c r="AL164" i="1"/>
  <c r="AC165" i="1"/>
  <c r="AD164" i="1"/>
  <c r="BG200" i="1"/>
  <c r="BF201" i="1"/>
  <c r="BW164" i="1"/>
  <c r="AS164" i="1"/>
  <c r="BG164" i="1"/>
  <c r="U166" i="1"/>
  <c r="V165" i="1"/>
  <c r="AY168" i="1" l="1"/>
  <c r="AZ167" i="1"/>
  <c r="AK166" i="1"/>
  <c r="AL165" i="1"/>
  <c r="BN166" i="1"/>
  <c r="BO165" i="1"/>
  <c r="AC166" i="1"/>
  <c r="AD165" i="1"/>
  <c r="BF202" i="1"/>
  <c r="BG202" i="1" s="1"/>
  <c r="BG201" i="1"/>
  <c r="BW165" i="1"/>
  <c r="AS165" i="1"/>
  <c r="BG165" i="1"/>
  <c r="U167" i="1"/>
  <c r="V166" i="1"/>
  <c r="AK167" i="1" l="1"/>
  <c r="AL166" i="1"/>
  <c r="BN167" i="1"/>
  <c r="BO166" i="1"/>
  <c r="AZ168" i="1"/>
  <c r="AY169" i="1"/>
  <c r="AC167" i="1"/>
  <c r="AD166" i="1"/>
  <c r="BW166" i="1"/>
  <c r="AS166" i="1"/>
  <c r="BG166" i="1"/>
  <c r="U168" i="1"/>
  <c r="V167" i="1"/>
  <c r="BN168" i="1" l="1"/>
  <c r="BO167" i="1"/>
  <c r="AY170" i="1"/>
  <c r="AZ169" i="1"/>
  <c r="AK168" i="1"/>
  <c r="AL167" i="1"/>
  <c r="AC168" i="1"/>
  <c r="AD167" i="1"/>
  <c r="BW167" i="1"/>
  <c r="AS167" i="1"/>
  <c r="BG167" i="1"/>
  <c r="U169" i="1"/>
  <c r="V168" i="1"/>
  <c r="AZ170" i="1" l="1"/>
  <c r="AY171" i="1"/>
  <c r="AK169" i="1"/>
  <c r="AL168" i="1"/>
  <c r="BN169" i="1"/>
  <c r="BO168" i="1"/>
  <c r="AC169" i="1"/>
  <c r="AD168" i="1"/>
  <c r="BW168" i="1"/>
  <c r="AS168" i="1"/>
  <c r="V169" i="1"/>
  <c r="U170" i="1"/>
  <c r="BG168" i="1"/>
  <c r="AK170" i="1" l="1"/>
  <c r="AL169" i="1"/>
  <c r="BN170" i="1"/>
  <c r="BO169" i="1"/>
  <c r="AZ171" i="1"/>
  <c r="AY172" i="1"/>
  <c r="AC170" i="1"/>
  <c r="AD169" i="1"/>
  <c r="BG169" i="1"/>
  <c r="BW169" i="1"/>
  <c r="AS169" i="1"/>
  <c r="V170" i="1"/>
  <c r="U171" i="1"/>
  <c r="BN171" i="1" l="1"/>
  <c r="BO170" i="1"/>
  <c r="AY173" i="1"/>
  <c r="AZ172" i="1"/>
  <c r="AK171" i="1"/>
  <c r="AL170" i="1"/>
  <c r="AC171" i="1"/>
  <c r="AD170" i="1"/>
  <c r="BG170" i="1"/>
  <c r="BW170" i="1"/>
  <c r="AS170" i="1"/>
  <c r="U172" i="1"/>
  <c r="V171" i="1"/>
  <c r="AK172" i="1" l="1"/>
  <c r="AL171" i="1"/>
  <c r="AY174" i="1"/>
  <c r="AZ173" i="1"/>
  <c r="BN172" i="1"/>
  <c r="BO171" i="1"/>
  <c r="AC172" i="1"/>
  <c r="AD171" i="1"/>
  <c r="BG171" i="1"/>
  <c r="BW171" i="1"/>
  <c r="AS171" i="1"/>
  <c r="U173" i="1"/>
  <c r="V172" i="1"/>
  <c r="AY175" i="1" l="1"/>
  <c r="AZ174" i="1"/>
  <c r="BN173" i="1"/>
  <c r="BO172" i="1"/>
  <c r="AK173" i="1"/>
  <c r="AL172" i="1"/>
  <c r="AC173" i="1"/>
  <c r="AD172" i="1"/>
  <c r="BG172" i="1"/>
  <c r="BW172" i="1"/>
  <c r="AS172" i="1"/>
  <c r="V173" i="1"/>
  <c r="U174" i="1"/>
  <c r="BN174" i="1" l="1"/>
  <c r="BO173" i="1"/>
  <c r="AK174" i="1"/>
  <c r="AL173" i="1"/>
  <c r="AZ175" i="1"/>
  <c r="AY176" i="1"/>
  <c r="AC174" i="1"/>
  <c r="AD173" i="1"/>
  <c r="BG173" i="1"/>
  <c r="BW173" i="1"/>
  <c r="AS173" i="1"/>
  <c r="V174" i="1"/>
  <c r="U175" i="1"/>
  <c r="AK175" i="1" l="1"/>
  <c r="AL174" i="1"/>
  <c r="AZ176" i="1"/>
  <c r="AY177" i="1"/>
  <c r="BN175" i="1"/>
  <c r="BO174" i="1"/>
  <c r="AC175" i="1"/>
  <c r="AD174" i="1"/>
  <c r="BG174" i="1"/>
  <c r="BW174" i="1"/>
  <c r="AS174" i="1"/>
  <c r="V175" i="1"/>
  <c r="U176" i="1"/>
  <c r="AY178" i="1" l="1"/>
  <c r="AZ177" i="1"/>
  <c r="BN176" i="1"/>
  <c r="BO175" i="1"/>
  <c r="AK176" i="1"/>
  <c r="AL175" i="1"/>
  <c r="AC176" i="1"/>
  <c r="AD175" i="1"/>
  <c r="BG175" i="1"/>
  <c r="BW175" i="1"/>
  <c r="AS175" i="1"/>
  <c r="V176" i="1"/>
  <c r="U177" i="1"/>
  <c r="BN177" i="1" l="1"/>
  <c r="BO176" i="1"/>
  <c r="AK177" i="1"/>
  <c r="AL176" i="1"/>
  <c r="AZ178" i="1"/>
  <c r="AY179" i="1"/>
  <c r="AC177" i="1"/>
  <c r="AD176" i="1"/>
  <c r="BG176" i="1"/>
  <c r="BW176" i="1"/>
  <c r="AS176" i="1"/>
  <c r="V177" i="1"/>
  <c r="U178" i="1"/>
  <c r="AK178" i="1" l="1"/>
  <c r="AL177" i="1"/>
  <c r="AZ179" i="1"/>
  <c r="AY180" i="1"/>
  <c r="BN178" i="1"/>
  <c r="BO177" i="1"/>
  <c r="AC178" i="1"/>
  <c r="AD177" i="1"/>
  <c r="BG177" i="1"/>
  <c r="BW177" i="1"/>
  <c r="AS177" i="1"/>
  <c r="V178" i="1"/>
  <c r="U179" i="1"/>
  <c r="AY181" i="1" l="1"/>
  <c r="AZ180" i="1"/>
  <c r="BN179" i="1"/>
  <c r="BO178" i="1"/>
  <c r="AK179" i="1"/>
  <c r="AL178" i="1"/>
  <c r="AC179" i="1"/>
  <c r="AD178" i="1"/>
  <c r="BG178" i="1"/>
  <c r="BW178" i="1"/>
  <c r="AS178" i="1"/>
  <c r="V179" i="1"/>
  <c r="U180" i="1"/>
  <c r="BN180" i="1" l="1"/>
  <c r="BO179" i="1"/>
  <c r="AK180" i="1"/>
  <c r="AL179" i="1"/>
  <c r="AY182" i="1"/>
  <c r="AZ181" i="1"/>
  <c r="AC180" i="1"/>
  <c r="AD179" i="1"/>
  <c r="BG179" i="1"/>
  <c r="BW179" i="1"/>
  <c r="AS179" i="1"/>
  <c r="V180" i="1"/>
  <c r="U181" i="1"/>
  <c r="AK181" i="1" l="1"/>
  <c r="AL180" i="1"/>
  <c r="AZ182" i="1"/>
  <c r="AY183" i="1"/>
  <c r="BN181" i="1"/>
  <c r="BO180" i="1"/>
  <c r="AC181" i="1"/>
  <c r="AD180" i="1"/>
  <c r="BG180" i="1"/>
  <c r="BW180" i="1"/>
  <c r="AS180" i="1"/>
  <c r="V181" i="1"/>
  <c r="U182" i="1"/>
  <c r="AZ183" i="1" l="1"/>
  <c r="AY184" i="1"/>
  <c r="BN182" i="1"/>
  <c r="BO181" i="1"/>
  <c r="AK182" i="1"/>
  <c r="AL181" i="1"/>
  <c r="AC182" i="1"/>
  <c r="AD181" i="1"/>
  <c r="BG181" i="1"/>
  <c r="BW181" i="1"/>
  <c r="AS181" i="1"/>
  <c r="V182" i="1"/>
  <c r="U183" i="1"/>
  <c r="BN183" i="1" l="1"/>
  <c r="BO182" i="1"/>
  <c r="AZ184" i="1"/>
  <c r="AY185" i="1"/>
  <c r="AK183" i="1"/>
  <c r="AL182" i="1"/>
  <c r="AC183" i="1"/>
  <c r="AD182" i="1"/>
  <c r="BG182" i="1"/>
  <c r="BW182" i="1"/>
  <c r="AS182" i="1"/>
  <c r="V183" i="1"/>
  <c r="U184" i="1"/>
  <c r="AZ185" i="1" l="1"/>
  <c r="AY186" i="1"/>
  <c r="AK184" i="1"/>
  <c r="AL183" i="1"/>
  <c r="BN184" i="1"/>
  <c r="BO183" i="1"/>
  <c r="AC184" i="1"/>
  <c r="AD183" i="1"/>
  <c r="BG183" i="1"/>
  <c r="BW183" i="1"/>
  <c r="AS183" i="1"/>
  <c r="V184" i="1"/>
  <c r="U185" i="1"/>
  <c r="AK185" i="1" l="1"/>
  <c r="AL184" i="1"/>
  <c r="AZ186" i="1"/>
  <c r="AY187" i="1"/>
  <c r="BN185" i="1"/>
  <c r="BO184" i="1"/>
  <c r="AC185" i="1"/>
  <c r="AD184" i="1"/>
  <c r="BG184" i="1"/>
  <c r="BW184" i="1"/>
  <c r="AS184" i="1"/>
  <c r="V185" i="1"/>
  <c r="U186" i="1"/>
  <c r="AZ187" i="1" l="1"/>
  <c r="AY188" i="1"/>
  <c r="BN186" i="1"/>
  <c r="BO185" i="1"/>
  <c r="AK186" i="1"/>
  <c r="AL185" i="1"/>
  <c r="AC186" i="1"/>
  <c r="AD185" i="1"/>
  <c r="BG185" i="1"/>
  <c r="BW185" i="1"/>
  <c r="AS185" i="1"/>
  <c r="V186" i="1"/>
  <c r="U187" i="1"/>
  <c r="BN187" i="1" l="1"/>
  <c r="BO186" i="1"/>
  <c r="AZ188" i="1"/>
  <c r="AY189" i="1"/>
  <c r="V187" i="1"/>
  <c r="U188" i="1"/>
  <c r="AK187" i="1"/>
  <c r="AL186" i="1"/>
  <c r="AC187" i="1"/>
  <c r="AD186" i="1"/>
  <c r="BG186" i="1"/>
  <c r="BW186" i="1"/>
  <c r="AS186" i="1"/>
  <c r="AY190" i="1" l="1"/>
  <c r="AZ189" i="1"/>
  <c r="AK188" i="1"/>
  <c r="AL187" i="1"/>
  <c r="U189" i="1"/>
  <c r="V188" i="1"/>
  <c r="BN188" i="1"/>
  <c r="BO187" i="1"/>
  <c r="AC188" i="1"/>
  <c r="AD187" i="1"/>
  <c r="BG187" i="1"/>
  <c r="BW187" i="1"/>
  <c r="AS187" i="1"/>
  <c r="BN189" i="1" l="1"/>
  <c r="BO188" i="1"/>
  <c r="AK189" i="1"/>
  <c r="AL188" i="1"/>
  <c r="U190" i="1"/>
  <c r="V189" i="1"/>
  <c r="AZ190" i="1"/>
  <c r="AY191" i="1"/>
  <c r="AC189" i="1"/>
  <c r="AD188" i="1"/>
  <c r="AS188" i="1"/>
  <c r="BG188" i="1"/>
  <c r="BW188" i="1"/>
  <c r="AZ191" i="1" l="1"/>
  <c r="AY192" i="1"/>
  <c r="AK190" i="1"/>
  <c r="AL189" i="1"/>
  <c r="U191" i="1"/>
  <c r="V190" i="1"/>
  <c r="BN190" i="1"/>
  <c r="BO189" i="1"/>
  <c r="AC190" i="1"/>
  <c r="AD189" i="1"/>
  <c r="BG189" i="1"/>
  <c r="AS189" i="1"/>
  <c r="BW189" i="1"/>
  <c r="BN191" i="1" l="1"/>
  <c r="BO190" i="1"/>
  <c r="AK191" i="1"/>
  <c r="AL190" i="1"/>
  <c r="AY193" i="1"/>
  <c r="AZ192" i="1"/>
  <c r="U192" i="1"/>
  <c r="V191" i="1"/>
  <c r="AC191" i="1"/>
  <c r="AD190" i="1"/>
  <c r="BG190" i="1"/>
  <c r="BW190" i="1"/>
  <c r="AS190" i="1"/>
  <c r="U193" i="1" l="1"/>
  <c r="V192" i="1"/>
  <c r="AK192" i="1"/>
  <c r="AL191" i="1"/>
  <c r="AY194" i="1"/>
  <c r="AZ193" i="1"/>
  <c r="BN192" i="1"/>
  <c r="BO191" i="1"/>
  <c r="AC192" i="1"/>
  <c r="AD191" i="1"/>
  <c r="BW191" i="1"/>
  <c r="BG191" i="1"/>
  <c r="AS191" i="1"/>
  <c r="BN193" i="1" l="1"/>
  <c r="BO192" i="1"/>
  <c r="AK193" i="1"/>
  <c r="AL192" i="1"/>
  <c r="AY195" i="1"/>
  <c r="AZ194" i="1"/>
  <c r="U194" i="1"/>
  <c r="V193" i="1"/>
  <c r="AC193" i="1"/>
  <c r="AD192" i="1"/>
  <c r="BW192" i="1"/>
  <c r="BG192" i="1"/>
  <c r="AS192" i="1"/>
  <c r="U195" i="1" l="1"/>
  <c r="V194" i="1"/>
  <c r="AK194" i="1"/>
  <c r="AL193" i="1"/>
  <c r="AY196" i="1"/>
  <c r="AZ195" i="1"/>
  <c r="BN194" i="1"/>
  <c r="BO193" i="1"/>
  <c r="AC194" i="1"/>
  <c r="AD193" i="1"/>
  <c r="BW193" i="1"/>
  <c r="BG193" i="1"/>
  <c r="AS193" i="1"/>
  <c r="BN195" i="1" l="1"/>
  <c r="BO194" i="1"/>
  <c r="AK195" i="1"/>
  <c r="AL194" i="1"/>
  <c r="AZ196" i="1"/>
  <c r="AY197" i="1"/>
  <c r="U196" i="1"/>
  <c r="V195" i="1"/>
  <c r="AC195" i="1"/>
  <c r="AD194" i="1"/>
  <c r="BW194" i="1"/>
  <c r="BG194" i="1"/>
  <c r="AS194" i="1"/>
  <c r="AK196" i="1" l="1"/>
  <c r="AL195" i="1"/>
  <c r="AZ197" i="1"/>
  <c r="AY198" i="1"/>
  <c r="U197" i="1"/>
  <c r="V196" i="1"/>
  <c r="BN196" i="1"/>
  <c r="BO195" i="1"/>
  <c r="AC196" i="1"/>
  <c r="AD195" i="1"/>
  <c r="BW195" i="1"/>
  <c r="BG195" i="1"/>
  <c r="AS195" i="1"/>
  <c r="BN197" i="1" l="1"/>
  <c r="BO196" i="1"/>
  <c r="AY199" i="1"/>
  <c r="AZ198" i="1"/>
  <c r="U198" i="1"/>
  <c r="V197" i="1"/>
  <c r="AK197" i="1"/>
  <c r="AL196" i="1"/>
  <c r="AC197" i="1"/>
  <c r="AD196" i="1"/>
  <c r="BW196" i="1"/>
  <c r="BG196" i="1"/>
  <c r="AS196" i="1"/>
  <c r="AK198" i="1" l="1"/>
  <c r="AL197" i="1"/>
  <c r="AY200" i="1"/>
  <c r="AZ199" i="1"/>
  <c r="U199" i="1"/>
  <c r="V198" i="1"/>
  <c r="BN198" i="1"/>
  <c r="BO197" i="1"/>
  <c r="AC198" i="1"/>
  <c r="AD197" i="1"/>
  <c r="BW197" i="1"/>
  <c r="BG197" i="1"/>
  <c r="AS197" i="1"/>
  <c r="BN199" i="1" l="1"/>
  <c r="BO198" i="1"/>
  <c r="AY201" i="1"/>
  <c r="AZ200" i="1"/>
  <c r="U200" i="1"/>
  <c r="V199" i="1"/>
  <c r="AK199" i="1"/>
  <c r="AL198" i="1"/>
  <c r="AC199" i="1"/>
  <c r="AD198" i="1"/>
  <c r="BW198" i="1"/>
  <c r="BG198" i="1"/>
  <c r="AS198" i="1"/>
  <c r="AK200" i="1" l="1"/>
  <c r="AL199" i="1"/>
  <c r="AZ201" i="1"/>
  <c r="AY202" i="1"/>
  <c r="AZ202" i="1" s="1"/>
  <c r="V200" i="1"/>
  <c r="U201" i="1"/>
  <c r="BN200" i="1"/>
  <c r="BO199" i="1"/>
  <c r="AC200" i="1"/>
  <c r="AD199" i="1"/>
  <c r="BG199" i="1"/>
  <c r="AS199" i="1"/>
  <c r="BN201" i="1" l="1"/>
  <c r="BO200" i="1"/>
  <c r="V201" i="1"/>
  <c r="U202" i="1"/>
  <c r="V202" i="1" s="1"/>
  <c r="AK201" i="1"/>
  <c r="AL200" i="1"/>
  <c r="AD200" i="1"/>
  <c r="AC201" i="1"/>
  <c r="AS200" i="1"/>
  <c r="AL201" i="1" l="1"/>
  <c r="AK202" i="1"/>
  <c r="AL202" i="1" s="1"/>
  <c r="BN202" i="1"/>
  <c r="BO202" i="1" s="1"/>
  <c r="BO201" i="1"/>
  <c r="AC202" i="1"/>
  <c r="AD202" i="1" s="1"/>
  <c r="AD201" i="1"/>
  <c r="AS202" i="1"/>
  <c r="AS201" i="1"/>
  <c r="CD4" i="11"/>
  <c r="CE4" i="11" s="1"/>
  <c r="CG4" i="11" l="1"/>
  <c r="CD8" i="11"/>
  <c r="CE8" i="11" s="1"/>
  <c r="CD16" i="11"/>
  <c r="CE16" i="11" s="1"/>
  <c r="CF16" i="11" s="1"/>
  <c r="CD24" i="11"/>
  <c r="CE24" i="11" s="1"/>
  <c r="CD32" i="11"/>
  <c r="CE32" i="11" s="1"/>
  <c r="CD40" i="11"/>
  <c r="CE40" i="11" s="1"/>
  <c r="CF40" i="11" s="1"/>
  <c r="CD48" i="11"/>
  <c r="CE48" i="11" s="1"/>
  <c r="CD56" i="11"/>
  <c r="CE56" i="11" s="1"/>
  <c r="CD64" i="11"/>
  <c r="CE64" i="11" s="1"/>
  <c r="CF64" i="11" s="1"/>
  <c r="CD72" i="11"/>
  <c r="CE72" i="11" s="1"/>
  <c r="CD80" i="11"/>
  <c r="CE80" i="11" s="1"/>
  <c r="CF80" i="11" s="1"/>
  <c r="CD88" i="11"/>
  <c r="CE88" i="11" s="1"/>
  <c r="CD96" i="11"/>
  <c r="CE96" i="11" s="1"/>
  <c r="CF96" i="11" s="1"/>
  <c r="CD104" i="11"/>
  <c r="CE104" i="11" s="1"/>
  <c r="CD112" i="11"/>
  <c r="CE112" i="11" s="1"/>
  <c r="CD120" i="11"/>
  <c r="CE120" i="11" s="1"/>
  <c r="CD128" i="11"/>
  <c r="CE128" i="11" s="1"/>
  <c r="CD136" i="11"/>
  <c r="CE136" i="11" s="1"/>
  <c r="CD144" i="11"/>
  <c r="CE144" i="11" s="1"/>
  <c r="CD152" i="11"/>
  <c r="CE152" i="11" s="1"/>
  <c r="CD160" i="11"/>
  <c r="CE160" i="11" s="1"/>
  <c r="CD168" i="11"/>
  <c r="CE168" i="11" s="1"/>
  <c r="CD11" i="11"/>
  <c r="CE11" i="11" s="1"/>
  <c r="CD19" i="11"/>
  <c r="CE19" i="11" s="1"/>
  <c r="CD6" i="11"/>
  <c r="CE6" i="11" s="1"/>
  <c r="CF6" i="11" s="1"/>
  <c r="CD7" i="11"/>
  <c r="CE7" i="11" s="1"/>
  <c r="CD14" i="11"/>
  <c r="CE14" i="11" s="1"/>
  <c r="CF14" i="11" s="1"/>
  <c r="CD15" i="11"/>
  <c r="CE15" i="11" s="1"/>
  <c r="CD23" i="11"/>
  <c r="CE23" i="11" s="1"/>
  <c r="CD31" i="11"/>
  <c r="CE31" i="11" s="1"/>
  <c r="CD39" i="11"/>
  <c r="CE39" i="11" s="1"/>
  <c r="CF39" i="11" s="1"/>
  <c r="CD47" i="11"/>
  <c r="CE47" i="11" s="1"/>
  <c r="CF47" i="11" s="1"/>
  <c r="CD71" i="11"/>
  <c r="CE71" i="11" s="1"/>
  <c r="CD79" i="11"/>
  <c r="CE79" i="11" s="1"/>
  <c r="CF79" i="11" s="1"/>
  <c r="CD87" i="11"/>
  <c r="CE87" i="11" s="1"/>
  <c r="CF87" i="11" s="1"/>
  <c r="CD95" i="11"/>
  <c r="CE95" i="11" s="1"/>
  <c r="CD103" i="11"/>
  <c r="CE103" i="11" s="1"/>
  <c r="CF103" i="11" s="1"/>
  <c r="CD127" i="11"/>
  <c r="CE127" i="11" s="1"/>
  <c r="CD135" i="11"/>
  <c r="CE135" i="11" s="1"/>
  <c r="CD143" i="11"/>
  <c r="CE143" i="11" s="1"/>
  <c r="CD151" i="11"/>
  <c r="CE151" i="11" s="1"/>
  <c r="CD159" i="11"/>
  <c r="CE159" i="11" s="1"/>
  <c r="CD167" i="11"/>
  <c r="CE167" i="11" s="1"/>
  <c r="CD191" i="11"/>
  <c r="CE191" i="11" s="1"/>
  <c r="CD199" i="11"/>
  <c r="CE199" i="11" s="1"/>
  <c r="CF199" i="11" s="1"/>
  <c r="CD63" i="11"/>
  <c r="CE63" i="11" s="1"/>
  <c r="CF63" i="11" s="1"/>
  <c r="CD119" i="11"/>
  <c r="CE119" i="11" s="1"/>
  <c r="CD183" i="11"/>
  <c r="CE183" i="11" s="1"/>
  <c r="CD9" i="11"/>
  <c r="CE9" i="11" s="1"/>
  <c r="CD10" i="11"/>
  <c r="CE10" i="11" s="1"/>
  <c r="CD17" i="11"/>
  <c r="CE17" i="11" s="1"/>
  <c r="CD18" i="11"/>
  <c r="CE18" i="11" s="1"/>
  <c r="CD22" i="11"/>
  <c r="CE22" i="11" s="1"/>
  <c r="CF22" i="11" s="1"/>
  <c r="CD25" i="11"/>
  <c r="CE25" i="11" s="1"/>
  <c r="CD26" i="11"/>
  <c r="CE26" i="11" s="1"/>
  <c r="CD30" i="11"/>
  <c r="CE30" i="11" s="1"/>
  <c r="CD33" i="11"/>
  <c r="CE33" i="11" s="1"/>
  <c r="CD34" i="11"/>
  <c r="CE34" i="11" s="1"/>
  <c r="CD38" i="11"/>
  <c r="CE38" i="11" s="1"/>
  <c r="CD41" i="11"/>
  <c r="CE41" i="11" s="1"/>
  <c r="CD42" i="11"/>
  <c r="CE42" i="11" s="1"/>
  <c r="CD46" i="11"/>
  <c r="CE46" i="11" s="1"/>
  <c r="CD49" i="11"/>
  <c r="CE49" i="11" s="1"/>
  <c r="CD50" i="11"/>
  <c r="CE50" i="11" s="1"/>
  <c r="CD111" i="11"/>
  <c r="CE111" i="11" s="1"/>
  <c r="CF111" i="11" s="1"/>
  <c r="CD37" i="11"/>
  <c r="CE37" i="11" s="1"/>
  <c r="CD59" i="11"/>
  <c r="CE59" i="11" s="1"/>
  <c r="CD89" i="11"/>
  <c r="CE89" i="11" s="1"/>
  <c r="CF89" i="11" s="1"/>
  <c r="CD93" i="11"/>
  <c r="CE93" i="11" s="1"/>
  <c r="CF93" i="11" s="1"/>
  <c r="CD102" i="11"/>
  <c r="CE102" i="11" s="1"/>
  <c r="CF102" i="11" s="1"/>
  <c r="CD110" i="11"/>
  <c r="CE110" i="11" s="1"/>
  <c r="CF110" i="11" s="1"/>
  <c r="CD114" i="11"/>
  <c r="CE114" i="11" s="1"/>
  <c r="CD123" i="11"/>
  <c r="CE123" i="11" s="1"/>
  <c r="CD153" i="11"/>
  <c r="CE153" i="11" s="1"/>
  <c r="CD157" i="11"/>
  <c r="CE157" i="11" s="1"/>
  <c r="CD166" i="11"/>
  <c r="CE166" i="11" s="1"/>
  <c r="CD184" i="11"/>
  <c r="CE184" i="11" s="1"/>
  <c r="CD187" i="11"/>
  <c r="CE187" i="11" s="1"/>
  <c r="CD200" i="11"/>
  <c r="CE200" i="11" s="1"/>
  <c r="CD82" i="11"/>
  <c r="CE82" i="11" s="1"/>
  <c r="CD125" i="11"/>
  <c r="CE125" i="11" s="1"/>
  <c r="CD176" i="11"/>
  <c r="CE176" i="11" s="1"/>
  <c r="CF176" i="11" s="1"/>
  <c r="CD198" i="11"/>
  <c r="CE198" i="11" s="1"/>
  <c r="CF198" i="11" s="1"/>
  <c r="CD55" i="11"/>
  <c r="CE55" i="11" s="1"/>
  <c r="CF55" i="11" s="1"/>
  <c r="CD43" i="11"/>
  <c r="CE43" i="11" s="1"/>
  <c r="CD54" i="11"/>
  <c r="CE54" i="11" s="1"/>
  <c r="CF54" i="11" s="1"/>
  <c r="CD67" i="11"/>
  <c r="CE67" i="11" s="1"/>
  <c r="CF67" i="11" s="1"/>
  <c r="CD97" i="11"/>
  <c r="CE97" i="11" s="1"/>
  <c r="CD101" i="11"/>
  <c r="CE101" i="11" s="1"/>
  <c r="CD118" i="11"/>
  <c r="CE118" i="11" s="1"/>
  <c r="CD131" i="11"/>
  <c r="CE131" i="11" s="1"/>
  <c r="CD161" i="11"/>
  <c r="CE161" i="11" s="1"/>
  <c r="CD165" i="11"/>
  <c r="CE165" i="11" s="1"/>
  <c r="CD177" i="11"/>
  <c r="CE177" i="11" s="1"/>
  <c r="CD193" i="11"/>
  <c r="CE193" i="11" s="1"/>
  <c r="CF193" i="11" s="1"/>
  <c r="CD202" i="11"/>
  <c r="CE202" i="11" s="1"/>
  <c r="CD156" i="11"/>
  <c r="CE156" i="11" s="1"/>
  <c r="CD192" i="11"/>
  <c r="CE192" i="11" s="1"/>
  <c r="CD70" i="11"/>
  <c r="CE70" i="11" s="1"/>
  <c r="CF70" i="11" s="1"/>
  <c r="CD91" i="11"/>
  <c r="CE91" i="11" s="1"/>
  <c r="CF91" i="11" s="1"/>
  <c r="CD142" i="11"/>
  <c r="CE142" i="11" s="1"/>
  <c r="CD155" i="11"/>
  <c r="CE155" i="11" s="1"/>
  <c r="CD179" i="11"/>
  <c r="CE179" i="11" s="1"/>
  <c r="CD13" i="11"/>
  <c r="CE13" i="11" s="1"/>
  <c r="CF13" i="11" s="1"/>
  <c r="CD29" i="11"/>
  <c r="CE29" i="11" s="1"/>
  <c r="CD36" i="11"/>
  <c r="CE36" i="11" s="1"/>
  <c r="CF36" i="11" s="1"/>
  <c r="CD58" i="11"/>
  <c r="CE58" i="11" s="1"/>
  <c r="CF58" i="11" s="1"/>
  <c r="CD62" i="11"/>
  <c r="CE62" i="11" s="1"/>
  <c r="CF62" i="11" s="1"/>
  <c r="CD66" i="11"/>
  <c r="CE66" i="11" s="1"/>
  <c r="CD75" i="11"/>
  <c r="CE75" i="11" s="1"/>
  <c r="CF75" i="11" s="1"/>
  <c r="CD84" i="11"/>
  <c r="CE84" i="11" s="1"/>
  <c r="CD100" i="11"/>
  <c r="CE100" i="11" s="1"/>
  <c r="CD105" i="11"/>
  <c r="CE105" i="11" s="1"/>
  <c r="CD109" i="11"/>
  <c r="CE109" i="11" s="1"/>
  <c r="CF109" i="11" s="1"/>
  <c r="CD122" i="11"/>
  <c r="CE122" i="11" s="1"/>
  <c r="CD126" i="11"/>
  <c r="CE126" i="11" s="1"/>
  <c r="CD130" i="11"/>
  <c r="CE130" i="11" s="1"/>
  <c r="CD139" i="11"/>
  <c r="CE139" i="11" s="1"/>
  <c r="CD148" i="11"/>
  <c r="CE148" i="11" s="1"/>
  <c r="CD164" i="11"/>
  <c r="CE164" i="11" s="1"/>
  <c r="CD169" i="11"/>
  <c r="CE169" i="11" s="1"/>
  <c r="CD173" i="11"/>
  <c r="CD180" i="11"/>
  <c r="CE180" i="11" s="1"/>
  <c r="CD186" i="11"/>
  <c r="CE186" i="11" s="1"/>
  <c r="CD189" i="11"/>
  <c r="CE189" i="11" s="1"/>
  <c r="CF189" i="11" s="1"/>
  <c r="CD196" i="11"/>
  <c r="CE196" i="11" s="1"/>
  <c r="CD12" i="11"/>
  <c r="CE12" i="11" s="1"/>
  <c r="CF12" i="11" s="1"/>
  <c r="CD35" i="11"/>
  <c r="CE35" i="11" s="1"/>
  <c r="CD53" i="11"/>
  <c r="CE53" i="11" s="1"/>
  <c r="CF53" i="11" s="1"/>
  <c r="CD74" i="11"/>
  <c r="CE74" i="11" s="1"/>
  <c r="CF74" i="11" s="1"/>
  <c r="CD83" i="11"/>
  <c r="CE83" i="11" s="1"/>
  <c r="CD92" i="11"/>
  <c r="CE92" i="11" s="1"/>
  <c r="CF92" i="11" s="1"/>
  <c r="CD113" i="11"/>
  <c r="CE113" i="11" s="1"/>
  <c r="CD117" i="11"/>
  <c r="CE117" i="11" s="1"/>
  <c r="CD134" i="11"/>
  <c r="CE134" i="11" s="1"/>
  <c r="CD138" i="11"/>
  <c r="CE138" i="11" s="1"/>
  <c r="CD147" i="11"/>
  <c r="CE147" i="11" s="1"/>
  <c r="CE173" i="11"/>
  <c r="CF173" i="11" s="1"/>
  <c r="CD21" i="11"/>
  <c r="CE21" i="11" s="1"/>
  <c r="CD28" i="11"/>
  <c r="CE28" i="11" s="1"/>
  <c r="CD57" i="11"/>
  <c r="CE57" i="11" s="1"/>
  <c r="CF57" i="11" s="1"/>
  <c r="CD61" i="11"/>
  <c r="CE61" i="11" s="1"/>
  <c r="CF61" i="11" s="1"/>
  <c r="CD78" i="11"/>
  <c r="CE78" i="11" s="1"/>
  <c r="CF78" i="11" s="1"/>
  <c r="CD121" i="11"/>
  <c r="CE121" i="11" s="1"/>
  <c r="CD146" i="11"/>
  <c r="CE146" i="11" s="1"/>
  <c r="CD182" i="11"/>
  <c r="CE182" i="11" s="1"/>
  <c r="CD195" i="11"/>
  <c r="CE195" i="11" s="1"/>
  <c r="CD27" i="11"/>
  <c r="CE27" i="11" s="1"/>
  <c r="CF27" i="11" s="1"/>
  <c r="CD65" i="11"/>
  <c r="CE65" i="11" s="1"/>
  <c r="CD69" i="11"/>
  <c r="CE69" i="11" s="1"/>
  <c r="CD86" i="11"/>
  <c r="CE86" i="11" s="1"/>
  <c r="CD90" i="11"/>
  <c r="CE90" i="11" s="1"/>
  <c r="CD99" i="11"/>
  <c r="CE99" i="11" s="1"/>
  <c r="CD108" i="11"/>
  <c r="CE108" i="11" s="1"/>
  <c r="CD129" i="11"/>
  <c r="CE129" i="11" s="1"/>
  <c r="CD133" i="11"/>
  <c r="CE133" i="11" s="1"/>
  <c r="CD150" i="11"/>
  <c r="CE150" i="11" s="1"/>
  <c r="CD154" i="11"/>
  <c r="CE154" i="11" s="1"/>
  <c r="CD163" i="11"/>
  <c r="CE163" i="11" s="1"/>
  <c r="CD172" i="11"/>
  <c r="CE172" i="11" s="1"/>
  <c r="CF172" i="11" s="1"/>
  <c r="CD175" i="11"/>
  <c r="CE175" i="11" s="1"/>
  <c r="CD178" i="11"/>
  <c r="CE178" i="11" s="1"/>
  <c r="CF178" i="11" s="1"/>
  <c r="CD185" i="11"/>
  <c r="CE185" i="11" s="1"/>
  <c r="CD194" i="11"/>
  <c r="CE194" i="11" s="1"/>
  <c r="CD201" i="11"/>
  <c r="CE201" i="11" s="1"/>
  <c r="CF201" i="11" s="1"/>
  <c r="CD20" i="11"/>
  <c r="CE20" i="11" s="1"/>
  <c r="CD45" i="11"/>
  <c r="CE45" i="11" s="1"/>
  <c r="CD52" i="11"/>
  <c r="CE52" i="11" s="1"/>
  <c r="CD68" i="11"/>
  <c r="CE68" i="11" s="1"/>
  <c r="CD73" i="11"/>
  <c r="CE73" i="11" s="1"/>
  <c r="CF73" i="11" s="1"/>
  <c r="CD77" i="11"/>
  <c r="CE77" i="11" s="1"/>
  <c r="CD94" i="11"/>
  <c r="CE94" i="11" s="1"/>
  <c r="CD98" i="11"/>
  <c r="CE98" i="11" s="1"/>
  <c r="CD107" i="11"/>
  <c r="CE107" i="11" s="1"/>
  <c r="CF107" i="11" s="1"/>
  <c r="CD116" i="11"/>
  <c r="CE116" i="11" s="1"/>
  <c r="CF116" i="11" s="1"/>
  <c r="CD132" i="11"/>
  <c r="CE132" i="11" s="1"/>
  <c r="CD137" i="11"/>
  <c r="CE137" i="11" s="1"/>
  <c r="CD141" i="11"/>
  <c r="CE141" i="11" s="1"/>
  <c r="CD158" i="11"/>
  <c r="CE158" i="11" s="1"/>
  <c r="CD162" i="11"/>
  <c r="CE162" i="11" s="1"/>
  <c r="CD171" i="11"/>
  <c r="CE171" i="11" s="1"/>
  <c r="CD188" i="11"/>
  <c r="CE188" i="11" s="1"/>
  <c r="CD5" i="11"/>
  <c r="CE5" i="11" s="1"/>
  <c r="CD44" i="11"/>
  <c r="CE44" i="11" s="1"/>
  <c r="CD51" i="11"/>
  <c r="CE51" i="11" s="1"/>
  <c r="CF51" i="11" s="1"/>
  <c r="CD60" i="11"/>
  <c r="CE60" i="11" s="1"/>
  <c r="CD76" i="11"/>
  <c r="CE76" i="11" s="1"/>
  <c r="CD81" i="11"/>
  <c r="CE81" i="11" s="1"/>
  <c r="CD85" i="11"/>
  <c r="CE85" i="11" s="1"/>
  <c r="CD106" i="11"/>
  <c r="CE106" i="11" s="1"/>
  <c r="CF106" i="11" s="1"/>
  <c r="CD115" i="11"/>
  <c r="CE115" i="11" s="1"/>
  <c r="CF115" i="11" s="1"/>
  <c r="CD124" i="11"/>
  <c r="CE124" i="11" s="1"/>
  <c r="CD140" i="11"/>
  <c r="CE140" i="11" s="1"/>
  <c r="CD145" i="11"/>
  <c r="CE145" i="11" s="1"/>
  <c r="CD149" i="11"/>
  <c r="CE149" i="11" s="1"/>
  <c r="CD170" i="11"/>
  <c r="CE170" i="11" s="1"/>
  <c r="CD174" i="11"/>
  <c r="CE174" i="11" s="1"/>
  <c r="CD181" i="11"/>
  <c r="CE181" i="11" s="1"/>
  <c r="CD190" i="11"/>
  <c r="CE190" i="11" s="1"/>
  <c r="CD197" i="11"/>
  <c r="CE197" i="11" s="1"/>
  <c r="CF197" i="11" s="1"/>
  <c r="CF187" i="11" l="1"/>
  <c r="CF183" i="11"/>
  <c r="CF141" i="11"/>
  <c r="CF139" i="11"/>
  <c r="CF152" i="11"/>
  <c r="CF169" i="11"/>
  <c r="CF142" i="11"/>
  <c r="CF123" i="11"/>
  <c r="CF119" i="11"/>
  <c r="CF167" i="11"/>
  <c r="CF144" i="11"/>
  <c r="CF162" i="11"/>
  <c r="CF126" i="11"/>
  <c r="CF161" i="11"/>
  <c r="CF125" i="11"/>
  <c r="CF159" i="11"/>
  <c r="CF127" i="11"/>
  <c r="CF136" i="11"/>
  <c r="CF124" i="11"/>
  <c r="CF160" i="11"/>
  <c r="CF128" i="11"/>
  <c r="CF155" i="11"/>
  <c r="CF149" i="11"/>
  <c r="CF147" i="11"/>
  <c r="CF50" i="11"/>
  <c r="CI50" i="11"/>
  <c r="CI19" i="11"/>
  <c r="CF185" i="11"/>
  <c r="CF157" i="11"/>
  <c r="CF104" i="11"/>
  <c r="CF158" i="11"/>
  <c r="CF194" i="11"/>
  <c r="CF182" i="11"/>
  <c r="CF35" i="11"/>
  <c r="CF101" i="11"/>
  <c r="CF166" i="11"/>
  <c r="CF72" i="11"/>
  <c r="CF85" i="11"/>
  <c r="CF52" i="11"/>
  <c r="CF65" i="11"/>
  <c r="CF156" i="11"/>
  <c r="CF112" i="11"/>
  <c r="CF68" i="11"/>
  <c r="CF184" i="11"/>
  <c r="CF46" i="11"/>
  <c r="CF10" i="11"/>
  <c r="CF174" i="11"/>
  <c r="CF171" i="11"/>
  <c r="CF175" i="11"/>
  <c r="CF129" i="11"/>
  <c r="CF134" i="11"/>
  <c r="CF105" i="11"/>
  <c r="CF192" i="11"/>
  <c r="CF17" i="11"/>
  <c r="CF95" i="11"/>
  <c r="CF15" i="11"/>
  <c r="CF11" i="11"/>
  <c r="CF168" i="11"/>
  <c r="CF88" i="11"/>
  <c r="CF98" i="11"/>
  <c r="CF165" i="11"/>
  <c r="CF24" i="11"/>
  <c r="CF42" i="11"/>
  <c r="CI4" i="11"/>
  <c r="CG5" i="11"/>
  <c r="CF180" i="11"/>
  <c r="CF114" i="11"/>
  <c r="CF44" i="11"/>
  <c r="CF77" i="11"/>
  <c r="CF121" i="11"/>
  <c r="CF138" i="11"/>
  <c r="CF118" i="11"/>
  <c r="CF33" i="11"/>
  <c r="CF18" i="11"/>
  <c r="CF48" i="11"/>
  <c r="CF76" i="11"/>
  <c r="CF20" i="11"/>
  <c r="CF164" i="11"/>
  <c r="CF25" i="11"/>
  <c r="CF145" i="11"/>
  <c r="CF45" i="11"/>
  <c r="CF99" i="11"/>
  <c r="CF113" i="11"/>
  <c r="CF7" i="11"/>
  <c r="CF32" i="11"/>
  <c r="CF195" i="11"/>
  <c r="CF69" i="11"/>
  <c r="CF181" i="11"/>
  <c r="CF137" i="11"/>
  <c r="CF86" i="11"/>
  <c r="CF146" i="11"/>
  <c r="CF28" i="11"/>
  <c r="CF83" i="11"/>
  <c r="CF200" i="11"/>
  <c r="CF34" i="11"/>
  <c r="CF19" i="11"/>
  <c r="CF154" i="11"/>
  <c r="CF97" i="11"/>
  <c r="CF81" i="11"/>
  <c r="CF196" i="11"/>
  <c r="CF177" i="11"/>
  <c r="CF41" i="11"/>
  <c r="CF108" i="11"/>
  <c r="CF117" i="11"/>
  <c r="CF9" i="11"/>
  <c r="CF170" i="11"/>
  <c r="CF132" i="11"/>
  <c r="CF179" i="11"/>
  <c r="CF188" i="11"/>
  <c r="CF140" i="11"/>
  <c r="CF60" i="11"/>
  <c r="CF94" i="11"/>
  <c r="CF150" i="11"/>
  <c r="CF90" i="11"/>
  <c r="CF148" i="11"/>
  <c r="CF122" i="11"/>
  <c r="CF66" i="11"/>
  <c r="CF153" i="11"/>
  <c r="CF133" i="11"/>
  <c r="CF190" i="11"/>
  <c r="CF151" i="11"/>
  <c r="CF120" i="11"/>
  <c r="CF8" i="11"/>
  <c r="CF191" i="11"/>
  <c r="CF23" i="11"/>
  <c r="CF186" i="11"/>
  <c r="CF131" i="11"/>
  <c r="CF26" i="11"/>
  <c r="CF84" i="11"/>
  <c r="CF21" i="11"/>
  <c r="CF130" i="11"/>
  <c r="CF71" i="11"/>
  <c r="CF100" i="11"/>
  <c r="CF143" i="11"/>
  <c r="CF38" i="11"/>
  <c r="CF82" i="11"/>
  <c r="CF163" i="11"/>
  <c r="CF135" i="11"/>
  <c r="CG6" i="11" l="1"/>
  <c r="CH6" i="11" l="1"/>
  <c r="CG7" i="11"/>
  <c r="CH7" i="11" l="1"/>
  <c r="CG8" i="11"/>
  <c r="CG9" i="11" l="1"/>
  <c r="CH8" i="11"/>
  <c r="CG10" i="11" l="1"/>
  <c r="CH9" i="11"/>
  <c r="CG11" i="11" l="1"/>
  <c r="CH10" i="11"/>
  <c r="CG12" i="11" l="1"/>
  <c r="CH11" i="11"/>
  <c r="CG13" i="11" l="1"/>
  <c r="CH12" i="11"/>
  <c r="CG14" i="11" l="1"/>
  <c r="CH13" i="11"/>
  <c r="CG15" i="11" l="1"/>
  <c r="CH14" i="11"/>
  <c r="CG16" i="11" l="1"/>
  <c r="CH15" i="11"/>
  <c r="CG17" i="11" l="1"/>
  <c r="CH16" i="11"/>
  <c r="CG18" i="11" l="1"/>
  <c r="CH17" i="11"/>
  <c r="CG19" i="11" l="1"/>
  <c r="CH18" i="11"/>
  <c r="CG20" i="11" l="1"/>
  <c r="CH19" i="11"/>
  <c r="CG21" i="11" l="1"/>
  <c r="CH20" i="11"/>
  <c r="CG22" i="11" l="1"/>
  <c r="CH21" i="11"/>
  <c r="CG23" i="11" l="1"/>
  <c r="CH22" i="11"/>
  <c r="CG24" i="11" l="1"/>
  <c r="CH23" i="11"/>
  <c r="CG25" i="11" l="1"/>
  <c r="CH24" i="11"/>
  <c r="CG26" i="11" l="1"/>
  <c r="CH25" i="11"/>
  <c r="CG27" i="11" l="1"/>
  <c r="CH26" i="11"/>
  <c r="CG28" i="11" l="1"/>
  <c r="CH27" i="11"/>
  <c r="CG29" i="11" l="1"/>
  <c r="CH28" i="11"/>
  <c r="CG30" i="11" l="1"/>
  <c r="CG31" i="11" l="1"/>
  <c r="CG32" i="11" l="1"/>
  <c r="CG33" i="11" l="1"/>
  <c r="CG34" i="11" l="1"/>
  <c r="CG35" i="11" l="1"/>
  <c r="CG36" i="11" l="1"/>
  <c r="CG37" i="11" l="1"/>
  <c r="CG38" i="11" l="1"/>
  <c r="CG39" i="11" l="1"/>
  <c r="CG40" i="11" l="1"/>
  <c r="CG41" i="11" l="1"/>
  <c r="CG42" i="11" l="1"/>
  <c r="CG43" i="11" l="1"/>
  <c r="CG44" i="11" l="1"/>
  <c r="CG45" i="11" l="1"/>
  <c r="CG46" i="11" l="1"/>
  <c r="CG47" i="11" l="1"/>
  <c r="CG48" i="11" l="1"/>
  <c r="CG49" i="11" l="1"/>
  <c r="CG50" i="11" l="1"/>
  <c r="CG51" i="11" l="1"/>
  <c r="CG52" i="11" l="1"/>
  <c r="CG53" i="11" l="1"/>
  <c r="CG54" i="11" l="1"/>
  <c r="CG55" i="11" l="1"/>
  <c r="CG56" i="11" l="1"/>
  <c r="CG57" i="11" l="1"/>
  <c r="CG58" i="11" l="1"/>
  <c r="CG59" i="11" l="1"/>
  <c r="CG60" i="11" l="1"/>
  <c r="CG61" i="11" l="1"/>
  <c r="CG62" i="11" l="1"/>
  <c r="CG63" i="11" l="1"/>
  <c r="CG64" i="11" l="1"/>
  <c r="CG65" i="11" l="1"/>
  <c r="CG66" i="11" l="1"/>
  <c r="CG67" i="11" l="1"/>
  <c r="CG68" i="11" l="1"/>
  <c r="CG69" i="11" l="1"/>
  <c r="CG70" i="11" l="1"/>
  <c r="CG71" i="11" l="1"/>
  <c r="CG72" i="11" l="1"/>
  <c r="CG73" i="11" l="1"/>
  <c r="CG74" i="11" l="1"/>
  <c r="CG75" i="11" l="1"/>
  <c r="CG76" i="11" l="1"/>
  <c r="CG77" i="11" l="1"/>
  <c r="CG78" i="11" l="1"/>
  <c r="CG79" i="11" l="1"/>
  <c r="CG80" i="11" l="1"/>
  <c r="CG81" i="11" l="1"/>
  <c r="CG82" i="11" l="1"/>
  <c r="CG83" i="11" l="1"/>
  <c r="CG84" i="11" l="1"/>
  <c r="CG85" i="11" l="1"/>
  <c r="CG86" i="11" l="1"/>
  <c r="CG87" i="11" l="1"/>
  <c r="CG88" i="11" l="1"/>
  <c r="CG89" i="11" l="1"/>
  <c r="CG90" i="11" l="1"/>
  <c r="CG91" i="11" l="1"/>
  <c r="CG92" i="11" l="1"/>
  <c r="CG93" i="11" l="1"/>
  <c r="CG94" i="11" l="1"/>
  <c r="CG95" i="11" l="1"/>
  <c r="CG96" i="11" l="1"/>
  <c r="CG97" i="11" l="1"/>
  <c r="CG98" i="11" l="1"/>
  <c r="CG99" i="11" l="1"/>
  <c r="CG100" i="11" l="1"/>
  <c r="CG101" i="11" l="1"/>
  <c r="CG102" i="11" l="1"/>
  <c r="CG103" i="11" l="1"/>
  <c r="CG104" i="11" l="1"/>
  <c r="CG105" i="11" l="1"/>
  <c r="CG106" i="11" l="1"/>
  <c r="CG107" i="11" l="1"/>
  <c r="CG108" i="11" l="1"/>
  <c r="CG109" i="11" l="1"/>
  <c r="CG110" i="11" l="1"/>
  <c r="CG111" i="11" l="1"/>
  <c r="CG112" i="11" l="1"/>
  <c r="CG113" i="11" l="1"/>
  <c r="CG114" i="11" l="1"/>
  <c r="CG115" i="11" l="1"/>
  <c r="CG116" i="11" l="1"/>
  <c r="CG117" i="11" l="1"/>
  <c r="CG118" i="11" l="1"/>
  <c r="CG119" i="11" l="1"/>
  <c r="CG120" i="11" l="1"/>
  <c r="CG121" i="11" l="1"/>
  <c r="CG122" i="11" l="1"/>
  <c r="CG123" i="11" l="1"/>
  <c r="CG124" i="11" l="1"/>
  <c r="CG125" i="11" l="1"/>
  <c r="CG126" i="11" l="1"/>
  <c r="CG127" i="11" l="1"/>
  <c r="CG128" i="11" l="1"/>
  <c r="CG129" i="11" l="1"/>
  <c r="CG130" i="11" l="1"/>
  <c r="CG131" i="11" l="1"/>
  <c r="CG132" i="11" l="1"/>
  <c r="CG133" i="11" l="1"/>
  <c r="CG134" i="11" l="1"/>
  <c r="CG135" i="11" l="1"/>
  <c r="CG136" i="11" l="1"/>
  <c r="CG137" i="11" l="1"/>
  <c r="CG138" i="11" l="1"/>
  <c r="CG139" i="11" l="1"/>
  <c r="CG140" i="11" l="1"/>
  <c r="CG141" i="11" l="1"/>
  <c r="CG142" i="11" l="1"/>
  <c r="CG143" i="11" l="1"/>
  <c r="CG144" i="11" l="1"/>
  <c r="CG145" i="11" l="1"/>
  <c r="CG146" i="11" l="1"/>
  <c r="CG147" i="11" l="1"/>
  <c r="CG148" i="11" l="1"/>
  <c r="CG149" i="11" l="1"/>
  <c r="CG150" i="11" l="1"/>
  <c r="CG151" i="11" l="1"/>
  <c r="CG152" i="11" l="1"/>
  <c r="CG153" i="11" l="1"/>
  <c r="CG154" i="11" l="1"/>
  <c r="CG155" i="11" l="1"/>
  <c r="CG156" i="11" l="1"/>
  <c r="CG157" i="11" l="1"/>
  <c r="CG158" i="11" l="1"/>
  <c r="CG159" i="11" l="1"/>
  <c r="CG160" i="11" l="1"/>
  <c r="CG161" i="11" l="1"/>
  <c r="CG162" i="11" l="1"/>
  <c r="CG163" i="11" l="1"/>
  <c r="CG164" i="11" l="1"/>
  <c r="CG165" i="11" l="1"/>
  <c r="CG166" i="11" l="1"/>
  <c r="CG167" i="11" l="1"/>
  <c r="CG168" i="11" l="1"/>
  <c r="CG169" i="11" l="1"/>
  <c r="CG170" i="11" l="1"/>
  <c r="CG171" i="11" l="1"/>
  <c r="CG172" i="11" l="1"/>
  <c r="CG173" i="11" l="1"/>
  <c r="CG174" i="11" l="1"/>
  <c r="CG175" i="11" l="1"/>
  <c r="CG176" i="11" l="1"/>
  <c r="CG177" i="11" l="1"/>
  <c r="CG178" i="11" l="1"/>
  <c r="CG179" i="11" l="1"/>
  <c r="CG180" i="11" l="1"/>
  <c r="CG181" i="11" l="1"/>
  <c r="CG182" i="11" l="1"/>
  <c r="CG183" i="11" l="1"/>
  <c r="CG184" i="11" l="1"/>
  <c r="CG185" i="11" l="1"/>
  <c r="CG186" i="11" l="1"/>
  <c r="CG187" i="11" l="1"/>
  <c r="CG188" i="11" l="1"/>
  <c r="CG189" i="11" l="1"/>
  <c r="CG190" i="11" l="1"/>
  <c r="CG191" i="11" l="1"/>
  <c r="CG192" i="11" l="1"/>
  <c r="CG193" i="11" l="1"/>
  <c r="CG194" i="11" l="1"/>
  <c r="CG195" i="11" l="1"/>
  <c r="CG196" i="11" l="1"/>
  <c r="CG197" i="11" l="1"/>
  <c r="CG198" i="11" l="1"/>
  <c r="CG199" i="11" l="1"/>
  <c r="CG200" i="11" l="1"/>
  <c r="CG201" i="11" l="1"/>
  <c r="CG202" i="11" l="1"/>
  <c r="CG203" i="11" s="1"/>
  <c r="CG204" i="11" l="1"/>
  <c r="CS29" i="11"/>
  <c r="DQ29" i="11"/>
  <c r="AW29" i="11"/>
  <c r="BX29" i="11"/>
  <c r="EG29" i="11"/>
  <c r="BF29" i="11"/>
  <c r="CF29" i="11"/>
  <c r="BP29" i="11"/>
  <c r="DI29" i="11"/>
  <c r="C29" i="11"/>
  <c r="CG205" i="11" l="1"/>
  <c r="EA29" i="11"/>
  <c r="DC29" i="11"/>
  <c r="CH29" i="11"/>
  <c r="AY29" i="11"/>
  <c r="DS29" i="11"/>
  <c r="DK29" i="11"/>
  <c r="BH29" i="11"/>
  <c r="BI29" i="11" s="1"/>
  <c r="BZ29" i="11"/>
  <c r="EI29" i="11"/>
  <c r="CU29" i="11"/>
  <c r="BR29" i="11"/>
  <c r="CG206" i="11" l="1"/>
  <c r="EG30" i="11"/>
  <c r="CS30" i="11"/>
  <c r="BP30" i="11"/>
  <c r="BF30" i="11"/>
  <c r="BX30" i="11"/>
  <c r="CF30" i="11"/>
  <c r="DQ30" i="11"/>
  <c r="DI30" i="11"/>
  <c r="AW30" i="11"/>
  <c r="C30" i="11"/>
  <c r="DC30" i="11" s="1"/>
  <c r="CG207" i="11" l="1"/>
  <c r="DK30" i="11"/>
  <c r="EA30" i="11"/>
  <c r="CU30" i="11"/>
  <c r="EI30" i="11"/>
  <c r="BH30" i="11"/>
  <c r="BI30" i="11" s="1"/>
  <c r="AY30" i="11"/>
  <c r="BZ30" i="11"/>
  <c r="BR30" i="11"/>
  <c r="DS30" i="11"/>
  <c r="CH30" i="11"/>
  <c r="CG208" i="11" l="1"/>
  <c r="EG31" i="11"/>
  <c r="CF31" i="11"/>
  <c r="DI31" i="11"/>
  <c r="BP31" i="11"/>
  <c r="AW31" i="11"/>
  <c r="CS31" i="11"/>
  <c r="BF31" i="11"/>
  <c r="DQ31" i="11"/>
  <c r="BX31" i="11"/>
  <c r="C31" i="11"/>
  <c r="CG209" i="11" l="1"/>
  <c r="EA31" i="11"/>
  <c r="DC31" i="11"/>
  <c r="EI31" i="11"/>
  <c r="DK31" i="11"/>
  <c r="AY31" i="11"/>
  <c r="DS31" i="11"/>
  <c r="BR31" i="11"/>
  <c r="BH31" i="11"/>
  <c r="BI31" i="11" s="1"/>
  <c r="C32" i="11"/>
  <c r="BZ31" i="11"/>
  <c r="CH31" i="11"/>
  <c r="CU31" i="11"/>
  <c r="CG210" i="11" l="1"/>
  <c r="EA32" i="11"/>
  <c r="DC32" i="11"/>
  <c r="BR32" i="11"/>
  <c r="DS32" i="11"/>
  <c r="AY32" i="11"/>
  <c r="BZ32" i="11"/>
  <c r="BH32" i="11"/>
  <c r="BI32" i="11" s="1"/>
  <c r="CH32" i="11"/>
  <c r="EI32" i="11"/>
  <c r="C33" i="11"/>
  <c r="DK32" i="11"/>
  <c r="CU32" i="11"/>
  <c r="CG211" i="11" l="1"/>
  <c r="EA33" i="11"/>
  <c r="DC33" i="11"/>
  <c r="BR33" i="11"/>
  <c r="DS33" i="11"/>
  <c r="BZ33" i="11"/>
  <c r="EI33" i="11"/>
  <c r="C34" i="11"/>
  <c r="BH33" i="11"/>
  <c r="BI33" i="11" s="1"/>
  <c r="CH33" i="11"/>
  <c r="CU33" i="11"/>
  <c r="AY33" i="11"/>
  <c r="DK33" i="11"/>
  <c r="CG212" i="11" l="1"/>
  <c r="EA34" i="11"/>
  <c r="DC34" i="11"/>
  <c r="CH34" i="11"/>
  <c r="EI34" i="11"/>
  <c r="BZ34" i="11"/>
  <c r="CU34" i="11"/>
  <c r="AY34" i="11"/>
  <c r="C35" i="11"/>
  <c r="DK34" i="11"/>
  <c r="DS34" i="11"/>
  <c r="BH34" i="11"/>
  <c r="BI34" i="11" s="1"/>
  <c r="BR34" i="11"/>
  <c r="CG213" i="11" l="1"/>
  <c r="EA35" i="11"/>
  <c r="DC35" i="11"/>
  <c r="DI37" i="11"/>
  <c r="CS37" i="11"/>
  <c r="EG37" i="11"/>
  <c r="AW37" i="11"/>
  <c r="DQ37" i="11"/>
  <c r="BF37" i="11"/>
  <c r="BX37" i="11"/>
  <c r="BP37" i="11"/>
  <c r="CF37" i="11"/>
  <c r="BZ35" i="11"/>
  <c r="CU35" i="11"/>
  <c r="DS35" i="11"/>
  <c r="BR35" i="11"/>
  <c r="BH35" i="11"/>
  <c r="BI35" i="11" s="1"/>
  <c r="AY35" i="11"/>
  <c r="DK35" i="11"/>
  <c r="EI35" i="11"/>
  <c r="C36" i="11"/>
  <c r="CH35" i="11"/>
  <c r="CG214" i="11" l="1"/>
  <c r="EA36" i="11"/>
  <c r="DC36" i="11"/>
  <c r="DK36" i="11"/>
  <c r="EI36" i="11"/>
  <c r="CU36" i="11"/>
  <c r="BH36" i="11"/>
  <c r="BI36" i="11" s="1"/>
  <c r="DS36" i="11"/>
  <c r="CH36" i="11"/>
  <c r="BR36" i="11"/>
  <c r="BZ36" i="11"/>
  <c r="AY36" i="11"/>
  <c r="C37" i="11"/>
  <c r="CG215" i="11" l="1"/>
  <c r="EA37" i="11"/>
  <c r="DC37" i="11"/>
  <c r="CU37" i="11"/>
  <c r="CH37" i="11"/>
  <c r="BH37" i="11"/>
  <c r="BI37" i="11" s="1"/>
  <c r="EI37" i="11"/>
  <c r="DK37" i="11"/>
  <c r="DS37" i="11"/>
  <c r="C38" i="11"/>
  <c r="AY37" i="11"/>
  <c r="BR37" i="11"/>
  <c r="BZ37" i="11"/>
  <c r="CG216" i="11" l="1"/>
  <c r="EA38" i="11"/>
  <c r="DC38" i="11"/>
  <c r="BH38" i="11"/>
  <c r="BI38" i="11" s="1"/>
  <c r="BR38" i="11"/>
  <c r="DS38" i="11"/>
  <c r="DK38" i="11"/>
  <c r="CU38" i="11"/>
  <c r="C39" i="11"/>
  <c r="CH38" i="11"/>
  <c r="AY38" i="11"/>
  <c r="EI38" i="11"/>
  <c r="BZ38" i="11"/>
  <c r="CG217" i="11" l="1"/>
  <c r="EA39" i="11"/>
  <c r="DC39" i="11"/>
  <c r="CH39" i="11"/>
  <c r="BR39" i="11"/>
  <c r="CU39" i="11"/>
  <c r="DK39" i="11"/>
  <c r="BZ39" i="11"/>
  <c r="BH39" i="11"/>
  <c r="BI39" i="11" s="1"/>
  <c r="EI39" i="11"/>
  <c r="DS39" i="11"/>
  <c r="AY39" i="11"/>
  <c r="C40" i="11"/>
  <c r="CG218" i="11" l="1"/>
  <c r="EA40" i="11"/>
  <c r="DC40" i="11"/>
  <c r="BZ40" i="11"/>
  <c r="CU40" i="11"/>
  <c r="BH40" i="11"/>
  <c r="BI40" i="11" s="1"/>
  <c r="DK40" i="11"/>
  <c r="EI40" i="11"/>
  <c r="C41" i="11"/>
  <c r="DC41" i="11" s="1"/>
  <c r="DS40" i="11"/>
  <c r="AY40" i="11"/>
  <c r="BR40" i="11"/>
  <c r="CH40" i="11"/>
  <c r="CG219" i="11" l="1"/>
  <c r="EA41" i="11"/>
  <c r="EI41" i="11"/>
  <c r="BZ41" i="11"/>
  <c r="DS41" i="11"/>
  <c r="CH41" i="11"/>
  <c r="CU41" i="11"/>
  <c r="C42" i="11"/>
  <c r="BR41" i="11"/>
  <c r="AY41" i="11"/>
  <c r="DK41" i="11"/>
  <c r="BH41" i="11"/>
  <c r="BI41" i="11" s="1"/>
  <c r="CG220" i="11" l="1"/>
  <c r="EA42" i="11"/>
  <c r="DC42" i="11"/>
  <c r="DY43" i="11"/>
  <c r="DI43" i="11"/>
  <c r="AW43" i="11"/>
  <c r="BF43" i="11"/>
  <c r="CS43" i="11"/>
  <c r="EG43" i="11"/>
  <c r="DQ43" i="11"/>
  <c r="BX43" i="11"/>
  <c r="BP43" i="11"/>
  <c r="CF43" i="11"/>
  <c r="EI42" i="11"/>
  <c r="BZ42" i="11"/>
  <c r="CU42" i="11"/>
  <c r="BR42" i="11"/>
  <c r="BH42" i="11"/>
  <c r="BI42" i="11" s="1"/>
  <c r="DS42" i="11"/>
  <c r="C43" i="11"/>
  <c r="DK42" i="11"/>
  <c r="CH42" i="11"/>
  <c r="AY42" i="11"/>
  <c r="CG221" i="11" l="1"/>
  <c r="EA43" i="11"/>
  <c r="DC43" i="11"/>
  <c r="AY43" i="11"/>
  <c r="DS43" i="11"/>
  <c r="BH43" i="11"/>
  <c r="BI43" i="11" s="1"/>
  <c r="BR43" i="11"/>
  <c r="EI43" i="11"/>
  <c r="DK43" i="11"/>
  <c r="CU43" i="11"/>
  <c r="CH43" i="11"/>
  <c r="BZ43" i="11"/>
  <c r="C44" i="11"/>
  <c r="CG222" i="11" l="1"/>
  <c r="EA44" i="11"/>
  <c r="DC44" i="11"/>
  <c r="CH44" i="11"/>
  <c r="DK44" i="11"/>
  <c r="BH44" i="11"/>
  <c r="BI44" i="11" s="1"/>
  <c r="DS44" i="11"/>
  <c r="AY44" i="11"/>
  <c r="EI44" i="11"/>
  <c r="CU44" i="11"/>
  <c r="C45" i="11"/>
  <c r="BR44" i="11"/>
  <c r="BZ44" i="11"/>
  <c r="CG223" i="11" l="1"/>
  <c r="EA45" i="11"/>
  <c r="DC45" i="11"/>
  <c r="CH45" i="11"/>
  <c r="BH45" i="11"/>
  <c r="BI45" i="11" s="1"/>
  <c r="EI45" i="11"/>
  <c r="BR45" i="11"/>
  <c r="CU45" i="11"/>
  <c r="DS45" i="11"/>
  <c r="C46" i="11"/>
  <c r="AY45" i="11"/>
  <c r="BZ45" i="11"/>
  <c r="DK45" i="11"/>
  <c r="CG224" i="11" l="1"/>
  <c r="EA46" i="11"/>
  <c r="DC46" i="11"/>
  <c r="CH46" i="11"/>
  <c r="DS46" i="11"/>
  <c r="BH46" i="11"/>
  <c r="BI46" i="11" s="1"/>
  <c r="CU46" i="11"/>
  <c r="AY46" i="11"/>
  <c r="EI46" i="11"/>
  <c r="C47" i="11"/>
  <c r="DK46" i="11"/>
  <c r="BR46" i="11"/>
  <c r="BZ46" i="11"/>
  <c r="CG225" i="11" l="1"/>
  <c r="EA47" i="11"/>
  <c r="DC47" i="11"/>
  <c r="CU47" i="11"/>
  <c r="AY47" i="11"/>
  <c r="EI47" i="11"/>
  <c r="DS47" i="11"/>
  <c r="BR47" i="11"/>
  <c r="BZ47" i="11"/>
  <c r="BH47" i="11"/>
  <c r="BI47" i="11" s="1"/>
  <c r="DK47" i="11"/>
  <c r="CH47" i="11"/>
  <c r="C48" i="11"/>
  <c r="CG226" i="11" l="1"/>
  <c r="EA48" i="11"/>
  <c r="DC48" i="11"/>
  <c r="DS48" i="11"/>
  <c r="DK48" i="11"/>
  <c r="EI48" i="11"/>
  <c r="BR48" i="11"/>
  <c r="BH48" i="11"/>
  <c r="BI48" i="11" s="1"/>
  <c r="C49" i="11"/>
  <c r="CU48" i="11"/>
  <c r="AY48" i="11"/>
  <c r="BZ48" i="11"/>
  <c r="CH48" i="11"/>
  <c r="CG227" i="11" l="1"/>
  <c r="EA49" i="11"/>
  <c r="DC49" i="11"/>
  <c r="EI49" i="11"/>
  <c r="BZ49" i="11"/>
  <c r="BR49" i="11"/>
  <c r="CH49" i="11"/>
  <c r="AY49" i="11"/>
  <c r="C50" i="11"/>
  <c r="DK49" i="11"/>
  <c r="CU49" i="11"/>
  <c r="DS49" i="11"/>
  <c r="BH49" i="11"/>
  <c r="BI49" i="11" s="1"/>
  <c r="CG228" i="11" l="1"/>
  <c r="EA50" i="11"/>
  <c r="DC50" i="11"/>
  <c r="CU50" i="11"/>
  <c r="BZ50" i="11"/>
  <c r="DK50" i="11"/>
  <c r="BH50" i="11"/>
  <c r="BI50" i="11" s="1"/>
  <c r="AY50" i="11"/>
  <c r="C51" i="11"/>
  <c r="DS50" i="11"/>
  <c r="BR50" i="11"/>
  <c r="CH50" i="11"/>
  <c r="EI50" i="11"/>
  <c r="CG229" i="11" l="1"/>
  <c r="EA51" i="11"/>
  <c r="DC51" i="11"/>
  <c r="EI51" i="11"/>
  <c r="BZ51" i="11"/>
  <c r="CU51" i="11"/>
  <c r="DK51" i="11"/>
  <c r="AY51" i="11"/>
  <c r="DS51" i="11"/>
  <c r="BH51" i="11"/>
  <c r="BI51" i="11" s="1"/>
  <c r="CH51" i="11"/>
  <c r="BR51" i="11"/>
  <c r="C52" i="11"/>
  <c r="CG230" i="11" l="1"/>
  <c r="EA52" i="11"/>
  <c r="DC52" i="11"/>
  <c r="EI52" i="11"/>
  <c r="CH52" i="11"/>
  <c r="AY52" i="11"/>
  <c r="CU52" i="11"/>
  <c r="BR52" i="11"/>
  <c r="DS52" i="11"/>
  <c r="BH52" i="11"/>
  <c r="BI52" i="11" s="1"/>
  <c r="C53" i="11"/>
  <c r="BZ52" i="11"/>
  <c r="DK52" i="11"/>
  <c r="CG231" i="11" l="1"/>
  <c r="EA53" i="11"/>
  <c r="DC53" i="11"/>
  <c r="DS53" i="11"/>
  <c r="BR53" i="11"/>
  <c r="EI53" i="11"/>
  <c r="CH53" i="11"/>
  <c r="DK53" i="11"/>
  <c r="AY53" i="11"/>
  <c r="CU53" i="11"/>
  <c r="BH53" i="11"/>
  <c r="BI53" i="11" s="1"/>
  <c r="BZ53" i="11"/>
  <c r="C54" i="11"/>
  <c r="CG232" i="11" l="1"/>
  <c r="EA54" i="11"/>
  <c r="DC54" i="11"/>
  <c r="CH54" i="11"/>
  <c r="DS54" i="11"/>
  <c r="AY54" i="11"/>
  <c r="CU54" i="11"/>
  <c r="C55" i="11"/>
  <c r="EI54" i="11"/>
  <c r="BH54" i="11"/>
  <c r="BI54" i="11" s="1"/>
  <c r="DK54" i="11"/>
  <c r="BR54" i="11"/>
  <c r="BZ54" i="11"/>
  <c r="CG233" i="11" l="1"/>
  <c r="EA55" i="11"/>
  <c r="DC55" i="11"/>
  <c r="BR55" i="11"/>
  <c r="CH55" i="11"/>
  <c r="CU55" i="11"/>
  <c r="DK55" i="11"/>
  <c r="AY55" i="11"/>
  <c r="BZ55" i="11"/>
  <c r="BH55" i="11"/>
  <c r="BI55" i="11" s="1"/>
  <c r="EI55" i="11"/>
  <c r="DS55" i="11"/>
  <c r="DQ56" i="11"/>
  <c r="EG56" i="11"/>
  <c r="BF56" i="11"/>
  <c r="DI56" i="11"/>
  <c r="CF56" i="11"/>
  <c r="DY56" i="11"/>
  <c r="BP56" i="11"/>
  <c r="CS56" i="11"/>
  <c r="AW56" i="11"/>
  <c r="BX56" i="11"/>
  <c r="C56" i="11"/>
  <c r="BZ56" i="11" s="1"/>
  <c r="CG234" i="11" l="1"/>
  <c r="EA56" i="11"/>
  <c r="DC56" i="11"/>
  <c r="BH56" i="11"/>
  <c r="BI56" i="11" s="1"/>
  <c r="DK56" i="11"/>
  <c r="CH56" i="11"/>
  <c r="C57" i="11"/>
  <c r="DC57" i="11" s="1"/>
  <c r="AY56" i="11"/>
  <c r="EI56" i="11"/>
  <c r="BR56" i="11"/>
  <c r="CU56" i="11"/>
  <c r="DS56" i="11"/>
  <c r="CG235" i="11" l="1"/>
  <c r="DS57" i="11"/>
  <c r="CH57" i="11"/>
  <c r="CU57" i="11"/>
  <c r="DK57" i="11"/>
  <c r="BH57" i="11"/>
  <c r="BI57" i="11" s="1"/>
  <c r="BR57" i="11"/>
  <c r="C58" i="11"/>
  <c r="EI57" i="11"/>
  <c r="BZ57" i="11"/>
  <c r="EA57" i="11"/>
  <c r="AY57" i="11"/>
  <c r="CG236" i="11" l="1"/>
  <c r="DC58" i="11"/>
  <c r="C59" i="11"/>
  <c r="DC59" i="11" s="1"/>
  <c r="DK58" i="11"/>
  <c r="EI58" i="11"/>
  <c r="DS58" i="11"/>
  <c r="BR58" i="11"/>
  <c r="BZ58" i="11"/>
  <c r="BH58" i="11"/>
  <c r="BI58" i="11" s="1"/>
  <c r="AY58" i="11"/>
  <c r="CH58" i="11"/>
  <c r="CU58" i="11"/>
  <c r="EA58" i="11"/>
  <c r="CG237" i="11" l="1"/>
  <c r="DA59" i="11"/>
  <c r="DY59" i="11"/>
  <c r="DI59" i="11"/>
  <c r="BF59" i="11"/>
  <c r="AW59" i="11"/>
  <c r="DQ59" i="11"/>
  <c r="CS59" i="11"/>
  <c r="EG59" i="11"/>
  <c r="BX59" i="11"/>
  <c r="BP59" i="11"/>
  <c r="CF59" i="11"/>
  <c r="DS59" i="11"/>
  <c r="AY59" i="11"/>
  <c r="BZ59" i="11"/>
  <c r="BH59" i="11"/>
  <c r="BI59" i="11" s="1"/>
  <c r="BR59" i="11"/>
  <c r="CH59" i="11"/>
  <c r="CU59" i="11"/>
  <c r="EA59" i="11"/>
  <c r="C60" i="11"/>
  <c r="DC60" i="11" s="1"/>
  <c r="EI59" i="11"/>
  <c r="DK59" i="11"/>
  <c r="CG238" i="11" l="1"/>
  <c r="EI60" i="11"/>
  <c r="CU60" i="11"/>
  <c r="DS60" i="11"/>
  <c r="BR60" i="11"/>
  <c r="CH60" i="11"/>
  <c r="AY60" i="11"/>
  <c r="BZ60" i="11"/>
  <c r="BH60" i="11"/>
  <c r="BI60" i="11" s="1"/>
  <c r="EA60" i="11"/>
  <c r="DK60" i="11"/>
  <c r="C61" i="11"/>
  <c r="DC61" i="11" s="1"/>
  <c r="CG239" i="11" l="1"/>
  <c r="DS61" i="11"/>
  <c r="CU61" i="11"/>
  <c r="DK61" i="11"/>
  <c r="BZ61" i="11"/>
  <c r="EA61" i="11"/>
  <c r="BH61" i="11"/>
  <c r="BI61" i="11" s="1"/>
  <c r="AY61" i="11"/>
  <c r="BR61" i="11"/>
  <c r="C62" i="11"/>
  <c r="DC62" i="11" s="1"/>
  <c r="EI61" i="11"/>
  <c r="CH61" i="11"/>
  <c r="CG240" i="11" l="1"/>
  <c r="DS62" i="11"/>
  <c r="BR62" i="11"/>
  <c r="AY62" i="11"/>
  <c r="EI62" i="11"/>
  <c r="BH62" i="11"/>
  <c r="BI62" i="11" s="1"/>
  <c r="EA62" i="11"/>
  <c r="BZ62" i="11"/>
  <c r="C63" i="11"/>
  <c r="DC63" i="11" s="1"/>
  <c r="CU62" i="11"/>
  <c r="CH62" i="11"/>
  <c r="DK62" i="11"/>
  <c r="BZ63" i="11" l="1"/>
  <c r="DS63" i="11"/>
  <c r="BR63" i="11"/>
  <c r="CH63" i="11"/>
  <c r="BH63" i="11"/>
  <c r="BI63" i="11" s="1"/>
  <c r="CU63" i="11"/>
  <c r="EA63" i="11"/>
  <c r="C64" i="11"/>
  <c r="DC64" i="11" s="1"/>
  <c r="AY63" i="11"/>
  <c r="EI63" i="11"/>
  <c r="DK63" i="11"/>
  <c r="AY64" i="11" l="1"/>
  <c r="BR64" i="11"/>
  <c r="CU64" i="11"/>
  <c r="EA64" i="11"/>
  <c r="DS64" i="11"/>
  <c r="BH64" i="11"/>
  <c r="BI64" i="11" s="1"/>
  <c r="C65" i="11"/>
  <c r="DC65" i="11" s="1"/>
  <c r="BZ64" i="11"/>
  <c r="CH64" i="11"/>
  <c r="DK64" i="11"/>
  <c r="EI64" i="11"/>
  <c r="CH65" i="11" l="1"/>
  <c r="EI65" i="11"/>
  <c r="BZ65" i="11"/>
  <c r="CU65" i="11"/>
  <c r="EA65" i="11"/>
  <c r="BH65" i="11"/>
  <c r="BI65" i="11" s="1"/>
  <c r="DK65" i="11"/>
  <c r="BR65" i="11"/>
  <c r="C66" i="11"/>
  <c r="DC66" i="11" s="1"/>
  <c r="DS65" i="11"/>
  <c r="AY65" i="11"/>
  <c r="BR66" i="11" l="1"/>
  <c r="AY66" i="11"/>
  <c r="BZ66" i="11"/>
  <c r="DK66" i="11"/>
  <c r="CU66" i="11"/>
  <c r="BH66" i="11"/>
  <c r="BI66" i="11" s="1"/>
  <c r="C67" i="11"/>
  <c r="DC67" i="11" s="1"/>
  <c r="EA66" i="11"/>
  <c r="CH66" i="11"/>
  <c r="EI66" i="11"/>
  <c r="DS66" i="11"/>
  <c r="AY67" i="11" l="1"/>
  <c r="EI67" i="11"/>
  <c r="DK67" i="11"/>
  <c r="CH67" i="11"/>
  <c r="DS67" i="11"/>
  <c r="BH67" i="11"/>
  <c r="BI67" i="11" s="1"/>
  <c r="BR67" i="11"/>
  <c r="CU67" i="11"/>
  <c r="C68" i="11"/>
  <c r="DC68" i="11" s="1"/>
  <c r="EA67" i="11"/>
  <c r="BZ67" i="11"/>
  <c r="DK68" i="11" l="1"/>
  <c r="CH68" i="11"/>
  <c r="DS68" i="11"/>
  <c r="BZ68" i="11"/>
  <c r="EI68" i="11"/>
  <c r="EA68" i="11"/>
  <c r="CU68" i="11"/>
  <c r="BR68" i="11"/>
  <c r="AY68" i="11"/>
  <c r="C69" i="11"/>
  <c r="DC69" i="11" s="1"/>
  <c r="BH68" i="11"/>
  <c r="BI68" i="11" s="1"/>
  <c r="CU69" i="11" l="1"/>
  <c r="BZ69" i="11"/>
  <c r="AY69" i="11"/>
  <c r="BR69" i="11"/>
  <c r="CH69" i="11"/>
  <c r="EI69" i="11"/>
  <c r="BH69" i="11"/>
  <c r="BI69" i="11" s="1"/>
  <c r="DK69" i="11"/>
  <c r="C70" i="11"/>
  <c r="DC70" i="11" s="1"/>
  <c r="EA69" i="11"/>
  <c r="DS69" i="11"/>
  <c r="CU70" i="11" l="1"/>
  <c r="EA70" i="11"/>
  <c r="BR70" i="11"/>
  <c r="EI70" i="11"/>
  <c r="BH70" i="11"/>
  <c r="BI70" i="11" s="1"/>
  <c r="BZ70" i="11"/>
  <c r="CH70" i="11"/>
  <c r="DK70" i="11"/>
  <c r="DS70" i="11"/>
  <c r="AY70" i="11"/>
  <c r="C71" i="11"/>
  <c r="DC71" i="11" s="1"/>
  <c r="DK71" i="11" l="1"/>
  <c r="AY71" i="11"/>
  <c r="CU71" i="11"/>
  <c r="BR71" i="11"/>
  <c r="BH71" i="11"/>
  <c r="BI71" i="11" s="1"/>
  <c r="EI71" i="11"/>
  <c r="BZ71" i="11"/>
  <c r="C72" i="11"/>
  <c r="DC72" i="11" s="1"/>
  <c r="CH71" i="11"/>
  <c r="DS71" i="11"/>
  <c r="EA71" i="11"/>
  <c r="BR72" i="11" l="1"/>
  <c r="DK72" i="11"/>
  <c r="BH72" i="11"/>
  <c r="BI72" i="11" s="1"/>
  <c r="AY72" i="11"/>
  <c r="BZ72" i="11"/>
  <c r="CU72" i="11"/>
  <c r="EI72" i="11"/>
  <c r="EA72" i="11"/>
  <c r="DS72" i="11"/>
  <c r="C73" i="11"/>
  <c r="DC73" i="11" s="1"/>
  <c r="CH72" i="11"/>
  <c r="CU73" i="11" l="1"/>
  <c r="DS73" i="11"/>
  <c r="CH73" i="11"/>
  <c r="BZ73" i="11"/>
  <c r="EA73" i="11"/>
  <c r="BR73" i="11"/>
  <c r="EI73" i="11"/>
  <c r="C74" i="11"/>
  <c r="DC74" i="11" s="1"/>
  <c r="BH73" i="11"/>
  <c r="BI73" i="11" s="1"/>
  <c r="AY73" i="11"/>
  <c r="DK73" i="11"/>
  <c r="EA74" i="11" l="1"/>
  <c r="CH74" i="11"/>
  <c r="BR74" i="11"/>
  <c r="DK74" i="11"/>
  <c r="BZ74" i="11"/>
  <c r="C75" i="11"/>
  <c r="DC75" i="11" s="1"/>
  <c r="CU74" i="11"/>
  <c r="BH74" i="11"/>
  <c r="BI74" i="11" s="1"/>
  <c r="EI74" i="11"/>
  <c r="AY74" i="11"/>
  <c r="DS74" i="11"/>
  <c r="DK75" i="11" l="1"/>
  <c r="EA75" i="11"/>
  <c r="BH75" i="11"/>
  <c r="BI75" i="11" s="1"/>
  <c r="EI75" i="11"/>
  <c r="CH75" i="11"/>
  <c r="CU75" i="11"/>
  <c r="C76" i="11"/>
  <c r="DC76" i="11" s="1"/>
  <c r="BZ75" i="11"/>
  <c r="BR75" i="11"/>
  <c r="AY75" i="11"/>
  <c r="DS75" i="11"/>
  <c r="DS76" i="11" l="1"/>
  <c r="BR76" i="11"/>
  <c r="EA76" i="11"/>
  <c r="BZ76" i="11"/>
  <c r="CU76" i="11"/>
  <c r="EI76" i="11"/>
  <c r="CH76" i="11"/>
  <c r="AY76" i="11"/>
  <c r="C77" i="11"/>
  <c r="DC77" i="11" s="1"/>
  <c r="DK76" i="11"/>
  <c r="BH76" i="11"/>
  <c r="BI76" i="11" s="1"/>
  <c r="EI77" i="11" l="1"/>
  <c r="DS77" i="11"/>
  <c r="CH77" i="11"/>
  <c r="CU77" i="11"/>
  <c r="BR77" i="11"/>
  <c r="AY77" i="11"/>
  <c r="DK77" i="11"/>
  <c r="BH77" i="11"/>
  <c r="BI77" i="11" s="1"/>
  <c r="BZ77" i="11"/>
  <c r="C78" i="11"/>
  <c r="DC78" i="11" s="1"/>
  <c r="EA77" i="11"/>
  <c r="AY78" i="11" l="1"/>
  <c r="EI78" i="11"/>
  <c r="BR78" i="11"/>
  <c r="BH78" i="11"/>
  <c r="BI78" i="11" s="1"/>
  <c r="BZ78" i="11"/>
  <c r="C79" i="11"/>
  <c r="DC79" i="11" s="1"/>
  <c r="DK78" i="11"/>
  <c r="DS78" i="11"/>
  <c r="CH78" i="11"/>
  <c r="EA78" i="11"/>
  <c r="CU78" i="11"/>
  <c r="DS79" i="11" l="1"/>
  <c r="BH79" i="11"/>
  <c r="BI79" i="11" s="1"/>
  <c r="EA79" i="11"/>
  <c r="DK79" i="11"/>
  <c r="BZ79" i="11"/>
  <c r="CH79" i="11"/>
  <c r="EI79" i="11"/>
  <c r="C80" i="11"/>
  <c r="DC80" i="11" s="1"/>
  <c r="CU79" i="11"/>
  <c r="BR79" i="11"/>
  <c r="AY79" i="11"/>
  <c r="CU80" i="11" l="1"/>
  <c r="AY80" i="11"/>
  <c r="BH80" i="11"/>
  <c r="BI80" i="11" s="1"/>
  <c r="BR80" i="11"/>
  <c r="DK80" i="11"/>
  <c r="EI80" i="11"/>
  <c r="CH80" i="11"/>
  <c r="C81" i="11"/>
  <c r="DC81" i="11" s="1"/>
  <c r="EA80" i="11"/>
  <c r="DS80" i="11"/>
  <c r="BZ80" i="11"/>
  <c r="CH81" i="11" l="1"/>
  <c r="DK81" i="11"/>
  <c r="EA81" i="11"/>
  <c r="DS81" i="11"/>
  <c r="EI81" i="11"/>
  <c r="BZ81" i="11"/>
  <c r="C82" i="11"/>
  <c r="DC82" i="11" s="1"/>
  <c r="CU81" i="11"/>
  <c r="AY81" i="11"/>
  <c r="BR81" i="11"/>
  <c r="BH81" i="11"/>
  <c r="BI81" i="11" s="1"/>
  <c r="BR82" i="11" l="1"/>
  <c r="CH82" i="11"/>
  <c r="BH82" i="11"/>
  <c r="BI82" i="11" s="1"/>
  <c r="DS82" i="11"/>
  <c r="AY82" i="11"/>
  <c r="EI82" i="11"/>
  <c r="C83" i="11"/>
  <c r="DC83" i="11" s="1"/>
  <c r="CU82" i="11"/>
  <c r="BZ82" i="11"/>
  <c r="EA82" i="11"/>
  <c r="DK82" i="11"/>
  <c r="DS83" i="11" l="1"/>
  <c r="DK83" i="11"/>
  <c r="EI83" i="11"/>
  <c r="AY83" i="11"/>
  <c r="CH83" i="11"/>
  <c r="BZ83" i="11"/>
  <c r="BR83" i="11"/>
  <c r="CU83" i="11"/>
  <c r="BH83" i="11"/>
  <c r="BI83" i="11" s="1"/>
  <c r="EA83" i="11"/>
  <c r="C84" i="11"/>
  <c r="DC84" i="11" s="1"/>
  <c r="EA84" i="11" l="1"/>
  <c r="EI84" i="11"/>
  <c r="AY84" i="11"/>
  <c r="BR84" i="11"/>
  <c r="CH84" i="11"/>
  <c r="BZ84" i="11"/>
  <c r="DS84" i="11"/>
  <c r="BH84" i="11"/>
  <c r="BI84" i="11" s="1"/>
  <c r="DK84" i="11"/>
  <c r="CU84" i="11"/>
  <c r="C85" i="11"/>
  <c r="DC85" i="11" s="1"/>
  <c r="EA85" i="11" l="1"/>
  <c r="BR85" i="11"/>
  <c r="CU85" i="11"/>
  <c r="AY85" i="11"/>
  <c r="DK85" i="11"/>
  <c r="CH85" i="11"/>
  <c r="BZ85" i="11"/>
  <c r="BH85" i="11"/>
  <c r="BI85" i="11" s="1"/>
  <c r="C86" i="11"/>
  <c r="DC86" i="11" s="1"/>
  <c r="EI85" i="11"/>
  <c r="DS85" i="11"/>
  <c r="EI86" i="11" l="1"/>
  <c r="AY86" i="11"/>
  <c r="DS86" i="11"/>
  <c r="BH86" i="11"/>
  <c r="BI86" i="11" s="1"/>
  <c r="CU86" i="11"/>
  <c r="BR86" i="11"/>
  <c r="DK86" i="11"/>
  <c r="BZ86" i="11"/>
  <c r="C87" i="11"/>
  <c r="DC87" i="11" s="1"/>
  <c r="EA86" i="11"/>
  <c r="CH86" i="11"/>
  <c r="AY87" i="11" l="1"/>
  <c r="DS87" i="11"/>
  <c r="BH87" i="11"/>
  <c r="BI87" i="11" s="1"/>
  <c r="DK87" i="11"/>
  <c r="BZ87" i="11"/>
  <c r="EI87" i="11"/>
  <c r="BR87" i="11"/>
  <c r="EA87" i="11"/>
  <c r="C88" i="11"/>
  <c r="DC88" i="11" s="1"/>
  <c r="CH87" i="11"/>
  <c r="CU87" i="11"/>
  <c r="EI88" i="11" l="1"/>
  <c r="DK88" i="11"/>
  <c r="EA88" i="11"/>
  <c r="BZ88" i="11"/>
  <c r="BH88" i="11"/>
  <c r="BI88" i="11" s="1"/>
  <c r="DS88" i="11"/>
  <c r="BR88" i="11"/>
  <c r="CU88" i="11"/>
  <c r="AY88" i="11"/>
  <c r="C89" i="11"/>
  <c r="DC89" i="11" s="1"/>
  <c r="CH88" i="11"/>
  <c r="DS89" i="11" l="1"/>
  <c r="EA89" i="11"/>
  <c r="DK89" i="11"/>
  <c r="CU89" i="11"/>
  <c r="BZ89" i="11"/>
  <c r="CH89" i="11"/>
  <c r="C90" i="11"/>
  <c r="DC90" i="11" s="1"/>
  <c r="BR89" i="11"/>
  <c r="EI89" i="11"/>
  <c r="BH89" i="11"/>
  <c r="BI89" i="11" s="1"/>
  <c r="AY89" i="11"/>
  <c r="CH90" i="11" l="1"/>
  <c r="EI90" i="11"/>
  <c r="DK90" i="11"/>
  <c r="BZ90" i="11"/>
  <c r="EA90" i="11"/>
  <c r="C91" i="11"/>
  <c r="DC91" i="11" s="1"/>
  <c r="DS90" i="11"/>
  <c r="CU90" i="11"/>
  <c r="AY90" i="11"/>
  <c r="BR90" i="11"/>
  <c r="BH90" i="11"/>
  <c r="BI90" i="11" s="1"/>
  <c r="BZ91" i="11" l="1"/>
  <c r="BR91" i="11"/>
  <c r="BH91" i="11"/>
  <c r="BI91" i="11" s="1"/>
  <c r="CU91" i="11"/>
  <c r="DK91" i="11"/>
  <c r="AY91" i="11"/>
  <c r="EI91" i="11"/>
  <c r="C92" i="11"/>
  <c r="DC92" i="11" s="1"/>
  <c r="CH91" i="11"/>
  <c r="EA91" i="11"/>
  <c r="DS91" i="11"/>
  <c r="EA92" i="11" l="1"/>
  <c r="DS92" i="11"/>
  <c r="BH92" i="11"/>
  <c r="BI92" i="11" s="1"/>
  <c r="BR92" i="11"/>
  <c r="CH92" i="11"/>
  <c r="EI92" i="11"/>
  <c r="CU92" i="11"/>
  <c r="BZ92" i="11"/>
  <c r="DK92" i="11"/>
  <c r="C93" i="11"/>
  <c r="DC93" i="11" s="1"/>
  <c r="AY92" i="11"/>
  <c r="CU93" i="11" l="1"/>
  <c r="BZ93" i="11"/>
  <c r="BR93" i="11"/>
  <c r="EA93" i="11"/>
  <c r="AY93" i="11"/>
  <c r="DS93" i="11"/>
  <c r="CH93" i="11"/>
  <c r="EI93" i="11"/>
  <c r="C94" i="11"/>
  <c r="DC94" i="11" s="1"/>
  <c r="DK93" i="11"/>
  <c r="BH93" i="11"/>
  <c r="BI93" i="11" s="1"/>
  <c r="DS94" i="11" l="1"/>
  <c r="BR94" i="11"/>
  <c r="CU94" i="11"/>
  <c r="EI94" i="11"/>
  <c r="EA94" i="11"/>
  <c r="BH94" i="11"/>
  <c r="BI94" i="11" s="1"/>
  <c r="BZ94" i="11"/>
  <c r="CH94" i="11"/>
  <c r="AY94" i="11"/>
  <c r="C95" i="11"/>
  <c r="DC95" i="11" s="1"/>
  <c r="DK94" i="11"/>
  <c r="CU95" i="11" l="1"/>
  <c r="BZ95" i="11"/>
  <c r="EI95" i="11"/>
  <c r="DS95" i="11"/>
  <c r="C96" i="11"/>
  <c r="DC96" i="11" s="1"/>
  <c r="CH95" i="11"/>
  <c r="BH95" i="11"/>
  <c r="BI95" i="11" s="1"/>
  <c r="BR95" i="11"/>
  <c r="DK95" i="11"/>
  <c r="AY95" i="11"/>
  <c r="EA95" i="11"/>
  <c r="BZ96" i="11" l="1"/>
  <c r="AY96" i="11"/>
  <c r="BR96" i="11"/>
  <c r="DS96" i="11"/>
  <c r="CH96" i="11"/>
  <c r="EI96" i="11"/>
  <c r="C97" i="11"/>
  <c r="DC97" i="11" s="1"/>
  <c r="EA96" i="11"/>
  <c r="DK96" i="11"/>
  <c r="BH96" i="11"/>
  <c r="BI96" i="11" s="1"/>
  <c r="CU96" i="11"/>
  <c r="DS97" i="11" l="1"/>
  <c r="CH97" i="11"/>
  <c r="DK97" i="11"/>
  <c r="EI97" i="11"/>
  <c r="BZ97" i="11"/>
  <c r="BH97" i="11"/>
  <c r="BI97" i="11" s="1"/>
  <c r="EA97" i="11"/>
  <c r="AY97" i="11"/>
  <c r="BR97" i="11"/>
  <c r="C98" i="11"/>
  <c r="DC98" i="11" s="1"/>
  <c r="CU97" i="11"/>
  <c r="BZ98" i="11" l="1"/>
  <c r="DK98" i="11"/>
  <c r="EI98" i="11"/>
  <c r="AY98" i="11"/>
  <c r="DS98" i="11"/>
  <c r="C99" i="11"/>
  <c r="DC99" i="11" s="1"/>
  <c r="BH98" i="11"/>
  <c r="BI98" i="11" s="1"/>
  <c r="CH98" i="11"/>
  <c r="CU98" i="11"/>
  <c r="EA98" i="11"/>
  <c r="BR98" i="11"/>
  <c r="BR99" i="11" l="1"/>
  <c r="DS99" i="11"/>
  <c r="BH99" i="11"/>
  <c r="BI99" i="11" s="1"/>
  <c r="CH99" i="11"/>
  <c r="BZ99" i="11"/>
  <c r="EI99" i="11"/>
  <c r="C100" i="11"/>
  <c r="DC100" i="11" s="1"/>
  <c r="CU99" i="11"/>
  <c r="DK99" i="11"/>
  <c r="AY99" i="11"/>
  <c r="EA99" i="11"/>
  <c r="EA100" i="11" l="1"/>
  <c r="AY100" i="11"/>
  <c r="BH100" i="11"/>
  <c r="BI100" i="11" s="1"/>
  <c r="CH100" i="11"/>
  <c r="DK100" i="11"/>
  <c r="EI100" i="11"/>
  <c r="CU100" i="11"/>
  <c r="BR100" i="11"/>
  <c r="DS100" i="11"/>
  <c r="BZ100" i="11"/>
  <c r="C101" i="11"/>
  <c r="DC101" i="11" s="1"/>
  <c r="CU101" i="11" l="1"/>
  <c r="BZ101" i="11"/>
  <c r="EI101" i="11"/>
  <c r="AY101" i="11"/>
  <c r="DK101" i="11"/>
  <c r="DS101" i="11"/>
  <c r="BR101" i="11"/>
  <c r="CH101" i="11"/>
  <c r="BH101" i="11"/>
  <c r="BI101" i="11" s="1"/>
  <c r="C102" i="11"/>
  <c r="DC102" i="11" s="1"/>
  <c r="EA101" i="11"/>
  <c r="CH102" i="11" l="1"/>
  <c r="BR102" i="11"/>
  <c r="AY102" i="11"/>
  <c r="BH102" i="11"/>
  <c r="BI102" i="11" s="1"/>
  <c r="DS102" i="11"/>
  <c r="DK102" i="11"/>
  <c r="EA102" i="11"/>
  <c r="BZ102" i="11"/>
  <c r="C103" i="11"/>
  <c r="DC103" i="11" s="1"/>
  <c r="CU102" i="11"/>
  <c r="EI102" i="11"/>
  <c r="DK103" i="11" l="1"/>
  <c r="CH103" i="11"/>
  <c r="BR103" i="11"/>
  <c r="CU103" i="11"/>
  <c r="EI103" i="11"/>
  <c r="BZ103" i="11"/>
  <c r="EA103" i="11"/>
  <c r="C104" i="11"/>
  <c r="DC104" i="11" s="1"/>
  <c r="BH103" i="11"/>
  <c r="BI103" i="11" s="1"/>
  <c r="DS103" i="11"/>
  <c r="AY103" i="11"/>
  <c r="AY104" i="11" l="1"/>
  <c r="BR104" i="11"/>
  <c r="DS104" i="11"/>
  <c r="CH104" i="11"/>
  <c r="BH104" i="11"/>
  <c r="BI104" i="11" s="1"/>
  <c r="CU104" i="11"/>
  <c r="EA104" i="11"/>
  <c r="DK104" i="11"/>
  <c r="EI104" i="11"/>
  <c r="BZ104" i="11"/>
  <c r="C105" i="11"/>
  <c r="DC105" i="11" s="1"/>
  <c r="BZ105" i="11" l="1"/>
  <c r="DS105" i="11"/>
  <c r="BR105" i="11"/>
  <c r="CH105" i="11"/>
  <c r="C106" i="11"/>
  <c r="DC106" i="11" s="1"/>
  <c r="DK105" i="11"/>
  <c r="AY105" i="11"/>
  <c r="CU105" i="11"/>
  <c r="EA105" i="11"/>
  <c r="EI105" i="11"/>
  <c r="BH105" i="11"/>
  <c r="BI105" i="11" s="1"/>
  <c r="CU106" i="11" l="1"/>
  <c r="EI106" i="11"/>
  <c r="CH106" i="11"/>
  <c r="EA106" i="11"/>
  <c r="DS106" i="11"/>
  <c r="AY106" i="11"/>
  <c r="C107" i="11"/>
  <c r="DC107" i="11" s="1"/>
  <c r="DK106" i="11"/>
  <c r="BZ106" i="11"/>
  <c r="BH106" i="11"/>
  <c r="BI106" i="11" s="1"/>
  <c r="BR106" i="11"/>
  <c r="CH107" i="11" l="1"/>
  <c r="BZ107" i="11"/>
  <c r="CU107" i="11"/>
  <c r="BR107" i="11"/>
  <c r="DS107" i="11"/>
  <c r="DK107" i="11"/>
  <c r="EA107" i="11"/>
  <c r="EI107" i="11"/>
  <c r="AY107" i="11"/>
  <c r="C108" i="11"/>
  <c r="DC108" i="11" s="1"/>
  <c r="BH107" i="11"/>
  <c r="BI107" i="11" s="1"/>
  <c r="BZ108" i="11" l="1"/>
  <c r="DK108" i="11"/>
  <c r="DS108" i="11"/>
  <c r="BR108" i="11"/>
  <c r="EI108" i="11"/>
  <c r="CU108" i="11"/>
  <c r="AY108" i="11"/>
  <c r="BH108" i="11"/>
  <c r="BI108" i="11" s="1"/>
  <c r="EA108" i="11"/>
  <c r="CH108" i="11"/>
  <c r="C109" i="11"/>
  <c r="DC109" i="11" s="1"/>
  <c r="AY109" i="11" l="1"/>
  <c r="BZ109" i="11"/>
  <c r="CH109" i="11"/>
  <c r="BR109" i="11"/>
  <c r="BH109" i="11"/>
  <c r="BI109" i="11" s="1"/>
  <c r="DK109" i="11"/>
  <c r="CU109" i="11"/>
  <c r="EI109" i="11"/>
  <c r="C110" i="11"/>
  <c r="DC110" i="11" s="1"/>
  <c r="EA109" i="11"/>
  <c r="DS109" i="11"/>
  <c r="EI110" i="11" l="1"/>
  <c r="CU110" i="11"/>
  <c r="BZ110" i="11"/>
  <c r="CH110" i="11"/>
  <c r="DS110" i="11"/>
  <c r="EA110" i="11"/>
  <c r="DK110" i="11"/>
  <c r="C111" i="11"/>
  <c r="DC111" i="11" s="1"/>
  <c r="AY110" i="11"/>
  <c r="BH110" i="11"/>
  <c r="BI110" i="11" s="1"/>
  <c r="BR110" i="11"/>
  <c r="DS111" i="11" l="1"/>
  <c r="AY111" i="11"/>
  <c r="BH111" i="11"/>
  <c r="BI111" i="11" s="1"/>
  <c r="DK111" i="11"/>
  <c r="EA111" i="11"/>
  <c r="BR111" i="11"/>
  <c r="BZ111" i="11"/>
  <c r="C112" i="11"/>
  <c r="DC112" i="11" s="1"/>
  <c r="EI111" i="11"/>
  <c r="CU111" i="11"/>
  <c r="CH111" i="11"/>
  <c r="DS112" i="11" l="1"/>
  <c r="DK112" i="11"/>
  <c r="BH112" i="11"/>
  <c r="BI112" i="11" s="1"/>
  <c r="EI112" i="11"/>
  <c r="BZ112" i="11"/>
  <c r="EA112" i="11"/>
  <c r="BR112" i="11"/>
  <c r="CU112" i="11"/>
  <c r="C113" i="11"/>
  <c r="DC113" i="11" s="1"/>
  <c r="CH112" i="11"/>
  <c r="AY112" i="11"/>
  <c r="BR113" i="11" l="1"/>
  <c r="CU113" i="11"/>
  <c r="DK113" i="11"/>
  <c r="EI113" i="11"/>
  <c r="BH113" i="11"/>
  <c r="BI113" i="11" s="1"/>
  <c r="BZ113" i="11"/>
  <c r="AY113" i="11"/>
  <c r="C114" i="11"/>
  <c r="DC114" i="11" s="1"/>
  <c r="CH113" i="11"/>
  <c r="EA113" i="11"/>
  <c r="DS113" i="11"/>
  <c r="BZ114" i="11" l="1"/>
  <c r="BR114" i="11"/>
  <c r="AY114" i="11"/>
  <c r="DK114" i="11"/>
  <c r="EA114" i="11"/>
  <c r="BH114" i="11"/>
  <c r="BI114" i="11" s="1"/>
  <c r="CU114" i="11"/>
  <c r="C115" i="11"/>
  <c r="DC115" i="11" s="1"/>
  <c r="EI114" i="11"/>
  <c r="DS114" i="11"/>
  <c r="CH114" i="11"/>
  <c r="CU115" i="11" l="1"/>
  <c r="DK115" i="11"/>
  <c r="EA115" i="11"/>
  <c r="AY115" i="11"/>
  <c r="BZ115" i="11"/>
  <c r="BR115" i="11"/>
  <c r="CH115" i="11"/>
  <c r="C116" i="11"/>
  <c r="DC116" i="11" s="1"/>
  <c r="EI115" i="11"/>
  <c r="DS115" i="11"/>
  <c r="BH115" i="11"/>
  <c r="BI115" i="11" s="1"/>
  <c r="BR116" i="11" l="1"/>
  <c r="AY116" i="11"/>
  <c r="BZ116" i="11"/>
  <c r="EI116" i="11"/>
  <c r="DK116" i="11"/>
  <c r="CH116" i="11"/>
  <c r="DS116" i="11"/>
  <c r="EA116" i="11"/>
  <c r="BH116" i="11"/>
  <c r="BI116" i="11" s="1"/>
  <c r="C117" i="11"/>
  <c r="DC117" i="11" s="1"/>
  <c r="CU116" i="11"/>
  <c r="EI117" i="11" l="1"/>
  <c r="EA117" i="11"/>
  <c r="BH117" i="11"/>
  <c r="BI117" i="11" s="1"/>
  <c r="DS117" i="11"/>
  <c r="CU117" i="11"/>
  <c r="CH117" i="11"/>
  <c r="BZ117" i="11"/>
  <c r="DK117" i="11"/>
  <c r="BR117" i="11"/>
  <c r="AY117" i="11"/>
  <c r="C118" i="11"/>
  <c r="DC118" i="11" s="1"/>
  <c r="DS118" i="11" l="1"/>
  <c r="BZ118" i="11"/>
  <c r="DK118" i="11"/>
  <c r="AY118" i="11"/>
  <c r="BH118" i="11"/>
  <c r="BI118" i="11" s="1"/>
  <c r="CH118" i="11"/>
  <c r="CU118" i="11"/>
  <c r="C119" i="11"/>
  <c r="DC119" i="11" s="1"/>
  <c r="BR118" i="11"/>
  <c r="EA118" i="11"/>
  <c r="EI118" i="11"/>
  <c r="CU119" i="11" l="1"/>
  <c r="BZ119" i="11"/>
  <c r="EI119" i="11"/>
  <c r="DS119" i="11"/>
  <c r="CH119" i="11"/>
  <c r="EA119" i="11"/>
  <c r="AY119" i="11"/>
  <c r="C120" i="11"/>
  <c r="DC120" i="11" s="1"/>
  <c r="BR119" i="11"/>
  <c r="BH119" i="11"/>
  <c r="BI119" i="11" s="1"/>
  <c r="DK119" i="11"/>
  <c r="DS120" i="11" l="1"/>
  <c r="CU120" i="11"/>
  <c r="BR120" i="11"/>
  <c r="DK120" i="11"/>
  <c r="BZ120" i="11"/>
  <c r="CH120" i="11"/>
  <c r="EI120" i="11"/>
  <c r="C121" i="11"/>
  <c r="DC121" i="11" s="1"/>
  <c r="EA120" i="11"/>
  <c r="AY120" i="11"/>
  <c r="BH120" i="11"/>
  <c r="BI120" i="11" s="1"/>
  <c r="AY121" i="11" l="1"/>
  <c r="CH121" i="11"/>
  <c r="DK121" i="11"/>
  <c r="BZ121" i="11"/>
  <c r="EA121" i="11"/>
  <c r="BR121" i="11"/>
  <c r="DS121" i="11"/>
  <c r="C122" i="11"/>
  <c r="DC122" i="11" s="1"/>
  <c r="CU121" i="11"/>
  <c r="BH121" i="11"/>
  <c r="BI121" i="11" s="1"/>
  <c r="EI121" i="11"/>
  <c r="CU122" i="11" l="1"/>
  <c r="CH122" i="11"/>
  <c r="BR122" i="11"/>
  <c r="BZ122" i="11"/>
  <c r="BH122" i="11"/>
  <c r="BI122" i="11" s="1"/>
  <c r="C123" i="11"/>
  <c r="DC123" i="11" s="1"/>
  <c r="EA122" i="11"/>
  <c r="EI122" i="11"/>
  <c r="AY122" i="11"/>
  <c r="DS122" i="11"/>
  <c r="DK122" i="11"/>
  <c r="EI123" i="11" l="1"/>
  <c r="EA123" i="11"/>
  <c r="DK123" i="11"/>
  <c r="DS123" i="11"/>
  <c r="AY123" i="11"/>
  <c r="BR123" i="11"/>
  <c r="C124" i="11"/>
  <c r="DC124" i="11" s="1"/>
  <c r="BH123" i="11"/>
  <c r="BI123" i="11" s="1"/>
  <c r="CU123" i="11"/>
  <c r="BZ123" i="11"/>
  <c r="CH123" i="11"/>
  <c r="BZ124" i="11" l="1"/>
  <c r="AY124" i="11"/>
  <c r="EA124" i="11"/>
  <c r="CU124" i="11"/>
  <c r="BH124" i="11"/>
  <c r="BI124" i="11" s="1"/>
  <c r="CH124" i="11"/>
  <c r="DK124" i="11"/>
  <c r="EI124" i="11"/>
  <c r="DS124" i="11"/>
  <c r="BR124" i="11"/>
  <c r="C125" i="11"/>
  <c r="DC125" i="11" s="1"/>
  <c r="DK125" i="11" l="1"/>
  <c r="EI125" i="11"/>
  <c r="AY125" i="11"/>
  <c r="BR125" i="11"/>
  <c r="EA125" i="11"/>
  <c r="DS125" i="11"/>
  <c r="BH125" i="11"/>
  <c r="BI125" i="11" s="1"/>
  <c r="CU125" i="11"/>
  <c r="C126" i="11"/>
  <c r="DC126" i="11" s="1"/>
  <c r="CH125" i="11"/>
  <c r="BZ125" i="11"/>
  <c r="BZ126" i="11" l="1"/>
  <c r="EI126" i="11"/>
  <c r="CH126" i="11"/>
  <c r="BR126" i="11"/>
  <c r="EA126" i="11"/>
  <c r="DK126" i="11"/>
  <c r="C127" i="11"/>
  <c r="DC127" i="11" s="1"/>
  <c r="DS126" i="11"/>
  <c r="CU126" i="11"/>
  <c r="BH126" i="11"/>
  <c r="BI126" i="11" s="1"/>
  <c r="AY126" i="11"/>
  <c r="CH127" i="11" l="1"/>
  <c r="EA127" i="11"/>
  <c r="BZ127" i="11"/>
  <c r="BR127" i="11"/>
  <c r="CU127" i="11"/>
  <c r="BH127" i="11"/>
  <c r="BI127" i="11" s="1"/>
  <c r="EI127" i="11"/>
  <c r="C128" i="11"/>
  <c r="DC128" i="11" s="1"/>
  <c r="AY127" i="11"/>
  <c r="DS127" i="11"/>
  <c r="DK127" i="11"/>
  <c r="EI128" i="11" l="1"/>
  <c r="EA128" i="11"/>
  <c r="DK128" i="11"/>
  <c r="BH128" i="11"/>
  <c r="BI128" i="11" s="1"/>
  <c r="CH128" i="11"/>
  <c r="AY128" i="11"/>
  <c r="DS128" i="11"/>
  <c r="CU128" i="11"/>
  <c r="BR128" i="11"/>
  <c r="C129" i="11"/>
  <c r="DC129" i="11" s="1"/>
  <c r="BZ128" i="11"/>
  <c r="DK129" i="11" l="1"/>
  <c r="AY129" i="11"/>
  <c r="BH129" i="11"/>
  <c r="BI129" i="11" s="1"/>
  <c r="BR129" i="11"/>
  <c r="EA129" i="11"/>
  <c r="DS129" i="11"/>
  <c r="C130" i="11"/>
  <c r="DC130" i="11" s="1"/>
  <c r="CU129" i="11"/>
  <c r="CH129" i="11"/>
  <c r="BZ129" i="11"/>
  <c r="EI129" i="11"/>
  <c r="DK130" i="11" l="1"/>
  <c r="EA130" i="11"/>
  <c r="DS130" i="11"/>
  <c r="BR130" i="11"/>
  <c r="EI130" i="11"/>
  <c r="C131" i="11"/>
  <c r="DC131" i="11" s="1"/>
  <c r="BH130" i="11"/>
  <c r="BI130" i="11" s="1"/>
  <c r="AY130" i="11"/>
  <c r="CH130" i="11"/>
  <c r="BZ130" i="11"/>
  <c r="CU130" i="11"/>
  <c r="EI131" i="11" l="1"/>
  <c r="AY131" i="11"/>
  <c r="BH131" i="11"/>
  <c r="BI131" i="11" s="1"/>
  <c r="DS131" i="11"/>
  <c r="BR131" i="11"/>
  <c r="EA131" i="11"/>
  <c r="BZ131" i="11"/>
  <c r="CH131" i="11"/>
  <c r="CU131" i="11"/>
  <c r="DK131" i="11"/>
  <c r="C132" i="11"/>
  <c r="DC132" i="11" s="1"/>
  <c r="BR132" i="11" l="1"/>
  <c r="CH132" i="11"/>
  <c r="EA132" i="11"/>
  <c r="DK132" i="11"/>
  <c r="BH132" i="11"/>
  <c r="BI132" i="11" s="1"/>
  <c r="EI132" i="11"/>
  <c r="CU132" i="11"/>
  <c r="DS132" i="11"/>
  <c r="BZ132" i="11"/>
  <c r="C133" i="11"/>
  <c r="DC133" i="11" s="1"/>
  <c r="AY132" i="11"/>
  <c r="CU133" i="11" l="1"/>
  <c r="BR133" i="11"/>
  <c r="DS133" i="11"/>
  <c r="DK133" i="11"/>
  <c r="BZ133" i="11"/>
  <c r="EI133" i="11"/>
  <c r="AY133" i="11"/>
  <c r="EA133" i="11"/>
  <c r="C134" i="11"/>
  <c r="DC134" i="11" s="1"/>
  <c r="BH133" i="11"/>
  <c r="BI133" i="11" s="1"/>
  <c r="CH133" i="11"/>
  <c r="DK134" i="11" l="1"/>
  <c r="BR134" i="11"/>
  <c r="BH134" i="11"/>
  <c r="BI134" i="11" s="1"/>
  <c r="CH134" i="11"/>
  <c r="CU134" i="11"/>
  <c r="DS134" i="11"/>
  <c r="BZ134" i="11"/>
  <c r="C135" i="11"/>
  <c r="DC135" i="11" s="1"/>
  <c r="EI134" i="11"/>
  <c r="AY134" i="11"/>
  <c r="EA134" i="11"/>
  <c r="DK135" i="11" l="1"/>
  <c r="EA135" i="11"/>
  <c r="EI135" i="11"/>
  <c r="AY135" i="11"/>
  <c r="BR135" i="11"/>
  <c r="DS135" i="11"/>
  <c r="C136" i="11"/>
  <c r="DC136" i="11" s="1"/>
  <c r="CH135" i="11"/>
  <c r="CU135" i="11"/>
  <c r="BH135" i="11"/>
  <c r="BI135" i="11" s="1"/>
  <c r="BZ135" i="11"/>
  <c r="CH136" i="11" l="1"/>
  <c r="AY136" i="11"/>
  <c r="EI136" i="11"/>
  <c r="DK136" i="11"/>
  <c r="CU136" i="11"/>
  <c r="BR136" i="11"/>
  <c r="EA136" i="11"/>
  <c r="BH136" i="11"/>
  <c r="BI136" i="11" s="1"/>
  <c r="C137" i="11"/>
  <c r="DC137" i="11" s="1"/>
  <c r="DS136" i="11"/>
  <c r="BZ136" i="11"/>
  <c r="AY137" i="11" l="1"/>
  <c r="BR137" i="11"/>
  <c r="BH137" i="11"/>
  <c r="BI137" i="11" s="1"/>
  <c r="BZ137" i="11"/>
  <c r="DK137" i="11"/>
  <c r="EA137" i="11"/>
  <c r="CH137" i="11"/>
  <c r="C138" i="11"/>
  <c r="DC138" i="11" s="1"/>
  <c r="CU137" i="11"/>
  <c r="DS137" i="11"/>
  <c r="EI137" i="11"/>
  <c r="EI138" i="11" l="1"/>
  <c r="DK138" i="11"/>
  <c r="CH138" i="11"/>
  <c r="CU138" i="11"/>
  <c r="C139" i="11"/>
  <c r="DC139" i="11" s="1"/>
  <c r="BR138" i="11"/>
  <c r="DS138" i="11"/>
  <c r="EA138" i="11"/>
  <c r="BH138" i="11"/>
  <c r="BI138" i="11" s="1"/>
  <c r="AY138" i="11"/>
  <c r="BZ138" i="11"/>
  <c r="EI139" i="11" l="1"/>
  <c r="BZ139" i="11"/>
  <c r="BR139" i="11"/>
  <c r="CH139" i="11"/>
  <c r="EA139" i="11"/>
  <c r="DS139" i="11"/>
  <c r="C140" i="11"/>
  <c r="DC140" i="11" s="1"/>
  <c r="DK139" i="11"/>
  <c r="AY139" i="11"/>
  <c r="BH139" i="11"/>
  <c r="BI139" i="11" s="1"/>
  <c r="CU139" i="11"/>
  <c r="EA140" i="11" l="1"/>
  <c r="AY140" i="11"/>
  <c r="BZ140" i="11"/>
  <c r="BR140" i="11"/>
  <c r="CU140" i="11"/>
  <c r="DS140" i="11"/>
  <c r="EI140" i="11"/>
  <c r="DK140" i="11"/>
  <c r="CH140" i="11"/>
  <c r="BH140" i="11"/>
  <c r="BI140" i="11" s="1"/>
  <c r="C141" i="11"/>
  <c r="DC141" i="11" s="1"/>
  <c r="EA141" i="11" l="1"/>
  <c r="AY141" i="11"/>
  <c r="CH141" i="11"/>
  <c r="DK141" i="11"/>
  <c r="BH141" i="11"/>
  <c r="BI141" i="11" s="1"/>
  <c r="BR141" i="11"/>
  <c r="BZ141" i="11"/>
  <c r="EI141" i="11"/>
  <c r="C142" i="11"/>
  <c r="DC142" i="11" s="1"/>
  <c r="DS141" i="11"/>
  <c r="CU141" i="11"/>
  <c r="AY142" i="11" l="1"/>
  <c r="EI142" i="11"/>
  <c r="CU142" i="11"/>
  <c r="EA142" i="11"/>
  <c r="BR142" i="11"/>
  <c r="CH142" i="11"/>
  <c r="BZ142" i="11"/>
  <c r="C143" i="11"/>
  <c r="DC143" i="11" s="1"/>
  <c r="BH142" i="11"/>
  <c r="BI142" i="11" s="1"/>
  <c r="DS142" i="11"/>
  <c r="DK142" i="11"/>
  <c r="BZ143" i="11" l="1"/>
  <c r="BH143" i="11"/>
  <c r="BI143" i="11" s="1"/>
  <c r="EA143" i="11"/>
  <c r="CU143" i="11"/>
  <c r="AY143" i="11"/>
  <c r="CH143" i="11"/>
  <c r="DS143" i="11"/>
  <c r="EI143" i="11"/>
  <c r="BR143" i="11"/>
  <c r="C144" i="11"/>
  <c r="DC144" i="11" s="1"/>
  <c r="DK143" i="11"/>
  <c r="CH144" i="11" l="1"/>
  <c r="BZ144" i="11"/>
  <c r="EA144" i="11"/>
  <c r="EI144" i="11"/>
  <c r="BR144" i="11"/>
  <c r="AY144" i="11"/>
  <c r="BH144" i="11"/>
  <c r="BI144" i="11" s="1"/>
  <c r="CU144" i="11"/>
  <c r="C145" i="11"/>
  <c r="DC145" i="11" s="1"/>
  <c r="DS144" i="11"/>
  <c r="DK144" i="11"/>
  <c r="BZ145" i="11" l="1"/>
  <c r="EA145" i="11"/>
  <c r="BH145" i="11"/>
  <c r="BI145" i="11" s="1"/>
  <c r="DK145" i="11"/>
  <c r="EI145" i="11"/>
  <c r="CH145" i="11"/>
  <c r="BR145" i="11"/>
  <c r="C146" i="11"/>
  <c r="DC146" i="11" s="1"/>
  <c r="DS145" i="11"/>
  <c r="CU145" i="11"/>
  <c r="AY145" i="11"/>
  <c r="BR146" i="11" l="1"/>
  <c r="EA146" i="11"/>
  <c r="BH146" i="11"/>
  <c r="BI146" i="11" s="1"/>
  <c r="DS146" i="11"/>
  <c r="AY146" i="11"/>
  <c r="CU146" i="11"/>
  <c r="C147" i="11"/>
  <c r="DC147" i="11" s="1"/>
  <c r="CH146" i="11"/>
  <c r="BZ146" i="11"/>
  <c r="DK146" i="11"/>
  <c r="EI146" i="11"/>
  <c r="EA147" i="11" l="1"/>
  <c r="DS147" i="11"/>
  <c r="BH147" i="11"/>
  <c r="BI147" i="11" s="1"/>
  <c r="BR147" i="11"/>
  <c r="CH147" i="11"/>
  <c r="BZ147" i="11"/>
  <c r="EI147" i="11"/>
  <c r="DK147" i="11"/>
  <c r="CU147" i="11"/>
  <c r="AY147" i="11"/>
  <c r="C148" i="11"/>
  <c r="DC148" i="11" s="1"/>
  <c r="EA148" i="11" l="1"/>
  <c r="CH148" i="11"/>
  <c r="BR148" i="11"/>
  <c r="EI148" i="11"/>
  <c r="AY148" i="11"/>
  <c r="DK148" i="11"/>
  <c r="CU148" i="11"/>
  <c r="DS148" i="11"/>
  <c r="BH148" i="11"/>
  <c r="BI148" i="11" s="1"/>
  <c r="C149" i="11"/>
  <c r="DC149" i="11" s="1"/>
  <c r="BZ148" i="11"/>
  <c r="CU149" i="11" l="1"/>
  <c r="AY149" i="11"/>
  <c r="BZ149" i="11"/>
  <c r="DS149" i="11"/>
  <c r="EI149" i="11"/>
  <c r="BH149" i="11"/>
  <c r="BI149" i="11" s="1"/>
  <c r="DK149" i="11"/>
  <c r="BR149" i="11"/>
  <c r="CH149" i="11"/>
  <c r="C150" i="11"/>
  <c r="DC150" i="11" s="1"/>
  <c r="EA149" i="11"/>
  <c r="EA150" i="11" l="1"/>
  <c r="EI150" i="11"/>
  <c r="DS150" i="11"/>
  <c r="CH150" i="11"/>
  <c r="DK150" i="11"/>
  <c r="BR150" i="11"/>
  <c r="C151" i="11"/>
  <c r="DC151" i="11" s="1"/>
  <c r="AY150" i="11"/>
  <c r="CU150" i="11"/>
  <c r="BZ150" i="11"/>
  <c r="BH150" i="11"/>
  <c r="BI150" i="11" s="1"/>
  <c r="EI151" i="11" l="1"/>
  <c r="BR151" i="11"/>
  <c r="BZ151" i="11"/>
  <c r="CU151" i="11"/>
  <c r="BH151" i="11"/>
  <c r="BI151" i="11" s="1"/>
  <c r="C152" i="11"/>
  <c r="DC152" i="11" s="1"/>
  <c r="CH151" i="11"/>
  <c r="DS151" i="11"/>
  <c r="DK151" i="11"/>
  <c r="AY151" i="11"/>
  <c r="EA151" i="11"/>
  <c r="EA152" i="11" l="1"/>
  <c r="CH152" i="11"/>
  <c r="DK152" i="11"/>
  <c r="BR152" i="11"/>
  <c r="EI152" i="11"/>
  <c r="BH152" i="11"/>
  <c r="BI152" i="11" s="1"/>
  <c r="AY152" i="11"/>
  <c r="C153" i="11"/>
  <c r="DC153" i="11" s="1"/>
  <c r="CU152" i="11"/>
  <c r="BZ152" i="11"/>
  <c r="DS152" i="11"/>
  <c r="AY153" i="11" l="1"/>
  <c r="CH153" i="11"/>
  <c r="CU153" i="11"/>
  <c r="EI153" i="11"/>
  <c r="DK153" i="11"/>
  <c r="BH153" i="11"/>
  <c r="BI153" i="11" s="1"/>
  <c r="C154" i="11"/>
  <c r="DC154" i="11" s="1"/>
  <c r="BR153" i="11"/>
  <c r="DS153" i="11"/>
  <c r="BZ153" i="11"/>
  <c r="EA153" i="11"/>
  <c r="CH154" i="11" l="1"/>
  <c r="DK154" i="11"/>
  <c r="BR154" i="11"/>
  <c r="DS154" i="11"/>
  <c r="EA154" i="11"/>
  <c r="C155" i="11"/>
  <c r="DC155" i="11" s="1"/>
  <c r="BZ154" i="11"/>
  <c r="CU154" i="11"/>
  <c r="EI154" i="11"/>
  <c r="AY154" i="11"/>
  <c r="BH154" i="11"/>
  <c r="BI154" i="11" s="1"/>
  <c r="CU155" i="11" l="1"/>
  <c r="BR155" i="11"/>
  <c r="CH155" i="11"/>
  <c r="DS155" i="11"/>
  <c r="BZ155" i="11"/>
  <c r="DK155" i="11"/>
  <c r="AY155" i="11"/>
  <c r="C156" i="11"/>
  <c r="DC156" i="11" s="1"/>
  <c r="BH155" i="11"/>
  <c r="BI155" i="11" s="1"/>
  <c r="EA155" i="11"/>
  <c r="EI155" i="11"/>
  <c r="AY156" i="11" l="1"/>
  <c r="EI156" i="11"/>
  <c r="DK156" i="11"/>
  <c r="CU156" i="11"/>
  <c r="DS156" i="11"/>
  <c r="BH156" i="11"/>
  <c r="BI156" i="11" s="1"/>
  <c r="BZ156" i="11"/>
  <c r="BR156" i="11"/>
  <c r="CH156" i="11"/>
  <c r="C157" i="11"/>
  <c r="DC157" i="11" s="1"/>
  <c r="EA156" i="11"/>
  <c r="AY157" i="11" l="1"/>
  <c r="CH157" i="11"/>
  <c r="BH157" i="11"/>
  <c r="BI157" i="11" s="1"/>
  <c r="EA157" i="11"/>
  <c r="BR157" i="11"/>
  <c r="CU157" i="11"/>
  <c r="DK157" i="11"/>
  <c r="EI157" i="11"/>
  <c r="BZ157" i="11"/>
  <c r="C158" i="11"/>
  <c r="DC158" i="11" s="1"/>
  <c r="DS157" i="11"/>
  <c r="AY158" i="11" l="1"/>
  <c r="EI158" i="11"/>
  <c r="BH158" i="11"/>
  <c r="BI158" i="11" s="1"/>
  <c r="BR158" i="11"/>
  <c r="EA158" i="11"/>
  <c r="CU158" i="11"/>
  <c r="DK158" i="11"/>
  <c r="C159" i="11"/>
  <c r="DC159" i="11" s="1"/>
  <c r="CH158" i="11"/>
  <c r="DS158" i="11"/>
  <c r="BZ158" i="11"/>
  <c r="DK159" i="11" l="1"/>
  <c r="CU159" i="11"/>
  <c r="DS159" i="11"/>
  <c r="EA159" i="11"/>
  <c r="BR159" i="11"/>
  <c r="BH159" i="11"/>
  <c r="BI159" i="11" s="1"/>
  <c r="AY159" i="11"/>
  <c r="EI159" i="11"/>
  <c r="CH159" i="11"/>
  <c r="BZ159" i="11"/>
  <c r="C160" i="11"/>
  <c r="DC160" i="11" s="1"/>
  <c r="EI160" i="11" l="1"/>
  <c r="DS160" i="11"/>
  <c r="BR160" i="11"/>
  <c r="BZ160" i="11"/>
  <c r="EA160" i="11"/>
  <c r="AY160" i="11"/>
  <c r="DK160" i="11"/>
  <c r="C161" i="11"/>
  <c r="DC161" i="11" s="1"/>
  <c r="BH160" i="11"/>
  <c r="BI160" i="11" s="1"/>
  <c r="CU160" i="11"/>
  <c r="CH160" i="11"/>
  <c r="BR161" i="11" l="1"/>
  <c r="DK161" i="11"/>
  <c r="BZ161" i="11"/>
  <c r="CU161" i="11"/>
  <c r="EA161" i="11"/>
  <c r="C162" i="11"/>
  <c r="DC162" i="11" s="1"/>
  <c r="BH161" i="11"/>
  <c r="BI161" i="11" s="1"/>
  <c r="CH161" i="11"/>
  <c r="EI161" i="11"/>
  <c r="DS161" i="11"/>
  <c r="AY161" i="11"/>
  <c r="CU162" i="11" l="1"/>
  <c r="BZ162" i="11"/>
  <c r="EI162" i="11"/>
  <c r="EA162" i="11"/>
  <c r="DS162" i="11"/>
  <c r="DK162" i="11"/>
  <c r="C163" i="11"/>
  <c r="DC163" i="11" s="1"/>
  <c r="CH162" i="11"/>
  <c r="BR162" i="11"/>
  <c r="BH162" i="11"/>
  <c r="BI162" i="11" s="1"/>
  <c r="AY162" i="11"/>
  <c r="EI163" i="11" l="1"/>
  <c r="CU163" i="11"/>
  <c r="BZ163" i="11"/>
  <c r="EA163" i="11"/>
  <c r="DK163" i="11"/>
  <c r="CH163" i="11"/>
  <c r="BH163" i="11"/>
  <c r="BI163" i="11" s="1"/>
  <c r="DS163" i="11"/>
  <c r="C164" i="11"/>
  <c r="DC164" i="11" s="1"/>
  <c r="BR163" i="11"/>
  <c r="AY163" i="11"/>
  <c r="EI164" i="11" l="1"/>
  <c r="EA164" i="11"/>
  <c r="BR164" i="11"/>
  <c r="DK164" i="11"/>
  <c r="DS164" i="11"/>
  <c r="BH164" i="11"/>
  <c r="BI164" i="11" s="1"/>
  <c r="CU164" i="11"/>
  <c r="CH164" i="11"/>
  <c r="BZ164" i="11"/>
  <c r="C165" i="11"/>
  <c r="DC165" i="11" s="1"/>
  <c r="AY164" i="11"/>
  <c r="BZ165" i="11" l="1"/>
  <c r="EA165" i="11"/>
  <c r="BH165" i="11"/>
  <c r="BI165" i="11" s="1"/>
  <c r="BR165" i="11"/>
  <c r="CH165" i="11"/>
  <c r="EI165" i="11"/>
  <c r="DS165" i="11"/>
  <c r="AY165" i="11"/>
  <c r="CU165" i="11"/>
  <c r="C166" i="11"/>
  <c r="DC166" i="11" s="1"/>
  <c r="DK165" i="11"/>
  <c r="AY166" i="11" l="1"/>
  <c r="DK166" i="11"/>
  <c r="CH166" i="11"/>
  <c r="EA166" i="11"/>
  <c r="DS166" i="11"/>
  <c r="EI166" i="11"/>
  <c r="BH166" i="11"/>
  <c r="BI166" i="11" s="1"/>
  <c r="C167" i="11"/>
  <c r="DC167" i="11" s="1"/>
  <c r="BR166" i="11"/>
  <c r="CU166" i="11"/>
  <c r="BZ166" i="11"/>
  <c r="DS167" i="11" l="1"/>
  <c r="DK167" i="11"/>
  <c r="CH167" i="11"/>
  <c r="EA167" i="11"/>
  <c r="BR167" i="11"/>
  <c r="BH167" i="11"/>
  <c r="BI167" i="11" s="1"/>
  <c r="CU167" i="11"/>
  <c r="AY167" i="11"/>
  <c r="C168" i="11"/>
  <c r="DC168" i="11" s="1"/>
  <c r="BZ167" i="11"/>
  <c r="EI167" i="11"/>
  <c r="EA168" i="11" l="1"/>
  <c r="EI168" i="11"/>
  <c r="DS168" i="11"/>
  <c r="BR168" i="11"/>
  <c r="BH168" i="11"/>
  <c r="BI168" i="11" s="1"/>
  <c r="CH168" i="11"/>
  <c r="BZ168" i="11"/>
  <c r="C169" i="11"/>
  <c r="DC169" i="11" s="1"/>
  <c r="AY168" i="11"/>
  <c r="CU168" i="11"/>
  <c r="DK168" i="11"/>
  <c r="BZ169" i="11" l="1"/>
  <c r="DK169" i="11"/>
  <c r="CU169" i="11"/>
  <c r="BR169" i="11"/>
  <c r="EI169" i="11"/>
  <c r="EA169" i="11"/>
  <c r="AY169" i="11"/>
  <c r="CH169" i="11"/>
  <c r="C170" i="11"/>
  <c r="DC170" i="11" s="1"/>
  <c r="BH169" i="11"/>
  <c r="BI169" i="11" s="1"/>
  <c r="DS169" i="11"/>
  <c r="DS170" i="11" l="1"/>
  <c r="DK170" i="11"/>
  <c r="EI170" i="11"/>
  <c r="BH170" i="11"/>
  <c r="BI170" i="11" s="1"/>
  <c r="CH170" i="11"/>
  <c r="EA170" i="11"/>
  <c r="C171" i="11"/>
  <c r="DC171" i="11" s="1"/>
  <c r="CU170" i="11"/>
  <c r="BZ170" i="11"/>
  <c r="AY170" i="11"/>
  <c r="BR170" i="11"/>
  <c r="DS171" i="11" l="1"/>
  <c r="CU171" i="11"/>
  <c r="BR171" i="11"/>
  <c r="AY171" i="11"/>
  <c r="DK171" i="11"/>
  <c r="BH171" i="11"/>
  <c r="BI171" i="11" s="1"/>
  <c r="C172" i="11"/>
  <c r="DC172" i="11" s="1"/>
  <c r="EI171" i="11"/>
  <c r="BZ171" i="11"/>
  <c r="CH171" i="11"/>
  <c r="EA171" i="11"/>
  <c r="CH172" i="11" l="1"/>
  <c r="BZ172" i="11"/>
  <c r="EA172" i="11"/>
  <c r="DS172" i="11"/>
  <c r="CU172" i="11"/>
  <c r="EI172" i="11"/>
  <c r="BH172" i="11"/>
  <c r="BI172" i="11" s="1"/>
  <c r="BR172" i="11"/>
  <c r="AY172" i="11"/>
  <c r="C173" i="11"/>
  <c r="DC173" i="11" s="1"/>
  <c r="DK172" i="11"/>
  <c r="BZ173" i="11" l="1"/>
  <c r="EI173" i="11"/>
  <c r="BH173" i="11"/>
  <c r="BI173" i="11" s="1"/>
  <c r="EA173" i="11"/>
  <c r="DK173" i="11"/>
  <c r="CH173" i="11"/>
  <c r="BR173" i="11"/>
  <c r="DS173" i="11"/>
  <c r="AY173" i="11"/>
  <c r="CU173" i="11"/>
  <c r="C174" i="11"/>
  <c r="DC174" i="11" s="1"/>
  <c r="BR174" i="11" l="1"/>
  <c r="BZ174" i="11"/>
  <c r="DK174" i="11"/>
  <c r="CU174" i="11"/>
  <c r="BH174" i="11"/>
  <c r="BI174" i="11" s="1"/>
  <c r="CH174" i="11"/>
  <c r="EI174" i="11"/>
  <c r="C175" i="11"/>
  <c r="DC175" i="11" s="1"/>
  <c r="DS174" i="11"/>
  <c r="AY174" i="11"/>
  <c r="EA174" i="11"/>
  <c r="CU175" i="11" l="1"/>
  <c r="AY175" i="11"/>
  <c r="BH175" i="11"/>
  <c r="BI175" i="11" s="1"/>
  <c r="BZ175" i="11"/>
  <c r="DK175" i="11"/>
  <c r="EI175" i="11"/>
  <c r="C176" i="11"/>
  <c r="DC176" i="11" s="1"/>
  <c r="DS175" i="11"/>
  <c r="BR175" i="11"/>
  <c r="EA175" i="11"/>
  <c r="CH175" i="11"/>
  <c r="DK176" i="11" l="1"/>
  <c r="AY176" i="11"/>
  <c r="CU176" i="11"/>
  <c r="BR176" i="11"/>
  <c r="CH176" i="11"/>
  <c r="EI176" i="11"/>
  <c r="BZ176" i="11"/>
  <c r="C177" i="11"/>
  <c r="DC177" i="11" s="1"/>
  <c r="EA176" i="11"/>
  <c r="DS176" i="11"/>
  <c r="BH176" i="11"/>
  <c r="BI176" i="11" s="1"/>
  <c r="DS177" i="11" l="1"/>
  <c r="DK177" i="11"/>
  <c r="CH177" i="11"/>
  <c r="BR177" i="11"/>
  <c r="EA177" i="11"/>
  <c r="BH177" i="11"/>
  <c r="BI177" i="11" s="1"/>
  <c r="CU177" i="11"/>
  <c r="BZ177" i="11"/>
  <c r="C178" i="11"/>
  <c r="DC178" i="11" s="1"/>
  <c r="EI177" i="11"/>
  <c r="AY177" i="11"/>
  <c r="AY178" i="11" l="1"/>
  <c r="CU178" i="11"/>
  <c r="BR178" i="11"/>
  <c r="CH178" i="11"/>
  <c r="DS178" i="11"/>
  <c r="C179" i="11"/>
  <c r="DC179" i="11" s="1"/>
  <c r="BH178" i="11"/>
  <c r="BI178" i="11" s="1"/>
  <c r="EI178" i="11"/>
  <c r="BZ178" i="11"/>
  <c r="EA178" i="11"/>
  <c r="DK178" i="11"/>
  <c r="EI179" i="11" l="1"/>
  <c r="CU179" i="11"/>
  <c r="CH179" i="11"/>
  <c r="BR179" i="11"/>
  <c r="EA179" i="11"/>
  <c r="C180" i="11"/>
  <c r="DC180" i="11" s="1"/>
  <c r="AY179" i="11"/>
  <c r="BZ179" i="11"/>
  <c r="BH179" i="11"/>
  <c r="BI179" i="11" s="1"/>
  <c r="DS179" i="11"/>
  <c r="DK179" i="11"/>
  <c r="BZ180" i="11" l="1"/>
  <c r="AY180" i="11"/>
  <c r="DK180" i="11"/>
  <c r="CH180" i="11"/>
  <c r="EA180" i="11"/>
  <c r="CU180" i="11"/>
  <c r="EI180" i="11"/>
  <c r="BR180" i="11"/>
  <c r="BH180" i="11"/>
  <c r="BI180" i="11" s="1"/>
  <c r="DS180" i="11"/>
  <c r="C181" i="11"/>
  <c r="DC181" i="11" s="1"/>
  <c r="BZ181" i="11" l="1"/>
  <c r="BR181" i="11"/>
  <c r="CU181" i="11"/>
  <c r="AY181" i="11"/>
  <c r="CH181" i="11"/>
  <c r="DS181" i="11"/>
  <c r="BH181" i="11"/>
  <c r="BI181" i="11" s="1"/>
  <c r="DK181" i="11"/>
  <c r="C182" i="11"/>
  <c r="DC182" i="11" s="1"/>
  <c r="EI181" i="11"/>
  <c r="EA181" i="11"/>
  <c r="EI182" i="11" l="1"/>
  <c r="BH182" i="11"/>
  <c r="BI182" i="11" s="1"/>
  <c r="DS182" i="11"/>
  <c r="CU182" i="11"/>
  <c r="CH182" i="11"/>
  <c r="DK182" i="11"/>
  <c r="BR182" i="11"/>
  <c r="C183" i="11"/>
  <c r="DC183" i="11" s="1"/>
  <c r="EA182" i="11"/>
  <c r="AY182" i="11"/>
  <c r="BZ182" i="11"/>
  <c r="CH183" i="11" l="1"/>
  <c r="DS183" i="11"/>
  <c r="BR183" i="11"/>
  <c r="EI183" i="11"/>
  <c r="BZ183" i="11"/>
  <c r="AY183" i="11"/>
  <c r="EA183" i="11"/>
  <c r="DK183" i="11"/>
  <c r="BH183" i="11"/>
  <c r="BI183" i="11" s="1"/>
  <c r="C184" i="11"/>
  <c r="DC184" i="11" s="1"/>
  <c r="CU183" i="11"/>
  <c r="DS184" i="11" l="1"/>
  <c r="BR184" i="11"/>
  <c r="C185" i="11"/>
  <c r="DC185" i="11" s="1"/>
  <c r="BZ184" i="11"/>
  <c r="EA184" i="11"/>
  <c r="DK184" i="11"/>
  <c r="BH184" i="11"/>
  <c r="BI184" i="11" s="1"/>
  <c r="EI184" i="11"/>
  <c r="CU184" i="11"/>
  <c r="CH184" i="11"/>
  <c r="AY184" i="11"/>
  <c r="AY185" i="11" l="1"/>
  <c r="BR185" i="11"/>
  <c r="C186" i="11"/>
  <c r="DC186" i="11" s="1"/>
  <c r="EA185" i="11"/>
  <c r="CU185" i="11"/>
  <c r="DK185" i="11"/>
  <c r="DS185" i="11"/>
  <c r="CH185" i="11"/>
  <c r="BZ185" i="11"/>
  <c r="BH185" i="11"/>
  <c r="BI185" i="11" s="1"/>
  <c r="EI185" i="11"/>
  <c r="DK186" i="11" l="1"/>
  <c r="BR186" i="11"/>
  <c r="BH186" i="11"/>
  <c r="BI186" i="11" s="1"/>
  <c r="DS186" i="11"/>
  <c r="CU186" i="11"/>
  <c r="EI186" i="11"/>
  <c r="BZ186" i="11"/>
  <c r="CH186" i="11"/>
  <c r="EA186" i="11"/>
  <c r="AY186" i="11"/>
  <c r="C187" i="11"/>
  <c r="DC187" i="11" s="1"/>
  <c r="BH187" i="11" l="1"/>
  <c r="BI187" i="11" s="1"/>
  <c r="CU187" i="11"/>
  <c r="DS187" i="11"/>
  <c r="BR187" i="11"/>
  <c r="BZ187" i="11"/>
  <c r="EI187" i="11"/>
  <c r="AY187" i="11"/>
  <c r="DK187" i="11"/>
  <c r="CH187" i="11"/>
  <c r="EA187" i="11"/>
  <c r="C188" i="11"/>
  <c r="DC188" i="11" s="1"/>
  <c r="BZ188" i="11" l="1"/>
  <c r="CU188" i="11"/>
  <c r="BR188" i="11"/>
  <c r="DS188" i="11"/>
  <c r="C189" i="11"/>
  <c r="DC189" i="11" s="1"/>
  <c r="DK188" i="11"/>
  <c r="BH188" i="11"/>
  <c r="BI188" i="11" s="1"/>
  <c r="EA188" i="11"/>
  <c r="AY188" i="11"/>
  <c r="EI188" i="11"/>
  <c r="CH188" i="11"/>
  <c r="BR189" i="11" l="1"/>
  <c r="BZ189" i="11"/>
  <c r="CU189" i="11"/>
  <c r="CH189" i="11"/>
  <c r="EA189" i="11"/>
  <c r="AY189" i="11"/>
  <c r="DK189" i="11"/>
  <c r="EI189" i="11"/>
  <c r="BH189" i="11"/>
  <c r="BI189" i="11" s="1"/>
  <c r="C190" i="11"/>
  <c r="DC190" i="11" s="1"/>
  <c r="DS189" i="11"/>
  <c r="CH190" i="11" l="1"/>
  <c r="BR190" i="11"/>
  <c r="BZ190" i="11"/>
  <c r="EI190" i="11"/>
  <c r="AY190" i="11"/>
  <c r="BH190" i="11"/>
  <c r="BI190" i="11" s="1"/>
  <c r="C191" i="11"/>
  <c r="DC191" i="11" s="1"/>
  <c r="DS190" i="11"/>
  <c r="DK190" i="11"/>
  <c r="CU190" i="11"/>
  <c r="EA190" i="11"/>
  <c r="BZ191" i="11" l="1"/>
  <c r="DS191" i="11"/>
  <c r="CU191" i="11"/>
  <c r="DK191" i="11"/>
  <c r="AY191" i="11"/>
  <c r="BR191" i="11"/>
  <c r="EA191" i="11"/>
  <c r="BH191" i="11"/>
  <c r="BI191" i="11" s="1"/>
  <c r="C192" i="11"/>
  <c r="DC192" i="11" s="1"/>
  <c r="CH191" i="11"/>
  <c r="EI191" i="11"/>
  <c r="BR192" i="11" l="1"/>
  <c r="EI192" i="11"/>
  <c r="DS192" i="11"/>
  <c r="BZ192" i="11"/>
  <c r="CU192" i="11"/>
  <c r="DK192" i="11"/>
  <c r="C193" i="11"/>
  <c r="DC193" i="11" s="1"/>
  <c r="CH192" i="11"/>
  <c r="EA192" i="11"/>
  <c r="BH192" i="11"/>
  <c r="BI192" i="11" s="1"/>
  <c r="AY192" i="11"/>
  <c r="AY193" i="11" l="1"/>
  <c r="DS193" i="11"/>
  <c r="CH193" i="11"/>
  <c r="BR193" i="11"/>
  <c r="EA193" i="11"/>
  <c r="BH193" i="11"/>
  <c r="BI193" i="11" s="1"/>
  <c r="BZ193" i="11"/>
  <c r="C194" i="11"/>
  <c r="DC194" i="11" s="1"/>
  <c r="DK193" i="11"/>
  <c r="CU193" i="11"/>
  <c r="EI193" i="11"/>
  <c r="CH194" i="11" l="1"/>
  <c r="AY194" i="11"/>
  <c r="DK194" i="11"/>
  <c r="CU194" i="11"/>
  <c r="BH194" i="11"/>
  <c r="BI194" i="11" s="1"/>
  <c r="DS194" i="11"/>
  <c r="EI194" i="11"/>
  <c r="BZ194" i="11"/>
  <c r="BR194" i="11"/>
  <c r="EA194" i="11"/>
  <c r="C195" i="11"/>
  <c r="DC195" i="11" s="1"/>
  <c r="EA195" i="11" l="1"/>
  <c r="CH195" i="11"/>
  <c r="BH195" i="11"/>
  <c r="BI195" i="11" s="1"/>
  <c r="EI195" i="11"/>
  <c r="AY195" i="11"/>
  <c r="BZ195" i="11"/>
  <c r="DS195" i="11"/>
  <c r="BR195" i="11"/>
  <c r="CU195" i="11"/>
  <c r="C196" i="11"/>
  <c r="DC196" i="11" s="1"/>
  <c r="DK195" i="11"/>
  <c r="EA196" i="11" l="1"/>
  <c r="DK196" i="11"/>
  <c r="BH196" i="11"/>
  <c r="BI196" i="11" s="1"/>
  <c r="DS196" i="11"/>
  <c r="EI196" i="11"/>
  <c r="BZ196" i="11"/>
  <c r="CU196" i="11"/>
  <c r="AY196" i="11"/>
  <c r="CH196" i="11"/>
  <c r="C197" i="11"/>
  <c r="DC197" i="11" s="1"/>
  <c r="BR196" i="11"/>
  <c r="EA197" i="11" l="1"/>
  <c r="BR197" i="11"/>
  <c r="BZ197" i="11"/>
  <c r="AY197" i="11"/>
  <c r="EI197" i="11"/>
  <c r="DS197" i="11"/>
  <c r="DK197" i="11"/>
  <c r="C198" i="11"/>
  <c r="DC198" i="11" s="1"/>
  <c r="BH197" i="11"/>
  <c r="BI197" i="11" s="1"/>
  <c r="CH197" i="11"/>
  <c r="CU197" i="11"/>
  <c r="CU198" i="11" l="1"/>
  <c r="EA198" i="11"/>
  <c r="BH198" i="11"/>
  <c r="BI198" i="11" s="1"/>
  <c r="BZ198" i="11"/>
  <c r="DS198" i="11"/>
  <c r="BR198" i="11"/>
  <c r="DK198" i="11"/>
  <c r="C199" i="11"/>
  <c r="DC199" i="11" s="1"/>
  <c r="CH198" i="11"/>
  <c r="AY198" i="11"/>
  <c r="EI198" i="11"/>
  <c r="AY199" i="11" l="1"/>
  <c r="DS199" i="11"/>
  <c r="EI199" i="11"/>
  <c r="BZ199" i="11"/>
  <c r="CU199" i="11"/>
  <c r="BR199" i="11"/>
  <c r="EA199" i="11"/>
  <c r="C200" i="11"/>
  <c r="BH199" i="11"/>
  <c r="BI199" i="11" s="1"/>
  <c r="DK199" i="11"/>
  <c r="CH199" i="11"/>
  <c r="DC200" i="11" l="1"/>
  <c r="BR200" i="11"/>
  <c r="EA200" i="11"/>
  <c r="AY200" i="11"/>
  <c r="BZ200" i="11"/>
  <c r="BH200" i="11"/>
  <c r="BI200" i="11" s="1"/>
  <c r="CH200" i="11"/>
  <c r="EI200" i="11"/>
  <c r="C201" i="11"/>
  <c r="DC201" i="11" s="1"/>
  <c r="DK200" i="11"/>
  <c r="CU200" i="11"/>
  <c r="DS200" i="11"/>
  <c r="DA202" i="11" l="1"/>
  <c r="DY202" i="11"/>
  <c r="DI202" i="11"/>
  <c r="AW202" i="11"/>
  <c r="EG202" i="11"/>
  <c r="BF202" i="11"/>
  <c r="DQ202" i="11"/>
  <c r="CS202" i="11"/>
  <c r="BX202" i="11"/>
  <c r="BP202" i="11"/>
  <c r="CF202" i="11"/>
  <c r="BR201" i="11"/>
  <c r="CH201" i="11"/>
  <c r="BH201" i="11"/>
  <c r="BI201" i="11" s="1"/>
  <c r="EA201" i="11"/>
  <c r="CU201" i="11"/>
  <c r="DK201" i="11"/>
  <c r="BZ201" i="11"/>
  <c r="C202" i="11"/>
  <c r="AY201" i="11"/>
  <c r="DS201" i="11"/>
  <c r="EI201" i="11"/>
  <c r="DC202" i="11" l="1"/>
  <c r="C203" i="11"/>
  <c r="EI202" i="11"/>
  <c r="BR202" i="11"/>
  <c r="CH202" i="11"/>
  <c r="CU202" i="11"/>
  <c r="AY202" i="11"/>
  <c r="DK202" i="11"/>
  <c r="EA202" i="11"/>
  <c r="BH202" i="11"/>
  <c r="BI202" i="11" s="1"/>
  <c r="DS202" i="11"/>
  <c r="BZ202" i="11"/>
  <c r="C204" i="11" l="1"/>
  <c r="BH203" i="11"/>
  <c r="BI203" i="11" s="1"/>
  <c r="DC203" i="11"/>
  <c r="EA203" i="11"/>
  <c r="DK203" i="11"/>
  <c r="AY203" i="11"/>
  <c r="EI203" i="11"/>
  <c r="CU203" i="11"/>
  <c r="DS203" i="11"/>
  <c r="BZ203" i="11"/>
  <c r="BR203" i="11"/>
  <c r="CH203" i="11"/>
  <c r="C205" i="11" l="1"/>
  <c r="BH204" i="11"/>
  <c r="BI204" i="11" s="1"/>
  <c r="DC204" i="11"/>
  <c r="EA204" i="11"/>
  <c r="DK204" i="11"/>
  <c r="AY204" i="11"/>
  <c r="DS204" i="11"/>
  <c r="EI204" i="11"/>
  <c r="CU204" i="11"/>
  <c r="BZ204" i="11"/>
  <c r="BR204" i="11"/>
  <c r="CH204" i="11"/>
  <c r="C206" i="11" l="1"/>
  <c r="BH205" i="11"/>
  <c r="BI205" i="11" s="1"/>
  <c r="DC205" i="11"/>
  <c r="EA205" i="11"/>
  <c r="DK205" i="11"/>
  <c r="AY205" i="11"/>
  <c r="DS205" i="11"/>
  <c r="CU205" i="11"/>
  <c r="EI205" i="11"/>
  <c r="BZ205" i="11"/>
  <c r="BR205" i="11"/>
  <c r="CH205" i="11"/>
  <c r="C207" i="11" l="1"/>
  <c r="BH206" i="11"/>
  <c r="BI206" i="11" s="1"/>
  <c r="DC206" i="11"/>
  <c r="EA206" i="11"/>
  <c r="DK206" i="11"/>
  <c r="AY206" i="11"/>
  <c r="CU206" i="11"/>
  <c r="EI206" i="11"/>
  <c r="DS206" i="11"/>
  <c r="BZ206" i="11"/>
  <c r="BR206" i="11"/>
  <c r="CH206" i="11"/>
  <c r="C208" i="11" l="1"/>
  <c r="BH207" i="11"/>
  <c r="BI207" i="11" s="1"/>
  <c r="DC207" i="11"/>
  <c r="EA207" i="11"/>
  <c r="DK207" i="11"/>
  <c r="AY207" i="11"/>
  <c r="EI207" i="11"/>
  <c r="CU207" i="11"/>
  <c r="DS207" i="11"/>
  <c r="BZ207" i="11"/>
  <c r="BR207" i="11"/>
  <c r="CH207" i="11"/>
  <c r="C209" i="11" l="1"/>
  <c r="BH208" i="11"/>
  <c r="BI208" i="11" s="1"/>
  <c r="DC208" i="11"/>
  <c r="EA208" i="11"/>
  <c r="DK208" i="11"/>
  <c r="AY208" i="11"/>
  <c r="CU208" i="11"/>
  <c r="DS208" i="11"/>
  <c r="EI208" i="11"/>
  <c r="BZ208" i="11"/>
  <c r="BR208" i="11"/>
  <c r="CH208" i="11"/>
  <c r="C210" i="11" l="1"/>
  <c r="BH209" i="11"/>
  <c r="BI209" i="11" s="1"/>
  <c r="DC209" i="11"/>
  <c r="EA209" i="11"/>
  <c r="DK209" i="11"/>
  <c r="AY209" i="11"/>
  <c r="CU209" i="11"/>
  <c r="EI209" i="11"/>
  <c r="DS209" i="11"/>
  <c r="BZ209" i="11"/>
  <c r="BR209" i="11"/>
  <c r="CH209" i="11"/>
  <c r="C211" i="11" l="1"/>
  <c r="BH210" i="11"/>
  <c r="BI210" i="11" s="1"/>
  <c r="DC210" i="11"/>
  <c r="EA210" i="11"/>
  <c r="DK210" i="11"/>
  <c r="AY210" i="11"/>
  <c r="CU210" i="11"/>
  <c r="DS210" i="11"/>
  <c r="EI210" i="11"/>
  <c r="BZ210" i="11"/>
  <c r="BR210" i="11"/>
  <c r="CH210" i="11"/>
  <c r="C212" i="11" l="1"/>
  <c r="BH211" i="11"/>
  <c r="BI211" i="11" s="1"/>
  <c r="DC211" i="11"/>
  <c r="EA211" i="11"/>
  <c r="DK211" i="11"/>
  <c r="AY211" i="11"/>
  <c r="EI211" i="11"/>
  <c r="CU211" i="11"/>
  <c r="DS211" i="11"/>
  <c r="BZ211" i="11"/>
  <c r="BR211" i="11"/>
  <c r="CH211" i="11"/>
  <c r="C213" i="11" l="1"/>
  <c r="BH212" i="11"/>
  <c r="BI212" i="11" s="1"/>
  <c r="DC212" i="11"/>
  <c r="EA212" i="11"/>
  <c r="DK212" i="11"/>
  <c r="AY212" i="11"/>
  <c r="EI212" i="11"/>
  <c r="DS212" i="11"/>
  <c r="CU212" i="11"/>
  <c r="BZ212" i="11"/>
  <c r="BR212" i="11"/>
  <c r="CH212" i="11"/>
  <c r="C214" i="11" l="1"/>
  <c r="BH213" i="11"/>
  <c r="BI213" i="11" s="1"/>
  <c r="DC213" i="11"/>
  <c r="EA213" i="11"/>
  <c r="DK213" i="11"/>
  <c r="AY213" i="11"/>
  <c r="DS213" i="11"/>
  <c r="CU213" i="11"/>
  <c r="EI213" i="11"/>
  <c r="BZ213" i="11"/>
  <c r="BR213" i="11"/>
  <c r="CH213" i="11"/>
  <c r="C215" i="11" l="1"/>
  <c r="BH214" i="11"/>
  <c r="BI214" i="11" s="1"/>
  <c r="DC214" i="11"/>
  <c r="EA214" i="11"/>
  <c r="DK214" i="11"/>
  <c r="AY214" i="11"/>
  <c r="CU214" i="11"/>
  <c r="DS214" i="11"/>
  <c r="EI214" i="11"/>
  <c r="BZ214" i="11"/>
  <c r="BR214" i="11"/>
  <c r="CH214" i="11"/>
  <c r="C216" i="11" l="1"/>
  <c r="BH215" i="11"/>
  <c r="BI215" i="11" s="1"/>
  <c r="DC215" i="11"/>
  <c r="EA215" i="11"/>
  <c r="DK215" i="11"/>
  <c r="AY215" i="11"/>
  <c r="CU215" i="11"/>
  <c r="DS215" i="11"/>
  <c r="EI215" i="11"/>
  <c r="BZ215" i="11"/>
  <c r="BR215" i="11"/>
  <c r="CH215" i="11"/>
  <c r="C217" i="11" l="1"/>
  <c r="BH216" i="11"/>
  <c r="BI216" i="11" s="1"/>
  <c r="DC216" i="11"/>
  <c r="EA216" i="11"/>
  <c r="DK216" i="11"/>
  <c r="AY216" i="11"/>
  <c r="EI216" i="11"/>
  <c r="DS216" i="11"/>
  <c r="CU216" i="11"/>
  <c r="BZ216" i="11"/>
  <c r="BR216" i="11"/>
  <c r="CH216" i="11"/>
  <c r="C218" i="11" l="1"/>
  <c r="BH217" i="11"/>
  <c r="BI217" i="11" s="1"/>
  <c r="DC217" i="11"/>
  <c r="EA217" i="11"/>
  <c r="DK217" i="11"/>
  <c r="AY217" i="11"/>
  <c r="DS217" i="11"/>
  <c r="EI217" i="11"/>
  <c r="CU217" i="11"/>
  <c r="BZ217" i="11"/>
  <c r="BR217" i="11"/>
  <c r="CH217" i="11"/>
  <c r="C219" i="11" l="1"/>
  <c r="BH218" i="11"/>
  <c r="BI218" i="11" s="1"/>
  <c r="DC218" i="11"/>
  <c r="EA218" i="11"/>
  <c r="DK218" i="11"/>
  <c r="AY218" i="11"/>
  <c r="DS218" i="11"/>
  <c r="CU218" i="11"/>
  <c r="EI218" i="11"/>
  <c r="BZ218" i="11"/>
  <c r="BR218" i="11"/>
  <c r="CH218" i="11"/>
  <c r="C220" i="11" l="1"/>
  <c r="BH219" i="11"/>
  <c r="BI219" i="11" s="1"/>
  <c r="DC219" i="11"/>
  <c r="EA219" i="11"/>
  <c r="DK219" i="11"/>
  <c r="AY219" i="11"/>
  <c r="EI219" i="11"/>
  <c r="CU219" i="11"/>
  <c r="DS219" i="11"/>
  <c r="BZ219" i="11"/>
  <c r="BR219" i="11"/>
  <c r="CH219" i="11"/>
  <c r="C221" i="11" l="1"/>
  <c r="BH220" i="11"/>
  <c r="BI220" i="11" s="1"/>
  <c r="DC220" i="11"/>
  <c r="EA220" i="11"/>
  <c r="DK220" i="11"/>
  <c r="AY220" i="11"/>
  <c r="CU220" i="11"/>
  <c r="EI220" i="11"/>
  <c r="DS220" i="11"/>
  <c r="BZ220" i="11"/>
  <c r="BR220" i="11"/>
  <c r="CH220" i="11"/>
  <c r="C222" i="11" l="1"/>
  <c r="BH221" i="11"/>
  <c r="BI221" i="11" s="1"/>
  <c r="DC221" i="11"/>
  <c r="EA221" i="11"/>
  <c r="DK221" i="11"/>
  <c r="AY221" i="11"/>
  <c r="DS221" i="11"/>
  <c r="CU221" i="11"/>
  <c r="EI221" i="11"/>
  <c r="BZ221" i="11"/>
  <c r="BR221" i="11"/>
  <c r="CH221" i="11"/>
  <c r="C223" i="11" l="1"/>
  <c r="BH222" i="11"/>
  <c r="BI222" i="11" s="1"/>
  <c r="DC222" i="11"/>
  <c r="EA222" i="11"/>
  <c r="DK222" i="11"/>
  <c r="AY222" i="11"/>
  <c r="EI222" i="11"/>
  <c r="DS222" i="11"/>
  <c r="CU222" i="11"/>
  <c r="BZ222" i="11"/>
  <c r="BR222" i="11"/>
  <c r="CH222" i="11"/>
  <c r="C224" i="11" l="1"/>
  <c r="BH223" i="11"/>
  <c r="BI223" i="11" s="1"/>
  <c r="DC223" i="11"/>
  <c r="EA223" i="11"/>
  <c r="DK223" i="11"/>
  <c r="AY223" i="11"/>
  <c r="EI223" i="11"/>
  <c r="CU223" i="11"/>
  <c r="DS223" i="11"/>
  <c r="BZ223" i="11"/>
  <c r="BR223" i="11"/>
  <c r="CH223" i="11"/>
  <c r="C225" i="11" l="1"/>
  <c r="BH224" i="11"/>
  <c r="BI224" i="11" s="1"/>
  <c r="DC224" i="11"/>
  <c r="EA224" i="11"/>
  <c r="DK224" i="11"/>
  <c r="AY224" i="11"/>
  <c r="CU224" i="11"/>
  <c r="DS224" i="11"/>
  <c r="EI224" i="11"/>
  <c r="BZ224" i="11"/>
  <c r="BR224" i="11"/>
  <c r="CH224" i="11"/>
  <c r="C226" i="11" l="1"/>
  <c r="BH225" i="11"/>
  <c r="BI225" i="11" s="1"/>
  <c r="DC225" i="11"/>
  <c r="EA225" i="11"/>
  <c r="DK225" i="11"/>
  <c r="AY225" i="11"/>
  <c r="CU225" i="11"/>
  <c r="EI225" i="11"/>
  <c r="DS225" i="11"/>
  <c r="BZ225" i="11"/>
  <c r="BR225" i="11"/>
  <c r="CH225" i="11"/>
  <c r="C227" i="11" l="1"/>
  <c r="BH226" i="11"/>
  <c r="BI226" i="11" s="1"/>
  <c r="DC226" i="11"/>
  <c r="EA226" i="11"/>
  <c r="DK226" i="11"/>
  <c r="AY226" i="11"/>
  <c r="DS226" i="11"/>
  <c r="EI226" i="11"/>
  <c r="CU226" i="11"/>
  <c r="BZ226" i="11"/>
  <c r="BR226" i="11"/>
  <c r="CH226" i="11"/>
  <c r="C228" i="11" l="1"/>
  <c r="BH227" i="11"/>
  <c r="BI227" i="11" s="1"/>
  <c r="DC227" i="11"/>
  <c r="EA227" i="11"/>
  <c r="DK227" i="11"/>
  <c r="AY227" i="11"/>
  <c r="DS227" i="11"/>
  <c r="EI227" i="11"/>
  <c r="CU227" i="11"/>
  <c r="BZ227" i="11"/>
  <c r="BR227" i="11"/>
  <c r="CH227" i="11"/>
  <c r="C229" i="11" l="1"/>
  <c r="BH228" i="11"/>
  <c r="BI228" i="11" s="1"/>
  <c r="DC228" i="11"/>
  <c r="EA228" i="11"/>
  <c r="DK228" i="11"/>
  <c r="AY228" i="11"/>
  <c r="EI228" i="11"/>
  <c r="DS228" i="11"/>
  <c r="CU228" i="11"/>
  <c r="BZ228" i="11"/>
  <c r="BR228" i="11"/>
  <c r="CH228" i="11"/>
  <c r="C230" i="11" l="1"/>
  <c r="BH229" i="11"/>
  <c r="BI229" i="11" s="1"/>
  <c r="DC229" i="11"/>
  <c r="EA229" i="11"/>
  <c r="DK229" i="11"/>
  <c r="AY229" i="11"/>
  <c r="CU229" i="11"/>
  <c r="EI229" i="11"/>
  <c r="DS229" i="11"/>
  <c r="BZ229" i="11"/>
  <c r="BR229" i="11"/>
  <c r="CH229" i="11"/>
  <c r="C231" i="11" l="1"/>
  <c r="BH230" i="11"/>
  <c r="BI230" i="11" s="1"/>
  <c r="DC230" i="11"/>
  <c r="EA230" i="11"/>
  <c r="DK230" i="11"/>
  <c r="AY230" i="11"/>
  <c r="DS230" i="11"/>
  <c r="CU230" i="11"/>
  <c r="EI230" i="11"/>
  <c r="BZ230" i="11"/>
  <c r="BR230" i="11"/>
  <c r="CH230" i="11"/>
  <c r="C232" i="11" l="1"/>
  <c r="BH231" i="11"/>
  <c r="BI231" i="11" s="1"/>
  <c r="DC231" i="11"/>
  <c r="EA231" i="11"/>
  <c r="DK231" i="11"/>
  <c r="AY231" i="11"/>
  <c r="DS231" i="11"/>
  <c r="EI231" i="11"/>
  <c r="CU231" i="11"/>
  <c r="BZ231" i="11"/>
  <c r="BR231" i="11"/>
  <c r="CH231" i="11"/>
  <c r="C233" i="11" l="1"/>
  <c r="BH232" i="11"/>
  <c r="BI232" i="11" s="1"/>
  <c r="DC232" i="11"/>
  <c r="EA232" i="11"/>
  <c r="DK232" i="11"/>
  <c r="AY232" i="11"/>
  <c r="EI232" i="11"/>
  <c r="DS232" i="11"/>
  <c r="CU232" i="11"/>
  <c r="BZ232" i="11"/>
  <c r="BR232" i="11"/>
  <c r="CH232" i="11"/>
  <c r="C234" i="11" l="1"/>
  <c r="BH233" i="11"/>
  <c r="BI233" i="11" s="1"/>
  <c r="DC233" i="11"/>
  <c r="EA233" i="11"/>
  <c r="DK233" i="11"/>
  <c r="AY233" i="11"/>
  <c r="EI233" i="11"/>
  <c r="CU233" i="11"/>
  <c r="DS233" i="11"/>
  <c r="BZ233" i="11"/>
  <c r="BR233" i="11"/>
  <c r="CH233" i="11"/>
  <c r="C235" i="11" l="1"/>
  <c r="BH234" i="11"/>
  <c r="BI234" i="11" s="1"/>
  <c r="DC234" i="11"/>
  <c r="EA234" i="11"/>
  <c r="DK234" i="11"/>
  <c r="AY234" i="11"/>
  <c r="CU234" i="11"/>
  <c r="EI234" i="11"/>
  <c r="DS234" i="11"/>
  <c r="BZ234" i="11"/>
  <c r="BR234" i="11"/>
  <c r="CH234" i="11"/>
  <c r="C236" i="11" l="1"/>
  <c r="BH235" i="11"/>
  <c r="BI235" i="11" s="1"/>
  <c r="DC235" i="11"/>
  <c r="EA235" i="11"/>
  <c r="DK235" i="11"/>
  <c r="AY235" i="11"/>
  <c r="DS235" i="11"/>
  <c r="CU235" i="11"/>
  <c r="EI235" i="11"/>
  <c r="BZ235" i="11"/>
  <c r="BR235" i="11"/>
  <c r="CH235" i="11"/>
  <c r="C237" i="11" l="1"/>
  <c r="BH236" i="11"/>
  <c r="BI236" i="11" s="1"/>
  <c r="DC236" i="11"/>
  <c r="EA236" i="11"/>
  <c r="DK236" i="11"/>
  <c r="AY236" i="11"/>
  <c r="CU236" i="11"/>
  <c r="EI236" i="11"/>
  <c r="DS236" i="11"/>
  <c r="BZ236" i="11"/>
  <c r="BR236" i="11"/>
  <c r="CH236" i="11"/>
  <c r="C238" i="11" l="1"/>
  <c r="BH237" i="11"/>
  <c r="BI237" i="11" s="1"/>
  <c r="DC237" i="11"/>
  <c r="EA237" i="11"/>
  <c r="DK237" i="11"/>
  <c r="AY237" i="11"/>
  <c r="CU237" i="11"/>
  <c r="DS237" i="11"/>
  <c r="EI237" i="11"/>
  <c r="BZ237" i="11"/>
  <c r="BR237" i="11"/>
  <c r="CH237" i="11"/>
  <c r="C239" i="11" l="1"/>
  <c r="BH238" i="11"/>
  <c r="BI238" i="11" s="1"/>
  <c r="DC238" i="11"/>
  <c r="EA238" i="11"/>
  <c r="DK238" i="11"/>
  <c r="AY238" i="11"/>
  <c r="EI238" i="11"/>
  <c r="DS238" i="11"/>
  <c r="CU238" i="11"/>
  <c r="BZ238" i="11"/>
  <c r="BR238" i="11"/>
  <c r="CH238" i="11"/>
  <c r="C240" i="11" l="1"/>
  <c r="BH239" i="11"/>
  <c r="BI239" i="11" s="1"/>
  <c r="DC239" i="11"/>
  <c r="EA239" i="11"/>
  <c r="DK239" i="11"/>
  <c r="AY239" i="11"/>
  <c r="EI239" i="11"/>
  <c r="CU239" i="11"/>
  <c r="DS239" i="11"/>
  <c r="BZ239" i="11"/>
  <c r="BR239" i="11"/>
  <c r="CH239" i="11"/>
  <c r="BH240" i="11" l="1"/>
  <c r="BI240" i="11" s="1"/>
  <c r="DC240" i="11"/>
  <c r="EA240" i="11"/>
  <c r="DK240" i="11"/>
  <c r="AY240" i="11"/>
  <c r="DS240" i="11"/>
  <c r="CU240" i="11"/>
  <c r="EI240" i="11"/>
  <c r="BZ240" i="11"/>
  <c r="BR240" i="11"/>
  <c r="CH24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luiz.castilho</author>
    <author>Luiz Almeida</author>
    <author>Edimilson Cardoso Silva</author>
    <author>Marcelo Pedroso</author>
    <author>Lidiane Santos</author>
    <author>Luiz Castilho de Almeida Junior</author>
  </authors>
  <commentList>
    <comment ref="AO12" authorId="0" shapeId="0" xr:uid="{00000000-0006-0000-0100-000001000000}">
      <text>
        <r>
          <rPr>
            <b/>
            <sz val="9"/>
            <color indexed="81"/>
            <rFont val="Tahoma"/>
            <family val="2"/>
          </rPr>
          <t>Primeiro uso da soda para fervura do Pré 2.</t>
        </r>
      </text>
    </comment>
    <comment ref="BO14" authorId="0" shapeId="0" xr:uid="{00000000-0006-0000-0100-000002000000}">
      <text>
        <r>
          <rPr>
            <b/>
            <sz val="9"/>
            <color indexed="81"/>
            <rFont val="Tahoma"/>
            <family val="2"/>
          </rPr>
          <t>18kg utilizados pelo pessoal da vinhaça</t>
        </r>
      </text>
    </comment>
    <comment ref="AO16" authorId="0" shapeId="0" xr:uid="{00000000-0006-0000-0100-000003000000}">
      <text>
        <r>
          <rPr>
            <b/>
            <sz val="9"/>
            <color indexed="81"/>
            <rFont val="Tahoma"/>
            <family val="2"/>
          </rPr>
          <t>900L de soda dosado na torre da fermentação para controle das algas</t>
        </r>
        <r>
          <rPr>
            <sz val="9"/>
            <color indexed="81"/>
            <rFont val="Tahoma"/>
            <family val="2"/>
          </rPr>
          <t xml:space="preserve">
</t>
        </r>
      </text>
    </comment>
    <comment ref="BW16" authorId="0" shapeId="0" xr:uid="{00000000-0006-0000-0100-000004000000}">
      <text>
        <r>
          <rPr>
            <b/>
            <sz val="9"/>
            <color indexed="81"/>
            <rFont val="Tahoma"/>
            <family val="2"/>
          </rPr>
          <t>Não houve consumo de dispersante devido a teste com dispersantes da Onibras</t>
        </r>
        <r>
          <rPr>
            <sz val="9"/>
            <color indexed="81"/>
            <rFont val="Tahoma"/>
            <family val="2"/>
          </rPr>
          <t xml:space="preserve">
</t>
        </r>
      </text>
    </comment>
    <comment ref="AO17" authorId="0" shapeId="0" xr:uid="{00000000-0006-0000-0100-000005000000}">
      <text>
        <r>
          <rPr>
            <b/>
            <sz val="9"/>
            <color indexed="81"/>
            <rFont val="Tahoma"/>
            <family val="2"/>
          </rPr>
          <t>1000L de soda dosado na torre da fermentação para controle das algas</t>
        </r>
        <r>
          <rPr>
            <sz val="9"/>
            <color indexed="81"/>
            <rFont val="Tahoma"/>
            <family val="2"/>
          </rPr>
          <t xml:space="preserve">
</t>
        </r>
      </text>
    </comment>
    <comment ref="EN17" authorId="0" shapeId="0" xr:uid="{00000000-0006-0000-0100-000006000000}">
      <text>
        <r>
          <rPr>
            <b/>
            <sz val="9"/>
            <color indexed="81"/>
            <rFont val="Tahoma"/>
            <family val="2"/>
          </rPr>
          <t>Tratamento do soda na Torre da Fermentação (parou dosagem de produtos na torre)</t>
        </r>
        <r>
          <rPr>
            <sz val="9"/>
            <color indexed="81"/>
            <rFont val="Tahoma"/>
            <family val="2"/>
          </rPr>
          <t xml:space="preserve">
</t>
        </r>
      </text>
    </comment>
    <comment ref="EN18" authorId="0" shapeId="0" xr:uid="{00000000-0006-0000-0100-000007000000}">
      <text>
        <r>
          <rPr>
            <b/>
            <sz val="9"/>
            <color indexed="81"/>
            <rFont val="Tahoma"/>
            <family val="2"/>
          </rPr>
          <t>Tratamento do soda na Torre da Fermentação (parou dosagem de produtos na torre)</t>
        </r>
        <r>
          <rPr>
            <sz val="9"/>
            <color indexed="81"/>
            <rFont val="Tahoma"/>
            <family val="2"/>
          </rPr>
          <t xml:space="preserve">
</t>
        </r>
      </text>
    </comment>
    <comment ref="I21" authorId="0" shapeId="0" xr:uid="{00000000-0006-0000-0100-000008000000}">
      <text>
        <r>
          <rPr>
            <b/>
            <sz val="9"/>
            <color indexed="81"/>
            <rFont val="Tahoma"/>
            <family val="2"/>
          </rPr>
          <t>Não foi feita hidratação da cal para manutenção no mexedor do tanque de cal nº2.</t>
        </r>
      </text>
    </comment>
    <comment ref="BW23" authorId="0" shapeId="0" xr:uid="{00000000-0006-0000-0100-000009000000}">
      <text>
        <r>
          <rPr>
            <b/>
            <sz val="9"/>
            <color indexed="81"/>
            <rFont val="Tahoma"/>
            <family val="2"/>
          </rPr>
          <t>Teste com dispersante AD 5520 GA da Alcolina 50kg</t>
        </r>
      </text>
    </comment>
    <comment ref="BO24" authorId="0" shapeId="0" xr:uid="{00000000-0006-0000-0100-00000A000000}">
      <text>
        <r>
          <rPr>
            <b/>
            <sz val="9"/>
            <color indexed="81"/>
            <rFont val="Tahoma"/>
            <family val="2"/>
          </rPr>
          <t>Teste com Antiespumante AE 4415 Alcolina 90kg</t>
        </r>
      </text>
    </comment>
    <comment ref="AO27" authorId="0" shapeId="0" xr:uid="{00000000-0006-0000-0100-00000B000000}">
      <text>
        <r>
          <rPr>
            <b/>
            <sz val="9"/>
            <color indexed="81"/>
            <rFont val="Tahoma"/>
            <family val="2"/>
          </rPr>
          <t>Reposição do tanque de soda do Tratamento de Caldo para limpeza do Pré 3</t>
        </r>
      </text>
    </comment>
    <comment ref="AO32" authorId="0" shapeId="0" xr:uid="{00000000-0006-0000-0100-00000C000000}">
      <text>
        <r>
          <rPr>
            <b/>
            <sz val="9"/>
            <color indexed="81"/>
            <rFont val="Tahoma"/>
            <family val="2"/>
          </rPr>
          <t>Fervura de soda no aparelho</t>
        </r>
      </text>
    </comment>
    <comment ref="ES37" authorId="0" shapeId="0" xr:uid="{00000000-0006-0000-0100-00000D000000}">
      <text>
        <r>
          <rPr>
            <b/>
            <sz val="9"/>
            <color indexed="81"/>
            <rFont val="Tahoma"/>
            <family val="2"/>
          </rPr>
          <t>Balde utilizado para dosagem na caixa d'água</t>
        </r>
      </text>
    </comment>
    <comment ref="EN38" authorId="0" shapeId="0" xr:uid="{00000000-0006-0000-0100-00000E000000}">
      <text>
        <r>
          <rPr>
            <b/>
            <sz val="9"/>
            <color indexed="81"/>
            <rFont val="Tahoma"/>
            <family val="2"/>
          </rPr>
          <t>Contaminação da água da torre da fermentação, foi suspensa a dosagem de produtos até troca da água</t>
        </r>
      </text>
    </comment>
    <comment ref="EN40" authorId="0" shapeId="0" xr:uid="{00000000-0006-0000-0100-00000F000000}">
      <text>
        <r>
          <rPr>
            <b/>
            <sz val="9"/>
            <color indexed="81"/>
            <rFont val="Tahoma"/>
            <family val="2"/>
          </rPr>
          <t>Dosagem em choque na torre da fermentação</t>
        </r>
      </text>
    </comment>
    <comment ref="FH40" authorId="0" shapeId="0" xr:uid="{00000000-0006-0000-0100-000010000000}">
      <text>
        <r>
          <rPr>
            <b/>
            <sz val="9"/>
            <color indexed="81"/>
            <rFont val="Tahoma"/>
            <family val="2"/>
          </rPr>
          <t>Dosagem em choque na torre da fermentação</t>
        </r>
      </text>
    </comment>
    <comment ref="FC41" authorId="0" shapeId="0" xr:uid="{00000000-0006-0000-0100-000011000000}">
      <text>
        <r>
          <rPr>
            <b/>
            <sz val="9"/>
            <color indexed="81"/>
            <rFont val="Tahoma"/>
            <family val="2"/>
          </rPr>
          <t>Dosagem em choque na torre da fermentação</t>
        </r>
      </text>
    </comment>
    <comment ref="U42" authorId="0" shapeId="0" xr:uid="{00000000-0006-0000-0100-000012000000}">
      <text>
        <r>
          <rPr>
            <b/>
            <sz val="9"/>
            <color indexed="81"/>
            <rFont val="Tahoma"/>
            <family val="2"/>
          </rPr>
          <t>Utilizado 25kg de polímero de teste OniBras</t>
        </r>
        <r>
          <rPr>
            <sz val="9"/>
            <color indexed="81"/>
            <rFont val="Tahoma"/>
            <family val="2"/>
          </rPr>
          <t xml:space="preserve">
</t>
        </r>
      </text>
    </comment>
    <comment ref="AG42" authorId="0" shapeId="0" xr:uid="{00000000-0006-0000-0100-000013000000}">
      <text>
        <r>
          <rPr>
            <b/>
            <sz val="9"/>
            <color indexed="81"/>
            <rFont val="Tahoma"/>
            <family val="2"/>
          </rPr>
          <t>Utilizado 6kg de polímero de teste OniBras</t>
        </r>
        <r>
          <rPr>
            <sz val="9"/>
            <color indexed="81"/>
            <rFont val="Tahoma"/>
            <family val="2"/>
          </rPr>
          <t xml:space="preserve">
</t>
        </r>
      </text>
    </comment>
    <comment ref="BO43" authorId="0" shapeId="0" xr:uid="{00000000-0006-0000-0100-000014000000}">
      <text>
        <r>
          <rPr>
            <b/>
            <sz val="9"/>
            <color indexed="81"/>
            <rFont val="Tahoma"/>
            <family val="2"/>
          </rPr>
          <t>Utilizado 180kg de antiespumante de teste da Aratrop</t>
        </r>
      </text>
    </comment>
    <comment ref="BW45" authorId="0" shapeId="0" xr:uid="{00000000-0006-0000-0100-000015000000}">
      <text>
        <r>
          <rPr>
            <b/>
            <sz val="9"/>
            <color indexed="81"/>
            <rFont val="Tahoma"/>
            <family val="2"/>
          </rPr>
          <t>Teste com dispersante OniBras</t>
        </r>
      </text>
    </comment>
    <comment ref="BW46" authorId="0" shapeId="0" xr:uid="{00000000-0006-0000-0100-000016000000}">
      <text>
        <r>
          <rPr>
            <b/>
            <sz val="9"/>
            <color indexed="81"/>
            <rFont val="Tahoma"/>
            <family val="2"/>
          </rPr>
          <t>Teste com dispersante OniBras</t>
        </r>
      </text>
    </comment>
    <comment ref="AO50" authorId="0" shapeId="0" xr:uid="{00000000-0006-0000-0100-000017000000}">
      <text>
        <r>
          <rPr>
            <b/>
            <sz val="9"/>
            <color indexed="81"/>
            <rFont val="Tahoma"/>
            <family val="2"/>
          </rPr>
          <t>Dosagem em choque na torre da Fermentação</t>
        </r>
      </text>
    </comment>
    <comment ref="AO52" authorId="0" shapeId="0" xr:uid="{00000000-0006-0000-0100-000018000000}">
      <text>
        <r>
          <rPr>
            <b/>
            <sz val="9"/>
            <color indexed="81"/>
            <rFont val="Tahoma"/>
            <family val="2"/>
          </rPr>
          <t>Fervura de soda no aparelho</t>
        </r>
      </text>
    </comment>
    <comment ref="AO55" authorId="0" shapeId="0" xr:uid="{00000000-0006-0000-0100-000019000000}">
      <text>
        <r>
          <rPr>
            <b/>
            <sz val="9"/>
            <color indexed="81"/>
            <rFont val="Tahoma"/>
            <family val="2"/>
          </rPr>
          <t>Fervura de soda no Pré 1 (estoque baixo, aguardando carreta de soda)</t>
        </r>
      </text>
    </comment>
    <comment ref="CE55" authorId="0" shapeId="0" xr:uid="{00000000-0006-0000-0100-00001A000000}">
      <text>
        <r>
          <rPr>
            <b/>
            <sz val="9"/>
            <color indexed="81"/>
            <rFont val="Tahoma"/>
            <family val="2"/>
          </rPr>
          <t>Dosagem de nutriente parada devido elevação da infecção</t>
        </r>
      </text>
    </comment>
    <comment ref="CR62" authorId="0" shapeId="0" xr:uid="{00000000-0006-0000-0100-00001B000000}">
      <text>
        <r>
          <rPr>
            <b/>
            <sz val="9"/>
            <color indexed="81"/>
            <rFont val="Tahoma"/>
            <family val="2"/>
          </rPr>
          <t>Início da aplicação de LactoStab</t>
        </r>
      </text>
    </comment>
    <comment ref="DP62" authorId="0" shapeId="0" xr:uid="{00000000-0006-0000-0100-00001C000000}">
      <text>
        <r>
          <rPr>
            <b/>
            <sz val="9"/>
            <color indexed="81"/>
            <rFont val="Tahoma"/>
            <family val="2"/>
          </rPr>
          <t>Parada dosagem de monensina emulsão e início da aplicação de LactoStab</t>
        </r>
      </text>
    </comment>
    <comment ref="AO63" authorId="0" shapeId="0" xr:uid="{00000000-0006-0000-0100-00001D000000}">
      <text>
        <r>
          <rPr>
            <b/>
            <sz val="9"/>
            <color indexed="81"/>
            <rFont val="Tahoma"/>
            <family val="2"/>
          </rPr>
          <t>Reposição do tanque de soda de CIP da Evaporação</t>
        </r>
      </text>
    </comment>
    <comment ref="AO68" authorId="0" shapeId="0" xr:uid="{00000000-0006-0000-0100-00001E000000}">
      <text>
        <r>
          <rPr>
            <b/>
            <sz val="9"/>
            <color indexed="81"/>
            <rFont val="Tahoma"/>
            <family val="2"/>
          </rPr>
          <t>Fervura de soda no aparelho</t>
        </r>
      </text>
    </comment>
    <comment ref="DP75" authorId="0" shapeId="0" xr:uid="{00000000-0006-0000-0100-00001F000000}">
      <text>
        <r>
          <rPr>
            <b/>
            <sz val="9"/>
            <color indexed="81"/>
            <rFont val="Tahoma"/>
            <family val="2"/>
          </rPr>
          <t>Retomou a dosagem de HJ Emulsão</t>
        </r>
      </text>
    </comment>
    <comment ref="CR76" authorId="0" shapeId="0" xr:uid="{00000000-0006-0000-0100-000020000000}">
      <text>
        <r>
          <rPr>
            <b/>
            <sz val="9"/>
            <color indexed="81"/>
            <rFont val="Tahoma"/>
            <family val="2"/>
          </rPr>
          <t>Parou a dosagem de LactoStab contínuo</t>
        </r>
      </text>
    </comment>
    <comment ref="BM85" authorId="0" shapeId="0" xr:uid="{00000000-0006-0000-0100-000021000000}">
      <text>
        <r>
          <rPr>
            <b/>
            <sz val="9"/>
            <color indexed="81"/>
            <rFont val="Tahoma"/>
            <family val="2"/>
          </rPr>
          <t>Devolvido container pego por engano no Almoxarifado</t>
        </r>
      </text>
    </comment>
    <comment ref="CR87" authorId="0" shapeId="0" xr:uid="{00000000-0006-0000-0100-000022000000}">
      <text>
        <r>
          <rPr>
            <b/>
            <sz val="9"/>
            <color indexed="81"/>
            <rFont val="Tahoma"/>
            <family val="2"/>
          </rPr>
          <t>Rodada de 7,2L/h de LactoStab durante 10h para controle de infecção</t>
        </r>
      </text>
    </comment>
    <comment ref="CR91" authorId="0" shapeId="0" xr:uid="{00000000-0006-0000-0100-000023000000}">
      <text>
        <r>
          <rPr>
            <b/>
            <sz val="9"/>
            <color indexed="81"/>
            <rFont val="Tahoma"/>
            <family val="2"/>
          </rPr>
          <t>Rodada de 7,2L/h de LactoStab 
durante 10h para controle de infecção</t>
        </r>
      </text>
    </comment>
    <comment ref="EQ92" authorId="1" shapeId="0" xr:uid="{00000000-0006-0000-0100-000024000000}">
      <text>
        <r>
          <rPr>
            <sz val="9"/>
            <color indexed="81"/>
            <rFont val="Segoe UI"/>
            <family val="2"/>
          </rPr>
          <t xml:space="preserve">28 kg Foi destinado para o pessol da civil
</t>
        </r>
      </text>
    </comment>
    <comment ref="CR93" authorId="1" shapeId="0" xr:uid="{00000000-0006-0000-0100-000025000000}">
      <text>
        <r>
          <rPr>
            <b/>
            <sz val="9"/>
            <color indexed="81"/>
            <rFont val="Segoe UI"/>
            <family val="2"/>
          </rPr>
          <t>Rodada de 7,2L/h de LactoStab durante 10h para controle da infecção</t>
        </r>
      </text>
    </comment>
    <comment ref="I99" authorId="2" shapeId="0" xr:uid="{00000000-0006-0000-0100-000026000000}">
      <text>
        <r>
          <rPr>
            <b/>
            <sz val="9"/>
            <color indexed="81"/>
            <rFont val="Segoe UI"/>
            <family val="2"/>
          </rPr>
          <t>Edimilson Cardoso Silva:</t>
        </r>
        <r>
          <rPr>
            <sz val="9"/>
            <color indexed="81"/>
            <rFont val="Segoe UI"/>
            <family val="2"/>
          </rPr>
          <t xml:space="preserve">
Foi retirado 4,800 ton de cal e esprestado para usina furlan.</t>
        </r>
      </text>
    </comment>
    <comment ref="AO102" authorId="2" shapeId="0" xr:uid="{00000000-0006-0000-0100-000027000000}">
      <text>
        <r>
          <rPr>
            <b/>
            <sz val="9"/>
            <color indexed="81"/>
            <rFont val="Segoe UI"/>
            <family val="2"/>
          </rPr>
          <t>Edimilson Cardoso Silva:</t>
        </r>
        <r>
          <rPr>
            <sz val="9"/>
            <color indexed="81"/>
            <rFont val="Segoe UI"/>
            <family val="2"/>
          </rPr>
          <t xml:space="preserve">
FOI ENVIADO SODA PARA TQ DO TRATAMENTO</t>
        </r>
      </text>
    </comment>
    <comment ref="AO118" authorId="2" shapeId="0" xr:uid="{00000000-0006-0000-0100-000028000000}">
      <text>
        <r>
          <rPr>
            <b/>
            <sz val="9"/>
            <color indexed="81"/>
            <rFont val="Segoe UI"/>
            <family val="2"/>
          </rPr>
          <t>Edimilson Cardoso Silva:</t>
        </r>
        <r>
          <rPr>
            <sz val="9"/>
            <color indexed="81"/>
            <rFont val="Segoe UI"/>
            <family val="2"/>
          </rPr>
          <t xml:space="preserve">
foi enviado soda para cip do aparelho de hidratado</t>
        </r>
      </text>
    </comment>
    <comment ref="AT127" authorId="3" shapeId="0" xr:uid="{00000000-0006-0000-0100-000029000000}">
      <text>
        <r>
          <rPr>
            <b/>
            <sz val="9"/>
            <color indexed="81"/>
            <rFont val="Segoe UI"/>
            <family val="2"/>
          </rPr>
          <t>BRASINTER
PRODUTOS QUÍMICOS
NF 21841-1
VALOR UNIT. R$2,68</t>
        </r>
      </text>
    </comment>
    <comment ref="G129" authorId="3" shapeId="0" xr:uid="{00000000-0006-0000-0100-00002A000000}">
      <text>
        <r>
          <rPr>
            <b/>
            <sz val="9"/>
            <color indexed="81"/>
            <rFont val="Segoe UI"/>
            <family val="2"/>
          </rPr>
          <t>CALTEC
QUIMICA INDUSTRIAL
NF376128-3
VALOR: 37,18</t>
        </r>
      </text>
    </comment>
    <comment ref="BB136" authorId="3" shapeId="0" xr:uid="{00000000-0006-0000-0100-00002B000000}">
      <text>
        <r>
          <rPr>
            <b/>
            <sz val="9"/>
            <color indexed="81"/>
            <rFont val="Segoe UI"/>
            <family val="2"/>
          </rPr>
          <t>ANTARES
NF 3083-1 / NF 3086
VALOR UNIT. R$0,35</t>
        </r>
      </text>
    </comment>
    <comment ref="AT137" authorId="3" shapeId="0" xr:uid="{00000000-0006-0000-0100-00002C000000}">
      <text>
        <r>
          <rPr>
            <b/>
            <sz val="9"/>
            <color indexed="81"/>
            <rFont val="Segoe UI"/>
            <family val="2"/>
          </rPr>
          <t>PORTUGAL QUIMICA
NF 18454-1
VALOR UNIT. R$2,80</t>
        </r>
      </text>
    </comment>
    <comment ref="BB137" authorId="3" shapeId="0" xr:uid="{00000000-0006-0000-0100-00002D000000}">
      <text>
        <r>
          <rPr>
            <b/>
            <sz val="9"/>
            <color indexed="81"/>
            <rFont val="Segoe UI"/>
            <family val="2"/>
          </rPr>
          <t>ANTARES
NF 3083-1 / NF 3086
VALOR UNIT. R$0,35</t>
        </r>
      </text>
    </comment>
    <comment ref="AO142" authorId="3" shapeId="0" xr:uid="{00000000-0006-0000-0100-00002E000000}">
      <text>
        <r>
          <rPr>
            <b/>
            <sz val="9"/>
            <color indexed="81"/>
            <rFont val="Segoe UI"/>
            <family val="2"/>
          </rPr>
          <t xml:space="preserve">
REPOSIÇÃO DO TQ CIP</t>
        </r>
      </text>
    </comment>
    <comment ref="BB144" authorId="3" shapeId="0" xr:uid="{00000000-0006-0000-0100-00002F000000}">
      <text>
        <r>
          <rPr>
            <b/>
            <sz val="9"/>
            <color indexed="81"/>
            <rFont val="Segoe UI"/>
            <family val="2"/>
          </rPr>
          <t xml:space="preserve">
ANTARES
NF Nº44
VALOR UNIT.: 0,35</t>
        </r>
      </text>
    </comment>
    <comment ref="G146" authorId="3" shapeId="0" xr:uid="{00000000-0006-0000-0100-000030000000}">
      <text>
        <r>
          <rPr>
            <sz val="9"/>
            <color indexed="81"/>
            <rFont val="Segoe UI"/>
            <family val="2"/>
          </rPr>
          <t xml:space="preserve">
CALTEC
NF Nº 377789-3
VALOR: 5.032,86</t>
        </r>
      </text>
    </comment>
    <comment ref="AT147" authorId="3" shapeId="0" xr:uid="{00000000-0006-0000-0100-000031000000}">
      <text>
        <r>
          <rPr>
            <b/>
            <sz val="9"/>
            <color indexed="81"/>
            <rFont val="Segoe UI"/>
            <family val="2"/>
          </rPr>
          <t xml:space="preserve">
BASE QUÍMICA
NFº 451216
VALOR UNIT.: R$2,15</t>
        </r>
      </text>
    </comment>
    <comment ref="AO148" authorId="3" shapeId="0" xr:uid="{00000000-0006-0000-0100-000032000000}">
      <text>
        <r>
          <rPr>
            <b/>
            <sz val="9"/>
            <color indexed="81"/>
            <rFont val="Segoe UI"/>
            <family val="2"/>
          </rPr>
          <t xml:space="preserve">
FERVURA DE SODA NO APARELHO</t>
        </r>
      </text>
    </comment>
    <comment ref="AT151" authorId="3" shapeId="0" xr:uid="{00000000-0006-0000-0100-000033000000}">
      <text>
        <r>
          <rPr>
            <b/>
            <sz val="9"/>
            <color indexed="81"/>
            <rFont val="Segoe UI"/>
            <family val="2"/>
          </rPr>
          <t xml:space="preserve">
BASEQUIMICA
NF 451.561-2
VALOR UNT.: R$2,15</t>
        </r>
      </text>
    </comment>
    <comment ref="BB154" authorId="3" shapeId="0" xr:uid="{00000000-0006-0000-0100-000034000000}">
      <text>
        <r>
          <rPr>
            <b/>
            <sz val="9"/>
            <color indexed="81"/>
            <rFont val="Segoe UI"/>
            <family val="2"/>
          </rPr>
          <t xml:space="preserve">
ECO RECYCLING
NFº 45-1
VALOR UNIT.: R$ 0,35</t>
        </r>
      </text>
    </comment>
    <comment ref="BB155" authorId="3" shapeId="0" xr:uid="{00000000-0006-0000-0100-000035000000}">
      <text>
        <r>
          <rPr>
            <b/>
            <sz val="9"/>
            <color indexed="81"/>
            <rFont val="Segoe UI"/>
            <family val="2"/>
          </rPr>
          <t xml:space="preserve">
ANTARES
NFº 3147-1
VALOR UNT.: R$0,35</t>
        </r>
      </text>
    </comment>
    <comment ref="G157" authorId="3" shapeId="0" xr:uid="{00000000-0006-0000-0100-000036000000}">
      <text>
        <r>
          <rPr>
            <b/>
            <sz val="9"/>
            <color indexed="81"/>
            <rFont val="Segoe UI"/>
            <family val="2"/>
          </rPr>
          <t xml:space="preserve">
CALTEC
NFº 8927-1
VALOR TOTAL.: R$ 23.797,56</t>
        </r>
      </text>
    </comment>
    <comment ref="AT159" authorId="3" shapeId="0" xr:uid="{00000000-0006-0000-0100-000037000000}">
      <text>
        <r>
          <rPr>
            <b/>
            <sz val="9"/>
            <color indexed="81"/>
            <rFont val="Segoe UI"/>
            <family val="2"/>
          </rPr>
          <t>PORTUGAL QUÍMICA
NFº 18732-1
VALOR UNIT. R$1,98
OBS.: NESSE DESCARREGAMENTO O TANQUE DE ÁCIDO TRANSBORDOU, PASSOU SEU NÍVEL DE CAPACIDADE.</t>
        </r>
      </text>
    </comment>
    <comment ref="BB165" authorId="3" shapeId="0" xr:uid="{00000000-0006-0000-0100-000038000000}">
      <text>
        <r>
          <rPr>
            <b/>
            <sz val="9"/>
            <color indexed="81"/>
            <rFont val="Segoe UI"/>
            <family val="2"/>
          </rPr>
          <t xml:space="preserve">
ANTARES
NF Nº2377
QTD.: 27380
ANTARES
NF Nº 3182
QTD.: 18840 - (21,70%)</t>
        </r>
      </text>
    </comment>
    <comment ref="BB166" authorId="3" shapeId="0" xr:uid="{00000000-0006-0000-0100-000039000000}">
      <text>
        <r>
          <rPr>
            <b/>
            <sz val="9"/>
            <color indexed="81"/>
            <rFont val="Segoe UI"/>
            <family val="2"/>
          </rPr>
          <t xml:space="preserve">
ANTARES
NF Nº 2378
QTD.: 31250 - (14,66%)</t>
        </r>
      </text>
    </comment>
    <comment ref="BB168" authorId="3" shapeId="0" xr:uid="{00000000-0006-0000-0100-00003A000000}">
      <text>
        <r>
          <rPr>
            <b/>
            <sz val="9"/>
            <color indexed="81"/>
            <rFont val="Segoe UI"/>
            <family val="2"/>
          </rPr>
          <t>ECO RECYCLING
NF Nº 49
QTD.: 27.500 - (17,31%)
VALOR UNIT.: R$ 0,22</t>
        </r>
      </text>
    </comment>
    <comment ref="BB179" authorId="3" shapeId="0" xr:uid="{00000000-0006-0000-0100-00003B000000}">
      <text>
        <r>
          <rPr>
            <b/>
            <sz val="9"/>
            <color indexed="81"/>
            <rFont val="Segoe UI"/>
            <family val="2"/>
          </rPr>
          <t xml:space="preserve">
ANTARES
NF Nº 3229-1
VALOR UNIT.: 0,22
CONC.: 20,41%</t>
        </r>
      </text>
    </comment>
    <comment ref="G185" authorId="3" shapeId="0" xr:uid="{00000000-0006-0000-0100-00003C000000}">
      <text>
        <r>
          <rPr>
            <b/>
            <sz val="9"/>
            <color indexed="81"/>
            <rFont val="Segoe UI"/>
            <family val="2"/>
          </rPr>
          <t>USINA FURLAN
NF Nº 14395-1
VALOR UNIT.: 0,69</t>
        </r>
      </text>
    </comment>
    <comment ref="BB191" authorId="3" shapeId="0" xr:uid="{00000000-0006-0000-0100-00003D000000}">
      <text>
        <r>
          <rPr>
            <b/>
            <sz val="9"/>
            <color indexed="81"/>
            <rFont val="Segoe UI"/>
            <family val="2"/>
          </rPr>
          <t xml:space="preserve">
ANTARES
NF 8745-1
VALOR UNIT.: 0,22
CONC. 7,68%</t>
        </r>
      </text>
    </comment>
    <comment ref="BB192" authorId="4" shapeId="0" xr:uid="{00000000-0006-0000-0100-00003E000000}">
      <text>
        <r>
          <rPr>
            <b/>
            <sz val="9"/>
            <color indexed="81"/>
            <rFont val="Segoe UI"/>
            <family val="2"/>
          </rPr>
          <t>Antares: NF n°8748-1 
valor uni.0,22
 concentração 8,57%</t>
        </r>
        <r>
          <rPr>
            <sz val="9"/>
            <color indexed="81"/>
            <rFont val="Segoe UI"/>
            <family val="2"/>
          </rPr>
          <t xml:space="preserve">
</t>
        </r>
        <r>
          <rPr>
            <b/>
            <sz val="9"/>
            <color indexed="81"/>
            <rFont val="Segoe UI"/>
            <family val="2"/>
          </rPr>
          <t>Obs.</t>
        </r>
        <r>
          <rPr>
            <sz val="9"/>
            <color indexed="81"/>
            <rFont val="Segoe UI"/>
            <family val="2"/>
          </rPr>
          <t xml:space="preserve"> O caminhão foi embora sem finalizar a carga e foi necessario emitir NF de devolução de 1540KG.</t>
        </r>
      </text>
    </comment>
    <comment ref="B200" authorId="5" shapeId="0" xr:uid="{00000000-0006-0000-0100-00003F000000}">
      <text>
        <r>
          <rPr>
            <b/>
            <sz val="9"/>
            <color indexed="81"/>
            <rFont val="Segoe UI"/>
            <family val="2"/>
          </rPr>
          <t xml:space="preserve">Produção ajustada para adequar ao acumulado safra
</t>
        </r>
      </text>
    </comment>
    <comment ref="D200" authorId="5" shapeId="0" xr:uid="{00000000-0006-0000-0100-000040000000}">
      <text>
        <r>
          <rPr>
            <b/>
            <sz val="9"/>
            <color indexed="81"/>
            <rFont val="Segoe UI"/>
            <family val="2"/>
          </rPr>
          <t xml:space="preserve">Moagem ajustada para adequar ao acumulado safra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Fernando Marcos Bernini</author>
  </authors>
  <commentList>
    <comment ref="G10" authorId="0" shapeId="0" xr:uid="{00000000-0006-0000-0400-000001000000}">
      <text>
        <r>
          <rPr>
            <b/>
            <sz val="9"/>
            <color indexed="81"/>
            <rFont val="Segoe UI"/>
            <family val="2"/>
          </rPr>
          <t>Fernando Marcos Bernini:</t>
        </r>
        <r>
          <rPr>
            <sz val="9"/>
            <color indexed="81"/>
            <rFont val="Segoe UI"/>
            <family val="2"/>
          </rPr>
          <t xml:space="preserve">
Concentração = 17 %</t>
        </r>
      </text>
    </comment>
    <comment ref="BE12" authorId="0" shapeId="0" xr:uid="{00000000-0006-0000-0400-000002000000}">
      <text>
        <r>
          <rPr>
            <b/>
            <sz val="9"/>
            <color indexed="81"/>
            <rFont val="Segoe UI"/>
            <family val="2"/>
          </rPr>
          <t>Fernando Marcos Bernini:</t>
        </r>
        <r>
          <rPr>
            <sz val="9"/>
            <color indexed="81"/>
            <rFont val="Segoe UI"/>
            <family val="2"/>
          </rPr>
          <t xml:space="preserve">
CIP Pré 2</t>
        </r>
      </text>
    </comment>
    <comment ref="G14" authorId="0" shapeId="0" xr:uid="{00000000-0006-0000-0400-000003000000}">
      <text>
        <r>
          <rPr>
            <b/>
            <sz val="9"/>
            <color indexed="81"/>
            <rFont val="Segoe UI"/>
            <family val="2"/>
          </rPr>
          <t>Fernando Marcos Bernini:</t>
        </r>
        <r>
          <rPr>
            <sz val="9"/>
            <color indexed="81"/>
            <rFont val="Segoe UI"/>
            <family val="2"/>
          </rPr>
          <t xml:space="preserve">
Concentração = 10,78 %</t>
        </r>
      </text>
    </comment>
    <comment ref="BE16" authorId="0" shapeId="0" xr:uid="{00000000-0006-0000-0400-000004000000}">
      <text>
        <r>
          <rPr>
            <b/>
            <sz val="9"/>
            <color indexed="81"/>
            <rFont val="Segoe UI"/>
            <family val="2"/>
          </rPr>
          <t>Fernando Marcos Bernini:</t>
        </r>
        <r>
          <rPr>
            <sz val="9"/>
            <color indexed="81"/>
            <rFont val="Segoe UI"/>
            <family val="2"/>
          </rPr>
          <t xml:space="preserve">
CIP na coluna de destilação</t>
        </r>
      </text>
    </comment>
    <comment ref="G19" authorId="0" shapeId="0" xr:uid="{00000000-0006-0000-0400-000005000000}">
      <text>
        <r>
          <rPr>
            <b/>
            <sz val="9"/>
            <color indexed="81"/>
            <rFont val="Segoe UI"/>
            <family val="2"/>
          </rPr>
          <t>Fernando Marcos Bernini:</t>
        </r>
        <r>
          <rPr>
            <sz val="9"/>
            <color indexed="81"/>
            <rFont val="Segoe UI"/>
            <family val="2"/>
          </rPr>
          <t xml:space="preserve">
Concentração = 8,17 %</t>
        </r>
      </text>
    </comment>
    <comment ref="G24" authorId="0" shapeId="0" xr:uid="{00000000-0006-0000-0400-000006000000}">
      <text>
        <r>
          <rPr>
            <b/>
            <sz val="9"/>
            <color indexed="81"/>
            <rFont val="Segoe UI"/>
            <family val="2"/>
          </rPr>
          <t>Fernando Marcos Bernini:</t>
        </r>
        <r>
          <rPr>
            <sz val="9"/>
            <color indexed="81"/>
            <rFont val="Segoe UI"/>
            <family val="2"/>
          </rPr>
          <t xml:space="preserve">
Concentração = 13,72 %</t>
        </r>
      </text>
    </comment>
    <comment ref="G25" authorId="0" shapeId="0" xr:uid="{00000000-0006-0000-0400-000007000000}">
      <text>
        <r>
          <rPr>
            <b/>
            <sz val="9"/>
            <color indexed="81"/>
            <rFont val="Segoe UI"/>
            <family val="2"/>
          </rPr>
          <t>Fernando Marcos Bernini:</t>
        </r>
        <r>
          <rPr>
            <sz val="9"/>
            <color indexed="81"/>
            <rFont val="Segoe UI"/>
            <family val="2"/>
          </rPr>
          <t xml:space="preserve">
Concentração = 10,75 %</t>
        </r>
      </text>
    </comment>
    <comment ref="G28" authorId="0" shapeId="0" xr:uid="{00000000-0006-0000-0400-000008000000}">
      <text>
        <r>
          <rPr>
            <b/>
            <sz val="9"/>
            <color indexed="81"/>
            <rFont val="Segoe UI"/>
            <family val="2"/>
          </rPr>
          <t>Fernando Marcos Bernini:</t>
        </r>
        <r>
          <rPr>
            <sz val="9"/>
            <color indexed="81"/>
            <rFont val="Segoe UI"/>
            <family val="2"/>
          </rPr>
          <t xml:space="preserve">
Concentração = 10,29 %</t>
        </r>
      </text>
    </comment>
    <comment ref="BE28" authorId="0" shapeId="0" xr:uid="{00000000-0006-0000-0400-000009000000}">
      <text>
        <r>
          <rPr>
            <b/>
            <sz val="9"/>
            <color indexed="81"/>
            <rFont val="Segoe UI"/>
            <family val="2"/>
          </rPr>
          <t>Fernando Marcos Bernini:</t>
        </r>
        <r>
          <rPr>
            <sz val="9"/>
            <color indexed="81"/>
            <rFont val="Segoe UI"/>
            <family val="2"/>
          </rPr>
          <t xml:space="preserve">
CIP na coluna A</t>
        </r>
      </text>
    </comment>
    <comment ref="BE29" authorId="0" shapeId="0" xr:uid="{00000000-0006-0000-0400-00000A000000}">
      <text>
        <r>
          <rPr>
            <b/>
            <sz val="9"/>
            <color indexed="81"/>
            <rFont val="Segoe UI"/>
            <family val="2"/>
          </rPr>
          <t>Fernando Marcos Bernini:</t>
        </r>
        <r>
          <rPr>
            <sz val="9"/>
            <color indexed="81"/>
            <rFont val="Segoe UI"/>
            <family val="2"/>
          </rPr>
          <t xml:space="preserve">
Reposição Tq de CIP tratamento de caldo</t>
        </r>
      </text>
    </comment>
    <comment ref="G31" authorId="0" shapeId="0" xr:uid="{00000000-0006-0000-0400-00000B000000}">
      <text>
        <r>
          <rPr>
            <b/>
            <sz val="9"/>
            <color indexed="81"/>
            <rFont val="Segoe UI"/>
            <family val="2"/>
          </rPr>
          <t>Fernando Marcos Bernini:</t>
        </r>
        <r>
          <rPr>
            <sz val="9"/>
            <color indexed="81"/>
            <rFont val="Segoe UI"/>
            <family val="2"/>
          </rPr>
          <t xml:space="preserve">
Concentração = 10,29 %</t>
        </r>
      </text>
    </comment>
    <comment ref="G32" authorId="0" shapeId="0" xr:uid="{00000000-0006-0000-0400-00000C000000}">
      <text>
        <r>
          <rPr>
            <b/>
            <sz val="9"/>
            <color indexed="81"/>
            <rFont val="Segoe UI"/>
            <family val="2"/>
          </rPr>
          <t>Fernando Marcos Bernini:</t>
        </r>
        <r>
          <rPr>
            <sz val="9"/>
            <color indexed="81"/>
            <rFont val="Segoe UI"/>
            <family val="2"/>
          </rPr>
          <t xml:space="preserve">
Concentração = 12,76 %</t>
        </r>
      </text>
    </comment>
    <comment ref="G35" authorId="0" shapeId="0" xr:uid="{00000000-0006-0000-0400-00000D000000}">
      <text>
        <r>
          <rPr>
            <b/>
            <sz val="9"/>
            <color indexed="81"/>
            <rFont val="Segoe UI"/>
            <family val="2"/>
          </rPr>
          <t>Fernando Marcos Bernini:</t>
        </r>
        <r>
          <rPr>
            <sz val="9"/>
            <color indexed="81"/>
            <rFont val="Segoe UI"/>
            <family val="2"/>
          </rPr>
          <t xml:space="preserve">
Concentração = 14,67 %</t>
        </r>
      </text>
    </comment>
    <comment ref="G36" authorId="0" shapeId="0" xr:uid="{00000000-0006-0000-0400-00000E000000}">
      <text>
        <r>
          <rPr>
            <b/>
            <sz val="9"/>
            <color indexed="81"/>
            <rFont val="Segoe UI"/>
            <family val="2"/>
          </rPr>
          <t>Fernando Marcos Bernini:</t>
        </r>
        <r>
          <rPr>
            <sz val="9"/>
            <color indexed="81"/>
            <rFont val="Segoe UI"/>
            <family val="2"/>
          </rPr>
          <t xml:space="preserve">
Concentração = 13,3 %</t>
        </r>
      </text>
    </comment>
    <comment ref="G38" authorId="0" shapeId="0" xr:uid="{00000000-0006-0000-0400-00000F000000}">
      <text>
        <r>
          <rPr>
            <b/>
            <sz val="9"/>
            <color indexed="81"/>
            <rFont val="Segoe UI"/>
            <family val="2"/>
          </rPr>
          <t>Fernando Marcos Bernini:</t>
        </r>
        <r>
          <rPr>
            <sz val="9"/>
            <color indexed="81"/>
            <rFont val="Segoe UI"/>
            <family val="2"/>
          </rPr>
          <t xml:space="preserve">
Concentração = 13,92 %</t>
        </r>
      </text>
    </comment>
    <comment ref="BE41" authorId="0" shapeId="0" xr:uid="{00000000-0006-0000-0400-000010000000}">
      <text>
        <r>
          <rPr>
            <b/>
            <sz val="9"/>
            <color indexed="81"/>
            <rFont val="Segoe UI"/>
            <family val="2"/>
          </rPr>
          <t>Fernando Marcos Bernini:</t>
        </r>
        <r>
          <rPr>
            <sz val="9"/>
            <color indexed="81"/>
            <rFont val="Segoe UI"/>
            <family val="2"/>
          </rPr>
          <t xml:space="preserve">
1.500 Kg - Torre Fermentação
4.186 Kg - CIP coluna A</t>
        </r>
      </text>
    </comment>
    <comment ref="G44" authorId="0" shapeId="0" xr:uid="{00000000-0006-0000-0400-000011000000}">
      <text>
        <r>
          <rPr>
            <b/>
            <sz val="9"/>
            <color indexed="81"/>
            <rFont val="Segoe UI"/>
            <family val="2"/>
          </rPr>
          <t>Fernando Marcos Bernini:</t>
        </r>
        <r>
          <rPr>
            <sz val="9"/>
            <color indexed="81"/>
            <rFont val="Segoe UI"/>
            <family val="2"/>
          </rPr>
          <t xml:space="preserve">
Concentração = 9,79 %</t>
        </r>
      </text>
    </comment>
    <comment ref="G46" authorId="0" shapeId="0" xr:uid="{00000000-0006-0000-0400-000012000000}">
      <text>
        <r>
          <rPr>
            <b/>
            <sz val="9"/>
            <color indexed="81"/>
            <rFont val="Segoe UI"/>
            <family val="2"/>
          </rPr>
          <t>Fernando Marcos Bernini:</t>
        </r>
        <r>
          <rPr>
            <sz val="9"/>
            <color indexed="81"/>
            <rFont val="Segoe UI"/>
            <family val="2"/>
          </rPr>
          <t xml:space="preserve">
Concentração = %</t>
        </r>
      </text>
    </comment>
    <comment ref="G47" authorId="0" shapeId="0" xr:uid="{00000000-0006-0000-0400-000013000000}">
      <text>
        <r>
          <rPr>
            <b/>
            <sz val="9"/>
            <color indexed="81"/>
            <rFont val="Segoe UI"/>
            <family val="2"/>
          </rPr>
          <t>Fernando Marcos Bernini:</t>
        </r>
        <r>
          <rPr>
            <sz val="9"/>
            <color indexed="81"/>
            <rFont val="Segoe UI"/>
            <family val="2"/>
          </rPr>
          <t xml:space="preserve">
Concentração = 14,18 %</t>
        </r>
      </text>
    </comment>
    <comment ref="G49" authorId="0" shapeId="0" xr:uid="{00000000-0006-0000-0400-000014000000}">
      <text>
        <r>
          <rPr>
            <b/>
            <sz val="9"/>
            <color indexed="81"/>
            <rFont val="Segoe UI"/>
            <family val="2"/>
          </rPr>
          <t>Fernando Marcos Bernini:</t>
        </r>
        <r>
          <rPr>
            <sz val="9"/>
            <color indexed="81"/>
            <rFont val="Segoe UI"/>
            <family val="2"/>
          </rPr>
          <t xml:space="preserve">
Concentração = 16,79 %</t>
        </r>
      </text>
    </comment>
    <comment ref="G52" authorId="0" shapeId="0" xr:uid="{00000000-0006-0000-0400-000015000000}">
      <text>
        <r>
          <rPr>
            <b/>
            <sz val="9"/>
            <color indexed="81"/>
            <rFont val="Segoe UI"/>
            <family val="2"/>
          </rPr>
          <t>Fernando Marcos Bernini:</t>
        </r>
        <r>
          <rPr>
            <sz val="9"/>
            <color indexed="81"/>
            <rFont val="Segoe UI"/>
            <family val="2"/>
          </rPr>
          <t xml:space="preserve">
Concentração = 9,72 %</t>
        </r>
      </text>
    </comment>
    <comment ref="G53" authorId="0" shapeId="0" xr:uid="{00000000-0006-0000-0400-000016000000}">
      <text>
        <r>
          <rPr>
            <b/>
            <sz val="9"/>
            <color indexed="81"/>
            <rFont val="Segoe UI"/>
            <family val="2"/>
          </rPr>
          <t>Fernando Marcos Bernini:</t>
        </r>
        <r>
          <rPr>
            <sz val="9"/>
            <color indexed="81"/>
            <rFont val="Segoe UI"/>
            <family val="2"/>
          </rPr>
          <t xml:space="preserve">
Concentração = 9,78 %</t>
        </r>
      </text>
    </comment>
    <comment ref="G55" authorId="0" shapeId="0" xr:uid="{00000000-0006-0000-0400-000017000000}">
      <text>
        <r>
          <rPr>
            <b/>
            <sz val="9"/>
            <color indexed="81"/>
            <rFont val="Segoe UI"/>
            <family val="2"/>
          </rPr>
          <t>Fernando Marcos Bernini:</t>
        </r>
        <r>
          <rPr>
            <sz val="9"/>
            <color indexed="81"/>
            <rFont val="Segoe UI"/>
            <family val="2"/>
          </rPr>
          <t xml:space="preserve">
Concentração = 15,19 %</t>
        </r>
      </text>
    </comment>
    <comment ref="G56" authorId="0" shapeId="0" xr:uid="{00000000-0006-0000-0400-000018000000}">
      <text>
        <r>
          <rPr>
            <b/>
            <sz val="9"/>
            <color indexed="81"/>
            <rFont val="Segoe UI"/>
            <family val="2"/>
          </rPr>
          <t>Fernando Marcos Bernini:</t>
        </r>
        <r>
          <rPr>
            <sz val="9"/>
            <color indexed="81"/>
            <rFont val="Segoe UI"/>
            <family val="2"/>
          </rPr>
          <t xml:space="preserve">
Concentração = 11,71 %</t>
        </r>
      </text>
    </comment>
    <comment ref="G58" authorId="0" shapeId="0" xr:uid="{00000000-0006-0000-0400-000019000000}">
      <text>
        <r>
          <rPr>
            <b/>
            <sz val="9"/>
            <color indexed="81"/>
            <rFont val="Segoe UI"/>
            <family val="2"/>
          </rPr>
          <t>Fernando Marcos Bernini:</t>
        </r>
        <r>
          <rPr>
            <sz val="9"/>
            <color indexed="81"/>
            <rFont val="Segoe UI"/>
            <family val="2"/>
          </rPr>
          <t xml:space="preserve">
Concentração = 10,73 %</t>
        </r>
      </text>
    </comment>
    <comment ref="G60" authorId="0" shapeId="0" xr:uid="{00000000-0006-0000-0400-00001A000000}">
      <text>
        <r>
          <rPr>
            <b/>
            <sz val="9"/>
            <color indexed="81"/>
            <rFont val="Segoe UI"/>
            <family val="2"/>
          </rPr>
          <t>Fernando Marcos Bernini:</t>
        </r>
        <r>
          <rPr>
            <sz val="9"/>
            <color indexed="81"/>
            <rFont val="Segoe UI"/>
            <family val="2"/>
          </rPr>
          <t xml:space="preserve">
Concentração = 15,18 %</t>
        </r>
      </text>
    </comment>
    <comment ref="BE60" authorId="0" shapeId="0" xr:uid="{00000000-0006-0000-0400-00001B000000}">
      <text>
        <r>
          <rPr>
            <b/>
            <sz val="9"/>
            <color indexed="81"/>
            <rFont val="Segoe UI"/>
            <family val="2"/>
          </rPr>
          <t>Fernando Marcos Bernini:</t>
        </r>
        <r>
          <rPr>
            <sz val="9"/>
            <color indexed="81"/>
            <rFont val="Segoe UI"/>
            <family val="2"/>
          </rPr>
          <t xml:space="preserve">
Reposição tq de CIP tratamento</t>
        </r>
      </text>
    </comment>
    <comment ref="G61" authorId="0" shapeId="0" xr:uid="{00000000-0006-0000-0400-00001C000000}">
      <text>
        <r>
          <rPr>
            <b/>
            <sz val="9"/>
            <color indexed="81"/>
            <rFont val="Segoe UI"/>
            <family val="2"/>
          </rPr>
          <t>Fernando Marcos Bernini:</t>
        </r>
        <r>
          <rPr>
            <sz val="9"/>
            <color indexed="81"/>
            <rFont val="Segoe UI"/>
            <family val="2"/>
          </rPr>
          <t xml:space="preserve">
Concentração = 9,8 %</t>
        </r>
      </text>
    </comment>
    <comment ref="G63" authorId="0" shapeId="0" xr:uid="{00000000-0006-0000-0400-00001D000000}">
      <text>
        <r>
          <rPr>
            <b/>
            <sz val="9"/>
            <color indexed="81"/>
            <rFont val="Segoe UI"/>
            <family val="2"/>
          </rPr>
          <t>Fernando Marcos Bernini:</t>
        </r>
        <r>
          <rPr>
            <sz val="9"/>
            <color indexed="81"/>
            <rFont val="Segoe UI"/>
            <family val="2"/>
          </rPr>
          <t xml:space="preserve">
Concentração = 12,74 %</t>
        </r>
      </text>
    </comment>
    <comment ref="G64" authorId="0" shapeId="0" xr:uid="{00000000-0006-0000-0400-00001E000000}">
      <text>
        <r>
          <rPr>
            <b/>
            <sz val="9"/>
            <color indexed="81"/>
            <rFont val="Segoe UI"/>
            <family val="2"/>
          </rPr>
          <t>Fernando Marcos Bernini:</t>
        </r>
        <r>
          <rPr>
            <sz val="9"/>
            <color indexed="81"/>
            <rFont val="Segoe UI"/>
            <family val="2"/>
          </rPr>
          <t xml:space="preserve">
Concentração = 9,34 %</t>
        </r>
      </text>
    </comment>
    <comment ref="G67" authorId="0" shapeId="0" xr:uid="{00000000-0006-0000-0400-00001F000000}">
      <text>
        <r>
          <rPr>
            <b/>
            <sz val="9"/>
            <color indexed="81"/>
            <rFont val="Segoe UI"/>
            <family val="2"/>
          </rPr>
          <t>Fernando Marcos Bernini:</t>
        </r>
        <r>
          <rPr>
            <sz val="9"/>
            <color indexed="81"/>
            <rFont val="Segoe UI"/>
            <family val="2"/>
          </rPr>
          <t xml:space="preserve">
Concentração = 9,06 %</t>
        </r>
      </text>
    </comment>
    <comment ref="G68" authorId="0" shapeId="0" xr:uid="{00000000-0006-0000-0400-000020000000}">
      <text>
        <r>
          <rPr>
            <b/>
            <sz val="9"/>
            <color indexed="81"/>
            <rFont val="Segoe UI"/>
            <family val="2"/>
          </rPr>
          <t>Fernando Marcos Bernini:</t>
        </r>
        <r>
          <rPr>
            <sz val="9"/>
            <color indexed="81"/>
            <rFont val="Segoe UI"/>
            <family val="2"/>
          </rPr>
          <t xml:space="preserve">
Concentração = 12,73 %</t>
        </r>
      </text>
    </comment>
    <comment ref="G74" authorId="0" shapeId="0" xr:uid="{00000000-0006-0000-0400-000021000000}">
      <text>
        <r>
          <rPr>
            <b/>
            <sz val="9"/>
            <color indexed="81"/>
            <rFont val="Segoe UI"/>
            <family val="2"/>
          </rPr>
          <t>Fernando Marcos Bernini:</t>
        </r>
        <r>
          <rPr>
            <sz val="9"/>
            <color indexed="81"/>
            <rFont val="Segoe UI"/>
            <family val="2"/>
          </rPr>
          <t xml:space="preserve">
Concentração = 11,76 %</t>
        </r>
      </text>
    </comment>
    <comment ref="G75" authorId="0" shapeId="0" xr:uid="{00000000-0006-0000-0400-000022000000}">
      <text>
        <r>
          <rPr>
            <b/>
            <sz val="9"/>
            <color indexed="81"/>
            <rFont val="Segoe UI"/>
            <family val="2"/>
          </rPr>
          <t>Fernando Marcos Bernini:</t>
        </r>
        <r>
          <rPr>
            <sz val="9"/>
            <color indexed="81"/>
            <rFont val="Segoe UI"/>
            <family val="2"/>
          </rPr>
          <t xml:space="preserve">
Concentração =9,27 %</t>
        </r>
      </text>
    </comment>
    <comment ref="G76" authorId="0" shapeId="0" xr:uid="{00000000-0006-0000-0400-000023000000}">
      <text>
        <r>
          <rPr>
            <b/>
            <sz val="9"/>
            <color indexed="81"/>
            <rFont val="Segoe UI"/>
            <family val="2"/>
          </rPr>
          <t>Fernando Marcos Bernini:</t>
        </r>
        <r>
          <rPr>
            <sz val="9"/>
            <color indexed="81"/>
            <rFont val="Segoe UI"/>
            <family val="2"/>
          </rPr>
          <t xml:space="preserve">
Concentração = 9,8 %</t>
        </r>
      </text>
    </comment>
    <comment ref="G79" authorId="0" shapeId="0" xr:uid="{00000000-0006-0000-0400-000024000000}">
      <text>
        <r>
          <rPr>
            <b/>
            <sz val="9"/>
            <color indexed="81"/>
            <rFont val="Segoe UI"/>
            <family val="2"/>
          </rPr>
          <t>Fernando Marcos Bernini:</t>
        </r>
        <r>
          <rPr>
            <sz val="9"/>
            <color indexed="81"/>
            <rFont val="Segoe UI"/>
            <family val="2"/>
          </rPr>
          <t xml:space="preserve">
Concentração = 7,76 %</t>
        </r>
      </text>
    </comment>
    <comment ref="G80" authorId="0" shapeId="0" xr:uid="{00000000-0006-0000-0400-000025000000}">
      <text>
        <r>
          <rPr>
            <b/>
            <sz val="9"/>
            <color indexed="81"/>
            <rFont val="Segoe UI"/>
            <family val="2"/>
          </rPr>
          <t>Fernando Marcos Bernini:</t>
        </r>
        <r>
          <rPr>
            <sz val="9"/>
            <color indexed="81"/>
            <rFont val="Segoe UI"/>
            <family val="2"/>
          </rPr>
          <t xml:space="preserve">
Concentração = 12,88%</t>
        </r>
      </text>
    </comment>
    <comment ref="G82" authorId="0" shapeId="0" xr:uid="{00000000-0006-0000-0400-000026000000}">
      <text>
        <r>
          <rPr>
            <b/>
            <sz val="9"/>
            <color indexed="81"/>
            <rFont val="Segoe UI"/>
            <family val="2"/>
          </rPr>
          <t>Fernando Marcos Bernini:</t>
        </r>
        <r>
          <rPr>
            <sz val="9"/>
            <color indexed="81"/>
            <rFont val="Segoe UI"/>
            <family val="2"/>
          </rPr>
          <t xml:space="preserve">
Concentração = 19,11 %
e 9,78 % respectivamente</t>
        </r>
      </text>
    </comment>
    <comment ref="G84" authorId="0" shapeId="0" xr:uid="{00000000-0006-0000-0400-000027000000}">
      <text>
        <r>
          <rPr>
            <b/>
            <sz val="9"/>
            <color indexed="81"/>
            <rFont val="Segoe UI"/>
            <family val="2"/>
          </rPr>
          <t>Fernando Marcos Bernini:</t>
        </r>
        <r>
          <rPr>
            <sz val="9"/>
            <color indexed="81"/>
            <rFont val="Segoe UI"/>
            <family val="2"/>
          </rPr>
          <t xml:space="preserve">
Concentração = 19,48 %</t>
        </r>
      </text>
    </comment>
    <comment ref="G85" authorId="0" shapeId="0" xr:uid="{00000000-0006-0000-0400-000028000000}">
      <text>
        <r>
          <rPr>
            <b/>
            <sz val="9"/>
            <color indexed="81"/>
            <rFont val="Segoe UI"/>
            <family val="2"/>
          </rPr>
          <t>Fernando Marcos Bernini:</t>
        </r>
        <r>
          <rPr>
            <sz val="9"/>
            <color indexed="81"/>
            <rFont val="Segoe UI"/>
            <family val="2"/>
          </rPr>
          <t xml:space="preserve">
Concentração =13,75 %</t>
        </r>
      </text>
    </comment>
    <comment ref="G87" authorId="0" shapeId="0" xr:uid="{00000000-0006-0000-0400-000029000000}">
      <text>
        <r>
          <rPr>
            <b/>
            <sz val="9"/>
            <color indexed="81"/>
            <rFont val="Segoe UI"/>
            <family val="2"/>
          </rPr>
          <t>Fernando Marcos Bernini:</t>
        </r>
        <r>
          <rPr>
            <sz val="9"/>
            <color indexed="81"/>
            <rFont val="Segoe UI"/>
            <family val="2"/>
          </rPr>
          <t xml:space="preserve">
Concentração = 12 %</t>
        </r>
      </text>
    </comment>
    <comment ref="G88" authorId="0" shapeId="0" xr:uid="{00000000-0006-0000-0400-00002A000000}">
      <text>
        <r>
          <rPr>
            <b/>
            <sz val="9"/>
            <color indexed="81"/>
            <rFont val="Segoe UI"/>
            <family val="2"/>
          </rPr>
          <t>Fernando Marcos Bernini:</t>
        </r>
        <r>
          <rPr>
            <sz val="9"/>
            <color indexed="81"/>
            <rFont val="Segoe UI"/>
            <family val="2"/>
          </rPr>
          <t xml:space="preserve">
Concentração = 18,06 %</t>
        </r>
      </text>
    </comment>
    <comment ref="G90" authorId="0" shapeId="0" xr:uid="{00000000-0006-0000-0400-00002B000000}">
      <text>
        <r>
          <rPr>
            <b/>
            <sz val="9"/>
            <color indexed="81"/>
            <rFont val="Segoe UI"/>
            <family val="2"/>
          </rPr>
          <t>Fernando Marcos Bernini:</t>
        </r>
        <r>
          <rPr>
            <sz val="9"/>
            <color indexed="81"/>
            <rFont val="Segoe UI"/>
            <family val="2"/>
          </rPr>
          <t xml:space="preserve">
Concentração = 18,6 %</t>
        </r>
      </text>
    </comment>
    <comment ref="G92" authorId="0" shapeId="0" xr:uid="{00000000-0006-0000-0400-00002C000000}">
      <text>
        <r>
          <rPr>
            <b/>
            <sz val="9"/>
            <color indexed="81"/>
            <rFont val="Segoe UI"/>
            <family val="2"/>
          </rPr>
          <t>Fernando Marcos Bernini:</t>
        </r>
        <r>
          <rPr>
            <sz val="9"/>
            <color indexed="81"/>
            <rFont val="Segoe UI"/>
            <family val="2"/>
          </rPr>
          <t xml:space="preserve">
Concentração = 16,7 %</t>
        </r>
      </text>
    </comment>
    <comment ref="G94" authorId="0" shapeId="0" xr:uid="{00000000-0006-0000-0400-00002D000000}">
      <text>
        <r>
          <rPr>
            <b/>
            <sz val="9"/>
            <color indexed="81"/>
            <rFont val="Segoe UI"/>
            <family val="2"/>
          </rPr>
          <t>Fernando Marcos Bernini:</t>
        </r>
        <r>
          <rPr>
            <sz val="9"/>
            <color indexed="81"/>
            <rFont val="Segoe UI"/>
            <family val="2"/>
          </rPr>
          <t xml:space="preserve">
Concentração = 12,3 %</t>
        </r>
      </text>
    </comment>
    <comment ref="G95" authorId="0" shapeId="0" xr:uid="{00000000-0006-0000-0400-00002E000000}">
      <text>
        <r>
          <rPr>
            <b/>
            <sz val="9"/>
            <color indexed="81"/>
            <rFont val="Segoe UI"/>
            <family val="2"/>
          </rPr>
          <t>Fernando Marcos Bernini:</t>
        </r>
        <r>
          <rPr>
            <sz val="9"/>
            <color indexed="81"/>
            <rFont val="Segoe UI"/>
            <family val="2"/>
          </rPr>
          <t xml:space="preserve">
Concentração = 9,3 %</t>
        </r>
      </text>
    </comment>
    <comment ref="G96" authorId="0" shapeId="0" xr:uid="{00000000-0006-0000-0400-00002F000000}">
      <text>
        <r>
          <rPr>
            <b/>
            <sz val="9"/>
            <color indexed="81"/>
            <rFont val="Segoe UI"/>
            <family val="2"/>
          </rPr>
          <t>Fernando Marcos Bernini:</t>
        </r>
        <r>
          <rPr>
            <sz val="9"/>
            <color indexed="81"/>
            <rFont val="Segoe UI"/>
            <family val="2"/>
          </rPr>
          <t xml:space="preserve">
Concentração = 19,69 %</t>
        </r>
      </text>
    </comment>
    <comment ref="G97" authorId="0" shapeId="0" xr:uid="{00000000-0006-0000-0400-000030000000}">
      <text>
        <r>
          <rPr>
            <b/>
            <sz val="9"/>
            <color indexed="81"/>
            <rFont val="Segoe UI"/>
            <family val="2"/>
          </rPr>
          <t>Fernando Marcos Bernini:</t>
        </r>
        <r>
          <rPr>
            <sz val="9"/>
            <color indexed="81"/>
            <rFont val="Segoe UI"/>
            <family val="2"/>
          </rPr>
          <t xml:space="preserve">
Concentração = 17,17 %</t>
        </r>
      </text>
    </comment>
    <comment ref="G105" authorId="0" shapeId="0" xr:uid="{00000000-0006-0000-0400-000031000000}">
      <text>
        <r>
          <rPr>
            <b/>
            <sz val="9"/>
            <color indexed="81"/>
            <rFont val="Segoe UI"/>
            <family val="2"/>
          </rPr>
          <t>Fernando Marcos Bernini:</t>
        </r>
        <r>
          <rPr>
            <sz val="9"/>
            <color indexed="81"/>
            <rFont val="Segoe UI"/>
            <family val="2"/>
          </rPr>
          <t xml:space="preserve">
Concentração = 7,45 %</t>
        </r>
      </text>
    </comment>
    <comment ref="G107" authorId="0" shapeId="0" xr:uid="{00000000-0006-0000-0400-000032000000}">
      <text>
        <r>
          <rPr>
            <b/>
            <sz val="9"/>
            <color indexed="81"/>
            <rFont val="Segoe UI"/>
            <family val="2"/>
          </rPr>
          <t>Fernando Marcos Bernini:</t>
        </r>
        <r>
          <rPr>
            <sz val="9"/>
            <color indexed="81"/>
            <rFont val="Segoe UI"/>
            <family val="2"/>
          </rPr>
          <t xml:space="preserve">
Concentração = 10,78 %</t>
        </r>
      </text>
    </comment>
    <comment ref="G108" authorId="0" shapeId="0" xr:uid="{00000000-0006-0000-0400-000033000000}">
      <text>
        <r>
          <rPr>
            <b/>
            <sz val="9"/>
            <color indexed="81"/>
            <rFont val="Segoe UI"/>
            <family val="2"/>
          </rPr>
          <t>Fernando Marcos Bernini:</t>
        </r>
        <r>
          <rPr>
            <sz val="9"/>
            <color indexed="81"/>
            <rFont val="Segoe UI"/>
            <family val="2"/>
          </rPr>
          <t xml:space="preserve">
Concentração = 8,53 %</t>
        </r>
      </text>
    </comment>
    <comment ref="G110" authorId="0" shapeId="0" xr:uid="{00000000-0006-0000-0400-000034000000}">
      <text>
        <r>
          <rPr>
            <b/>
            <sz val="9"/>
            <color indexed="81"/>
            <rFont val="Segoe UI"/>
            <family val="2"/>
          </rPr>
          <t>Fernando Marcos Bernini:</t>
        </r>
        <r>
          <rPr>
            <sz val="9"/>
            <color indexed="81"/>
            <rFont val="Segoe UI"/>
            <family val="2"/>
          </rPr>
          <t xml:space="preserve">
Concentração = 15,82 %</t>
        </r>
      </text>
    </comment>
    <comment ref="G113" authorId="0" shapeId="0" xr:uid="{00000000-0006-0000-0400-000035000000}">
      <text>
        <r>
          <rPr>
            <b/>
            <sz val="9"/>
            <color indexed="81"/>
            <rFont val="Segoe UI"/>
            <family val="2"/>
          </rPr>
          <t>Fernando Marcos Bernini:</t>
        </r>
        <r>
          <rPr>
            <sz val="9"/>
            <color indexed="81"/>
            <rFont val="Segoe UI"/>
            <family val="2"/>
          </rPr>
          <t xml:space="preserve">
Concentração = 9,8 %</t>
        </r>
      </text>
    </comment>
    <comment ref="G114" authorId="0" shapeId="0" xr:uid="{00000000-0006-0000-0400-000036000000}">
      <text>
        <r>
          <rPr>
            <b/>
            <sz val="9"/>
            <color indexed="81"/>
            <rFont val="Segoe UI"/>
            <family val="2"/>
          </rPr>
          <t>Fernando Marcos Bernini:</t>
        </r>
        <r>
          <rPr>
            <sz val="9"/>
            <color indexed="81"/>
            <rFont val="Segoe UI"/>
            <family val="2"/>
          </rPr>
          <t xml:space="preserve">
Concentração = 9,79 %
Concentração = 6,31 %</t>
        </r>
      </text>
    </comment>
    <comment ref="G115" authorId="0" shapeId="0" xr:uid="{00000000-0006-0000-0400-000037000000}">
      <text>
        <r>
          <rPr>
            <b/>
            <sz val="9"/>
            <color indexed="81"/>
            <rFont val="Segoe UI"/>
            <family val="2"/>
          </rPr>
          <t>Fernando Marcos Bernini:</t>
        </r>
        <r>
          <rPr>
            <sz val="9"/>
            <color indexed="81"/>
            <rFont val="Segoe UI"/>
            <family val="2"/>
          </rPr>
          <t xml:space="preserve">
Concentração = 6,48 %
</t>
        </r>
      </text>
    </comment>
    <comment ref="G117" authorId="0" shapeId="0" xr:uid="{00000000-0006-0000-0400-000038000000}">
      <text>
        <r>
          <rPr>
            <b/>
            <sz val="9"/>
            <color indexed="81"/>
            <rFont val="Segoe UI"/>
            <family val="2"/>
          </rPr>
          <t>Fernando Marcos Bernini:</t>
        </r>
        <r>
          <rPr>
            <sz val="9"/>
            <color indexed="81"/>
            <rFont val="Segoe UI"/>
            <family val="2"/>
          </rPr>
          <t xml:space="preserve">
Concentração = 15,19 %
</t>
        </r>
      </text>
    </comment>
    <comment ref="G118" authorId="0" shapeId="0" xr:uid="{00000000-0006-0000-0400-000039000000}">
      <text>
        <r>
          <rPr>
            <b/>
            <sz val="9"/>
            <color indexed="81"/>
            <rFont val="Segoe UI"/>
            <family val="2"/>
          </rPr>
          <t>Fernando Marcos Bernini:</t>
        </r>
        <r>
          <rPr>
            <sz val="9"/>
            <color indexed="81"/>
            <rFont val="Segoe UI"/>
            <family val="2"/>
          </rPr>
          <t xml:space="preserve">
Concentração = 17,15 %</t>
        </r>
      </text>
    </comment>
    <comment ref="G119" authorId="0" shapeId="0" xr:uid="{00000000-0006-0000-0400-00003A000000}">
      <text>
        <r>
          <rPr>
            <b/>
            <sz val="9"/>
            <color indexed="81"/>
            <rFont val="Segoe UI"/>
            <family val="2"/>
          </rPr>
          <t>Fernando Marcos Bernini:</t>
        </r>
        <r>
          <rPr>
            <sz val="9"/>
            <color indexed="81"/>
            <rFont val="Segoe UI"/>
            <family val="2"/>
          </rPr>
          <t xml:space="preserve">
Concentração = 15,06 %</t>
        </r>
      </text>
    </comment>
    <comment ref="G120" authorId="0" shapeId="0" xr:uid="{00000000-0006-0000-0400-00003B000000}">
      <text>
        <r>
          <rPr>
            <b/>
            <sz val="9"/>
            <color indexed="81"/>
            <rFont val="Segoe UI"/>
            <family val="2"/>
          </rPr>
          <t>Fernando Marcos Bernini:</t>
        </r>
        <r>
          <rPr>
            <sz val="9"/>
            <color indexed="81"/>
            <rFont val="Segoe UI"/>
            <family val="2"/>
          </rPr>
          <t xml:space="preserve">
Concentração = 14,30 %</t>
        </r>
      </text>
    </comment>
    <comment ref="G125" authorId="0" shapeId="0" xr:uid="{00000000-0006-0000-0400-00003C000000}">
      <text>
        <r>
          <rPr>
            <b/>
            <sz val="9"/>
            <color indexed="81"/>
            <rFont val="Segoe UI"/>
            <family val="2"/>
          </rPr>
          <t>Fernando Marcos Bernini:</t>
        </r>
        <r>
          <rPr>
            <sz val="9"/>
            <color indexed="81"/>
            <rFont val="Segoe UI"/>
            <family val="2"/>
          </rPr>
          <t xml:space="preserve">
Concentração = 13,6 %</t>
        </r>
      </text>
    </comment>
    <comment ref="G127" authorId="0" shapeId="0" xr:uid="{00000000-0006-0000-0400-00003D000000}">
      <text>
        <r>
          <rPr>
            <b/>
            <sz val="9"/>
            <color indexed="81"/>
            <rFont val="Segoe UI"/>
            <family val="2"/>
          </rPr>
          <t>Fernando Marcos Bernini:</t>
        </r>
        <r>
          <rPr>
            <sz val="9"/>
            <color indexed="81"/>
            <rFont val="Segoe UI"/>
            <family val="2"/>
          </rPr>
          <t xml:space="preserve">
Concentração = 16,66 %</t>
        </r>
      </text>
    </comment>
    <comment ref="G131" authorId="0" shapeId="0" xr:uid="{00000000-0006-0000-0400-00003E000000}">
      <text>
        <r>
          <rPr>
            <b/>
            <sz val="9"/>
            <color indexed="81"/>
            <rFont val="Segoe UI"/>
            <family val="2"/>
          </rPr>
          <t>Fernando Marcos Bernini:</t>
        </r>
        <r>
          <rPr>
            <sz val="9"/>
            <color indexed="81"/>
            <rFont val="Segoe UI"/>
            <family val="2"/>
          </rPr>
          <t xml:space="preserve">
Concentração = 9,07 %</t>
        </r>
      </text>
    </comment>
    <comment ref="G132" authorId="0" shapeId="0" xr:uid="{00000000-0006-0000-0400-00003F000000}">
      <text>
        <r>
          <rPr>
            <b/>
            <sz val="9"/>
            <color indexed="81"/>
            <rFont val="Segoe UI"/>
            <family val="2"/>
          </rPr>
          <t>Fernando Marcos Bernini:</t>
        </r>
        <r>
          <rPr>
            <sz val="9"/>
            <color indexed="81"/>
            <rFont val="Segoe UI"/>
            <family val="2"/>
          </rPr>
          <t xml:space="preserve">
Concentração = 19,48 %</t>
        </r>
      </text>
    </comment>
    <comment ref="G133" authorId="0" shapeId="0" xr:uid="{00000000-0006-0000-0400-000040000000}">
      <text>
        <r>
          <rPr>
            <b/>
            <sz val="9"/>
            <color indexed="81"/>
            <rFont val="Segoe UI"/>
            <family val="2"/>
          </rPr>
          <t>Fernando Marcos Bernini:</t>
        </r>
        <r>
          <rPr>
            <sz val="9"/>
            <color indexed="81"/>
            <rFont val="Segoe UI"/>
            <family val="2"/>
          </rPr>
          <t xml:space="preserve">
Concentração = 13,87 %</t>
        </r>
      </text>
    </comment>
    <comment ref="G136" authorId="0" shapeId="0" xr:uid="{00000000-0006-0000-0400-000041000000}">
      <text>
        <r>
          <rPr>
            <b/>
            <sz val="9"/>
            <color indexed="81"/>
            <rFont val="Segoe UI"/>
            <family val="2"/>
          </rPr>
          <t>Fernando Marcos Bernini:</t>
        </r>
        <r>
          <rPr>
            <sz val="9"/>
            <color indexed="81"/>
            <rFont val="Segoe UI"/>
            <family val="2"/>
          </rPr>
          <t xml:space="preserve">
Concentração = 9,80 %</t>
        </r>
      </text>
    </comment>
    <comment ref="BE137" authorId="0" shapeId="0" xr:uid="{00000000-0006-0000-0400-000042000000}">
      <text>
        <r>
          <rPr>
            <b/>
            <sz val="9"/>
            <color indexed="81"/>
            <rFont val="Segoe UI"/>
            <family val="2"/>
          </rPr>
          <t>Fernando Marcos Bernini:</t>
        </r>
        <r>
          <rPr>
            <sz val="9"/>
            <color indexed="81"/>
            <rFont val="Segoe UI"/>
            <family val="2"/>
          </rPr>
          <t xml:space="preserve">
Limpeza do pré 3</t>
        </r>
      </text>
    </comment>
    <comment ref="G138" authorId="0" shapeId="0" xr:uid="{00000000-0006-0000-0400-000043000000}">
      <text>
        <r>
          <rPr>
            <b/>
            <sz val="9"/>
            <color indexed="81"/>
            <rFont val="Segoe UI"/>
            <family val="2"/>
          </rPr>
          <t>Fernando Marcos Bernini:</t>
        </r>
        <r>
          <rPr>
            <sz val="9"/>
            <color indexed="81"/>
            <rFont val="Segoe UI"/>
            <family val="2"/>
          </rPr>
          <t xml:space="preserve">
Concentração = 9,80%</t>
        </r>
      </text>
    </comment>
    <comment ref="G139" authorId="0" shapeId="0" xr:uid="{00000000-0006-0000-0400-000044000000}">
      <text>
        <r>
          <rPr>
            <b/>
            <sz val="9"/>
            <color indexed="81"/>
            <rFont val="Segoe UI"/>
            <family val="2"/>
          </rPr>
          <t>Fernando Marcos Bernini:</t>
        </r>
        <r>
          <rPr>
            <sz val="9"/>
            <color indexed="81"/>
            <rFont val="Segoe UI"/>
            <family val="2"/>
          </rPr>
          <t xml:space="preserve">
Concentração = 11,61  %</t>
        </r>
      </text>
    </comment>
    <comment ref="G140" authorId="0" shapeId="0" xr:uid="{00000000-0006-0000-0400-000045000000}">
      <text>
        <r>
          <rPr>
            <b/>
            <sz val="9"/>
            <color indexed="81"/>
            <rFont val="Segoe UI"/>
            <family val="2"/>
          </rPr>
          <t>Fernando Marcos Bernini:</t>
        </r>
        <r>
          <rPr>
            <sz val="9"/>
            <color indexed="81"/>
            <rFont val="Segoe UI"/>
            <family val="2"/>
          </rPr>
          <t xml:space="preserve">
Concentração = 9,8 %</t>
        </r>
      </text>
    </comment>
    <comment ref="G141" authorId="0" shapeId="0" xr:uid="{00000000-0006-0000-0400-000046000000}">
      <text>
        <r>
          <rPr>
            <b/>
            <sz val="9"/>
            <color indexed="81"/>
            <rFont val="Segoe UI"/>
            <family val="2"/>
          </rPr>
          <t>Fernando Marcos Bernini:</t>
        </r>
        <r>
          <rPr>
            <sz val="9"/>
            <color indexed="81"/>
            <rFont val="Segoe UI"/>
            <family val="2"/>
          </rPr>
          <t xml:space="preserve">
Concentração = 8,3 %</t>
        </r>
      </text>
    </comment>
    <comment ref="G143" authorId="0" shapeId="0" xr:uid="{00000000-0006-0000-0400-000047000000}">
      <text>
        <r>
          <rPr>
            <b/>
            <sz val="9"/>
            <color indexed="81"/>
            <rFont val="Segoe UI"/>
            <family val="2"/>
          </rPr>
          <t>Fernando Marcos Bernini:</t>
        </r>
        <r>
          <rPr>
            <sz val="9"/>
            <color indexed="81"/>
            <rFont val="Segoe UI"/>
            <family val="2"/>
          </rPr>
          <t xml:space="preserve">
Concentração = 9,7 %</t>
        </r>
      </text>
    </comment>
    <comment ref="G144" authorId="0" shapeId="0" xr:uid="{00000000-0006-0000-0400-000048000000}">
      <text>
        <r>
          <rPr>
            <b/>
            <sz val="9"/>
            <color indexed="81"/>
            <rFont val="Segoe UI"/>
            <family val="2"/>
          </rPr>
          <t>Fernando Marcos Bernini:</t>
        </r>
        <r>
          <rPr>
            <sz val="9"/>
            <color indexed="81"/>
            <rFont val="Segoe UI"/>
            <family val="2"/>
          </rPr>
          <t xml:space="preserve">
Concentração = 14,95 %</t>
        </r>
      </text>
    </comment>
    <comment ref="G145" authorId="0" shapeId="0" xr:uid="{00000000-0006-0000-0400-000049000000}">
      <text>
        <r>
          <rPr>
            <b/>
            <sz val="9"/>
            <color indexed="81"/>
            <rFont val="Segoe UI"/>
            <family val="2"/>
          </rPr>
          <t>Fernando Marcos Bernini:</t>
        </r>
        <r>
          <rPr>
            <sz val="9"/>
            <color indexed="81"/>
            <rFont val="Segoe UI"/>
            <family val="2"/>
          </rPr>
          <t xml:space="preserve">
Concentração = 13,47 %</t>
        </r>
      </text>
    </comment>
    <comment ref="G146" authorId="0" shapeId="0" xr:uid="{00000000-0006-0000-0400-00004A000000}">
      <text>
        <r>
          <rPr>
            <b/>
            <sz val="9"/>
            <color indexed="81"/>
            <rFont val="Segoe UI"/>
            <family val="2"/>
          </rPr>
          <t>Fernando Marcos Bernini:</t>
        </r>
        <r>
          <rPr>
            <sz val="9"/>
            <color indexed="81"/>
            <rFont val="Segoe UI"/>
            <family val="2"/>
          </rPr>
          <t xml:space="preserve">
Concentração = 13,69 %</t>
        </r>
      </text>
    </comment>
    <comment ref="BE147" authorId="0" shapeId="0" xr:uid="{00000000-0006-0000-0400-00004B000000}">
      <text>
        <r>
          <rPr>
            <b/>
            <sz val="9"/>
            <color indexed="81"/>
            <rFont val="Segoe UI"/>
            <family val="2"/>
          </rPr>
          <t>Fernando Marcos Bernini:</t>
        </r>
        <r>
          <rPr>
            <sz val="9"/>
            <color indexed="81"/>
            <rFont val="Segoe UI"/>
            <family val="2"/>
          </rPr>
          <t xml:space="preserve">
CIP coluna A</t>
        </r>
      </text>
    </comment>
    <comment ref="BE148" authorId="0" shapeId="0" xr:uid="{00000000-0006-0000-0400-00004C000000}">
      <text>
        <r>
          <rPr>
            <b/>
            <sz val="9"/>
            <color indexed="81"/>
            <rFont val="Segoe UI"/>
            <family val="2"/>
          </rPr>
          <t>Fernando Marcos Bernini:</t>
        </r>
        <r>
          <rPr>
            <sz val="9"/>
            <color indexed="81"/>
            <rFont val="Segoe UI"/>
            <family val="2"/>
          </rPr>
          <t xml:space="preserve">
CIP no pré 2</t>
        </r>
      </text>
    </comment>
    <comment ref="G151" authorId="0" shapeId="0" xr:uid="{00000000-0006-0000-0400-00004D000000}">
      <text>
        <r>
          <rPr>
            <b/>
            <sz val="9"/>
            <color indexed="81"/>
            <rFont val="Segoe UI"/>
            <family val="2"/>
          </rPr>
          <t>Fernando Marcos Bernini:</t>
        </r>
        <r>
          <rPr>
            <sz val="9"/>
            <color indexed="81"/>
            <rFont val="Segoe UI"/>
            <family val="2"/>
          </rPr>
          <t xml:space="preserve">
Concentração = 9,31 %</t>
        </r>
      </text>
    </comment>
    <comment ref="G153" authorId="0" shapeId="0" xr:uid="{00000000-0006-0000-0400-00004E000000}">
      <text>
        <r>
          <rPr>
            <b/>
            <sz val="9"/>
            <color indexed="81"/>
            <rFont val="Segoe UI"/>
            <family val="2"/>
          </rPr>
          <t>Fernando Marcos Bernini:</t>
        </r>
        <r>
          <rPr>
            <sz val="9"/>
            <color indexed="81"/>
            <rFont val="Segoe UI"/>
            <family val="2"/>
          </rPr>
          <t xml:space="preserve">
Concentração = 9,47 %</t>
        </r>
      </text>
    </comment>
    <comment ref="G154" authorId="0" shapeId="0" xr:uid="{00000000-0006-0000-0400-00004F000000}">
      <text>
        <r>
          <rPr>
            <b/>
            <sz val="9"/>
            <color indexed="81"/>
            <rFont val="Segoe UI"/>
            <family val="2"/>
          </rPr>
          <t>Fernando Marcos Bernini:</t>
        </r>
        <r>
          <rPr>
            <sz val="9"/>
            <color indexed="81"/>
            <rFont val="Segoe UI"/>
            <family val="2"/>
          </rPr>
          <t xml:space="preserve">
Concentração = 12,22 %</t>
        </r>
      </text>
    </comment>
    <comment ref="G155" authorId="0" shapeId="0" xr:uid="{00000000-0006-0000-0400-000050000000}">
      <text>
        <r>
          <rPr>
            <b/>
            <sz val="9"/>
            <color indexed="81"/>
            <rFont val="Segoe UI"/>
            <family val="2"/>
          </rPr>
          <t>Fernando Marcos Bernini:</t>
        </r>
        <r>
          <rPr>
            <sz val="9"/>
            <color indexed="81"/>
            <rFont val="Segoe UI"/>
            <family val="2"/>
          </rPr>
          <t xml:space="preserve">
Concentração = 8,66 %</t>
        </r>
      </text>
    </comment>
    <comment ref="G156" authorId="0" shapeId="0" xr:uid="{00000000-0006-0000-0400-000051000000}">
      <text>
        <r>
          <rPr>
            <b/>
            <sz val="9"/>
            <color indexed="81"/>
            <rFont val="Segoe UI"/>
            <family val="2"/>
          </rPr>
          <t>Fernando Marcos Bernini:</t>
        </r>
        <r>
          <rPr>
            <sz val="9"/>
            <color indexed="81"/>
            <rFont val="Segoe UI"/>
            <family val="2"/>
          </rPr>
          <t xml:space="preserve">
Concentração = 12,90 %</t>
        </r>
      </text>
    </comment>
    <comment ref="G157" authorId="0" shapeId="0" xr:uid="{00000000-0006-0000-0400-000052000000}">
      <text>
        <r>
          <rPr>
            <b/>
            <sz val="9"/>
            <color indexed="81"/>
            <rFont val="Segoe UI"/>
            <family val="2"/>
          </rPr>
          <t>Fernando Marcos Bernini:</t>
        </r>
        <r>
          <rPr>
            <sz val="9"/>
            <color indexed="81"/>
            <rFont val="Segoe UI"/>
            <family val="2"/>
          </rPr>
          <t xml:space="preserve">
Concentração = 11,61  % e 11,29 %</t>
        </r>
      </text>
    </comment>
    <comment ref="G158" authorId="0" shapeId="0" xr:uid="{00000000-0006-0000-0400-000053000000}">
      <text>
        <r>
          <rPr>
            <b/>
            <sz val="9"/>
            <color indexed="81"/>
            <rFont val="Segoe UI"/>
            <family val="2"/>
          </rPr>
          <t>Fernando Marcos Bernini:</t>
        </r>
        <r>
          <rPr>
            <sz val="9"/>
            <color indexed="81"/>
            <rFont val="Segoe UI"/>
            <family val="2"/>
          </rPr>
          <t xml:space="preserve">
Concentração = 7,15 %</t>
        </r>
      </text>
    </comment>
    <comment ref="G160" authorId="0" shapeId="0" xr:uid="{00000000-0006-0000-0400-000054000000}">
      <text>
        <r>
          <rPr>
            <b/>
            <sz val="9"/>
            <color indexed="81"/>
            <rFont val="Segoe UI"/>
            <family val="2"/>
          </rPr>
          <t>Fernando Marcos Bernini:</t>
        </r>
        <r>
          <rPr>
            <sz val="9"/>
            <color indexed="81"/>
            <rFont val="Segoe UI"/>
            <family val="2"/>
          </rPr>
          <t xml:space="preserve">
Concentração = 13,10 %</t>
        </r>
      </text>
    </comment>
    <comment ref="G161" authorId="0" shapeId="0" xr:uid="{00000000-0006-0000-0400-000055000000}">
      <text>
        <r>
          <rPr>
            <b/>
            <sz val="9"/>
            <color indexed="81"/>
            <rFont val="Segoe UI"/>
            <family val="2"/>
          </rPr>
          <t>Fernando Marcos Bernini:</t>
        </r>
        <r>
          <rPr>
            <sz val="9"/>
            <color indexed="81"/>
            <rFont val="Segoe UI"/>
            <family val="2"/>
          </rPr>
          <t xml:space="preserve">
Concentração = 9,76 %</t>
        </r>
      </text>
    </comment>
    <comment ref="G162" authorId="0" shapeId="0" xr:uid="{00000000-0006-0000-0400-000056000000}">
      <text>
        <r>
          <rPr>
            <b/>
            <sz val="9"/>
            <color indexed="81"/>
            <rFont val="Segoe UI"/>
            <family val="2"/>
          </rPr>
          <t>Fernando Marcos Bernini:</t>
        </r>
        <r>
          <rPr>
            <sz val="9"/>
            <color indexed="81"/>
            <rFont val="Segoe UI"/>
            <family val="2"/>
          </rPr>
          <t xml:space="preserve">
Concentração = 8,31 %</t>
        </r>
      </text>
    </comment>
    <comment ref="G165" authorId="0" shapeId="0" xr:uid="{00000000-0006-0000-0400-000057000000}">
      <text>
        <r>
          <rPr>
            <b/>
            <sz val="9"/>
            <color indexed="81"/>
            <rFont val="Segoe UI"/>
            <family val="2"/>
          </rPr>
          <t>Fernando Marcos Bernini:</t>
        </r>
        <r>
          <rPr>
            <sz val="9"/>
            <color indexed="81"/>
            <rFont val="Segoe UI"/>
            <family val="2"/>
          </rPr>
          <t xml:space="preserve">
Concentração =9,92 %</t>
        </r>
      </text>
    </comment>
    <comment ref="G168" authorId="0" shapeId="0" xr:uid="{00000000-0006-0000-0400-000058000000}">
      <text>
        <r>
          <rPr>
            <b/>
            <sz val="9"/>
            <color indexed="81"/>
            <rFont val="Segoe UI"/>
            <family val="2"/>
          </rPr>
          <t>Fernando Marcos Bernini:</t>
        </r>
        <r>
          <rPr>
            <sz val="9"/>
            <color indexed="81"/>
            <rFont val="Segoe UI"/>
            <family val="2"/>
          </rPr>
          <t xml:space="preserve">
Concentração = 6,05 % e 9,76 %</t>
        </r>
      </text>
    </comment>
    <comment ref="G169" authorId="0" shapeId="0" xr:uid="{00000000-0006-0000-0400-000059000000}">
      <text>
        <r>
          <rPr>
            <b/>
            <sz val="9"/>
            <color indexed="81"/>
            <rFont val="Segoe UI"/>
            <family val="2"/>
          </rPr>
          <t>Fernando Marcos Bernini:</t>
        </r>
        <r>
          <rPr>
            <sz val="9"/>
            <color indexed="81"/>
            <rFont val="Segoe UI"/>
            <family val="2"/>
          </rPr>
          <t xml:space="preserve">
Concentração = 14,01 %</t>
        </r>
      </text>
    </comment>
    <comment ref="G172" authorId="0" shapeId="0" xr:uid="{00000000-0006-0000-0400-00005A000000}">
      <text>
        <r>
          <rPr>
            <b/>
            <sz val="9"/>
            <color indexed="81"/>
            <rFont val="Segoe UI"/>
            <family val="2"/>
          </rPr>
          <t>Fernando Marcos Bernini:</t>
        </r>
        <r>
          <rPr>
            <sz val="9"/>
            <color indexed="81"/>
            <rFont val="Segoe UI"/>
            <family val="2"/>
          </rPr>
          <t xml:space="preserve">
Concentração = 16,59 %</t>
        </r>
      </text>
    </comment>
    <comment ref="G174" authorId="0" shapeId="0" xr:uid="{00000000-0006-0000-0400-00005B000000}">
      <text>
        <r>
          <rPr>
            <b/>
            <sz val="9"/>
            <color indexed="81"/>
            <rFont val="Segoe UI"/>
            <family val="2"/>
          </rPr>
          <t>Fernando Marcos Bernini:</t>
        </r>
        <r>
          <rPr>
            <sz val="9"/>
            <color indexed="81"/>
            <rFont val="Segoe UI"/>
            <family val="2"/>
          </rPr>
          <t xml:space="preserve">
Concentração = 14,13 %</t>
        </r>
      </text>
    </comment>
    <comment ref="G175" authorId="0" shapeId="0" xr:uid="{00000000-0006-0000-0400-00005C000000}">
      <text>
        <r>
          <rPr>
            <b/>
            <sz val="9"/>
            <color indexed="81"/>
            <rFont val="Segoe UI"/>
            <family val="2"/>
          </rPr>
          <t>Fernando Marcos Bernini:</t>
        </r>
        <r>
          <rPr>
            <sz val="9"/>
            <color indexed="81"/>
            <rFont val="Segoe UI"/>
            <family val="2"/>
          </rPr>
          <t xml:space="preserve">
Concentração = 20,45 %</t>
        </r>
      </text>
    </comment>
    <comment ref="G178" authorId="0" shapeId="0" xr:uid="{00000000-0006-0000-0400-00005D000000}">
      <text>
        <r>
          <rPr>
            <b/>
            <sz val="9"/>
            <color indexed="81"/>
            <rFont val="Segoe UI"/>
            <family val="2"/>
          </rPr>
          <t>Fernando Marcos Bernini:</t>
        </r>
        <r>
          <rPr>
            <sz val="9"/>
            <color indexed="81"/>
            <rFont val="Segoe UI"/>
            <family val="2"/>
          </rPr>
          <t xml:space="preserve">
Concentração = 8,33 %</t>
        </r>
      </text>
    </comment>
    <comment ref="G180" authorId="0" shapeId="0" xr:uid="{00000000-0006-0000-0400-00005E000000}">
      <text>
        <r>
          <rPr>
            <b/>
            <sz val="9"/>
            <color indexed="81"/>
            <rFont val="Segoe UI"/>
            <family val="2"/>
          </rPr>
          <t>Fernando Marcos Bernini:</t>
        </r>
        <r>
          <rPr>
            <sz val="9"/>
            <color indexed="81"/>
            <rFont val="Segoe UI"/>
            <family val="2"/>
          </rPr>
          <t xml:space="preserve">
Concentração = 8,41 %</t>
        </r>
      </text>
    </comment>
    <comment ref="G181" authorId="0" shapeId="0" xr:uid="{00000000-0006-0000-0400-00005F000000}">
      <text>
        <r>
          <rPr>
            <b/>
            <sz val="9"/>
            <color indexed="81"/>
            <rFont val="Segoe UI"/>
            <family val="2"/>
          </rPr>
          <t>Fernando Marcos Bernini:</t>
        </r>
        <r>
          <rPr>
            <sz val="9"/>
            <color indexed="81"/>
            <rFont val="Segoe UI"/>
            <family val="2"/>
          </rPr>
          <t xml:space="preserve">
Concentração = 9,74 %</t>
        </r>
      </text>
    </comment>
    <comment ref="G182" authorId="0" shapeId="0" xr:uid="{00000000-0006-0000-0400-000060000000}">
      <text>
        <r>
          <rPr>
            <b/>
            <sz val="9"/>
            <color indexed="81"/>
            <rFont val="Segoe UI"/>
            <family val="2"/>
          </rPr>
          <t>Fernando Marcos Bernini:</t>
        </r>
        <r>
          <rPr>
            <sz val="9"/>
            <color indexed="81"/>
            <rFont val="Segoe UI"/>
            <family val="2"/>
          </rPr>
          <t xml:space="preserve">
Concentração = 14,58 %</t>
        </r>
      </text>
    </comment>
    <comment ref="G183" authorId="0" shapeId="0" xr:uid="{00000000-0006-0000-0400-000061000000}">
      <text>
        <r>
          <rPr>
            <b/>
            <sz val="9"/>
            <color indexed="81"/>
            <rFont val="Segoe UI"/>
            <family val="2"/>
          </rPr>
          <t>Fernando Marcos Bernini:</t>
        </r>
        <r>
          <rPr>
            <sz val="9"/>
            <color indexed="81"/>
            <rFont val="Segoe UI"/>
            <family val="2"/>
          </rPr>
          <t xml:space="preserve">
Concentração = 16,63 %</t>
        </r>
      </text>
    </comment>
    <comment ref="G184" authorId="0" shapeId="0" xr:uid="{00000000-0006-0000-0400-000062000000}">
      <text>
        <r>
          <rPr>
            <b/>
            <sz val="9"/>
            <color indexed="81"/>
            <rFont val="Segoe UI"/>
            <family val="2"/>
          </rPr>
          <t>Fernando Marcos Bernini:</t>
        </r>
        <r>
          <rPr>
            <sz val="9"/>
            <color indexed="81"/>
            <rFont val="Segoe UI"/>
            <family val="2"/>
          </rPr>
          <t xml:space="preserve">
Concentração = 15 %</t>
        </r>
      </text>
    </comment>
    <comment ref="G185" authorId="0" shapeId="0" xr:uid="{00000000-0006-0000-0400-000063000000}">
      <text>
        <r>
          <rPr>
            <b/>
            <sz val="9"/>
            <color indexed="81"/>
            <rFont val="Segoe UI"/>
            <family val="2"/>
          </rPr>
          <t>Fernando Marcos Bernini:</t>
        </r>
        <r>
          <rPr>
            <sz val="9"/>
            <color indexed="81"/>
            <rFont val="Segoe UI"/>
            <family val="2"/>
          </rPr>
          <t xml:space="preserve">
Concentração = 12 %</t>
        </r>
      </text>
    </comment>
    <comment ref="G187" authorId="0" shapeId="0" xr:uid="{00000000-0006-0000-0400-000064000000}">
      <text>
        <r>
          <rPr>
            <b/>
            <sz val="9"/>
            <color indexed="81"/>
            <rFont val="Segoe UI"/>
            <family val="2"/>
          </rPr>
          <t>Fernando Marcos Bernini:</t>
        </r>
        <r>
          <rPr>
            <sz val="9"/>
            <color indexed="81"/>
            <rFont val="Segoe UI"/>
            <family val="2"/>
          </rPr>
          <t xml:space="preserve">
Concentração = 14,21 %</t>
        </r>
      </text>
    </comment>
    <comment ref="G189" authorId="0" shapeId="0" xr:uid="{00000000-0006-0000-0400-000065000000}">
      <text>
        <r>
          <rPr>
            <sz val="12"/>
            <color indexed="81"/>
            <rFont val="Segoe UI"/>
            <family val="2"/>
          </rPr>
          <t>8,83</t>
        </r>
        <r>
          <rPr>
            <sz val="9"/>
            <color indexed="81"/>
            <rFont val="Segoe UI"/>
            <family val="2"/>
          </rPr>
          <t xml:space="preserve">
</t>
        </r>
      </text>
    </comment>
    <comment ref="G190" authorId="0" shapeId="0" xr:uid="{00000000-0006-0000-0400-000066000000}">
      <text>
        <r>
          <rPr>
            <sz val="12"/>
            <color indexed="81"/>
            <rFont val="Segoe UI"/>
            <family val="2"/>
          </rPr>
          <t>13,91</t>
        </r>
        <r>
          <rPr>
            <sz val="9"/>
            <color indexed="81"/>
            <rFont val="Segoe UI"/>
            <family val="2"/>
          </rPr>
          <t xml:space="preserve">
</t>
        </r>
      </text>
    </comment>
    <comment ref="G192" authorId="0" shapeId="0" xr:uid="{00000000-0006-0000-0400-000067000000}">
      <text>
        <r>
          <rPr>
            <sz val="12"/>
            <color indexed="81"/>
            <rFont val="Segoe UI"/>
            <family val="2"/>
          </rPr>
          <t>14,64</t>
        </r>
        <r>
          <rPr>
            <sz val="9"/>
            <color indexed="81"/>
            <rFont val="Segoe UI"/>
            <family val="2"/>
          </rPr>
          <t xml:space="preserve">
</t>
        </r>
      </text>
    </comment>
    <comment ref="G194" authorId="0" shapeId="0" xr:uid="{00000000-0006-0000-0400-000068000000}">
      <text>
        <r>
          <rPr>
            <sz val="11"/>
            <color indexed="81"/>
            <rFont val="Segoe UI"/>
            <family val="2"/>
          </rPr>
          <t>12,69
9,96</t>
        </r>
        <r>
          <rPr>
            <sz val="9"/>
            <color indexed="81"/>
            <rFont val="Segoe UI"/>
            <family val="2"/>
          </rPr>
          <t xml:space="preserve">
</t>
        </r>
      </text>
    </comment>
    <comment ref="G195" authorId="0" shapeId="0" xr:uid="{00000000-0006-0000-0400-000069000000}">
      <text>
        <r>
          <rPr>
            <sz val="12"/>
            <color indexed="81"/>
            <rFont val="Segoe UI"/>
            <family val="2"/>
          </rPr>
          <t>13,20</t>
        </r>
        <r>
          <rPr>
            <sz val="9"/>
            <color indexed="81"/>
            <rFont val="Segoe UI"/>
            <family val="2"/>
          </rPr>
          <t xml:space="preserve">
</t>
        </r>
      </text>
    </comment>
    <comment ref="G196" authorId="0" shapeId="0" xr:uid="{00000000-0006-0000-0400-00006A000000}">
      <text>
        <r>
          <rPr>
            <sz val="12"/>
            <color indexed="81"/>
            <rFont val="Segoe UI"/>
            <family val="2"/>
          </rPr>
          <t>9,78</t>
        </r>
        <r>
          <rPr>
            <sz val="9"/>
            <color indexed="81"/>
            <rFont val="Segoe UI"/>
            <family val="2"/>
          </rPr>
          <t xml:space="preserve">
</t>
        </r>
      </text>
    </comment>
    <comment ref="G200" authorId="0" shapeId="0" xr:uid="{00000000-0006-0000-0400-00006B000000}">
      <text>
        <r>
          <rPr>
            <sz val="12"/>
            <color indexed="81"/>
            <rFont val="Segoe UI"/>
            <family val="2"/>
          </rPr>
          <t>8,82</t>
        </r>
        <r>
          <rPr>
            <sz val="9"/>
            <color indexed="81"/>
            <rFont val="Segoe UI"/>
            <family val="2"/>
          </rPr>
          <t xml:space="preserve">
</t>
        </r>
      </text>
    </comment>
    <comment ref="G201" authorId="0" shapeId="0" xr:uid="{00000000-0006-0000-0400-00006C000000}">
      <text>
        <r>
          <rPr>
            <sz val="12"/>
            <color indexed="81"/>
            <rFont val="Segoe UI"/>
            <family val="2"/>
          </rPr>
          <t>13,72</t>
        </r>
        <r>
          <rPr>
            <sz val="9"/>
            <color indexed="81"/>
            <rFont val="Segoe UI"/>
            <family val="2"/>
          </rPr>
          <t xml:space="preserve">
</t>
        </r>
      </text>
    </comment>
    <comment ref="G206" authorId="0" shapeId="0" xr:uid="{00000000-0006-0000-0400-00006D000000}">
      <text>
        <r>
          <rPr>
            <sz val="12"/>
            <color indexed="81"/>
            <rFont val="Segoe UI"/>
            <family val="2"/>
          </rPr>
          <t>11,61</t>
        </r>
        <r>
          <rPr>
            <sz val="9"/>
            <color indexed="81"/>
            <rFont val="Segoe UI"/>
            <family val="2"/>
          </rPr>
          <t xml:space="preserve">
</t>
        </r>
      </text>
    </comment>
    <comment ref="G207" authorId="0" shapeId="0" xr:uid="{00000000-0006-0000-0400-00006E000000}">
      <text>
        <r>
          <rPr>
            <sz val="12"/>
            <color indexed="81"/>
            <rFont val="Segoe UI"/>
            <family val="2"/>
          </rPr>
          <t>15,19</t>
        </r>
        <r>
          <rPr>
            <sz val="9"/>
            <color indexed="81"/>
            <rFont val="Segoe UI"/>
            <family val="2"/>
          </rPr>
          <t xml:space="preserve">
</t>
        </r>
      </text>
    </comment>
    <comment ref="G208" authorId="0" shapeId="0" xr:uid="{00000000-0006-0000-0400-00006F000000}">
      <text>
        <r>
          <rPr>
            <sz val="12"/>
            <color indexed="81"/>
            <rFont val="Segoe UI"/>
            <family val="2"/>
          </rPr>
          <t>9,78</t>
        </r>
        <r>
          <rPr>
            <sz val="9"/>
            <color indexed="81"/>
            <rFont val="Segoe UI"/>
            <family val="2"/>
          </rPr>
          <t xml:space="preserve">
</t>
        </r>
      </text>
    </comment>
    <comment ref="G209" authorId="0" shapeId="0" xr:uid="{00000000-0006-0000-0400-000070000000}">
      <text>
        <r>
          <rPr>
            <sz val="12"/>
            <color indexed="81"/>
            <rFont val="Segoe UI"/>
            <family val="2"/>
          </rPr>
          <t>9,76</t>
        </r>
      </text>
    </comment>
    <comment ref="G210" authorId="0" shapeId="0" xr:uid="{00000000-0006-0000-0400-000071000000}">
      <text>
        <r>
          <rPr>
            <sz val="12"/>
            <color indexed="81"/>
            <rFont val="Segoe UI"/>
            <family val="2"/>
          </rPr>
          <t>12,74</t>
        </r>
        <r>
          <rPr>
            <sz val="9"/>
            <color indexed="81"/>
            <rFont val="Segoe UI"/>
            <family val="2"/>
          </rPr>
          <t xml:space="preserve">
</t>
        </r>
      </text>
    </comment>
    <comment ref="G211" authorId="0" shapeId="0" xr:uid="{00000000-0006-0000-0400-000072000000}">
      <text>
        <r>
          <rPr>
            <sz val="12"/>
            <color indexed="81"/>
            <rFont val="Segoe UI"/>
            <family val="2"/>
          </rPr>
          <t>10,02</t>
        </r>
        <r>
          <rPr>
            <sz val="9"/>
            <color indexed="81"/>
            <rFont val="Segoe UI"/>
            <family val="2"/>
          </rPr>
          <t xml:space="preserve">
</t>
        </r>
      </text>
    </comment>
    <comment ref="G212" authorId="0" shapeId="0" xr:uid="{00000000-0006-0000-0400-000073000000}">
      <text>
        <r>
          <rPr>
            <sz val="12"/>
            <color indexed="81"/>
            <rFont val="Segoe UI"/>
            <family val="2"/>
          </rPr>
          <t>9,76</t>
        </r>
        <r>
          <rPr>
            <sz val="9"/>
            <color indexed="81"/>
            <rFont val="Segoe UI"/>
            <family val="2"/>
          </rPr>
          <t xml:space="preserve">
</t>
        </r>
      </text>
    </comment>
    <comment ref="G213" authorId="0" shapeId="0" xr:uid="{00000000-0006-0000-0400-000074000000}">
      <text>
        <r>
          <rPr>
            <sz val="12"/>
            <color indexed="81"/>
            <rFont val="Segoe UI"/>
            <family val="2"/>
          </rPr>
          <t>15,43</t>
        </r>
        <r>
          <rPr>
            <sz val="9"/>
            <color indexed="81"/>
            <rFont val="Segoe UI"/>
            <family val="2"/>
          </rPr>
          <t xml:space="preserve">
</t>
        </r>
      </text>
    </comment>
    <comment ref="G214" authorId="0" shapeId="0" xr:uid="{00000000-0006-0000-0400-000075000000}">
      <text>
        <r>
          <rPr>
            <sz val="12"/>
            <color indexed="81"/>
            <rFont val="Segoe UI"/>
            <family val="2"/>
          </rPr>
          <t>7,76</t>
        </r>
        <r>
          <rPr>
            <sz val="9"/>
            <color indexed="81"/>
            <rFont val="Segoe UI"/>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Fernando Marcos Bernini</author>
  </authors>
  <commentList>
    <comment ref="BB3" authorId="0" shapeId="0" xr:uid="{00000000-0006-0000-0500-000001000000}">
      <text>
        <r>
          <rPr>
            <b/>
            <sz val="9"/>
            <color indexed="81"/>
            <rFont val="Tahoma"/>
            <family val="2"/>
          </rPr>
          <t>Fernando Marcos Bernini:</t>
        </r>
        <r>
          <rPr>
            <sz val="9"/>
            <color indexed="81"/>
            <rFont val="Tahoma"/>
            <family val="2"/>
          </rPr>
          <t xml:space="preserve">
Estoque inicial oficial = 30.387 Kg, devido ao consumo de soda no final da safra 2017 para limpeza final dos equipamentos</t>
        </r>
      </text>
    </comment>
    <comment ref="B52" authorId="0" shapeId="0" xr:uid="{00000000-0006-0000-0500-000002000000}">
      <text>
        <r>
          <rPr>
            <b/>
            <sz val="9"/>
            <color indexed="81"/>
            <rFont val="Tahoma"/>
            <family val="2"/>
          </rPr>
          <t>Fernando Marcos Bernini:</t>
        </r>
        <r>
          <rPr>
            <sz val="9"/>
            <color indexed="81"/>
            <rFont val="Tahoma"/>
            <family val="2"/>
          </rPr>
          <t xml:space="preserve">
Produção real = 605 m3 (foi descontado devido ao lastro do tq 2)</t>
        </r>
      </text>
    </comment>
    <comment ref="B56" authorId="0" shapeId="0" xr:uid="{00000000-0006-0000-0500-000003000000}">
      <text>
        <r>
          <rPr>
            <b/>
            <sz val="9"/>
            <color indexed="81"/>
            <rFont val="Tahoma"/>
            <family val="2"/>
          </rPr>
          <t>Fernando Marcos Bernini:</t>
        </r>
        <r>
          <rPr>
            <sz val="9"/>
            <color indexed="81"/>
            <rFont val="Tahoma"/>
            <family val="2"/>
          </rPr>
          <t xml:space="preserve">
Produção real = 625 mil
Sobra ao esvaziar o TQ 04 de etanol</t>
        </r>
      </text>
    </comment>
    <comment ref="B59" authorId="0" shapeId="0" xr:uid="{00000000-0006-0000-0500-000004000000}">
      <text>
        <r>
          <rPr>
            <b/>
            <sz val="9"/>
            <color indexed="81"/>
            <rFont val="Tahoma"/>
            <family val="2"/>
          </rPr>
          <t>Fernando Marcos Bernini:</t>
        </r>
        <r>
          <rPr>
            <sz val="9"/>
            <color indexed="81"/>
            <rFont val="Tahoma"/>
            <family val="2"/>
          </rPr>
          <t xml:space="preserve">
Desarme do G1 por engano ao parar o G2</t>
        </r>
      </text>
    </comment>
    <comment ref="BE75" authorId="0" shapeId="0" xr:uid="{00000000-0006-0000-0500-000005000000}">
      <text>
        <r>
          <rPr>
            <b/>
            <sz val="9"/>
            <color indexed="81"/>
            <rFont val="Tahoma"/>
            <family val="2"/>
          </rPr>
          <t>Fernando Marcos Bernini:</t>
        </r>
        <r>
          <rPr>
            <sz val="9"/>
            <color indexed="81"/>
            <rFont val="Tahoma"/>
            <family val="2"/>
          </rPr>
          <t xml:space="preserve">
CIP coluna de destilação</t>
        </r>
      </text>
    </comment>
    <comment ref="BE95" authorId="0" shapeId="0" xr:uid="{00000000-0006-0000-0500-000006000000}">
      <text>
        <r>
          <rPr>
            <b/>
            <sz val="9"/>
            <color indexed="81"/>
            <rFont val="Tahoma"/>
            <family val="2"/>
          </rPr>
          <t>Fernando Marcos Bernini:</t>
        </r>
        <r>
          <rPr>
            <sz val="9"/>
            <color indexed="81"/>
            <rFont val="Tahoma"/>
            <family val="2"/>
          </rPr>
          <t xml:space="preserve">
CIP coluna de destilação</t>
        </r>
      </text>
    </comment>
    <comment ref="BE108" authorId="0" shapeId="0" xr:uid="{00000000-0006-0000-0500-000007000000}">
      <text>
        <r>
          <rPr>
            <b/>
            <sz val="9"/>
            <color indexed="81"/>
            <rFont val="Segoe UI"/>
            <family val="2"/>
          </rPr>
          <t>Fernando Marcos Bernini:</t>
        </r>
        <r>
          <rPr>
            <sz val="9"/>
            <color indexed="81"/>
            <rFont val="Segoe UI"/>
            <family val="2"/>
          </rPr>
          <t xml:space="preserve">
Limpeza de pré</t>
        </r>
      </text>
    </comment>
    <comment ref="BE116" authorId="0" shapeId="0" xr:uid="{00000000-0006-0000-0500-000008000000}">
      <text>
        <r>
          <rPr>
            <b/>
            <sz val="9"/>
            <color indexed="81"/>
            <rFont val="Segoe UI"/>
            <family val="2"/>
          </rPr>
          <t>Fernando Marcos Bernini:</t>
        </r>
        <r>
          <rPr>
            <sz val="9"/>
            <color indexed="81"/>
            <rFont val="Segoe UI"/>
            <family val="2"/>
          </rPr>
          <t xml:space="preserve">
CIP no aparelho</t>
        </r>
      </text>
    </comment>
    <comment ref="BE126" authorId="0" shapeId="0" xr:uid="{00000000-0006-0000-0500-000009000000}">
      <text>
        <r>
          <rPr>
            <b/>
            <sz val="9"/>
            <color indexed="81"/>
            <rFont val="Segoe UI"/>
            <family val="2"/>
          </rPr>
          <t>Fernando Marcos Bernini:</t>
        </r>
        <r>
          <rPr>
            <sz val="9"/>
            <color indexed="81"/>
            <rFont val="Segoe UI"/>
            <family val="2"/>
          </rPr>
          <t xml:space="preserve">
Limpeza pré no dia 29/08</t>
        </r>
      </text>
    </comment>
    <comment ref="BE148" authorId="0" shapeId="0" xr:uid="{00000000-0006-0000-0500-00000A000000}">
      <text>
        <r>
          <rPr>
            <b/>
            <sz val="9"/>
            <color indexed="81"/>
            <rFont val="Segoe UI"/>
            <family val="2"/>
          </rPr>
          <t>Fernando Marcos Bernini:</t>
        </r>
        <r>
          <rPr>
            <sz val="9"/>
            <color indexed="81"/>
            <rFont val="Segoe UI"/>
            <family val="2"/>
          </rPr>
          <t xml:space="preserve">
Fervura de soda no aparelho</t>
        </r>
      </text>
    </comment>
    <comment ref="BE153" authorId="0" shapeId="0" xr:uid="{00000000-0006-0000-0500-00000B000000}">
      <text>
        <r>
          <rPr>
            <b/>
            <sz val="9"/>
            <color indexed="81"/>
            <rFont val="Segoe UI"/>
            <family val="2"/>
          </rPr>
          <t>Fernando Marcos Bernini:</t>
        </r>
        <r>
          <rPr>
            <sz val="9"/>
            <color indexed="81"/>
            <rFont val="Segoe UI"/>
            <family val="2"/>
          </rPr>
          <t xml:space="preserve">
Limpeza de pré</t>
        </r>
      </text>
    </comment>
    <comment ref="BE163" authorId="0" shapeId="0" xr:uid="{00000000-0006-0000-0500-00000C000000}">
      <text>
        <r>
          <rPr>
            <b/>
            <sz val="9"/>
            <color indexed="81"/>
            <rFont val="Segoe UI"/>
            <family val="2"/>
          </rPr>
          <t>Fernando Marcos Bernini:</t>
        </r>
        <r>
          <rPr>
            <sz val="9"/>
            <color indexed="81"/>
            <rFont val="Segoe UI"/>
            <family val="2"/>
          </rPr>
          <t xml:space="preserve">
Limpeza de pré</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Luiz Castilho de Almeida Junior</author>
  </authors>
  <commentList>
    <comment ref="A16" authorId="0" shapeId="0" xr:uid="{00000000-0006-0000-0600-000001000000}">
      <text>
        <r>
          <rPr>
            <b/>
            <sz val="9"/>
            <color indexed="81"/>
            <rFont val="Segoe UI"/>
            <family val="2"/>
          </rPr>
          <t>105341 / 114116 - NUTRIENTE COMPOSTO LIQUIDO P/ FERMENTACAO 11% / 25%</t>
        </r>
      </text>
    </comment>
    <comment ref="L41" authorId="0" shapeId="0" xr:uid="{00000000-0006-0000-0600-000002000000}">
      <text>
        <r>
          <rPr>
            <b/>
            <sz val="9"/>
            <color indexed="81"/>
            <rFont val="Segoe UI"/>
            <family val="2"/>
          </rPr>
          <t>Até 19/07 sem dosagem de ácido (mantendo apenas dosagem contínua de antibiótico)</t>
        </r>
      </text>
    </comment>
    <comment ref="L42" authorId="0" shapeId="0" xr:uid="{00000000-0006-0000-0600-000005000000}">
      <text>
        <r>
          <rPr>
            <b/>
            <sz val="9"/>
            <color indexed="81"/>
            <rFont val="Segoe UI"/>
            <family val="2"/>
          </rPr>
          <t>Até 19/07 sem dosagem de ácido (mantendo apenas dosagem contínua de antibiótico)</t>
        </r>
      </text>
    </comment>
    <comment ref="K43" authorId="0" shapeId="0" xr:uid="{00000000-0006-0000-0600-000006000000}">
      <text>
        <r>
          <rPr>
            <b/>
            <sz val="9"/>
            <color indexed="81"/>
            <rFont val="Segoe UI"/>
            <family val="2"/>
          </rPr>
          <t>Fermento floculado desde o início da safra (fermentação lenta e baixa formação de espuma)</t>
        </r>
      </text>
    </comment>
    <comment ref="L43" authorId="0" shapeId="0" xr:uid="{00000000-0006-0000-0600-000007000000}">
      <text>
        <r>
          <rPr>
            <b/>
            <sz val="9"/>
            <color indexed="81"/>
            <rFont val="Segoe UI"/>
            <family val="2"/>
          </rPr>
          <t>Utilização durante maior parte da safra de antiespumante da OniBras (baixo custo, mas alto consumo)</t>
        </r>
      </text>
    </comment>
    <comment ref="K44" authorId="0" shapeId="0" xr:uid="{00000000-0006-0000-0600-000008000000}">
      <text>
        <r>
          <rPr>
            <b/>
            <sz val="9"/>
            <color indexed="81"/>
            <rFont val="Segoe UI"/>
            <family val="2"/>
          </rPr>
          <t>Fermento floculado desde o início da safra (fermentação lenta e baixa formação de espuma)</t>
        </r>
        <r>
          <rPr>
            <sz val="9"/>
            <color indexed="81"/>
            <rFont val="Segoe UI"/>
            <family val="2"/>
          </rPr>
          <t xml:space="preserve">
</t>
        </r>
      </text>
    </comment>
    <comment ref="L46" authorId="0" shapeId="0" xr:uid="{00000000-0006-0000-0600-000009000000}">
      <text>
        <r>
          <rPr>
            <b/>
            <sz val="9"/>
            <color indexed="81"/>
            <rFont val="Segoe UI"/>
            <family val="2"/>
          </rPr>
          <t>Até 19/07 sem dosagem de ácido e até 10/10 sem dosagem de dióxido (mantendo apenas dosagem contínua de antibiótico)</t>
        </r>
      </text>
    </comment>
    <comment ref="L49" authorId="0" shapeId="0" xr:uid="{00000000-0006-0000-0600-00000A000000}">
      <text>
        <r>
          <rPr>
            <b/>
            <sz val="9"/>
            <color indexed="81"/>
            <rFont val="Segoe UI"/>
            <family val="2"/>
          </rPr>
          <t>Utilização de apenas 1 filtro-prensa ao longo da safra visando à redução da aplicação de água de embebição e consequente redução do consumo de vapor</t>
        </r>
      </text>
    </comment>
    <comment ref="D51" authorId="0" shapeId="0" xr:uid="{00000000-0006-0000-0600-00000B000000}">
      <text>
        <r>
          <rPr>
            <b/>
            <sz val="9"/>
            <color indexed="81"/>
            <rFont val="Segoe UI"/>
            <family val="2"/>
          </rPr>
          <t>Utilizava-se soda cáustica para correção do pH do etanol</t>
        </r>
      </text>
    </comment>
    <comment ref="E51" authorId="0" shapeId="0" xr:uid="{00000000-0006-0000-0600-00000C000000}">
      <text>
        <r>
          <rPr>
            <b/>
            <sz val="9"/>
            <color indexed="81"/>
            <rFont val="Segoe UI"/>
            <family val="2"/>
          </rPr>
          <t>Utilizava-se soda cáustica para correção do pH do etanol</t>
        </r>
      </text>
    </comment>
    <comment ref="F51" authorId="0" shapeId="0" xr:uid="{00000000-0006-0000-0600-00000D000000}">
      <text>
        <r>
          <rPr>
            <b/>
            <sz val="9"/>
            <color indexed="81"/>
            <rFont val="Segoe UI"/>
            <family val="2"/>
          </rPr>
          <t>Utilizava-se soda cáustica para correção do pH do etanol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bruno.francisco</author>
  </authors>
  <commentList>
    <comment ref="N9" authorId="0" shapeId="0" xr:uid="{00000000-0006-0000-0B00-000001000000}">
      <text>
        <r>
          <rPr>
            <b/>
            <sz val="9"/>
            <color indexed="81"/>
            <rFont val="Tahoma"/>
            <family val="2"/>
          </rPr>
          <t>bruno.francisco:</t>
        </r>
        <r>
          <rPr>
            <sz val="9"/>
            <color indexed="81"/>
            <rFont val="Tahoma"/>
            <family val="2"/>
          </rPr>
          <t xml:space="preserve">
Sem Chapisco e Arame</t>
        </r>
      </text>
    </comment>
  </commentList>
</comments>
</file>

<file path=xl/sharedStrings.xml><?xml version="1.0" encoding="utf-8"?>
<sst xmlns="http://schemas.openxmlformats.org/spreadsheetml/2006/main" count="1884" uniqueCount="498">
  <si>
    <t>Estoque de Insumos - PRO</t>
  </si>
  <si>
    <t>Código</t>
  </si>
  <si>
    <t>Insumo</t>
  </si>
  <si>
    <t>Quantidade</t>
  </si>
  <si>
    <t>Volume   (L)</t>
  </si>
  <si>
    <t>Densidade (kg/L)</t>
  </si>
  <si>
    <t>Massa                (kg)</t>
  </si>
  <si>
    <t>Volume (L)</t>
  </si>
  <si>
    <t>Medição (cm)</t>
  </si>
  <si>
    <t>Balde, Saco ou Bag</t>
  </si>
  <si>
    <t>Massa            (kg)</t>
  </si>
  <si>
    <t>Espaço Disponível Tanque (kg)</t>
  </si>
  <si>
    <t>Ácido Sulfúrico Concentrado 98%</t>
  </si>
  <si>
    <t>-</t>
  </si>
  <si>
    <t>Antiespumante Despumol 6612</t>
  </si>
  <si>
    <t>Antiespumante CQ 21AY</t>
  </si>
  <si>
    <t>Antiespumante AE 4420</t>
  </si>
  <si>
    <t>Dispersante Prevac 530</t>
  </si>
  <si>
    <t>Dispersante CQ 19DY</t>
  </si>
  <si>
    <t>Dispersante AD 5550</t>
  </si>
  <si>
    <t>Soda Cáustica Líquida 50%</t>
  </si>
  <si>
    <t>Espaço Disponível Silo (kg)</t>
  </si>
  <si>
    <t>Cal Clarizina</t>
  </si>
  <si>
    <t>Dimensões Tanque Ácido/Soda</t>
  </si>
  <si>
    <t>Silo de Cal</t>
  </si>
  <si>
    <t>Diâmetro (m)</t>
  </si>
  <si>
    <t>Altura Vazio (cm)</t>
  </si>
  <si>
    <t>Massa Cal (kg)</t>
  </si>
  <si>
    <t>Raio (m)</t>
  </si>
  <si>
    <t>Comprimento (m)</t>
  </si>
  <si>
    <t>Volume Total (m³)</t>
  </si>
  <si>
    <t>Dimensões Tanque Antiespumante/Dispersante</t>
  </si>
  <si>
    <t>Contêiner ou Galão (L)</t>
  </si>
  <si>
    <t>Fermentação</t>
  </si>
  <si>
    <t>Evaporação</t>
  </si>
  <si>
    <t>Decantação</t>
  </si>
  <si>
    <t>Estoque Inicial (Kg)</t>
  </si>
  <si>
    <t>Entrada (Kg)</t>
  </si>
  <si>
    <t>Estoque Final (Kg)</t>
  </si>
  <si>
    <t>Consumo Diário (Kg)</t>
  </si>
  <si>
    <t>Consumo Específico Diário (g/l)</t>
  </si>
  <si>
    <t>Acido Sulfúrico</t>
  </si>
  <si>
    <t>Consumo Específico Acumulado (g/l)</t>
  </si>
  <si>
    <t>Consumo Acumulado (Kg)</t>
  </si>
  <si>
    <t>Antiespumante</t>
  </si>
  <si>
    <t>Produção de Etanol Diária (l)</t>
  </si>
  <si>
    <t>Produção de Etanol Acumulada (l)</t>
  </si>
  <si>
    <t>Moagem Diária (t)</t>
  </si>
  <si>
    <t>Moagem Acumulada (t)</t>
  </si>
  <si>
    <t>Etanol</t>
  </si>
  <si>
    <t>Cana</t>
  </si>
  <si>
    <t>Número de tanques dosados</t>
  </si>
  <si>
    <t>Número de Canecas no Preparo</t>
  </si>
  <si>
    <t>Consumo Específico Diário (g/t)</t>
  </si>
  <si>
    <t>Consumo Específico Acumulado (g/t)</t>
  </si>
  <si>
    <t>Polímero Catiônico</t>
  </si>
  <si>
    <t>Dispersante</t>
  </si>
  <si>
    <t>Dióxido de Cloro</t>
  </si>
  <si>
    <t>Soda</t>
  </si>
  <si>
    <t>Cal</t>
  </si>
  <si>
    <t>Polímero Aniônico</t>
  </si>
  <si>
    <t>24-30/04/2018</t>
  </si>
  <si>
    <t>Consumo Específico Mensal (g/l)</t>
  </si>
  <si>
    <t>Consumo Específico Mensal (g/t)</t>
  </si>
  <si>
    <t>Ecoácido</t>
  </si>
  <si>
    <t>Consumo Específico Mensal Equiv. 98 % (g/l)</t>
  </si>
  <si>
    <t>Consumo Específico Acum. Equiv. 98 % (g/l)</t>
  </si>
  <si>
    <t>Orçado Safra</t>
  </si>
  <si>
    <t>Abril</t>
  </si>
  <si>
    <t>Maio</t>
  </si>
  <si>
    <t>Junho</t>
  </si>
  <si>
    <t>Julho</t>
  </si>
  <si>
    <t>Agosto</t>
  </si>
  <si>
    <t>Setembro</t>
  </si>
  <si>
    <t>Acumulado 2018</t>
  </si>
  <si>
    <t>Acumulado 2017</t>
  </si>
  <si>
    <t>Acumulado 2014</t>
  </si>
  <si>
    <t>Acumulado 2015</t>
  </si>
  <si>
    <t>Acumulado 2016</t>
  </si>
  <si>
    <t>Cal (g/t cana)</t>
  </si>
  <si>
    <t>Ác. Sulfúrico (g/t cana)</t>
  </si>
  <si>
    <t>Polímero Filtro (g/t cana)</t>
  </si>
  <si>
    <t>Dispersante (g/L etanol)</t>
  </si>
  <si>
    <t>Antiespumante (g/L etanol)</t>
  </si>
  <si>
    <t>Dióxido de Cloro (g/L etanol)</t>
  </si>
  <si>
    <t>Polímero Decantador (g/t cana)</t>
  </si>
  <si>
    <t>Nutriente (g/L etanol)</t>
  </si>
  <si>
    <t>Trat. Torre Ferm. (R$/m³ etanol)</t>
  </si>
  <si>
    <t>Custo Específico (R$/t cana)</t>
  </si>
  <si>
    <t>Custo Total (mil R$/t cana)</t>
  </si>
  <si>
    <t>Ácido Sulfúrico</t>
  </si>
  <si>
    <t>Antibióticos</t>
  </si>
  <si>
    <t>Trat. Torre Ferm.</t>
  </si>
  <si>
    <t>Nutriente</t>
  </si>
  <si>
    <t>Distribuição do Custo (R$)</t>
  </si>
  <si>
    <t>Outubro</t>
  </si>
  <si>
    <t>Novembro</t>
  </si>
  <si>
    <t>Soda Cáustica (g/L etanol)</t>
  </si>
  <si>
    <t>29-30/04/2019</t>
  </si>
  <si>
    <t>MAI</t>
  </si>
  <si>
    <t>JUN</t>
  </si>
  <si>
    <t>JUL</t>
  </si>
  <si>
    <t>AGO</t>
  </si>
  <si>
    <t>Ácido Sulfúrico Total</t>
  </si>
  <si>
    <t>Acumulado Ácido Sulfúrico Total</t>
  </si>
  <si>
    <t>Acumulado Antiespumante</t>
  </si>
  <si>
    <t>Acumulado Dispersante</t>
  </si>
  <si>
    <t>Ecoácido Equiv.</t>
  </si>
  <si>
    <t>ABR</t>
  </si>
  <si>
    <t>Meta</t>
  </si>
  <si>
    <t>Meta Acumulado Antiespumante</t>
  </si>
  <si>
    <t>Meta Acum. Polímero Catiônico</t>
  </si>
  <si>
    <t>Acum. Polímero Catiônico</t>
  </si>
  <si>
    <t>Acum. Polímero Aniônico</t>
  </si>
  <si>
    <t>Meta Acum. Polímero Aniônico</t>
  </si>
  <si>
    <t>Acum. Dióxido de Cloro</t>
  </si>
  <si>
    <t>Meta Acum. Dióxido de Cloro</t>
  </si>
  <si>
    <t>Acum. Nutriente</t>
  </si>
  <si>
    <t>Meta Acum. Nutriente</t>
  </si>
  <si>
    <t>Acum. Cal</t>
  </si>
  <si>
    <t>Meta Acm. Cal</t>
  </si>
  <si>
    <t>Acum. Soda</t>
  </si>
  <si>
    <t>Meta Acum. Soda</t>
  </si>
  <si>
    <t>Ácido Sulfúrico 98 %</t>
  </si>
  <si>
    <t>SET</t>
  </si>
  <si>
    <t>ÁCIDO SULFÚRICO</t>
  </si>
  <si>
    <t>ANTIESPUMANTE</t>
  </si>
  <si>
    <t>DISPERSANTE</t>
  </si>
  <si>
    <t>POLÍMERO CATIÔNICO</t>
  </si>
  <si>
    <t>POLÍMERO ANIÔNICO</t>
  </si>
  <si>
    <t>DIÓXIDO DE CLORO</t>
  </si>
  <si>
    <t>NUTRIENTE</t>
  </si>
  <si>
    <t>CAL</t>
  </si>
  <si>
    <t>SODA CÁUSTICA</t>
  </si>
  <si>
    <t>OUT</t>
  </si>
  <si>
    <t>NOV</t>
  </si>
  <si>
    <t>DEZ</t>
  </si>
  <si>
    <t>Acumulado 2019</t>
  </si>
  <si>
    <t>Concentração (%)</t>
  </si>
  <si>
    <t>ANTIBIÓTICOS</t>
  </si>
  <si>
    <t>Kamoran WP</t>
  </si>
  <si>
    <t>Defloc</t>
  </si>
  <si>
    <t>Monicol</t>
  </si>
  <si>
    <t>Lactostab</t>
  </si>
  <si>
    <t>Consumo Específico Diário (g/L)</t>
  </si>
  <si>
    <t>Estoque Inicial (kg)</t>
  </si>
  <si>
    <t>Entrada (kg)</t>
  </si>
  <si>
    <t>Estoque Final (kg)</t>
  </si>
  <si>
    <t>Consumo Diário (kg)</t>
  </si>
  <si>
    <t>Consumo Acumulado (kg)</t>
  </si>
  <si>
    <t>Consumo Específico Acumulado (g/L)</t>
  </si>
  <si>
    <t>Consumo Específico Mensal (g/L)</t>
  </si>
  <si>
    <t>Produção de Etanol Diária (L)</t>
  </si>
  <si>
    <t>Produção de Etanol Acumulada (L)</t>
  </si>
  <si>
    <t>Consumo Específico Diário (g/ton)</t>
  </si>
  <si>
    <t>Consumo Específico Acumulado (g/ton)</t>
  </si>
  <si>
    <t>Consumo Específico Mensal (g/ton)</t>
  </si>
  <si>
    <t>Monensina Emulsão</t>
  </si>
  <si>
    <t>Consumo Específico Acum. Equiv. 98 % (g/L)</t>
  </si>
  <si>
    <t>Consumo Específico Mensal Equiv. 98 % (g/L)</t>
  </si>
  <si>
    <t>Consumo Diário Sacos (kg)</t>
  </si>
  <si>
    <t>Consumo Acumulado Sacos (kg)</t>
  </si>
  <si>
    <t>Número de Tanques Dosados</t>
  </si>
  <si>
    <t>Hipoclorito de Sódio 12,5%</t>
  </si>
  <si>
    <t>Zalta</t>
  </si>
  <si>
    <t>Tallofin</t>
  </si>
  <si>
    <t>Quartermol</t>
  </si>
  <si>
    <t>Hipoclorito de Cálcio</t>
  </si>
  <si>
    <t>Antiespumante para Água</t>
  </si>
  <si>
    <t>Neutralizante</t>
  </si>
  <si>
    <t>Bactericida</t>
  </si>
  <si>
    <t>Antibiótico de Lúpulo</t>
  </si>
  <si>
    <t>Antibiótico Monensina</t>
  </si>
  <si>
    <t>Moagem Diária (ton)</t>
  </si>
  <si>
    <t>Moagem Acumulada (ton)</t>
  </si>
  <si>
    <t>Safra 2022</t>
  </si>
  <si>
    <t>107877 - ANTIBIOTICO DE LUPULO - GL 20KG</t>
  </si>
  <si>
    <t>107875 - ANTIBIOTICO MONENSINA</t>
  </si>
  <si>
    <t>103762 - NEUTRALIZANTE DE ETANOL</t>
  </si>
  <si>
    <t>103777 - HIPOCLORITO DE CALCIO 65%</t>
  </si>
  <si>
    <t>103774 - DISPERSANTE INORGANICO P/ AGUAS</t>
  </si>
  <si>
    <t>104836 - BIODISPERSANTE P/ AGUAS</t>
  </si>
  <si>
    <t xml:space="preserve">Meta = </t>
  </si>
  <si>
    <t>g/ton</t>
  </si>
  <si>
    <t>g/L</t>
  </si>
  <si>
    <t>107876 - QUATERNARIO AMONIO 50% P/ AGUAS</t>
  </si>
  <si>
    <t>110112 - BACTERICIDA QUATERNARIO DE AMONIO 50%</t>
  </si>
  <si>
    <t>104981 - CAL VIRGEM - CLARISINA (BAG 1000KG)*</t>
  </si>
  <si>
    <t>103764 - POLIMERO CATIONICO*</t>
  </si>
  <si>
    <t>103763 - POLIMERO ANIONICO*</t>
  </si>
  <si>
    <t>104982 - SODA CAUSTICA LIQUIDA 50%*</t>
  </si>
  <si>
    <t>103757 - ANTIESPUMANTE P/ FERMENTACAO*</t>
  </si>
  <si>
    <t>107879 - DISPERSANTE P/ FERMENTACAO*</t>
  </si>
  <si>
    <t>110727 - ANTIBIOTICO MONENSINA EMULSAO*</t>
  </si>
  <si>
    <t>103776 - HIPOCLORITO DE SODIO 12,5%*</t>
  </si>
  <si>
    <t>107878 - ANTIESPUMANTE P/ AGUA*</t>
  </si>
  <si>
    <t>Ureia</t>
  </si>
  <si>
    <t>110894 - ANTIBIOTICO OXITETRACICLINA</t>
  </si>
  <si>
    <t>Antibiótico OXITETRACICLINA</t>
  </si>
  <si>
    <t>104980 - ACIDO SULFURICO CONCENTRADO 98%*</t>
  </si>
  <si>
    <t>105342 - ACIDO SULFURICO DILUIDO 15%*</t>
  </si>
  <si>
    <t>113768 UREIA GRANULADO PECUARIA*</t>
  </si>
  <si>
    <t>105341 / 114116 - NUTRIENTE COMPOSTO LIQUIDO P/ FERMENTACAO 11% / 25%</t>
  </si>
  <si>
    <t>106937 - DIOXIDO DE CLORO 25%</t>
  </si>
  <si>
    <t>SAFRA 2022</t>
  </si>
  <si>
    <t>Controle de Insumos</t>
  </si>
  <si>
    <t>Fechamento da Safra</t>
  </si>
  <si>
    <t>INSUMO</t>
  </si>
  <si>
    <t>CONSUMO ESPECÍFICO ACUMULADO</t>
  </si>
  <si>
    <t>MOAGEM =</t>
  </si>
  <si>
    <t>ETANOL HIDRATADO =</t>
  </si>
  <si>
    <t>ACIDO SULFURICO CONCENTRADO 98%</t>
  </si>
  <si>
    <t>ACIDO SULFURICO DILUIDO 15%</t>
  </si>
  <si>
    <t>ANTIBIOTICO OXITETRACICLINA</t>
  </si>
  <si>
    <t>ANTIBIOTICO MONENSINA</t>
  </si>
  <si>
    <t>ANTIBIOTICO DE LUPULO - GL 20KG</t>
  </si>
  <si>
    <t>ANTIBIOTICO MONENSINA EMULSAO</t>
  </si>
  <si>
    <t>ANTIESPUMANTE P/ FERMENTACAO</t>
  </si>
  <si>
    <t>DISPERSANTE P/ FERMENTACAO</t>
  </si>
  <si>
    <t>UREIA GRANULADO PECUARIA - SC 25KG</t>
  </si>
  <si>
    <t>DIOXIDO DE CLORO 25%</t>
  </si>
  <si>
    <t>BACTERICIDA QUATERNARIO DE AMONIO 50%</t>
  </si>
  <si>
    <t>ANTIESPUMANTE P/ AGUA</t>
  </si>
  <si>
    <t>HIPOCLORITO DE SODIO 12,5%</t>
  </si>
  <si>
    <t>HIPOCLORITO DE CALCIO 65%</t>
  </si>
  <si>
    <t>DISPERSANTE INORGANICO P/ AGUAS</t>
  </si>
  <si>
    <t>BIODISPERSANTE P/ AGUAS</t>
  </si>
  <si>
    <t>QUATERNARIO DE AMONIO 50% P/ AGUAS</t>
  </si>
  <si>
    <t>CAL VIRGEM - CLARISINA (BAG 1000KG)</t>
  </si>
  <si>
    <t>POLIMERO ANIONICO</t>
  </si>
  <si>
    <t>POLIMERO CATIONICO</t>
  </si>
  <si>
    <t>NEUTRALIZANTE DE ETANOL</t>
  </si>
  <si>
    <t>SODA CAUSTICA LIQUIDA 50%</t>
  </si>
  <si>
    <t>CÓDIGO</t>
  </si>
  <si>
    <t>NUTRIENTE COMPOSTO LIQUIDO P/ FERMENTACAO 25% N</t>
  </si>
  <si>
    <t>CONSUMO TOTAL                     (kg)</t>
  </si>
  <si>
    <t>ton</t>
  </si>
  <si>
    <t>L</t>
  </si>
  <si>
    <t>META</t>
  </si>
  <si>
    <t>DESVIO DA META</t>
  </si>
  <si>
    <t>ÁCIDO SULFÚRICO CONVERTIDO EM 98%</t>
  </si>
  <si>
    <t>ANTIBIÓTICO GERAL</t>
  </si>
  <si>
    <t>NITROGÊNIO CONVERTIDO EM NUTRIENTE 25%</t>
  </si>
  <si>
    <t>CUSTO MÉDIO (R$/kg)</t>
  </si>
  <si>
    <t>CUSTO               TOTAL               (R$)</t>
  </si>
  <si>
    <t>REPRESENTATIVIDADE NOS CUSTOS                                   (%)</t>
  </si>
  <si>
    <t>CUSTO TOTAL =</t>
  </si>
  <si>
    <t>CUSTO ESPECÍFICO =</t>
  </si>
  <si>
    <t>NUTRIENTE/UREIA</t>
  </si>
  <si>
    <t>BACTERICIDA</t>
  </si>
  <si>
    <t>TRATAMENTO DE ÁGUA DA TORRE</t>
  </si>
  <si>
    <t>NEUTRALIZANTE</t>
  </si>
  <si>
    <t>ANTIBIÓTICO</t>
  </si>
  <si>
    <t>REPRESENTATIVIDADE NOS CUSTOS</t>
  </si>
  <si>
    <t>TOTAL</t>
  </si>
  <si>
    <t>COMPARATIVO DE SAFRAS</t>
  </si>
  <si>
    <t>PRODUTOS DA TORRE</t>
  </si>
  <si>
    <t>g/TC</t>
  </si>
  <si>
    <t>R$/TC</t>
  </si>
  <si>
    <t>ACUMULADOS</t>
  </si>
  <si>
    <t>MOAGEM</t>
  </si>
  <si>
    <t>AÇÚCAR VHP</t>
  </si>
  <si>
    <t>ETANOL HIDRATADO</t>
  </si>
  <si>
    <t>scs</t>
  </si>
  <si>
    <t>R$/m³</t>
  </si>
  <si>
    <t>606.04</t>
  </si>
  <si>
    <t>26-30/04/2021</t>
  </si>
  <si>
    <t>Controle de Insumos - Safra 2017</t>
  </si>
  <si>
    <t>Estoque Inicial</t>
  </si>
  <si>
    <t>Compra</t>
  </si>
  <si>
    <t>Estoque Final</t>
  </si>
  <si>
    <t>Consumo Total           (kg)</t>
  </si>
  <si>
    <t>Consumo Específico</t>
  </si>
  <si>
    <t>Custo Final</t>
  </si>
  <si>
    <t>Gasto Específico</t>
  </si>
  <si>
    <t>ALM</t>
  </si>
  <si>
    <t>PRO</t>
  </si>
  <si>
    <t>Total</t>
  </si>
  <si>
    <t>Preço (R$/kg)</t>
  </si>
  <si>
    <t>Valor (R$)</t>
  </si>
  <si>
    <t>Preço Médio</t>
  </si>
  <si>
    <t>Centro de Custo 406002 - Fermentação</t>
  </si>
  <si>
    <t>Antibiótico Lactrol</t>
  </si>
  <si>
    <t>Antibiótico Kamoran</t>
  </si>
  <si>
    <t>Antibiótico Spectran 100E</t>
  </si>
  <si>
    <t>Fermacol - Antibiótico</t>
  </si>
  <si>
    <t>Antibiótico de Lúpulo - Lactostab</t>
  </si>
  <si>
    <t>Antibiótico Phibro Xact</t>
  </si>
  <si>
    <t>Quimaclor</t>
  </si>
  <si>
    <t>Nutriente Nitrofos M - LQ</t>
  </si>
  <si>
    <t>Dióxido de Cloro Estabilizado DF8804</t>
  </si>
  <si>
    <t>AC Dioxtab 10</t>
  </si>
  <si>
    <t>Biocida Organo Sulfuroso</t>
  </si>
  <si>
    <t>Centro de Custo 406005 - Torre de Resfriamento</t>
  </si>
  <si>
    <t>TOTAL:</t>
  </si>
  <si>
    <t>Dispersante Inorgânico 94 AT 8815</t>
  </si>
  <si>
    <t>Inibidor de Corrosão AT 8850</t>
  </si>
  <si>
    <t>Algicida Bactericida AT 8830</t>
  </si>
  <si>
    <t>Hypocal Biocida Oxidante</t>
  </si>
  <si>
    <t>Centro de Custo 407008 - Evaporação</t>
  </si>
  <si>
    <t>Centro de Custo 406003 - Destilação</t>
  </si>
  <si>
    <t>Neutralizante de Álcool - NA9900</t>
  </si>
  <si>
    <t>Centro de Custo 405503 - Decantação</t>
  </si>
  <si>
    <t>Polímero Aniônico Magnafloc LT30</t>
  </si>
  <si>
    <t>Polímero Flonex 5924</t>
  </si>
  <si>
    <t>Clarificante Clarial LP 40</t>
  </si>
  <si>
    <t>Polímero Aniônico Usifloc Extra</t>
  </si>
  <si>
    <t>Polímero Catiônico Praestol 851TR</t>
  </si>
  <si>
    <t>Polímero Praestol 2640Z</t>
  </si>
  <si>
    <t>Safra 2017</t>
  </si>
  <si>
    <t>Data de Início</t>
  </si>
  <si>
    <t>Moagem (TC)</t>
  </si>
  <si>
    <t>Data de Término</t>
  </si>
  <si>
    <t>Produção de Etanol (L)</t>
  </si>
  <si>
    <t>Comparativo entre Safras</t>
  </si>
  <si>
    <t>Safra 2014</t>
  </si>
  <si>
    <t>Safra 2015</t>
  </si>
  <si>
    <t>Safra 2016</t>
  </si>
  <si>
    <t>GRÁFICO</t>
  </si>
  <si>
    <t>Moagem</t>
  </si>
  <si>
    <t>Produção de Açúcar (scs)</t>
  </si>
  <si>
    <t>Custo Total (R$)</t>
  </si>
  <si>
    <t>Custo Específico (R$/TC)</t>
  </si>
  <si>
    <t>Consumo Total (kg)</t>
  </si>
  <si>
    <t>Soda Cáustica</t>
  </si>
  <si>
    <t>Polímero</t>
  </si>
  <si>
    <t>Decantador</t>
  </si>
  <si>
    <t>Filtro-Prensa</t>
  </si>
  <si>
    <t>Clarificante</t>
  </si>
  <si>
    <t>Ácido Sulfúrico (g/L)</t>
  </si>
  <si>
    <t>Antiespumante (g/L)</t>
  </si>
  <si>
    <t>Dispersante (g/L)</t>
  </si>
  <si>
    <t>Nutriente (g/L)</t>
  </si>
  <si>
    <t>Dióxido de Cloro (g/L)</t>
  </si>
  <si>
    <t>Soda Cáustica (g/TC)</t>
  </si>
  <si>
    <t>Cal (g/TC)</t>
  </si>
  <si>
    <t>Polímero (g/TC)</t>
  </si>
  <si>
    <t>Clarificante (g/TC)</t>
  </si>
  <si>
    <t>Custo Específico (R$/m³)</t>
  </si>
  <si>
    <t>Antiespumante + Dispersante</t>
  </si>
  <si>
    <t>Tratamento Torres de Resfriamento</t>
  </si>
  <si>
    <t>Açúcar</t>
  </si>
  <si>
    <t>Ácido Sulfúrico (26%)</t>
  </si>
  <si>
    <t>Cal (16%)</t>
  </si>
  <si>
    <t>Polímero (14%)</t>
  </si>
  <si>
    <t>Soda Cáustica (13%)</t>
  </si>
  <si>
    <t>Dispersante (12%)</t>
  </si>
  <si>
    <t>Antiespumante (7,5%)</t>
  </si>
  <si>
    <t>Dióxido de Cloro (3,9%)</t>
  </si>
  <si>
    <t>Tratamento Torre de Resfriamento (3,6%)</t>
  </si>
  <si>
    <t>Clarificante (1,0%)</t>
  </si>
  <si>
    <t>Nutriente (0,4%)</t>
  </si>
  <si>
    <t>Custo Total</t>
  </si>
  <si>
    <t>Custo Específico</t>
  </si>
  <si>
    <t>Ácido</t>
  </si>
  <si>
    <t>Custo AE + DP</t>
  </si>
  <si>
    <t>Torre de Resfriam.</t>
  </si>
  <si>
    <t>% Custos</t>
  </si>
  <si>
    <t>Controle de Insumos - Safra 2016/17</t>
  </si>
  <si>
    <t>Monicol PM - Antibiótico</t>
  </si>
  <si>
    <t>Antibiótico Kamoran WP</t>
  </si>
  <si>
    <t>Bactericida Bactan Plus</t>
  </si>
  <si>
    <t>Valores Semanais Safra 2016/17</t>
  </si>
  <si>
    <t>Acumulado Safra 2014</t>
  </si>
  <si>
    <t>Acumulado Safra 2015</t>
  </si>
  <si>
    <t>Acumulado Safra 2016</t>
  </si>
  <si>
    <t>Orçado Safra 2016</t>
  </si>
  <si>
    <t>Semana 1</t>
  </si>
  <si>
    <t>15/03 a 20/03</t>
  </si>
  <si>
    <t>Semana 2</t>
  </si>
  <si>
    <t>21/03 a 27/03</t>
  </si>
  <si>
    <t>Semana 3</t>
  </si>
  <si>
    <t>28/03 a 03/04</t>
  </si>
  <si>
    <t>Semana 4</t>
  </si>
  <si>
    <t>04/04 a 10/04</t>
  </si>
  <si>
    <t>Semana 5</t>
  </si>
  <si>
    <t>11/04 a 17/04</t>
  </si>
  <si>
    <t>Semana 6</t>
  </si>
  <si>
    <t>18/04 a 24/04</t>
  </si>
  <si>
    <t>Torre de Resfr.</t>
  </si>
  <si>
    <t>Semana 7</t>
  </si>
  <si>
    <t>25/04 a 01/05</t>
  </si>
  <si>
    <t>Semana 8</t>
  </si>
  <si>
    <t>02/05 a 08/05</t>
  </si>
  <si>
    <t>Semana 9</t>
  </si>
  <si>
    <t>09/05 a 15/05</t>
  </si>
  <si>
    <t>Custo Específico Total (R$/m³)</t>
  </si>
  <si>
    <t>Semana 10</t>
  </si>
  <si>
    <t>16/05 a 22/05</t>
  </si>
  <si>
    <t>Consumo Específico (g/L)</t>
  </si>
  <si>
    <t>Semana 11</t>
  </si>
  <si>
    <t>23/05 a 29/05</t>
  </si>
  <si>
    <t>Semana 12</t>
  </si>
  <si>
    <t>30/05 a 05/06</t>
  </si>
  <si>
    <t>Semana 13</t>
  </si>
  <si>
    <t>06/06 a 12/06</t>
  </si>
  <si>
    <t>Dióxido</t>
  </si>
  <si>
    <t>Semana 14</t>
  </si>
  <si>
    <t>13/06 a 19/06</t>
  </si>
  <si>
    <t>Semana 15</t>
  </si>
  <si>
    <t>20/06 a 26/06</t>
  </si>
  <si>
    <t>Semana 16</t>
  </si>
  <si>
    <t>27/06 a 03/07</t>
  </si>
  <si>
    <t>Semana 17</t>
  </si>
  <si>
    <t>04/07 a 10/07</t>
  </si>
  <si>
    <t>AE + DP</t>
  </si>
  <si>
    <t>Semana 18</t>
  </si>
  <si>
    <t>11/07 a 17/07</t>
  </si>
  <si>
    <t>Relação A/E</t>
  </si>
  <si>
    <t>Semana 19</t>
  </si>
  <si>
    <t>18/07 a 24/07</t>
  </si>
  <si>
    <t>Consumo (g/TC)</t>
  </si>
  <si>
    <t>Semana 20</t>
  </si>
  <si>
    <t>25/07 a 31/07</t>
  </si>
  <si>
    <t>Semana 21</t>
  </si>
  <si>
    <t>01/08 a 07/08</t>
  </si>
  <si>
    <t>Consumo de Polímeros (g/TC)</t>
  </si>
  <si>
    <t>Semana 22</t>
  </si>
  <si>
    <t>08/08 a 14/08</t>
  </si>
  <si>
    <t>Filtro-prensa</t>
  </si>
  <si>
    <t>Semana 23</t>
  </si>
  <si>
    <t>15/08 a 21/08</t>
  </si>
  <si>
    <t>Semana 24</t>
  </si>
  <si>
    <t>22/08 a 28/08</t>
  </si>
  <si>
    <t>Semana 25</t>
  </si>
  <si>
    <t>29/08 a 04/09</t>
  </si>
  <si>
    <t>Semana 26</t>
  </si>
  <si>
    <t>05/09 a 11/09</t>
  </si>
  <si>
    <t>Semana 27</t>
  </si>
  <si>
    <t>12/09 a 18/09</t>
  </si>
  <si>
    <t>Semana 28</t>
  </si>
  <si>
    <t>19/08 a 25/09</t>
  </si>
  <si>
    <t>Semana 29</t>
  </si>
  <si>
    <t>26/08 a 02/10</t>
  </si>
  <si>
    <t>Semana 30</t>
  </si>
  <si>
    <t>03/10 a 09/10</t>
  </si>
  <si>
    <t>Semana 31</t>
  </si>
  <si>
    <t>10/10 a 16/10</t>
  </si>
  <si>
    <t>Semana 32</t>
  </si>
  <si>
    <t>17/10 a 20/10</t>
  </si>
  <si>
    <t>Localização</t>
  </si>
  <si>
    <t>2016 previsto</t>
  </si>
  <si>
    <t>C.C</t>
  </si>
  <si>
    <t>Unidade</t>
  </si>
  <si>
    <t>Valor</t>
  </si>
  <si>
    <t>Estoque</t>
  </si>
  <si>
    <t>Valor de estoque</t>
  </si>
  <si>
    <t>Data</t>
  </si>
  <si>
    <t>2016 -previsto</t>
  </si>
  <si>
    <t>Ácido Sulfurico</t>
  </si>
  <si>
    <t>Ton</t>
  </si>
  <si>
    <t>Antibiotico Kamoran</t>
  </si>
  <si>
    <t>Kg</t>
  </si>
  <si>
    <t>Antibiotico Spectran</t>
  </si>
  <si>
    <t>Antibiotico Monicol</t>
  </si>
  <si>
    <t>Valor Gasto Total</t>
  </si>
  <si>
    <t>Antibiotico Fermacol</t>
  </si>
  <si>
    <t>Valor Gasto</t>
  </si>
  <si>
    <t>R$/TC Total</t>
  </si>
  <si>
    <t>Antiespumante Despumol</t>
  </si>
  <si>
    <t xml:space="preserve">R$/TC </t>
  </si>
  <si>
    <t>Nutriente Nitrofos</t>
  </si>
  <si>
    <t>Valor anual</t>
  </si>
  <si>
    <t>Torre da Fermentação</t>
  </si>
  <si>
    <t>AT 8815 - Dispersante Inorgânico</t>
  </si>
  <si>
    <t>AT 8850 - Inibidor de Corrosão</t>
  </si>
  <si>
    <t>AT 8830 - Algicida Bactericida</t>
  </si>
  <si>
    <t>Hypocal - Biocida Oxidante</t>
  </si>
  <si>
    <t>Destilação</t>
  </si>
  <si>
    <t>Soda Caustica Liquida 50%</t>
  </si>
  <si>
    <t>Tratamento/ Fábrica</t>
  </si>
  <si>
    <t>Cal Clarizina - Dolomitico Caltec</t>
  </si>
  <si>
    <t>Polimero Anionico Flonex 5924</t>
  </si>
  <si>
    <t>Polímero Anionico Flonex</t>
  </si>
  <si>
    <t>Pol Anionico Magnafloc LT30</t>
  </si>
  <si>
    <t>Lubrificantes</t>
  </si>
  <si>
    <t>Graxa AgriLub 3x</t>
  </si>
  <si>
    <t>Graxa Tufgear - Rodete Moenda</t>
  </si>
  <si>
    <t>Graxa MarfaK Tutela</t>
  </si>
  <si>
    <t>Graxa Lubrochem MH-EP</t>
  </si>
  <si>
    <t>Oleo Lubrificante mineral isso vg 460</t>
  </si>
  <si>
    <t>Oleo Lubrificante Tellus 68</t>
  </si>
  <si>
    <t>Oleo Lubrificante SAE 90</t>
  </si>
  <si>
    <t>Oleo Lubrificante Mineral 220</t>
  </si>
  <si>
    <t>Oleo Lubrificante Mineral 320</t>
  </si>
  <si>
    <t>Oleo Lubrificante Iorgail 25000</t>
  </si>
  <si>
    <t>Oleo Lubrificante Mineral 150</t>
  </si>
  <si>
    <t>Oleo Lubrificante Sintetico 320</t>
  </si>
  <si>
    <t>Oleo Lubrificante Sintetico 460 (Kluber)</t>
  </si>
  <si>
    <t>GRAXA LMCG 1/18 SKF</t>
  </si>
  <si>
    <t>Oleo Rocol 17000</t>
  </si>
  <si>
    <t>Moenda</t>
  </si>
  <si>
    <t>Eletrodo</t>
  </si>
  <si>
    <t>Arame Tubular Chapisco</t>
  </si>
  <si>
    <t>Bactan Plus</t>
  </si>
  <si>
    <t>TOTAL INSUMOS</t>
  </si>
  <si>
    <t>25-30/04/2020</t>
  </si>
  <si>
    <t>Consumo Específico Acumulado das Últimas 5 Safras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</si>
</sst>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8" formatCode="&quot;R$&quot;\ #,##0.00;[Red]\-&quot;R$&quot;\ #,##0.00"/>
    <numFmt numFmtId="43" formatCode="_-* #,##0.00_-;\-* #,##0.00_-;_-* &quot;-&quot;??_-;_-@_-"/>
    <numFmt numFmtId="164" formatCode="0.000"/>
    <numFmt numFmtId="165" formatCode="_(* #,##0_);_(* \(#,##0\);_(* &quot;-&quot;??_);_(@_)"/>
    <numFmt numFmtId="166" formatCode="0.0"/>
    <numFmt numFmtId="167" formatCode="0.000000"/>
    <numFmt numFmtId="168" formatCode="#,##0.0"/>
    <numFmt numFmtId="169" formatCode="#,##0.000"/>
    <numFmt numFmtId="170" formatCode="0.00\ &quot;g/L&quot;"/>
    <numFmt numFmtId="171" formatCode="0.000\ &quot;g/L&quot;"/>
    <numFmt numFmtId="172" formatCode="0.00\ &quot;g/TC&quot;"/>
    <numFmt numFmtId="173" formatCode="0\ &quot;g/TC&quot;"/>
    <numFmt numFmtId="174" formatCode="#,##0\ &quot;kg&quot;"/>
    <numFmt numFmtId="175" formatCode="&quot;R$&quot;\ #,##0.00"/>
    <numFmt numFmtId="176" formatCode="&quot;R$&quot;\ #,##0.00&quot;/ton&quot;"/>
    <numFmt numFmtId="177" formatCode="0.0000"/>
    <numFmt numFmtId="178" formatCode="&quot;R$ &quot;#,##0.00"/>
    <numFmt numFmtId="179" formatCode="d/m/yyyy"/>
    <numFmt numFmtId="180" formatCode="0.0%"/>
    <numFmt numFmtId="181" formatCode="#,##0.0000"/>
    <numFmt numFmtId="182" formatCode="&quot;R$&quot;\ #,##0.0000"/>
    <numFmt numFmtId="183" formatCode="&quot;R$&quot;\ #,##0.000"/>
  </numFmts>
  <fonts count="5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24"/>
      <color theme="1"/>
      <name val="Andalus"/>
      <family val="1"/>
    </font>
    <font>
      <sz val="20"/>
      <color theme="1"/>
      <name val="Andalus"/>
      <family val="1"/>
    </font>
    <font>
      <b/>
      <sz val="13"/>
      <color theme="1"/>
      <name val="Arial Narrow"/>
      <family val="2"/>
    </font>
    <font>
      <sz val="10"/>
      <name val="Arial"/>
      <family val="2"/>
    </font>
    <font>
      <sz val="9"/>
      <color indexed="81"/>
      <name val="Tahoma"/>
      <family val="2"/>
    </font>
    <font>
      <b/>
      <sz val="9"/>
      <color indexed="81"/>
      <name val="Tahoma"/>
      <family val="2"/>
    </font>
    <font>
      <sz val="10"/>
      <color theme="1"/>
      <name val="Arial"/>
      <family val="2"/>
    </font>
    <font>
      <sz val="10"/>
      <color theme="1"/>
      <name val="Calibri"/>
      <family val="2"/>
      <scheme val="minor"/>
    </font>
    <font>
      <sz val="9"/>
      <color indexed="81"/>
      <name val="Segoe UI"/>
      <family val="2"/>
    </font>
    <font>
      <b/>
      <sz val="9"/>
      <color indexed="81"/>
      <name val="Segoe UI"/>
      <family val="2"/>
    </font>
    <font>
      <b/>
      <sz val="11"/>
      <color rgb="FFFF0000"/>
      <name val="Calibri"/>
      <family val="2"/>
      <scheme val="minor"/>
    </font>
    <font>
      <b/>
      <sz val="11"/>
      <name val="Calibri"/>
      <family val="2"/>
      <scheme val="minor"/>
    </font>
    <font>
      <b/>
      <sz val="11"/>
      <color rgb="FF7030A0"/>
      <name val="Calibri"/>
      <family val="2"/>
      <scheme val="minor"/>
    </font>
    <font>
      <sz val="11"/>
      <color indexed="81"/>
      <name val="Segoe UI"/>
      <family val="2"/>
    </font>
    <font>
      <sz val="12"/>
      <color indexed="81"/>
      <name val="Segoe UI"/>
      <family val="2"/>
    </font>
    <font>
      <sz val="11"/>
      <color indexed="63"/>
      <name val="Calibri"/>
      <family val="2"/>
      <scheme val="minor"/>
    </font>
    <font>
      <sz val="11"/>
      <name val="Calibri"/>
      <family val="2"/>
      <scheme val="minor"/>
    </font>
    <font>
      <sz val="10"/>
      <name val="Arial"/>
      <family val="2"/>
    </font>
    <font>
      <sz val="11"/>
      <color theme="1"/>
      <name val="Calibri"/>
      <family val="2"/>
      <scheme val="minor"/>
    </font>
    <font>
      <sz val="16"/>
      <color theme="1"/>
      <name val="Calibri"/>
      <family val="2"/>
      <scheme val="minor"/>
    </font>
    <font>
      <sz val="11"/>
      <color theme="1"/>
      <name val="Arial Nova"/>
      <family val="2"/>
    </font>
    <font>
      <b/>
      <sz val="11"/>
      <color theme="1"/>
      <name val="Arial Nova"/>
      <family val="2"/>
    </font>
    <font>
      <b/>
      <sz val="18"/>
      <color theme="1"/>
      <name val="Calibri"/>
      <family val="2"/>
      <scheme val="minor"/>
    </font>
    <font>
      <sz val="8"/>
      <color rgb="FF000000"/>
      <name val="Calibri"/>
      <family val="2"/>
    </font>
    <font>
      <sz val="16"/>
      <color rgb="FF000000"/>
      <name val="Andalus"/>
      <family val="1"/>
    </font>
    <font>
      <b/>
      <sz val="14"/>
      <color theme="1"/>
      <name val="Calibri"/>
      <family val="2"/>
      <scheme val="minor"/>
    </font>
    <font>
      <sz val="18"/>
      <color rgb="FF000000"/>
      <name val="Andalus"/>
      <family val="1"/>
    </font>
    <font>
      <b/>
      <sz val="12"/>
      <color theme="1"/>
      <name val="Calibri"/>
      <family val="2"/>
      <scheme val="minor"/>
    </font>
    <font>
      <sz val="9"/>
      <color theme="1"/>
      <name val="Calibri"/>
      <family val="2"/>
      <scheme val="minor"/>
    </font>
    <font>
      <sz val="11"/>
      <color rgb="FF000000"/>
      <name val="Calibri"/>
      <family val="2"/>
      <charset val="1"/>
    </font>
    <font>
      <sz val="20"/>
      <color rgb="FF000000"/>
      <name val="Andalus"/>
      <family val="1"/>
      <charset val="1"/>
    </font>
    <font>
      <b/>
      <sz val="11"/>
      <name val="Calibri"/>
      <family val="2"/>
      <charset val="1"/>
    </font>
    <font>
      <b/>
      <sz val="11"/>
      <color rgb="FF000000"/>
      <name val="Calibri"/>
      <family val="2"/>
      <charset val="1"/>
    </font>
    <font>
      <b/>
      <sz val="13"/>
      <color rgb="FF000000"/>
      <name val="Arial Narrow"/>
      <family val="2"/>
      <charset val="1"/>
    </font>
    <font>
      <sz val="11"/>
      <color rgb="FF000000"/>
      <name val="Andalus"/>
      <family val="1"/>
      <charset val="1"/>
    </font>
    <font>
      <b/>
      <sz val="11"/>
      <color rgb="FFFFFFFF"/>
      <name val="Calibri"/>
      <family val="2"/>
      <charset val="1"/>
    </font>
    <font>
      <b/>
      <sz val="13"/>
      <color rgb="FFFFFFFF"/>
      <name val="Arial Narrow"/>
      <family val="2"/>
      <charset val="1"/>
    </font>
    <font>
      <b/>
      <sz val="11"/>
      <color rgb="FF000000"/>
      <name val="Calibri"/>
      <family val="2"/>
    </font>
    <font>
      <b/>
      <sz val="11"/>
      <name val="Arial"/>
      <family val="2"/>
    </font>
    <font>
      <b/>
      <sz val="12"/>
      <name val="Calibri"/>
      <family val="2"/>
      <scheme val="minor"/>
    </font>
    <font>
      <b/>
      <sz val="10"/>
      <color theme="1"/>
      <name val="Calibri"/>
      <family val="2"/>
      <scheme val="minor"/>
    </font>
    <font>
      <b/>
      <sz val="10"/>
      <name val="Calibri"/>
      <family val="2"/>
      <scheme val="minor"/>
    </font>
    <font>
      <sz val="12"/>
      <name val="Arial"/>
      <family val="2"/>
    </font>
    <font>
      <sz val="10"/>
      <name val="Calibri"/>
      <family val="2"/>
      <scheme val="minor"/>
    </font>
    <font>
      <b/>
      <sz val="11"/>
      <color theme="0"/>
      <name val="Arial"/>
      <family val="2"/>
    </font>
    <font>
      <sz val="11"/>
      <color rgb="FF000000"/>
      <name val="Calibri"/>
      <family val="2"/>
      <scheme val="minor"/>
    </font>
    <font>
      <b/>
      <sz val="16"/>
      <color theme="1"/>
      <name val="Calibri"/>
      <family val="2"/>
      <scheme val="minor"/>
    </font>
  </fonts>
  <fills count="37">
    <fill>
      <patternFill patternType="none"/>
    </fill>
    <fill>
      <patternFill patternType="gray125"/>
    </fill>
    <fill>
      <patternFill patternType="solid">
        <fgColor theme="6" tint="-0.499984740745262"/>
        <bgColor indexed="64"/>
      </patternFill>
    </fill>
    <fill>
      <patternFill patternType="solid">
        <fgColor theme="6" tint="0.39997558519241921"/>
        <bgColor indexed="64"/>
      </patternFill>
    </fill>
    <fill>
      <patternFill patternType="solid">
        <fgColor theme="6"/>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rgb="FFFFFF99"/>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rgb="FFFFC000"/>
        <bgColor indexed="64"/>
      </patternFill>
    </fill>
    <fill>
      <patternFill patternType="solid">
        <fgColor rgb="FF0070C0"/>
        <bgColor indexed="64"/>
      </patternFill>
    </fill>
    <fill>
      <patternFill patternType="solid">
        <fgColor rgb="FF00B05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rgb="FF00B0F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E4ECF4"/>
        <bgColor indexed="64"/>
      </patternFill>
    </fill>
    <fill>
      <patternFill patternType="solid">
        <fgColor theme="8" tint="0.79998168889431442"/>
        <bgColor indexed="64"/>
      </patternFill>
    </fill>
    <fill>
      <patternFill patternType="solid">
        <fgColor rgb="FF9BBB59"/>
        <bgColor rgb="FF969696"/>
      </patternFill>
    </fill>
    <fill>
      <patternFill patternType="solid">
        <fgColor rgb="FFC3D69B"/>
        <bgColor rgb="FFD7E4BD"/>
      </patternFill>
    </fill>
    <fill>
      <patternFill patternType="solid">
        <fgColor rgb="FFD7E4BD"/>
        <bgColor rgb="FFC6EFCE"/>
      </patternFill>
    </fill>
    <fill>
      <patternFill patternType="solid">
        <fgColor rgb="FFF2F2F2"/>
        <bgColor rgb="FFEBF1DE"/>
      </patternFill>
    </fill>
    <fill>
      <patternFill patternType="solid">
        <fgColor rgb="FF4F6228"/>
        <bgColor rgb="FF666699"/>
      </patternFill>
    </fill>
    <fill>
      <patternFill patternType="solid">
        <fgColor rgb="FFEBF1DE"/>
        <bgColor rgb="FFF2F2F2"/>
      </patternFill>
    </fill>
    <fill>
      <patternFill patternType="solid">
        <fgColor theme="3" tint="0.39997558519241921"/>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theme="1"/>
      </left>
      <right/>
      <top/>
      <bottom/>
      <diagonal/>
    </border>
    <border>
      <left style="medium">
        <color theme="1"/>
      </left>
      <right/>
      <top/>
      <bottom style="medium">
        <color theme="1"/>
      </bottom>
      <diagonal/>
    </border>
    <border>
      <left/>
      <right/>
      <top/>
      <bottom style="medium">
        <color theme="1"/>
      </bottom>
      <diagonal/>
    </border>
  </borders>
  <cellStyleXfs count="6">
    <xf numFmtId="0" fontId="0" fillId="0" borderId="0"/>
    <xf numFmtId="0" fontId="7" fillId="0" borderId="0"/>
    <xf numFmtId="165" fontId="7" fillId="0" borderId="0" applyFont="0" applyFill="0" applyBorder="0" applyAlignment="0" applyProtection="0"/>
    <xf numFmtId="0" fontId="21" fillId="0" borderId="0"/>
    <xf numFmtId="9" fontId="22" fillId="0" borderId="0" applyFont="0" applyFill="0" applyBorder="0" applyAlignment="0" applyProtection="0"/>
    <xf numFmtId="43" fontId="22" fillId="0" borderId="0" applyFont="0" applyFill="0" applyBorder="0" applyAlignment="0" applyProtection="0"/>
  </cellStyleXfs>
  <cellXfs count="1259">
    <xf numFmtId="0" fontId="0" fillId="0" borderId="0" xfId="0"/>
    <xf numFmtId="0" fontId="0" fillId="0" borderId="0" xfId="0" applyAlignment="1">
      <alignment horizontal="center"/>
    </xf>
    <xf numFmtId="0" fontId="5" fillId="0" borderId="2" xfId="0" applyFont="1" applyBorder="1" applyAlignment="1">
      <alignment vertical="center"/>
    </xf>
    <xf numFmtId="0" fontId="1" fillId="2" borderId="4" xfId="0" applyFont="1" applyFill="1" applyBorder="1" applyAlignment="1">
      <alignment horizontal="center" vertical="center" wrapText="1"/>
    </xf>
    <xf numFmtId="0" fontId="6" fillId="3" borderId="5" xfId="0" applyFont="1" applyFill="1" applyBorder="1" applyAlignment="1">
      <alignment vertical="center"/>
    </xf>
    <xf numFmtId="0" fontId="6" fillId="3" borderId="6" xfId="0" applyFont="1" applyFill="1" applyBorder="1" applyAlignment="1">
      <alignment vertical="center"/>
    </xf>
    <xf numFmtId="0" fontId="2" fillId="3" borderId="6" xfId="0" applyFont="1" applyFill="1" applyBorder="1" applyAlignment="1">
      <alignment vertical="center"/>
    </xf>
    <xf numFmtId="0" fontId="2" fillId="3" borderId="7" xfId="0" applyFont="1" applyFill="1" applyBorder="1" applyAlignment="1">
      <alignment vertical="center"/>
    </xf>
    <xf numFmtId="0" fontId="2" fillId="4" borderId="1" xfId="0" applyFont="1" applyFill="1" applyBorder="1" applyAlignment="1">
      <alignment horizontal="center" vertical="center" wrapText="1"/>
    </xf>
    <xf numFmtId="1" fontId="0" fillId="5" borderId="1" xfId="0" applyNumberFormat="1" applyFill="1" applyBorder="1" applyAlignment="1">
      <alignment horizontal="center" vertical="center"/>
    </xf>
    <xf numFmtId="0" fontId="2" fillId="6" borderId="1" xfId="0" applyFont="1" applyFill="1" applyBorder="1" applyAlignment="1">
      <alignment horizontal="left" vertical="center"/>
    </xf>
    <xf numFmtId="3"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 fontId="0" fillId="4" borderId="1" xfId="0" applyNumberFormat="1" applyFill="1" applyBorder="1" applyAlignment="1">
      <alignment horizontal="center" vertical="center"/>
    </xf>
    <xf numFmtId="3" fontId="0" fillId="0" borderId="1" xfId="0" applyNumberFormat="1" applyBorder="1" applyAlignment="1">
      <alignment horizontal="center" vertical="center"/>
    </xf>
    <xf numFmtId="2" fontId="0" fillId="0" borderId="1" xfId="0" applyNumberFormat="1" applyBorder="1" applyAlignment="1">
      <alignment horizontal="center" vertical="center"/>
    </xf>
    <xf numFmtId="3" fontId="0" fillId="8" borderId="1" xfId="0" applyNumberFormat="1" applyFill="1" applyBorder="1" applyAlignment="1">
      <alignment horizontal="center"/>
    </xf>
    <xf numFmtId="3" fontId="0" fillId="0" borderId="0" xfId="0" applyNumberFormat="1"/>
    <xf numFmtId="3" fontId="0" fillId="0" borderId="0" xfId="0" applyNumberFormat="1" applyAlignment="1">
      <alignment horizontal="center"/>
    </xf>
    <xf numFmtId="3" fontId="0" fillId="0" borderId="0" xfId="0" applyNumberFormat="1" applyAlignment="1">
      <alignment horizontal="center" vertical="center"/>
    </xf>
    <xf numFmtId="2" fontId="0" fillId="0" borderId="0" xfId="0" applyNumberFormat="1" applyAlignment="1">
      <alignment horizontal="center" vertical="center"/>
    </xf>
    <xf numFmtId="3" fontId="0" fillId="4" borderId="1" xfId="0" applyNumberFormat="1" applyFill="1" applyBorder="1" applyAlignment="1">
      <alignment horizontal="center" vertical="center"/>
    </xf>
    <xf numFmtId="0" fontId="2" fillId="4" borderId="4" xfId="0" applyFont="1" applyFill="1" applyBorder="1" applyAlignment="1">
      <alignment horizontal="center" vertical="center" wrapText="1"/>
    </xf>
    <xf numFmtId="2" fontId="0" fillId="4" borderId="1" xfId="0" applyNumberForma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3" fontId="0" fillId="0" borderId="1" xfId="0" applyNumberFormat="1" applyBorder="1" applyAlignment="1">
      <alignment horizontal="center"/>
    </xf>
    <xf numFmtId="164" fontId="0" fillId="0" borderId="1" xfId="0" applyNumberFormat="1" applyBorder="1" applyAlignment="1">
      <alignment horizontal="center" vertical="center"/>
    </xf>
    <xf numFmtId="2" fontId="0" fillId="0" borderId="4" xfId="0" applyNumberFormat="1" applyBorder="1" applyAlignment="1">
      <alignment horizontal="center" vertical="center"/>
    </xf>
    <xf numFmtId="164" fontId="0" fillId="0" borderId="0" xfId="0" applyNumberFormat="1" applyAlignment="1">
      <alignment horizontal="center" vertical="center"/>
    </xf>
    <xf numFmtId="14" fontId="0" fillId="0" borderId="0" xfId="0" applyNumberFormat="1" applyAlignment="1">
      <alignment horizontal="center"/>
    </xf>
    <xf numFmtId="2" fontId="0" fillId="0" borderId="0" xfId="0" applyNumberFormat="1"/>
    <xf numFmtId="0" fontId="0" fillId="0" borderId="14" xfId="0" applyBorder="1" applyAlignment="1">
      <alignment horizontal="center"/>
    </xf>
    <xf numFmtId="0" fontId="0" fillId="0" borderId="14" xfId="0" applyBorder="1"/>
    <xf numFmtId="0" fontId="0" fillId="0" borderId="16" xfId="0" applyBorder="1"/>
    <xf numFmtId="0" fontId="0" fillId="9" borderId="0" xfId="0" applyFill="1" applyAlignment="1">
      <alignment horizontal="center"/>
    </xf>
    <xf numFmtId="2" fontId="0" fillId="9" borderId="0" xfId="0" applyNumberFormat="1" applyFill="1" applyAlignment="1">
      <alignment horizontal="center"/>
    </xf>
    <xf numFmtId="3" fontId="0" fillId="9" borderId="0" xfId="0" applyNumberFormat="1" applyFill="1" applyAlignment="1">
      <alignment horizontal="center"/>
    </xf>
    <xf numFmtId="0" fontId="0" fillId="3" borderId="3" xfId="0" applyFill="1" applyBorder="1" applyAlignment="1">
      <alignment horizontal="center" vertical="center" textRotation="90"/>
    </xf>
    <xf numFmtId="0" fontId="0" fillId="3" borderId="3" xfId="0" applyFill="1" applyBorder="1" applyAlignment="1">
      <alignment horizontal="center" vertical="center" textRotation="90" wrapText="1"/>
    </xf>
    <xf numFmtId="0" fontId="0" fillId="3" borderId="14" xfId="0" applyFill="1" applyBorder="1" applyAlignment="1">
      <alignment horizontal="center"/>
    </xf>
    <xf numFmtId="0" fontId="0" fillId="3" borderId="0" xfId="0" applyFill="1" applyAlignment="1">
      <alignment horizontal="center"/>
    </xf>
    <xf numFmtId="2" fontId="0" fillId="3" borderId="0" xfId="0" applyNumberFormat="1" applyFill="1" applyAlignment="1">
      <alignment horizontal="center"/>
    </xf>
    <xf numFmtId="3" fontId="0" fillId="3" borderId="0" xfId="0" applyNumberFormat="1" applyFill="1" applyAlignment="1">
      <alignment horizontal="center"/>
    </xf>
    <xf numFmtId="0" fontId="0" fillId="3" borderId="0" xfId="0" applyFill="1"/>
    <xf numFmtId="0" fontId="0" fillId="3" borderId="17" xfId="0" applyFill="1" applyBorder="1"/>
    <xf numFmtId="0" fontId="0" fillId="10" borderId="20" xfId="0" applyFill="1" applyBorder="1" applyAlignment="1">
      <alignment horizontal="center" vertical="center" textRotation="90"/>
    </xf>
    <xf numFmtId="0" fontId="0" fillId="10" borderId="3" xfId="0" applyFill="1" applyBorder="1" applyAlignment="1">
      <alignment horizontal="center" vertical="center" textRotation="90"/>
    </xf>
    <xf numFmtId="0" fontId="0" fillId="10" borderId="3" xfId="0" applyFill="1" applyBorder="1" applyAlignment="1">
      <alignment horizontal="center" vertical="center" textRotation="90" wrapText="1"/>
    </xf>
    <xf numFmtId="0" fontId="0" fillId="10" borderId="14" xfId="0" applyFill="1" applyBorder="1" applyAlignment="1">
      <alignment horizontal="center"/>
    </xf>
    <xf numFmtId="0" fontId="0" fillId="10" borderId="0" xfId="0" applyFill="1" applyAlignment="1">
      <alignment horizontal="center"/>
    </xf>
    <xf numFmtId="2" fontId="0" fillId="10" borderId="0" xfId="0" applyNumberFormat="1" applyFill="1" applyAlignment="1">
      <alignment horizontal="center"/>
    </xf>
    <xf numFmtId="3" fontId="0" fillId="10" borderId="0" xfId="0" applyNumberFormat="1" applyFill="1" applyAlignment="1">
      <alignment horizontal="center"/>
    </xf>
    <xf numFmtId="0" fontId="0" fillId="11" borderId="7" xfId="0" applyFill="1" applyBorder="1" applyAlignment="1">
      <alignment horizontal="center" vertical="center" textRotation="90"/>
    </xf>
    <xf numFmtId="0" fontId="0" fillId="11" borderId="1" xfId="0" applyFill="1" applyBorder="1" applyAlignment="1">
      <alignment horizontal="center" vertical="center" textRotation="90"/>
    </xf>
    <xf numFmtId="0" fontId="0" fillId="11" borderId="1" xfId="0" applyFill="1" applyBorder="1" applyAlignment="1">
      <alignment horizontal="center" vertical="center" textRotation="90" wrapText="1"/>
    </xf>
    <xf numFmtId="0" fontId="0" fillId="11" borderId="0" xfId="0" applyFill="1" applyAlignment="1">
      <alignment horizontal="center"/>
    </xf>
    <xf numFmtId="3" fontId="0" fillId="11" borderId="0" xfId="0" applyNumberFormat="1" applyFill="1" applyAlignment="1">
      <alignment horizontal="center"/>
    </xf>
    <xf numFmtId="1" fontId="0" fillId="11" borderId="0" xfId="0" applyNumberFormat="1" applyFill="1" applyAlignment="1">
      <alignment horizontal="center"/>
    </xf>
    <xf numFmtId="0" fontId="0" fillId="11" borderId="0" xfId="0" applyFill="1"/>
    <xf numFmtId="0" fontId="0" fillId="12" borderId="20" xfId="0" applyFill="1" applyBorder="1" applyAlignment="1">
      <alignment horizontal="center" vertical="center" textRotation="90"/>
    </xf>
    <xf numFmtId="0" fontId="0" fillId="12" borderId="3" xfId="0" applyFill="1" applyBorder="1" applyAlignment="1">
      <alignment horizontal="center" vertical="center" textRotation="90"/>
    </xf>
    <xf numFmtId="0" fontId="0" fillId="12" borderId="3" xfId="0" applyFill="1" applyBorder="1" applyAlignment="1">
      <alignment horizontal="center" vertical="center" textRotation="90" wrapText="1"/>
    </xf>
    <xf numFmtId="0" fontId="0" fillId="12" borderId="14" xfId="0" applyFill="1" applyBorder="1" applyAlignment="1">
      <alignment horizontal="center"/>
    </xf>
    <xf numFmtId="0" fontId="0" fillId="12" borderId="0" xfId="0" applyFill="1" applyAlignment="1">
      <alignment horizontal="center"/>
    </xf>
    <xf numFmtId="2" fontId="0" fillId="12" borderId="0" xfId="0" applyNumberFormat="1" applyFill="1" applyAlignment="1">
      <alignment horizontal="center"/>
    </xf>
    <xf numFmtId="3" fontId="0" fillId="12" borderId="0" xfId="0" applyNumberFormat="1" applyFill="1" applyAlignment="1">
      <alignment horizontal="center"/>
    </xf>
    <xf numFmtId="0" fontId="0" fillId="13" borderId="0" xfId="0" applyFill="1" applyAlignment="1">
      <alignment horizontal="center"/>
    </xf>
    <xf numFmtId="2" fontId="0" fillId="13" borderId="0" xfId="0" applyNumberFormat="1" applyFill="1" applyAlignment="1">
      <alignment horizontal="center"/>
    </xf>
    <xf numFmtId="1" fontId="0" fillId="13" borderId="0" xfId="0" applyNumberFormat="1" applyFill="1" applyAlignment="1">
      <alignment horizontal="center" wrapText="1"/>
    </xf>
    <xf numFmtId="0" fontId="0" fillId="14" borderId="14" xfId="0" applyFill="1" applyBorder="1" applyAlignment="1">
      <alignment horizontal="center"/>
    </xf>
    <xf numFmtId="0" fontId="0" fillId="14" borderId="0" xfId="0" applyFill="1" applyAlignment="1">
      <alignment horizontal="center"/>
    </xf>
    <xf numFmtId="2" fontId="0" fillId="14" borderId="0" xfId="0" applyNumberFormat="1" applyFill="1" applyAlignment="1">
      <alignment horizontal="center"/>
    </xf>
    <xf numFmtId="1" fontId="0" fillId="14" borderId="0" xfId="0" applyNumberFormat="1" applyFill="1" applyAlignment="1">
      <alignment horizontal="center" wrapText="1"/>
    </xf>
    <xf numFmtId="1" fontId="0" fillId="9" borderId="0" xfId="0" applyNumberFormat="1" applyFill="1" applyAlignment="1">
      <alignment horizontal="center"/>
    </xf>
    <xf numFmtId="0" fontId="0" fillId="3" borderId="21" xfId="0" applyFill="1" applyBorder="1" applyAlignment="1">
      <alignment horizontal="center" vertical="center" textRotation="90"/>
    </xf>
    <xf numFmtId="0" fontId="0" fillId="9" borderId="17" xfId="0" applyFill="1" applyBorder="1" applyAlignment="1">
      <alignment horizontal="center"/>
    </xf>
    <xf numFmtId="0" fontId="0" fillId="9" borderId="14" xfId="0" applyFill="1" applyBorder="1" applyAlignment="1">
      <alignment horizontal="center"/>
    </xf>
    <xf numFmtId="0" fontId="0" fillId="0" borderId="17" xfId="0" applyBorder="1" applyAlignment="1">
      <alignment horizontal="center"/>
    </xf>
    <xf numFmtId="0" fontId="0" fillId="9" borderId="16" xfId="0" applyFill="1" applyBorder="1" applyAlignment="1">
      <alignment horizontal="center"/>
    </xf>
    <xf numFmtId="2" fontId="0" fillId="9" borderId="17" xfId="0" applyNumberFormat="1" applyFill="1" applyBorder="1" applyAlignment="1">
      <alignment horizontal="center"/>
    </xf>
    <xf numFmtId="1" fontId="0" fillId="9" borderId="17" xfId="0" applyNumberFormat="1" applyFill="1" applyBorder="1" applyAlignment="1">
      <alignment horizontal="center"/>
    </xf>
    <xf numFmtId="0" fontId="0" fillId="10" borderId="17" xfId="0" applyFill="1" applyBorder="1" applyAlignment="1">
      <alignment horizontal="center"/>
    </xf>
    <xf numFmtId="0" fontId="0" fillId="10" borderId="16" xfId="0" applyFill="1" applyBorder="1" applyAlignment="1">
      <alignment horizontal="center"/>
    </xf>
    <xf numFmtId="2" fontId="0" fillId="10" borderId="17" xfId="0" applyNumberFormat="1" applyFill="1" applyBorder="1" applyAlignment="1">
      <alignment horizontal="center"/>
    </xf>
    <xf numFmtId="0" fontId="0" fillId="12" borderId="17" xfId="0" applyFill="1" applyBorder="1" applyAlignment="1">
      <alignment horizontal="center"/>
    </xf>
    <xf numFmtId="2" fontId="0" fillId="12" borderId="17" xfId="0" applyNumberFormat="1" applyFill="1" applyBorder="1" applyAlignment="1">
      <alignment horizontal="center"/>
    </xf>
    <xf numFmtId="0" fontId="0" fillId="11" borderId="16" xfId="0" applyFill="1" applyBorder="1" applyAlignment="1">
      <alignment horizontal="center"/>
    </xf>
    <xf numFmtId="0" fontId="0" fillId="11" borderId="17" xfId="0" applyFill="1" applyBorder="1" applyAlignment="1">
      <alignment horizontal="center"/>
    </xf>
    <xf numFmtId="1" fontId="0" fillId="11" borderId="17" xfId="0" applyNumberFormat="1" applyFill="1" applyBorder="1" applyAlignment="1">
      <alignment horizontal="center"/>
    </xf>
    <xf numFmtId="0" fontId="0" fillId="11" borderId="14" xfId="0" applyFill="1" applyBorder="1" applyAlignment="1">
      <alignment horizontal="center"/>
    </xf>
    <xf numFmtId="164" fontId="0" fillId="0" borderId="0" xfId="0" applyNumberFormat="1" applyAlignment="1">
      <alignment horizontal="center"/>
    </xf>
    <xf numFmtId="164" fontId="0" fillId="0" borderId="17" xfId="0" applyNumberFormat="1" applyBorder="1" applyAlignment="1">
      <alignment horizontal="center" vertical="center"/>
    </xf>
    <xf numFmtId="164" fontId="0" fillId="0" borderId="15" xfId="0" applyNumberFormat="1" applyBorder="1" applyAlignment="1">
      <alignment horizontal="center"/>
    </xf>
    <xf numFmtId="164" fontId="0" fillId="0" borderId="18" xfId="0" applyNumberFormat="1" applyBorder="1" applyAlignment="1">
      <alignment horizontal="center"/>
    </xf>
    <xf numFmtId="0" fontId="0" fillId="3" borderId="16" xfId="0" applyFill="1" applyBorder="1" applyAlignment="1">
      <alignment horizontal="center"/>
    </xf>
    <xf numFmtId="0" fontId="0" fillId="3" borderId="17" xfId="0" applyFill="1" applyBorder="1" applyAlignment="1">
      <alignment horizontal="center"/>
    </xf>
    <xf numFmtId="2" fontId="0" fillId="3" borderId="17" xfId="0" applyNumberFormat="1" applyFill="1" applyBorder="1" applyAlignment="1">
      <alignment horizontal="center"/>
    </xf>
    <xf numFmtId="0" fontId="0" fillId="9" borderId="0" xfId="0" applyFill="1"/>
    <xf numFmtId="0" fontId="0" fillId="9" borderId="0" xfId="0" applyFill="1" applyAlignment="1">
      <alignment horizontal="center" vertical="center"/>
    </xf>
    <xf numFmtId="0" fontId="0" fillId="11" borderId="17" xfId="0" applyFill="1" applyBorder="1"/>
    <xf numFmtId="0" fontId="0" fillId="13" borderId="17" xfId="0" applyFill="1" applyBorder="1" applyAlignment="1">
      <alignment horizontal="center"/>
    </xf>
    <xf numFmtId="2" fontId="0" fillId="13" borderId="2" xfId="0" applyNumberFormat="1" applyFill="1" applyBorder="1" applyAlignment="1">
      <alignment horizontal="center"/>
    </xf>
    <xf numFmtId="1" fontId="0" fillId="13" borderId="2" xfId="0" applyNumberFormat="1" applyFill="1" applyBorder="1" applyAlignment="1">
      <alignment horizontal="center" wrapText="1"/>
    </xf>
    <xf numFmtId="0" fontId="0" fillId="14" borderId="17" xfId="0" applyFill="1" applyBorder="1" applyAlignment="1">
      <alignment horizontal="center"/>
    </xf>
    <xf numFmtId="2" fontId="0" fillId="14" borderId="17" xfId="0" applyNumberFormat="1" applyFill="1" applyBorder="1" applyAlignment="1">
      <alignment horizontal="center"/>
    </xf>
    <xf numFmtId="1" fontId="0" fillId="14" borderId="17" xfId="0" applyNumberFormat="1" applyFill="1" applyBorder="1" applyAlignment="1">
      <alignment horizontal="center" wrapText="1"/>
    </xf>
    <xf numFmtId="14" fontId="0" fillId="0" borderId="15" xfId="0" applyNumberFormat="1" applyBorder="1" applyAlignment="1">
      <alignment horizontal="center"/>
    </xf>
    <xf numFmtId="0" fontId="0" fillId="15" borderId="0" xfId="0" applyFill="1" applyAlignment="1">
      <alignment horizontal="center"/>
    </xf>
    <xf numFmtId="0" fontId="0" fillId="0" borderId="16" xfId="0" applyBorder="1" applyAlignment="1">
      <alignment horizontal="center"/>
    </xf>
    <xf numFmtId="164" fontId="0" fillId="0" borderId="17" xfId="0" applyNumberFormat="1" applyBorder="1" applyAlignment="1">
      <alignment horizontal="center"/>
    </xf>
    <xf numFmtId="2" fontId="0" fillId="13" borderId="17" xfId="0" applyNumberFormat="1" applyFill="1" applyBorder="1" applyAlignment="1">
      <alignment horizontal="center"/>
    </xf>
    <xf numFmtId="1" fontId="0" fillId="13" borderId="17" xfId="0" applyNumberFormat="1" applyFill="1" applyBorder="1" applyAlignment="1">
      <alignment horizontal="center" wrapText="1"/>
    </xf>
    <xf numFmtId="0" fontId="0" fillId="14" borderId="16" xfId="0" applyFill="1" applyBorder="1" applyAlignment="1">
      <alignment horizontal="center"/>
    </xf>
    <xf numFmtId="1" fontId="0" fillId="0" borderId="0" xfId="0" applyNumberFormat="1" applyAlignment="1">
      <alignment horizontal="center"/>
    </xf>
    <xf numFmtId="2" fontId="0" fillId="0" borderId="0" xfId="0" applyNumberFormat="1" applyAlignment="1">
      <alignment horizontal="center"/>
    </xf>
    <xf numFmtId="2" fontId="10" fillId="0" borderId="0" xfId="0" applyNumberFormat="1" applyFont="1" applyAlignment="1">
      <alignment horizontal="center"/>
    </xf>
    <xf numFmtId="0" fontId="0" fillId="9" borderId="23" xfId="0" applyFill="1" applyBorder="1" applyAlignment="1">
      <alignment horizontal="center"/>
    </xf>
    <xf numFmtId="0" fontId="0" fillId="9" borderId="2" xfId="0" applyFill="1" applyBorder="1" applyAlignment="1">
      <alignment horizontal="center"/>
    </xf>
    <xf numFmtId="2" fontId="0" fillId="9" borderId="2" xfId="0" applyNumberFormat="1" applyFill="1" applyBorder="1" applyAlignment="1">
      <alignment horizontal="center"/>
    </xf>
    <xf numFmtId="1" fontId="0" fillId="9" borderId="2" xfId="0" applyNumberFormat="1" applyFill="1" applyBorder="1" applyAlignment="1">
      <alignment horizontal="center"/>
    </xf>
    <xf numFmtId="0" fontId="0" fillId="10" borderId="23" xfId="0" applyFill="1" applyBorder="1" applyAlignment="1">
      <alignment horizontal="center"/>
    </xf>
    <xf numFmtId="0" fontId="0" fillId="10" borderId="2" xfId="0" applyFill="1" applyBorder="1" applyAlignment="1">
      <alignment horizontal="center"/>
    </xf>
    <xf numFmtId="2" fontId="0" fillId="10" borderId="2" xfId="0" applyNumberFormat="1" applyFill="1" applyBorder="1" applyAlignment="1">
      <alignment horizontal="center"/>
    </xf>
    <xf numFmtId="0" fontId="0" fillId="3" borderId="23" xfId="0" applyFill="1" applyBorder="1" applyAlignment="1">
      <alignment horizontal="center"/>
    </xf>
    <xf numFmtId="0" fontId="0" fillId="3" borderId="2" xfId="0" applyFill="1" applyBorder="1" applyAlignment="1">
      <alignment horizontal="center"/>
    </xf>
    <xf numFmtId="2" fontId="0" fillId="3" borderId="2" xfId="0" applyNumberFormat="1" applyFill="1" applyBorder="1" applyAlignment="1">
      <alignment horizontal="center"/>
    </xf>
    <xf numFmtId="0" fontId="0" fillId="11" borderId="23" xfId="0" applyFill="1" applyBorder="1" applyAlignment="1">
      <alignment horizontal="center"/>
    </xf>
    <xf numFmtId="0" fontId="0" fillId="11" borderId="2" xfId="0" applyFill="1" applyBorder="1"/>
    <xf numFmtId="0" fontId="0" fillId="11" borderId="2" xfId="0" applyFill="1" applyBorder="1" applyAlignment="1">
      <alignment horizontal="center"/>
    </xf>
    <xf numFmtId="1" fontId="0" fillId="11" borderId="2" xfId="0" applyNumberFormat="1" applyFill="1" applyBorder="1" applyAlignment="1">
      <alignment horizontal="center"/>
    </xf>
    <xf numFmtId="0" fontId="0" fillId="12" borderId="23" xfId="0" applyFill="1" applyBorder="1" applyAlignment="1">
      <alignment horizontal="center"/>
    </xf>
    <xf numFmtId="0" fontId="0" fillId="12" borderId="2" xfId="0" applyFill="1" applyBorder="1" applyAlignment="1">
      <alignment horizontal="center"/>
    </xf>
    <xf numFmtId="0" fontId="0" fillId="12" borderId="0" xfId="0" applyFill="1"/>
    <xf numFmtId="2" fontId="0" fillId="12" borderId="2" xfId="0" applyNumberFormat="1" applyFill="1" applyBorder="1" applyAlignment="1">
      <alignment horizontal="center"/>
    </xf>
    <xf numFmtId="0" fontId="0" fillId="13" borderId="2" xfId="0" applyFill="1" applyBorder="1" applyAlignment="1">
      <alignment horizontal="center"/>
    </xf>
    <xf numFmtId="2" fontId="0" fillId="13" borderId="2" xfId="0" applyNumberFormat="1" applyFill="1" applyBorder="1" applyAlignment="1">
      <alignment horizontal="center" wrapText="1"/>
    </xf>
    <xf numFmtId="0" fontId="0" fillId="14" borderId="2" xfId="0" applyFill="1" applyBorder="1" applyAlignment="1">
      <alignment horizontal="center"/>
    </xf>
    <xf numFmtId="2" fontId="0" fillId="14" borderId="2" xfId="0" applyNumberFormat="1" applyFill="1" applyBorder="1" applyAlignment="1">
      <alignment horizontal="center"/>
    </xf>
    <xf numFmtId="1" fontId="0" fillId="14" borderId="2" xfId="0" applyNumberFormat="1" applyFill="1" applyBorder="1" applyAlignment="1">
      <alignment horizontal="center" wrapText="1"/>
    </xf>
    <xf numFmtId="2" fontId="0" fillId="13" borderId="0" xfId="0" applyNumberFormat="1" applyFill="1" applyAlignment="1">
      <alignment horizontal="center" wrapText="1"/>
    </xf>
    <xf numFmtId="4" fontId="0" fillId="13" borderId="0" xfId="0" applyNumberFormat="1" applyFill="1" applyAlignment="1">
      <alignment horizontal="center"/>
    </xf>
    <xf numFmtId="0" fontId="0" fillId="13" borderId="0" xfId="0" applyFill="1"/>
    <xf numFmtId="2" fontId="0" fillId="10" borderId="3" xfId="0" applyNumberFormat="1" applyFill="1" applyBorder="1" applyAlignment="1">
      <alignment horizontal="center" vertical="center" textRotation="90" wrapText="1"/>
    </xf>
    <xf numFmtId="2" fontId="0" fillId="10" borderId="25" xfId="0" applyNumberFormat="1" applyFill="1" applyBorder="1" applyAlignment="1">
      <alignment horizontal="center" vertical="center" textRotation="90" wrapText="1"/>
    </xf>
    <xf numFmtId="0" fontId="0" fillId="10" borderId="26" xfId="0" applyFill="1" applyBorder="1" applyAlignment="1">
      <alignment horizontal="center"/>
    </xf>
    <xf numFmtId="0" fontId="0" fillId="10" borderId="27" xfId="0" applyFill="1" applyBorder="1" applyAlignment="1">
      <alignment horizontal="center"/>
    </xf>
    <xf numFmtId="2" fontId="0" fillId="10" borderId="27" xfId="0" applyNumberFormat="1" applyFill="1" applyBorder="1" applyAlignment="1">
      <alignment horizontal="center"/>
    </xf>
    <xf numFmtId="2" fontId="0" fillId="10" borderId="24" xfId="0" applyNumberFormat="1" applyFill="1" applyBorder="1" applyAlignment="1">
      <alignment horizontal="center"/>
    </xf>
    <xf numFmtId="3" fontId="0" fillId="9" borderId="2" xfId="0" applyNumberFormat="1" applyFill="1" applyBorder="1" applyAlignment="1">
      <alignment horizontal="center"/>
    </xf>
    <xf numFmtId="0" fontId="0" fillId="9" borderId="21" xfId="0" applyFill="1" applyBorder="1" applyAlignment="1">
      <alignment horizontal="center" vertical="center" textRotation="90"/>
    </xf>
    <xf numFmtId="0" fontId="0" fillId="9" borderId="3" xfId="0" applyFill="1" applyBorder="1" applyAlignment="1">
      <alignment horizontal="center" vertical="center" textRotation="90"/>
    </xf>
    <xf numFmtId="0" fontId="0" fillId="9" borderId="3" xfId="0" applyFill="1" applyBorder="1" applyAlignment="1">
      <alignment horizontal="center" vertical="center" textRotation="90" wrapText="1"/>
    </xf>
    <xf numFmtId="2" fontId="0" fillId="9" borderId="3" xfId="0" applyNumberFormat="1" applyFill="1" applyBorder="1" applyAlignment="1">
      <alignment horizontal="center" vertical="center" textRotation="90" wrapText="1"/>
    </xf>
    <xf numFmtId="2" fontId="0" fillId="9" borderId="28" xfId="0" applyNumberFormat="1" applyFill="1" applyBorder="1" applyAlignment="1">
      <alignment horizontal="center" vertical="center" textRotation="90" wrapText="1"/>
    </xf>
    <xf numFmtId="2" fontId="0" fillId="9" borderId="25" xfId="0" applyNumberFormat="1" applyFill="1" applyBorder="1" applyAlignment="1">
      <alignment horizontal="center" vertical="center" textRotation="90" wrapText="1"/>
    </xf>
    <xf numFmtId="0" fontId="0" fillId="9" borderId="26" xfId="0" applyFill="1" applyBorder="1" applyAlignment="1">
      <alignment horizontal="center"/>
    </xf>
    <xf numFmtId="0" fontId="0" fillId="9" borderId="27" xfId="0" applyFill="1" applyBorder="1" applyAlignment="1">
      <alignment horizontal="center"/>
    </xf>
    <xf numFmtId="0" fontId="0" fillId="9" borderId="27" xfId="0" applyFill="1" applyBorder="1" applyAlignment="1">
      <alignment horizontal="center" wrapText="1"/>
    </xf>
    <xf numFmtId="1" fontId="0" fillId="9" borderId="27" xfId="0" applyNumberFormat="1" applyFill="1" applyBorder="1" applyAlignment="1">
      <alignment horizontal="center"/>
    </xf>
    <xf numFmtId="1" fontId="0" fillId="9" borderId="24" xfId="0" applyNumberFormat="1" applyFill="1" applyBorder="1" applyAlignment="1">
      <alignment vertical="center"/>
    </xf>
    <xf numFmtId="2" fontId="0" fillId="9" borderId="27" xfId="0" applyNumberFormat="1" applyFill="1" applyBorder="1" applyAlignment="1">
      <alignment horizontal="center"/>
    </xf>
    <xf numFmtId="2" fontId="0" fillId="9" borderId="24" xfId="0" applyNumberFormat="1" applyFill="1" applyBorder="1" applyAlignment="1">
      <alignment horizontal="center"/>
    </xf>
    <xf numFmtId="2" fontId="0" fillId="3" borderId="3" xfId="0" applyNumberFormat="1" applyFill="1" applyBorder="1" applyAlignment="1">
      <alignment horizontal="center" vertical="center" textRotation="90" wrapText="1"/>
    </xf>
    <xf numFmtId="2" fontId="0" fillId="3" borderId="28" xfId="0" applyNumberFormat="1" applyFill="1" applyBorder="1" applyAlignment="1">
      <alignment horizontal="center" vertical="center" textRotation="90" wrapText="1"/>
    </xf>
    <xf numFmtId="2" fontId="0" fillId="3" borderId="25" xfId="0" applyNumberFormat="1" applyFill="1" applyBorder="1" applyAlignment="1">
      <alignment horizontal="center" vertical="center" textRotation="90" wrapText="1"/>
    </xf>
    <xf numFmtId="0" fontId="0" fillId="3" borderId="26" xfId="0" applyFill="1" applyBorder="1" applyAlignment="1">
      <alignment horizontal="center"/>
    </xf>
    <xf numFmtId="0" fontId="0" fillId="3" borderId="27" xfId="0" applyFill="1" applyBorder="1" applyAlignment="1">
      <alignment horizontal="center"/>
    </xf>
    <xf numFmtId="2" fontId="0" fillId="3" borderId="27" xfId="0" applyNumberFormat="1" applyFill="1" applyBorder="1" applyAlignment="1">
      <alignment horizontal="center"/>
    </xf>
    <xf numFmtId="2" fontId="0" fillId="3" borderId="24" xfId="0" applyNumberFormat="1" applyFill="1" applyBorder="1" applyAlignment="1">
      <alignment vertical="center"/>
    </xf>
    <xf numFmtId="14" fontId="0" fillId="0" borderId="18" xfId="0" applyNumberFormat="1" applyBorder="1" applyAlignment="1">
      <alignment horizontal="center"/>
    </xf>
    <xf numFmtId="1" fontId="0" fillId="0" borderId="17" xfId="0" applyNumberFormat="1" applyBorder="1" applyAlignment="1">
      <alignment horizontal="center"/>
    </xf>
    <xf numFmtId="2" fontId="0" fillId="0" borderId="17" xfId="0" applyNumberFormat="1" applyBorder="1" applyAlignment="1">
      <alignment horizontal="center"/>
    </xf>
    <xf numFmtId="0" fontId="0" fillId="0" borderId="20" xfId="0" applyBorder="1" applyAlignment="1">
      <alignment horizontal="center" vertical="center" textRotation="90" wrapText="1"/>
    </xf>
    <xf numFmtId="0" fontId="0" fillId="0" borderId="3" xfId="0" applyBorder="1" applyAlignment="1">
      <alignment horizontal="center" vertical="center" textRotation="90" wrapText="1"/>
    </xf>
    <xf numFmtId="0" fontId="0" fillId="0" borderId="25" xfId="0" applyBorder="1" applyAlignment="1">
      <alignment horizontal="center" vertical="center" textRotation="90" wrapText="1"/>
    </xf>
    <xf numFmtId="14" fontId="0" fillId="0" borderId="26" xfId="0" applyNumberFormat="1"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164" fontId="0" fillId="0" borderId="27" xfId="0" applyNumberFormat="1" applyBorder="1" applyAlignment="1">
      <alignment horizontal="center"/>
    </xf>
    <xf numFmtId="164" fontId="0" fillId="0" borderId="24" xfId="0" applyNumberFormat="1" applyBorder="1" applyAlignment="1">
      <alignment horizontal="center"/>
    </xf>
    <xf numFmtId="2" fontId="0" fillId="13" borderId="17" xfId="0" applyNumberFormat="1" applyFill="1" applyBorder="1" applyAlignment="1">
      <alignment horizontal="center" wrapText="1"/>
    </xf>
    <xf numFmtId="4" fontId="0" fillId="14" borderId="0" xfId="0" applyNumberFormat="1" applyFill="1" applyAlignment="1">
      <alignment horizontal="center"/>
    </xf>
    <xf numFmtId="0" fontId="0" fillId="13" borderId="21" xfId="0" applyFill="1" applyBorder="1" applyAlignment="1">
      <alignment horizontal="center" vertical="center" textRotation="90" wrapText="1"/>
    </xf>
    <xf numFmtId="0" fontId="0" fillId="13" borderId="3" xfId="0" applyFill="1" applyBorder="1" applyAlignment="1">
      <alignment horizontal="center" vertical="center" textRotation="90" wrapText="1"/>
    </xf>
    <xf numFmtId="0" fontId="0" fillId="13" borderId="3" xfId="0" applyFill="1" applyBorder="1" applyAlignment="1">
      <alignment horizontal="center" textRotation="90"/>
    </xf>
    <xf numFmtId="0" fontId="0" fillId="13" borderId="26" xfId="0" applyFill="1" applyBorder="1" applyAlignment="1">
      <alignment horizontal="center"/>
    </xf>
    <xf numFmtId="0" fontId="0" fillId="13" borderId="27" xfId="0" applyFill="1" applyBorder="1" applyAlignment="1">
      <alignment horizontal="center"/>
    </xf>
    <xf numFmtId="0" fontId="0" fillId="13" borderId="27" xfId="0" applyFill="1" applyBorder="1" applyAlignment="1">
      <alignment horizontal="center" wrapText="1"/>
    </xf>
    <xf numFmtId="2" fontId="0" fillId="13" borderId="27" xfId="0" applyNumberFormat="1" applyFill="1" applyBorder="1" applyAlignment="1">
      <alignment horizontal="center" wrapText="1"/>
    </xf>
    <xf numFmtId="0" fontId="0" fillId="13" borderId="28" xfId="0" applyFill="1" applyBorder="1" applyAlignment="1">
      <alignment horizontal="center" vertical="center" textRotation="90" wrapText="1"/>
    </xf>
    <xf numFmtId="0" fontId="0" fillId="13" borderId="29" xfId="0" applyFill="1" applyBorder="1" applyAlignment="1">
      <alignment horizontal="center" vertical="center" textRotation="90" wrapText="1"/>
    </xf>
    <xf numFmtId="2" fontId="0" fillId="14" borderId="0" xfId="0" applyNumberFormat="1" applyFill="1" applyAlignment="1">
      <alignment horizontal="center" wrapText="1"/>
    </xf>
    <xf numFmtId="2" fontId="0" fillId="14" borderId="17" xfId="0" applyNumberFormat="1" applyFill="1" applyBorder="1" applyAlignment="1">
      <alignment horizontal="center" wrapText="1"/>
    </xf>
    <xf numFmtId="2" fontId="0" fillId="14" borderId="2" xfId="0" applyNumberFormat="1" applyFill="1" applyBorder="1" applyAlignment="1">
      <alignment horizontal="center" wrapText="1"/>
    </xf>
    <xf numFmtId="0" fontId="0" fillId="14" borderId="20" xfId="0" applyFill="1" applyBorder="1" applyAlignment="1">
      <alignment horizontal="center" vertical="center" textRotation="90" wrapText="1"/>
    </xf>
    <xf numFmtId="0" fontId="0" fillId="14" borderId="3" xfId="0" applyFill="1" applyBorder="1" applyAlignment="1">
      <alignment horizontal="center" vertical="center" textRotation="90" wrapText="1"/>
    </xf>
    <xf numFmtId="0" fontId="0" fillId="14" borderId="3" xfId="0" applyFill="1" applyBorder="1" applyAlignment="1">
      <alignment horizontal="center" textRotation="90"/>
    </xf>
    <xf numFmtId="0" fontId="0" fillId="14" borderId="27" xfId="0" applyFill="1" applyBorder="1" applyAlignment="1">
      <alignment horizontal="center"/>
    </xf>
    <xf numFmtId="0" fontId="0" fillId="14" borderId="27" xfId="0" applyFill="1" applyBorder="1" applyAlignment="1">
      <alignment horizontal="center" wrapText="1"/>
    </xf>
    <xf numFmtId="2" fontId="0" fillId="14" borderId="24" xfId="0" applyNumberFormat="1" applyFill="1" applyBorder="1" applyAlignment="1">
      <alignment horizontal="center" wrapText="1"/>
    </xf>
    <xf numFmtId="0" fontId="0" fillId="14" borderId="26" xfId="0" applyFill="1" applyBorder="1" applyAlignment="1">
      <alignment horizontal="center"/>
    </xf>
    <xf numFmtId="2" fontId="0" fillId="14" borderId="27" xfId="0" applyNumberFormat="1" applyFill="1" applyBorder="1" applyAlignment="1">
      <alignment horizontal="center" wrapText="1"/>
    </xf>
    <xf numFmtId="0" fontId="0" fillId="14" borderId="28" xfId="0" applyFill="1" applyBorder="1" applyAlignment="1">
      <alignment horizontal="center" vertical="center" textRotation="90" wrapText="1"/>
    </xf>
    <xf numFmtId="0" fontId="0" fillId="14" borderId="29" xfId="0" applyFill="1" applyBorder="1" applyAlignment="1">
      <alignment horizontal="center" vertical="center" textRotation="90" wrapText="1"/>
    </xf>
    <xf numFmtId="164" fontId="0" fillId="0" borderId="22" xfId="0" applyNumberFormat="1" applyBorder="1" applyAlignment="1">
      <alignment horizontal="center"/>
    </xf>
    <xf numFmtId="0" fontId="0" fillId="0" borderId="2" xfId="0" applyBorder="1" applyAlignment="1">
      <alignment horizontal="center"/>
    </xf>
    <xf numFmtId="0" fontId="0" fillId="12" borderId="16" xfId="0" applyFill="1" applyBorder="1" applyAlignment="1">
      <alignment horizontal="center"/>
    </xf>
    <xf numFmtId="2" fontId="0" fillId="12" borderId="3" xfId="0" applyNumberFormat="1" applyFill="1" applyBorder="1" applyAlignment="1">
      <alignment horizontal="center" vertical="center" textRotation="90" wrapText="1"/>
    </xf>
    <xf numFmtId="0" fontId="0" fillId="12" borderId="26" xfId="0" applyFill="1" applyBorder="1" applyAlignment="1">
      <alignment horizontal="center"/>
    </xf>
    <xf numFmtId="0" fontId="0" fillId="12" borderId="27" xfId="0" applyFill="1" applyBorder="1" applyAlignment="1">
      <alignment horizontal="center"/>
    </xf>
    <xf numFmtId="2" fontId="0" fillId="12" borderId="27" xfId="0" applyNumberFormat="1" applyFill="1" applyBorder="1" applyAlignment="1">
      <alignment horizontal="center"/>
    </xf>
    <xf numFmtId="2" fontId="0" fillId="12" borderId="24" xfId="0" applyNumberFormat="1" applyFill="1" applyBorder="1" applyAlignment="1">
      <alignment horizontal="center"/>
    </xf>
    <xf numFmtId="0" fontId="0" fillId="12" borderId="29" xfId="0" applyFill="1" applyBorder="1" applyAlignment="1">
      <alignment horizontal="center" vertical="center" textRotation="90" wrapText="1"/>
    </xf>
    <xf numFmtId="2" fontId="0" fillId="12" borderId="28" xfId="0" applyNumberFormat="1" applyFill="1" applyBorder="1" applyAlignment="1">
      <alignment horizontal="center" vertical="center" textRotation="90" wrapText="1"/>
    </xf>
    <xf numFmtId="0" fontId="0" fillId="13" borderId="16" xfId="0" applyFill="1" applyBorder="1" applyAlignment="1">
      <alignment horizontal="center"/>
    </xf>
    <xf numFmtId="166" fontId="0" fillId="14" borderId="0" xfId="0" applyNumberFormat="1" applyFill="1" applyAlignment="1">
      <alignment horizontal="center"/>
    </xf>
    <xf numFmtId="1" fontId="0" fillId="0" borderId="2" xfId="0" applyNumberFormat="1" applyBorder="1" applyAlignment="1">
      <alignment horizontal="center"/>
    </xf>
    <xf numFmtId="2" fontId="0" fillId="0" borderId="2" xfId="0" applyNumberFormat="1" applyBorder="1" applyAlignment="1">
      <alignment horizontal="center"/>
    </xf>
    <xf numFmtId="0" fontId="0" fillId="13" borderId="23" xfId="0" applyFill="1" applyBorder="1" applyAlignment="1">
      <alignment horizontal="center"/>
    </xf>
    <xf numFmtId="0" fontId="0" fillId="13" borderId="14" xfId="0" applyFill="1" applyBorder="1" applyAlignment="1">
      <alignment horizontal="center"/>
    </xf>
    <xf numFmtId="0" fontId="0" fillId="15" borderId="21" xfId="0" applyFill="1" applyBorder="1" applyAlignment="1">
      <alignment horizontal="center" vertical="center" textRotation="90"/>
    </xf>
    <xf numFmtId="0" fontId="0" fillId="15" borderId="3" xfId="0" applyFill="1" applyBorder="1" applyAlignment="1">
      <alignment horizontal="center" vertical="center" textRotation="90"/>
    </xf>
    <xf numFmtId="0" fontId="0" fillId="15" borderId="3" xfId="0" applyFill="1" applyBorder="1" applyAlignment="1">
      <alignment horizontal="center" vertical="center" textRotation="90" wrapText="1"/>
    </xf>
    <xf numFmtId="2" fontId="0" fillId="15" borderId="3" xfId="0" applyNumberFormat="1" applyFill="1" applyBorder="1" applyAlignment="1">
      <alignment horizontal="center" vertical="center" textRotation="90" wrapText="1"/>
    </xf>
    <xf numFmtId="2" fontId="0" fillId="15" borderId="28" xfId="0" applyNumberFormat="1" applyFill="1" applyBorder="1" applyAlignment="1">
      <alignment horizontal="center" vertical="center" textRotation="90" wrapText="1"/>
    </xf>
    <xf numFmtId="164" fontId="0" fillId="15" borderId="27" xfId="0" applyNumberFormat="1" applyFill="1" applyBorder="1" applyAlignment="1">
      <alignment horizontal="center"/>
    </xf>
    <xf numFmtId="164" fontId="0" fillId="15" borderId="0" xfId="0" applyNumberFormat="1" applyFill="1" applyAlignment="1">
      <alignment horizontal="center"/>
    </xf>
    <xf numFmtId="164" fontId="0" fillId="15" borderId="17" xfId="0" applyNumberFormat="1" applyFill="1" applyBorder="1" applyAlignment="1">
      <alignment horizontal="center"/>
    </xf>
    <xf numFmtId="164" fontId="0" fillId="15" borderId="2" xfId="0" applyNumberFormat="1" applyFill="1" applyBorder="1" applyAlignment="1">
      <alignment horizontal="center"/>
    </xf>
    <xf numFmtId="2" fontId="0" fillId="15" borderId="17" xfId="0" applyNumberFormat="1" applyFill="1" applyBorder="1" applyAlignment="1">
      <alignment horizontal="center"/>
    </xf>
    <xf numFmtId="1" fontId="0" fillId="15" borderId="17" xfId="0" applyNumberFormat="1" applyFill="1" applyBorder="1" applyAlignment="1">
      <alignment horizontal="center"/>
    </xf>
    <xf numFmtId="0" fontId="0" fillId="11" borderId="30" xfId="0" applyFill="1" applyBorder="1" applyAlignment="1">
      <alignment horizontal="center"/>
    </xf>
    <xf numFmtId="0" fontId="0" fillId="11" borderId="31" xfId="0" applyFill="1" applyBorder="1" applyAlignment="1">
      <alignment horizontal="center"/>
    </xf>
    <xf numFmtId="0" fontId="0" fillId="11" borderId="31" xfId="0" applyFill="1" applyBorder="1" applyAlignment="1">
      <alignment horizontal="center" wrapText="1"/>
    </xf>
    <xf numFmtId="1" fontId="0" fillId="11" borderId="31" xfId="0" applyNumberFormat="1" applyFill="1" applyBorder="1" applyAlignment="1">
      <alignment horizontal="center"/>
    </xf>
    <xf numFmtId="0" fontId="0" fillId="11" borderId="19" xfId="0" applyFill="1" applyBorder="1" applyAlignment="1">
      <alignment horizontal="center" vertical="center" textRotation="90" wrapText="1"/>
    </xf>
    <xf numFmtId="2" fontId="0" fillId="11" borderId="32" xfId="0" applyNumberFormat="1" applyFill="1" applyBorder="1" applyAlignment="1">
      <alignment horizontal="center"/>
    </xf>
    <xf numFmtId="0" fontId="0" fillId="0" borderId="0" xfId="0" applyAlignment="1">
      <alignment wrapText="1"/>
    </xf>
    <xf numFmtId="1" fontId="0" fillId="0" borderId="0" xfId="0" applyNumberFormat="1"/>
    <xf numFmtId="1" fontId="0" fillId="15" borderId="0" xfId="0" applyNumberFormat="1" applyFill="1" applyAlignment="1">
      <alignment horizontal="center"/>
    </xf>
    <xf numFmtId="1" fontId="0" fillId="15" borderId="2" xfId="0" applyNumberFormat="1" applyFill="1" applyBorder="1" applyAlignment="1">
      <alignment horizontal="center"/>
    </xf>
    <xf numFmtId="1" fontId="0" fillId="15" borderId="23" xfId="0" applyNumberFormat="1" applyFill="1" applyBorder="1" applyAlignment="1">
      <alignment horizontal="center"/>
    </xf>
    <xf numFmtId="1" fontId="0" fillId="15" borderId="14" xfId="0" applyNumberFormat="1" applyFill="1" applyBorder="1" applyAlignment="1">
      <alignment horizontal="center"/>
    </xf>
    <xf numFmtId="164" fontId="0" fillId="15" borderId="14" xfId="0" applyNumberFormat="1" applyFill="1" applyBorder="1" applyAlignment="1">
      <alignment horizontal="center"/>
    </xf>
    <xf numFmtId="1" fontId="0" fillId="15" borderId="16" xfId="0" applyNumberFormat="1" applyFill="1" applyBorder="1" applyAlignment="1">
      <alignment horizontal="center"/>
    </xf>
    <xf numFmtId="2" fontId="0" fillId="9" borderId="0" xfId="0" applyNumberFormat="1" applyFill="1"/>
    <xf numFmtId="0" fontId="0" fillId="9" borderId="17" xfId="0" applyFill="1" applyBorder="1"/>
    <xf numFmtId="0" fontId="0" fillId="10" borderId="0" xfId="0" applyFill="1"/>
    <xf numFmtId="2" fontId="0" fillId="10" borderId="0" xfId="0" applyNumberFormat="1" applyFill="1"/>
    <xf numFmtId="0" fontId="0" fillId="10" borderId="17" xfId="0" applyFill="1" applyBorder="1"/>
    <xf numFmtId="3" fontId="0" fillId="11" borderId="2" xfId="0" applyNumberFormat="1" applyFill="1" applyBorder="1" applyAlignment="1">
      <alignment horizontal="center" vertical="center"/>
    </xf>
    <xf numFmtId="3" fontId="0" fillId="11" borderId="0" xfId="0" applyNumberFormat="1" applyFill="1" applyAlignment="1">
      <alignment horizontal="center" vertical="center"/>
    </xf>
    <xf numFmtId="3" fontId="0" fillId="11" borderId="14" xfId="0" applyNumberFormat="1" applyFill="1" applyBorder="1" applyAlignment="1">
      <alignment horizontal="center"/>
    </xf>
    <xf numFmtId="0" fontId="0" fillId="12" borderId="17" xfId="0" applyFill="1" applyBorder="1"/>
    <xf numFmtId="164" fontId="0" fillId="15" borderId="23" xfId="0" applyNumberFormat="1" applyFill="1" applyBorder="1" applyAlignment="1">
      <alignment horizontal="center"/>
    </xf>
    <xf numFmtId="164" fontId="0" fillId="15" borderId="16" xfId="0" applyNumberFormat="1" applyFill="1" applyBorder="1" applyAlignment="1">
      <alignment horizontal="center"/>
    </xf>
    <xf numFmtId="1" fontId="0" fillId="13" borderId="2" xfId="0" applyNumberFormat="1" applyFill="1" applyBorder="1" applyAlignment="1">
      <alignment horizontal="center"/>
    </xf>
    <xf numFmtId="1" fontId="0" fillId="13" borderId="0" xfId="0" applyNumberFormat="1" applyFill="1" applyAlignment="1">
      <alignment horizontal="center"/>
    </xf>
    <xf numFmtId="1" fontId="0" fillId="13" borderId="17" xfId="0" applyNumberFormat="1" applyFill="1" applyBorder="1" applyAlignment="1">
      <alignment horizontal="center"/>
    </xf>
    <xf numFmtId="166" fontId="0" fillId="13" borderId="14" xfId="0" applyNumberFormat="1" applyFill="1" applyBorder="1" applyAlignment="1">
      <alignment horizontal="center"/>
    </xf>
    <xf numFmtId="14" fontId="0" fillId="0" borderId="33" xfId="0" applyNumberFormat="1" applyBorder="1" applyAlignment="1">
      <alignment horizontal="center"/>
    </xf>
    <xf numFmtId="14" fontId="0" fillId="0" borderId="34" xfId="0" applyNumberFormat="1" applyBorder="1" applyAlignment="1">
      <alignment horizontal="center"/>
    </xf>
    <xf numFmtId="14" fontId="0" fillId="0" borderId="35" xfId="0" applyNumberFormat="1" applyBorder="1" applyAlignment="1">
      <alignment horizontal="center"/>
    </xf>
    <xf numFmtId="0" fontId="0" fillId="0" borderId="23" xfId="0" applyBorder="1" applyAlignment="1">
      <alignment horizontal="center"/>
    </xf>
    <xf numFmtId="1" fontId="0" fillId="0" borderId="14" xfId="0" applyNumberFormat="1" applyBorder="1" applyAlignment="1">
      <alignment horizontal="center"/>
    </xf>
    <xf numFmtId="166" fontId="0" fillId="13" borderId="16" xfId="0" applyNumberFormat="1" applyFill="1" applyBorder="1" applyAlignment="1">
      <alignment horizontal="center"/>
    </xf>
    <xf numFmtId="167" fontId="0" fillId="15" borderId="0" xfId="0" applyNumberFormat="1" applyFill="1" applyAlignment="1">
      <alignment horizontal="center"/>
    </xf>
    <xf numFmtId="167" fontId="0" fillId="0" borderId="0" xfId="0" applyNumberFormat="1"/>
    <xf numFmtId="167" fontId="0" fillId="15" borderId="2" xfId="0" applyNumberFormat="1" applyFill="1" applyBorder="1" applyAlignment="1">
      <alignment horizontal="center"/>
    </xf>
    <xf numFmtId="167" fontId="0" fillId="15" borderId="17" xfId="0" applyNumberFormat="1" applyFill="1" applyBorder="1" applyAlignment="1">
      <alignment horizontal="center"/>
    </xf>
    <xf numFmtId="0" fontId="0" fillId="15" borderId="0" xfId="0" applyFill="1"/>
    <xf numFmtId="0" fontId="0" fillId="15" borderId="16" xfId="0" applyFill="1" applyBorder="1"/>
    <xf numFmtId="0" fontId="0" fillId="15" borderId="17" xfId="0" applyFill="1" applyBorder="1"/>
    <xf numFmtId="3" fontId="0" fillId="11" borderId="17" xfId="0" applyNumberFormat="1" applyFill="1" applyBorder="1" applyAlignment="1">
      <alignment horizontal="center" vertical="center"/>
    </xf>
    <xf numFmtId="1" fontId="0" fillId="11" borderId="5" xfId="0" applyNumberFormat="1" applyFill="1" applyBorder="1" applyAlignment="1">
      <alignment horizontal="center" vertical="center" textRotation="90" wrapText="1"/>
    </xf>
    <xf numFmtId="1" fontId="0" fillId="14" borderId="0" xfId="0" applyNumberFormat="1" applyFill="1" applyAlignment="1">
      <alignment horizontal="center"/>
    </xf>
    <xf numFmtId="0" fontId="0" fillId="14" borderId="23" xfId="0" applyFill="1" applyBorder="1" applyAlignment="1">
      <alignment horizontal="center"/>
    </xf>
    <xf numFmtId="1" fontId="0" fillId="14" borderId="2" xfId="0" applyNumberFormat="1" applyFill="1" applyBorder="1" applyAlignment="1">
      <alignment horizontal="center"/>
    </xf>
    <xf numFmtId="1" fontId="0" fillId="14" borderId="17" xfId="0" applyNumberFormat="1" applyFill="1" applyBorder="1" applyAlignment="1">
      <alignment horizontal="center"/>
    </xf>
    <xf numFmtId="2" fontId="0" fillId="15" borderId="0" xfId="0" applyNumberFormat="1" applyFill="1" applyAlignment="1">
      <alignment horizontal="center"/>
    </xf>
    <xf numFmtId="1" fontId="0" fillId="9" borderId="27" xfId="0" applyNumberFormat="1" applyFill="1" applyBorder="1" applyAlignment="1">
      <alignment horizontal="center" wrapText="1"/>
    </xf>
    <xf numFmtId="1" fontId="0" fillId="0" borderId="16" xfId="0" applyNumberFormat="1" applyBorder="1" applyAlignment="1">
      <alignment horizontal="center"/>
    </xf>
    <xf numFmtId="1" fontId="0" fillId="0" borderId="23" xfId="0" applyNumberFormat="1" applyBorder="1" applyAlignment="1">
      <alignment horizontal="center"/>
    </xf>
    <xf numFmtId="2" fontId="0" fillId="14" borderId="27" xfId="0" applyNumberFormat="1" applyFill="1" applyBorder="1" applyAlignment="1">
      <alignment horizontal="center"/>
    </xf>
    <xf numFmtId="0" fontId="0" fillId="16" borderId="20" xfId="0" applyFill="1" applyBorder="1" applyAlignment="1">
      <alignment horizontal="center" vertical="center" textRotation="90"/>
    </xf>
    <xf numFmtId="0" fontId="0" fillId="16" borderId="3" xfId="0" applyFill="1" applyBorder="1" applyAlignment="1">
      <alignment horizontal="center" vertical="center" textRotation="90"/>
    </xf>
    <xf numFmtId="0" fontId="0" fillId="16" borderId="3" xfId="0" applyFill="1" applyBorder="1" applyAlignment="1">
      <alignment horizontal="center" vertical="center" textRotation="90" wrapText="1"/>
    </xf>
    <xf numFmtId="2" fontId="0" fillId="16" borderId="3" xfId="0" applyNumberFormat="1" applyFill="1" applyBorder="1" applyAlignment="1">
      <alignment horizontal="center" vertical="center" textRotation="90" wrapText="1"/>
    </xf>
    <xf numFmtId="2" fontId="0" fillId="16" borderId="28" xfId="0" applyNumberFormat="1" applyFill="1" applyBorder="1" applyAlignment="1">
      <alignment horizontal="center" vertical="center" textRotation="90" wrapText="1"/>
    </xf>
    <xf numFmtId="0" fontId="0" fillId="16" borderId="29" xfId="0" applyFill="1" applyBorder="1" applyAlignment="1">
      <alignment horizontal="center" vertical="center" textRotation="90" wrapText="1"/>
    </xf>
    <xf numFmtId="0" fontId="0" fillId="16" borderId="26" xfId="0" applyFill="1" applyBorder="1" applyAlignment="1">
      <alignment horizontal="center"/>
    </xf>
    <xf numFmtId="0" fontId="0" fillId="16" borderId="27" xfId="0" applyFill="1" applyBorder="1" applyAlignment="1">
      <alignment horizontal="center"/>
    </xf>
    <xf numFmtId="2" fontId="0" fillId="16" borderId="27" xfId="0" applyNumberFormat="1" applyFill="1" applyBorder="1" applyAlignment="1">
      <alignment horizontal="center"/>
    </xf>
    <xf numFmtId="2" fontId="0" fillId="16" borderId="24" xfId="0" applyNumberFormat="1" applyFill="1" applyBorder="1" applyAlignment="1">
      <alignment horizontal="center"/>
    </xf>
    <xf numFmtId="0" fontId="0" fillId="16" borderId="14" xfId="0" applyFill="1" applyBorder="1" applyAlignment="1">
      <alignment horizontal="center"/>
    </xf>
    <xf numFmtId="0" fontId="0" fillId="16" borderId="0" xfId="0" applyFill="1" applyAlignment="1">
      <alignment horizontal="center"/>
    </xf>
    <xf numFmtId="2" fontId="0" fillId="16" borderId="0" xfId="0" applyNumberFormat="1" applyFill="1" applyAlignment="1">
      <alignment horizontal="center"/>
    </xf>
    <xf numFmtId="3" fontId="0" fillId="16" borderId="0" xfId="0" applyNumberFormat="1" applyFill="1" applyAlignment="1">
      <alignment horizontal="center"/>
    </xf>
    <xf numFmtId="0" fontId="0" fillId="16" borderId="17" xfId="0" applyFill="1" applyBorder="1" applyAlignment="1">
      <alignment horizontal="center"/>
    </xf>
    <xf numFmtId="2" fontId="0" fillId="16" borderId="17" xfId="0" applyNumberFormat="1" applyFill="1" applyBorder="1" applyAlignment="1">
      <alignment horizontal="center"/>
    </xf>
    <xf numFmtId="0" fontId="0" fillId="16" borderId="23" xfId="0" applyFill="1" applyBorder="1" applyAlignment="1">
      <alignment horizontal="center"/>
    </xf>
    <xf numFmtId="0" fontId="0" fillId="16" borderId="2" xfId="0" applyFill="1" applyBorder="1" applyAlignment="1">
      <alignment horizontal="center"/>
    </xf>
    <xf numFmtId="0" fontId="0" fillId="16" borderId="0" xfId="0" applyFill="1"/>
    <xf numFmtId="2" fontId="0" fillId="16" borderId="2" xfId="0" applyNumberFormat="1" applyFill="1" applyBorder="1" applyAlignment="1">
      <alignment horizontal="center"/>
    </xf>
    <xf numFmtId="0" fontId="0" fillId="16" borderId="16" xfId="0" applyFill="1" applyBorder="1" applyAlignment="1">
      <alignment horizontal="center"/>
    </xf>
    <xf numFmtId="0" fontId="0" fillId="16" borderId="17" xfId="0" applyFill="1" applyBorder="1"/>
    <xf numFmtId="2" fontId="0" fillId="13" borderId="27" xfId="0" applyNumberFormat="1" applyFill="1" applyBorder="1" applyAlignment="1">
      <alignment horizontal="center"/>
    </xf>
    <xf numFmtId="1" fontId="0" fillId="13" borderId="27" xfId="0" applyNumberFormat="1" applyFill="1" applyBorder="1" applyAlignment="1">
      <alignment horizontal="center" wrapText="1"/>
    </xf>
    <xf numFmtId="1" fontId="0" fillId="14" borderId="27" xfId="0" applyNumberFormat="1" applyFill="1" applyBorder="1" applyAlignment="1">
      <alignment horizontal="center" wrapText="1"/>
    </xf>
    <xf numFmtId="166" fontId="0" fillId="13" borderId="17" xfId="0" applyNumberFormat="1" applyFill="1" applyBorder="1" applyAlignment="1">
      <alignment horizontal="center"/>
    </xf>
    <xf numFmtId="166" fontId="0" fillId="13" borderId="0" xfId="0" applyNumberFormat="1" applyFill="1" applyAlignment="1">
      <alignment horizontal="center"/>
    </xf>
    <xf numFmtId="0" fontId="0" fillId="11" borderId="0" xfId="0" applyFill="1" applyAlignment="1">
      <alignment horizontal="center" vertical="center"/>
    </xf>
    <xf numFmtId="2" fontId="0" fillId="15" borderId="2" xfId="0" applyNumberFormat="1" applyFill="1" applyBorder="1" applyAlignment="1">
      <alignment horizontal="center"/>
    </xf>
    <xf numFmtId="0" fontId="0" fillId="16" borderId="0" xfId="0" applyFill="1" applyAlignment="1">
      <alignment horizontal="center" vertical="center"/>
    </xf>
    <xf numFmtId="0" fontId="2" fillId="9" borderId="0" xfId="0" applyFont="1" applyFill="1" applyAlignment="1">
      <alignment horizontal="center"/>
    </xf>
    <xf numFmtId="0" fontId="14" fillId="9" borderId="27" xfId="0" applyFont="1" applyFill="1" applyBorder="1" applyAlignment="1">
      <alignment horizontal="center"/>
    </xf>
    <xf numFmtId="0" fontId="14" fillId="9" borderId="0" xfId="0" applyFont="1" applyFill="1" applyAlignment="1">
      <alignment horizontal="center"/>
    </xf>
    <xf numFmtId="0" fontId="0" fillId="0" borderId="14" xfId="0" applyBorder="1" applyAlignment="1">
      <alignment horizontal="center" vertical="center"/>
    </xf>
    <xf numFmtId="166" fontId="0" fillId="14" borderId="14" xfId="0" applyNumberFormat="1" applyFill="1" applyBorder="1" applyAlignment="1">
      <alignment horizontal="center"/>
    </xf>
    <xf numFmtId="0" fontId="15" fillId="9" borderId="0" xfId="0" applyFont="1" applyFill="1" applyAlignment="1">
      <alignment horizontal="center"/>
    </xf>
    <xf numFmtId="1" fontId="2" fillId="15" borderId="0" xfId="0" applyNumberFormat="1" applyFont="1" applyFill="1" applyAlignment="1">
      <alignment horizontal="center"/>
    </xf>
    <xf numFmtId="0" fontId="14" fillId="10" borderId="0" xfId="0" applyFont="1" applyFill="1" applyAlignment="1">
      <alignment horizontal="center"/>
    </xf>
    <xf numFmtId="1" fontId="2" fillId="15" borderId="2" xfId="0" applyNumberFormat="1" applyFont="1" applyFill="1" applyBorder="1" applyAlignment="1">
      <alignment horizontal="center"/>
    </xf>
    <xf numFmtId="1" fontId="2" fillId="15" borderId="17" xfId="0" applyNumberFormat="1" applyFont="1" applyFill="1" applyBorder="1" applyAlignment="1">
      <alignment horizontal="center"/>
    </xf>
    <xf numFmtId="164" fontId="10" fillId="0" borderId="0" xfId="0" applyNumberFormat="1" applyFont="1" applyAlignment="1">
      <alignment horizontal="center"/>
    </xf>
    <xf numFmtId="164" fontId="0" fillId="0" borderId="2" xfId="0" applyNumberFormat="1" applyBorder="1" applyAlignment="1">
      <alignment horizontal="center"/>
    </xf>
    <xf numFmtId="2" fontId="0" fillId="0" borderId="15" xfId="0" applyNumberFormat="1" applyBorder="1" applyAlignment="1">
      <alignment horizontal="center"/>
    </xf>
    <xf numFmtId="0" fontId="0" fillId="0" borderId="15" xfId="0" applyBorder="1" applyAlignment="1">
      <alignment horizontal="center"/>
    </xf>
    <xf numFmtId="0" fontId="0" fillId="0" borderId="17" xfId="0" applyBorder="1"/>
    <xf numFmtId="0" fontId="0" fillId="0" borderId="18" xfId="0" applyBorder="1" applyAlignment="1">
      <alignment horizontal="center"/>
    </xf>
    <xf numFmtId="0" fontId="0" fillId="0" borderId="23" xfId="0" applyBorder="1"/>
    <xf numFmtId="0" fontId="0" fillId="0" borderId="2" xfId="0" applyBorder="1"/>
    <xf numFmtId="0" fontId="2" fillId="15" borderId="26" xfId="0" applyFont="1" applyFill="1" applyBorder="1"/>
    <xf numFmtId="0" fontId="2" fillId="15" borderId="27" xfId="0" applyFont="1" applyFill="1" applyBorder="1" applyAlignment="1">
      <alignment horizontal="center"/>
    </xf>
    <xf numFmtId="0" fontId="2" fillId="15" borderId="24" xfId="0" applyFont="1" applyFill="1" applyBorder="1" applyAlignment="1">
      <alignment horizontal="center"/>
    </xf>
    <xf numFmtId="0" fontId="16" fillId="10" borderId="0" xfId="0" applyFont="1" applyFill="1" applyAlignment="1">
      <alignment horizontal="center"/>
    </xf>
    <xf numFmtId="164" fontId="2" fillId="15" borderId="0" xfId="0" applyNumberFormat="1" applyFont="1" applyFill="1" applyAlignment="1">
      <alignment horizontal="center"/>
    </xf>
    <xf numFmtId="0" fontId="2" fillId="15" borderId="23" xfId="0" applyFont="1" applyFill="1" applyBorder="1"/>
    <xf numFmtId="0" fontId="2" fillId="15" borderId="2" xfId="0" applyFont="1" applyFill="1" applyBorder="1" applyAlignment="1">
      <alignment horizontal="center"/>
    </xf>
    <xf numFmtId="0" fontId="2" fillId="15" borderId="0" xfId="0" applyFont="1" applyFill="1" applyAlignment="1">
      <alignment horizontal="center"/>
    </xf>
    <xf numFmtId="0" fontId="0" fillId="15" borderId="2" xfId="0" applyFill="1" applyBorder="1" applyAlignment="1">
      <alignment horizontal="center"/>
    </xf>
    <xf numFmtId="0" fontId="0" fillId="15" borderId="17" xfId="0" applyFill="1" applyBorder="1" applyAlignment="1">
      <alignment horizontal="center"/>
    </xf>
    <xf numFmtId="0" fontId="0" fillId="15" borderId="2" xfId="0" applyFill="1" applyBorder="1"/>
    <xf numFmtId="3" fontId="0" fillId="11" borderId="23" xfId="0" applyNumberFormat="1" applyFill="1" applyBorder="1" applyAlignment="1">
      <alignment horizontal="center"/>
    </xf>
    <xf numFmtId="3" fontId="0" fillId="11" borderId="16" xfId="0" applyNumberFormat="1" applyFill="1" applyBorder="1" applyAlignment="1">
      <alignment horizontal="center"/>
    </xf>
    <xf numFmtId="0" fontId="0" fillId="15" borderId="23" xfId="0" applyFill="1" applyBorder="1" applyAlignment="1">
      <alignment horizontal="center"/>
    </xf>
    <xf numFmtId="0" fontId="0" fillId="15" borderId="14" xfId="0" applyFill="1" applyBorder="1" applyAlignment="1">
      <alignment horizontal="center"/>
    </xf>
    <xf numFmtId="0" fontId="0" fillId="15" borderId="16" xfId="0" applyFill="1" applyBorder="1" applyAlignment="1">
      <alignment horizontal="center"/>
    </xf>
    <xf numFmtId="2" fontId="0" fillId="0" borderId="18" xfId="0" applyNumberFormat="1" applyBorder="1" applyAlignment="1">
      <alignment horizontal="center"/>
    </xf>
    <xf numFmtId="0" fontId="0" fillId="9" borderId="2" xfId="0" applyFill="1" applyBorder="1"/>
    <xf numFmtId="2" fontId="0" fillId="15" borderId="27" xfId="0" applyNumberFormat="1" applyFill="1" applyBorder="1" applyAlignment="1">
      <alignment horizontal="center"/>
    </xf>
    <xf numFmtId="1" fontId="0" fillId="15" borderId="27" xfId="0" applyNumberFormat="1" applyFill="1" applyBorder="1" applyAlignment="1">
      <alignment horizontal="center"/>
    </xf>
    <xf numFmtId="2" fontId="0" fillId="3" borderId="24" xfId="0" applyNumberFormat="1" applyFill="1" applyBorder="1" applyAlignment="1">
      <alignment horizontal="center" vertical="center"/>
    </xf>
    <xf numFmtId="1" fontId="0" fillId="9" borderId="24" xfId="0" applyNumberFormat="1" applyFill="1" applyBorder="1" applyAlignment="1">
      <alignment horizontal="center" vertical="center"/>
    </xf>
    <xf numFmtId="168" fontId="0" fillId="13" borderId="0" xfId="0" applyNumberFormat="1" applyFill="1" applyAlignment="1">
      <alignment horizontal="center"/>
    </xf>
    <xf numFmtId="168" fontId="0" fillId="14" borderId="0" xfId="0" applyNumberFormat="1" applyFill="1" applyAlignment="1">
      <alignment horizontal="center"/>
    </xf>
    <xf numFmtId="3" fontId="14" fillId="11" borderId="0" xfId="0" applyNumberFormat="1" applyFont="1" applyFill="1" applyAlignment="1">
      <alignment horizontal="center"/>
    </xf>
    <xf numFmtId="3" fontId="0" fillId="11" borderId="17" xfId="0" applyNumberFormat="1" applyFill="1" applyBorder="1" applyAlignment="1">
      <alignment horizontal="center"/>
    </xf>
    <xf numFmtId="0" fontId="14" fillId="11" borderId="0" xfId="0" applyFont="1" applyFill="1" applyAlignment="1">
      <alignment horizontal="center"/>
    </xf>
    <xf numFmtId="0" fontId="0" fillId="0" borderId="18" xfId="0" applyBorder="1"/>
    <xf numFmtId="166" fontId="0" fillId="13" borderId="23" xfId="0" applyNumberFormat="1" applyFill="1" applyBorder="1" applyAlignment="1">
      <alignment horizontal="center"/>
    </xf>
    <xf numFmtId="2" fontId="0" fillId="15" borderId="0" xfId="0" applyNumberFormat="1" applyFill="1"/>
    <xf numFmtId="2" fontId="0" fillId="15" borderId="2" xfId="0" applyNumberFormat="1" applyFill="1" applyBorder="1"/>
    <xf numFmtId="2" fontId="0" fillId="15" borderId="17" xfId="0" applyNumberFormat="1" applyFill="1" applyBorder="1"/>
    <xf numFmtId="1" fontId="0" fillId="15" borderId="0" xfId="0" applyNumberFormat="1" applyFill="1"/>
    <xf numFmtId="1" fontId="0" fillId="15" borderId="2" xfId="0" applyNumberFormat="1" applyFill="1" applyBorder="1"/>
    <xf numFmtId="1" fontId="0" fillId="15" borderId="17" xfId="0" applyNumberFormat="1" applyFill="1" applyBorder="1"/>
    <xf numFmtId="166" fontId="0" fillId="14" borderId="16" xfId="0" applyNumberFormat="1" applyFill="1" applyBorder="1" applyAlignment="1">
      <alignment horizontal="center"/>
    </xf>
    <xf numFmtId="2" fontId="0" fillId="16" borderId="0" xfId="0" applyNumberFormat="1" applyFill="1" applyAlignment="1">
      <alignment horizontal="center" vertical="center"/>
    </xf>
    <xf numFmtId="2" fontId="0" fillId="16" borderId="17" xfId="0" applyNumberFormat="1" applyFill="1" applyBorder="1" applyAlignment="1">
      <alignment horizontal="center" vertical="center"/>
    </xf>
    <xf numFmtId="0" fontId="0" fillId="16" borderId="17" xfId="0" applyFill="1" applyBorder="1" applyAlignment="1">
      <alignment horizontal="center" vertical="center"/>
    </xf>
    <xf numFmtId="0" fontId="0" fillId="0" borderId="0" xfId="0" applyAlignment="1">
      <alignment horizontal="center" vertical="center"/>
    </xf>
    <xf numFmtId="0" fontId="0" fillId="0" borderId="17" xfId="0" applyBorder="1" applyAlignment="1">
      <alignment horizontal="center" vertical="center"/>
    </xf>
    <xf numFmtId="1" fontId="0" fillId="12" borderId="0" xfId="0" applyNumberFormat="1" applyFill="1" applyAlignment="1">
      <alignment horizontal="center"/>
    </xf>
    <xf numFmtId="164" fontId="0" fillId="0" borderId="14" xfId="0" applyNumberFormat="1" applyBorder="1" applyAlignment="1">
      <alignment horizontal="center"/>
    </xf>
    <xf numFmtId="4" fontId="0" fillId="0" borderId="0" xfId="0" applyNumberFormat="1" applyAlignment="1">
      <alignment horizontal="center"/>
    </xf>
    <xf numFmtId="4" fontId="0" fillId="0" borderId="17" xfId="0" applyNumberFormat="1" applyBorder="1" applyAlignment="1">
      <alignment horizontal="center"/>
    </xf>
    <xf numFmtId="0" fontId="10" fillId="0" borderId="14" xfId="0" applyFont="1" applyBorder="1" applyAlignment="1">
      <alignment horizontal="center" vertical="top" wrapText="1"/>
    </xf>
    <xf numFmtId="169" fontId="10" fillId="0" borderId="23" xfId="0" applyNumberFormat="1" applyFont="1" applyBorder="1" applyAlignment="1">
      <alignment horizontal="center" vertical="top" wrapText="1"/>
    </xf>
    <xf numFmtId="169" fontId="10" fillId="0" borderId="14" xfId="0" applyNumberFormat="1" applyFont="1" applyBorder="1" applyAlignment="1">
      <alignment horizontal="center" vertical="top" wrapText="1"/>
    </xf>
    <xf numFmtId="169" fontId="10" fillId="0" borderId="16" xfId="0" applyNumberFormat="1" applyFont="1" applyBorder="1" applyAlignment="1">
      <alignment horizontal="center" vertical="top" wrapText="1"/>
    </xf>
    <xf numFmtId="169" fontId="0" fillId="0" borderId="23" xfId="0" applyNumberFormat="1" applyBorder="1" applyAlignment="1">
      <alignment horizontal="center"/>
    </xf>
    <xf numFmtId="169" fontId="0" fillId="0" borderId="14" xfId="0" applyNumberFormat="1" applyBorder="1" applyAlignment="1">
      <alignment horizontal="center"/>
    </xf>
    <xf numFmtId="164" fontId="20" fillId="0" borderId="14" xfId="0" applyNumberFormat="1" applyFont="1" applyBorder="1" applyAlignment="1">
      <alignment horizontal="center" vertical="top" wrapText="1"/>
    </xf>
    <xf numFmtId="164" fontId="20" fillId="0" borderId="16" xfId="0" applyNumberFormat="1" applyFont="1" applyBorder="1" applyAlignment="1">
      <alignment horizontal="center" vertical="top" wrapText="1"/>
    </xf>
    <xf numFmtId="164" fontId="7" fillId="0" borderId="23" xfId="1" applyNumberFormat="1" applyBorder="1" applyAlignment="1">
      <alignment horizontal="center"/>
    </xf>
    <xf numFmtId="0" fontId="7" fillId="0" borderId="14" xfId="1" applyBorder="1" applyAlignment="1">
      <alignment horizontal="center"/>
    </xf>
    <xf numFmtId="0" fontId="20" fillId="0" borderId="14" xfId="0" applyFont="1" applyBorder="1" applyAlignment="1">
      <alignment horizontal="center"/>
    </xf>
    <xf numFmtId="169" fontId="20" fillId="0" borderId="14" xfId="0" applyNumberFormat="1" applyFont="1" applyBorder="1" applyAlignment="1">
      <alignment horizontal="center"/>
    </xf>
    <xf numFmtId="3" fontId="0" fillId="0" borderId="14" xfId="0" applyNumberFormat="1" applyBorder="1" applyAlignment="1">
      <alignment horizontal="center"/>
    </xf>
    <xf numFmtId="3" fontId="0" fillId="0" borderId="23" xfId="0" applyNumberFormat="1" applyBorder="1" applyAlignment="1">
      <alignment horizontal="center"/>
    </xf>
    <xf numFmtId="3" fontId="0" fillId="16" borderId="14" xfId="0" applyNumberFormat="1" applyFill="1" applyBorder="1" applyAlignment="1">
      <alignment horizontal="center"/>
    </xf>
    <xf numFmtId="3" fontId="0" fillId="16" borderId="16" xfId="0" applyNumberFormat="1" applyFill="1" applyBorder="1" applyAlignment="1">
      <alignment horizontal="center"/>
    </xf>
    <xf numFmtId="3" fontId="0" fillId="16" borderId="17" xfId="0" applyNumberFormat="1" applyFill="1" applyBorder="1" applyAlignment="1">
      <alignment horizontal="center"/>
    </xf>
    <xf numFmtId="3" fontId="0" fillId="16" borderId="0" xfId="0" applyNumberFormat="1" applyFill="1"/>
    <xf numFmtId="3" fontId="0" fillId="16" borderId="17" xfId="0" applyNumberFormat="1" applyFill="1" applyBorder="1"/>
    <xf numFmtId="3" fontId="0" fillId="9" borderId="14" xfId="0" applyNumberFormat="1" applyFill="1" applyBorder="1" applyAlignment="1">
      <alignment horizontal="center"/>
    </xf>
    <xf numFmtId="3" fontId="0" fillId="9" borderId="23" xfId="0" applyNumberFormat="1" applyFill="1" applyBorder="1" applyAlignment="1">
      <alignment horizontal="center"/>
    </xf>
    <xf numFmtId="3" fontId="0" fillId="9" borderId="16" xfId="0" applyNumberFormat="1" applyFill="1" applyBorder="1" applyAlignment="1">
      <alignment horizontal="center"/>
    </xf>
    <xf numFmtId="3" fontId="0" fillId="9" borderId="17" xfId="0" applyNumberFormat="1" applyFill="1" applyBorder="1" applyAlignment="1">
      <alignment horizontal="center"/>
    </xf>
    <xf numFmtId="3" fontId="0" fillId="10" borderId="23" xfId="0" applyNumberFormat="1" applyFill="1" applyBorder="1" applyAlignment="1">
      <alignment horizontal="center"/>
    </xf>
    <xf numFmtId="3" fontId="0" fillId="10" borderId="14" xfId="0" applyNumberFormat="1" applyFill="1" applyBorder="1" applyAlignment="1">
      <alignment horizontal="center"/>
    </xf>
    <xf numFmtId="3" fontId="0" fillId="10" borderId="16" xfId="0" applyNumberFormat="1" applyFill="1" applyBorder="1" applyAlignment="1">
      <alignment horizontal="center"/>
    </xf>
    <xf numFmtId="3" fontId="0" fillId="10" borderId="2" xfId="0" applyNumberFormat="1" applyFill="1" applyBorder="1" applyAlignment="1">
      <alignment horizontal="center"/>
    </xf>
    <xf numFmtId="3" fontId="0" fillId="10" borderId="17" xfId="0" applyNumberFormat="1" applyFill="1" applyBorder="1" applyAlignment="1">
      <alignment horizontal="center"/>
    </xf>
    <xf numFmtId="2" fontId="0" fillId="10" borderId="0" xfId="0" applyNumberFormat="1" applyFill="1" applyAlignment="1">
      <alignment horizontal="center" vertical="center" wrapText="1"/>
    </xf>
    <xf numFmtId="2" fontId="0" fillId="15" borderId="0" xfId="0" applyNumberFormat="1" applyFill="1" applyAlignment="1">
      <alignment horizontal="center" vertical="center"/>
    </xf>
    <xf numFmtId="2" fontId="0" fillId="15" borderId="17" xfId="0" applyNumberFormat="1" applyFill="1" applyBorder="1" applyAlignment="1">
      <alignment horizontal="center" vertical="center"/>
    </xf>
    <xf numFmtId="3" fontId="0" fillId="3" borderId="14" xfId="0" applyNumberFormat="1" applyFill="1" applyBorder="1" applyAlignment="1">
      <alignment horizontal="center"/>
    </xf>
    <xf numFmtId="3" fontId="0" fillId="12" borderId="23" xfId="0" applyNumberFormat="1" applyFill="1" applyBorder="1" applyAlignment="1">
      <alignment horizontal="center"/>
    </xf>
    <xf numFmtId="3" fontId="0" fillId="12" borderId="2" xfId="0" applyNumberFormat="1" applyFill="1" applyBorder="1" applyAlignment="1">
      <alignment horizontal="center"/>
    </xf>
    <xf numFmtId="2" fontId="0" fillId="12" borderId="0" xfId="0" applyNumberFormat="1" applyFill="1" applyAlignment="1">
      <alignment horizontal="center" vertical="center" wrapText="1"/>
    </xf>
    <xf numFmtId="3" fontId="0" fillId="12" borderId="14" xfId="0" applyNumberFormat="1" applyFill="1" applyBorder="1" applyAlignment="1">
      <alignment horizontal="center"/>
    </xf>
    <xf numFmtId="3" fontId="0" fillId="12" borderId="16" xfId="0" applyNumberFormat="1" applyFill="1" applyBorder="1" applyAlignment="1">
      <alignment horizontal="center"/>
    </xf>
    <xf numFmtId="3" fontId="0" fillId="12" borderId="17" xfId="0" applyNumberFormat="1" applyFill="1" applyBorder="1" applyAlignment="1">
      <alignment horizontal="center"/>
    </xf>
    <xf numFmtId="4" fontId="0" fillId="0" borderId="22" xfId="0" applyNumberFormat="1" applyBorder="1" applyAlignment="1">
      <alignment horizontal="center"/>
    </xf>
    <xf numFmtId="4" fontId="0" fillId="0" borderId="15" xfId="0" applyNumberFormat="1" applyBorder="1" applyAlignment="1">
      <alignment horizontal="center"/>
    </xf>
    <xf numFmtId="0" fontId="0" fillId="15" borderId="0" xfId="0" applyFill="1" applyAlignment="1">
      <alignment horizontal="center" vertical="center"/>
    </xf>
    <xf numFmtId="3" fontId="0" fillId="15" borderId="0" xfId="0" applyNumberFormat="1" applyFill="1" applyAlignment="1">
      <alignment horizontal="center" vertical="center"/>
    </xf>
    <xf numFmtId="3" fontId="0" fillId="15" borderId="16" xfId="0" applyNumberFormat="1" applyFill="1" applyBorder="1" applyAlignment="1">
      <alignment horizontal="center" vertical="center"/>
    </xf>
    <xf numFmtId="3" fontId="0" fillId="15" borderId="17" xfId="0" applyNumberFormat="1" applyFill="1" applyBorder="1" applyAlignment="1">
      <alignment horizontal="center" vertical="center"/>
    </xf>
    <xf numFmtId="3" fontId="0" fillId="13" borderId="14" xfId="0" applyNumberFormat="1" applyFill="1" applyBorder="1" applyAlignment="1">
      <alignment horizontal="center"/>
    </xf>
    <xf numFmtId="3" fontId="0" fillId="13" borderId="0" xfId="0" applyNumberFormat="1" applyFill="1" applyAlignment="1">
      <alignment horizontal="center"/>
    </xf>
    <xf numFmtId="3" fontId="0" fillId="14" borderId="14" xfId="0" applyNumberFormat="1" applyFill="1" applyBorder="1" applyAlignment="1">
      <alignment horizontal="center"/>
    </xf>
    <xf numFmtId="3" fontId="0" fillId="14" borderId="0" xfId="0" applyNumberFormat="1" applyFill="1" applyAlignment="1">
      <alignment horizontal="center"/>
    </xf>
    <xf numFmtId="3" fontId="0" fillId="17" borderId="14" xfId="0" applyNumberFormat="1" applyFill="1" applyBorder="1" applyAlignment="1">
      <alignment horizontal="center"/>
    </xf>
    <xf numFmtId="3" fontId="0" fillId="17" borderId="0" xfId="0" applyNumberFormat="1" applyFill="1" applyAlignment="1">
      <alignment horizontal="center"/>
    </xf>
    <xf numFmtId="3" fontId="0" fillId="17" borderId="16" xfId="0" applyNumberFormat="1" applyFill="1" applyBorder="1" applyAlignment="1">
      <alignment horizontal="center"/>
    </xf>
    <xf numFmtId="3" fontId="0" fillId="17" borderId="17" xfId="0" applyNumberFormat="1" applyFill="1" applyBorder="1" applyAlignment="1">
      <alignment horizontal="center"/>
    </xf>
    <xf numFmtId="3" fontId="0" fillId="17" borderId="0" xfId="0" applyNumberFormat="1" applyFill="1"/>
    <xf numFmtId="3" fontId="0" fillId="17" borderId="17" xfId="0" applyNumberFormat="1" applyFill="1" applyBorder="1"/>
    <xf numFmtId="3" fontId="0" fillId="3" borderId="16" xfId="0" applyNumberFormat="1" applyFill="1" applyBorder="1" applyAlignment="1">
      <alignment horizontal="center"/>
    </xf>
    <xf numFmtId="3" fontId="0" fillId="3" borderId="17" xfId="0" applyNumberFormat="1" applyFill="1" applyBorder="1" applyAlignment="1">
      <alignment horizontal="center"/>
    </xf>
    <xf numFmtId="3" fontId="0" fillId="3" borderId="0" xfId="0" applyNumberFormat="1" applyFill="1"/>
    <xf numFmtId="3" fontId="0" fillId="3" borderId="17" xfId="0" applyNumberFormat="1" applyFill="1" applyBorder="1"/>
    <xf numFmtId="3" fontId="0" fillId="18" borderId="14" xfId="0" applyNumberFormat="1" applyFill="1" applyBorder="1" applyAlignment="1">
      <alignment horizontal="center"/>
    </xf>
    <xf numFmtId="3" fontId="0" fillId="18" borderId="0" xfId="0" applyNumberFormat="1" applyFill="1" applyAlignment="1">
      <alignment horizontal="center"/>
    </xf>
    <xf numFmtId="3" fontId="0" fillId="18" borderId="16" xfId="0" applyNumberFormat="1" applyFill="1" applyBorder="1" applyAlignment="1">
      <alignment horizontal="center"/>
    </xf>
    <xf numFmtId="3" fontId="0" fillId="18" borderId="17" xfId="0" applyNumberFormat="1" applyFill="1" applyBorder="1" applyAlignment="1">
      <alignment horizontal="center"/>
    </xf>
    <xf numFmtId="3" fontId="0" fillId="18" borderId="0" xfId="0" applyNumberFormat="1" applyFill="1"/>
    <xf numFmtId="3" fontId="0" fillId="18" borderId="17" xfId="0" applyNumberFormat="1" applyFill="1" applyBorder="1"/>
    <xf numFmtId="3" fontId="0" fillId="19" borderId="14" xfId="0" applyNumberFormat="1" applyFill="1" applyBorder="1" applyAlignment="1">
      <alignment horizontal="center"/>
    </xf>
    <xf numFmtId="3" fontId="0" fillId="19" borderId="0" xfId="0" applyNumberFormat="1" applyFill="1" applyAlignment="1">
      <alignment horizontal="center"/>
    </xf>
    <xf numFmtId="3" fontId="0" fillId="19" borderId="16" xfId="0" applyNumberFormat="1" applyFill="1" applyBorder="1" applyAlignment="1">
      <alignment horizontal="center"/>
    </xf>
    <xf numFmtId="3" fontId="0" fillId="19" borderId="17" xfId="0" applyNumberFormat="1" applyFill="1" applyBorder="1" applyAlignment="1">
      <alignment horizontal="center"/>
    </xf>
    <xf numFmtId="3" fontId="0" fillId="19" borderId="0" xfId="0" applyNumberFormat="1" applyFill="1"/>
    <xf numFmtId="3" fontId="0" fillId="19" borderId="17" xfId="0" applyNumberFormat="1" applyFill="1" applyBorder="1"/>
    <xf numFmtId="3" fontId="0" fillId="20" borderId="14" xfId="0" applyNumberFormat="1" applyFill="1" applyBorder="1" applyAlignment="1">
      <alignment horizontal="center"/>
    </xf>
    <xf numFmtId="3" fontId="0" fillId="20" borderId="0" xfId="0" applyNumberFormat="1" applyFill="1" applyAlignment="1">
      <alignment horizontal="center"/>
    </xf>
    <xf numFmtId="2" fontId="0" fillId="20" borderId="0" xfId="0" applyNumberFormat="1" applyFill="1" applyAlignment="1">
      <alignment horizontal="center"/>
    </xf>
    <xf numFmtId="3" fontId="0" fillId="20" borderId="16" xfId="0" applyNumberFormat="1" applyFill="1" applyBorder="1" applyAlignment="1">
      <alignment horizontal="center"/>
    </xf>
    <xf numFmtId="3" fontId="0" fillId="20" borderId="17" xfId="0" applyNumberFormat="1" applyFill="1" applyBorder="1" applyAlignment="1">
      <alignment horizontal="center"/>
    </xf>
    <xf numFmtId="2" fontId="0" fillId="20" borderId="17" xfId="0" applyNumberFormat="1" applyFill="1" applyBorder="1" applyAlignment="1">
      <alignment horizontal="center"/>
    </xf>
    <xf numFmtId="3" fontId="0" fillId="20" borderId="0" xfId="0" applyNumberFormat="1" applyFill="1"/>
    <xf numFmtId="3" fontId="0" fillId="20" borderId="17" xfId="0" applyNumberFormat="1" applyFill="1" applyBorder="1"/>
    <xf numFmtId="3" fontId="0" fillId="21" borderId="14" xfId="0" applyNumberFormat="1" applyFill="1" applyBorder="1" applyAlignment="1">
      <alignment horizontal="center"/>
    </xf>
    <xf numFmtId="3" fontId="0" fillId="21" borderId="0" xfId="0" applyNumberFormat="1" applyFill="1" applyAlignment="1">
      <alignment horizontal="center"/>
    </xf>
    <xf numFmtId="3" fontId="0" fillId="21" borderId="16" xfId="0" applyNumberFormat="1" applyFill="1" applyBorder="1" applyAlignment="1">
      <alignment horizontal="center"/>
    </xf>
    <xf numFmtId="3" fontId="0" fillId="21" borderId="17" xfId="0" applyNumberFormat="1" applyFill="1" applyBorder="1" applyAlignment="1">
      <alignment horizontal="center"/>
    </xf>
    <xf numFmtId="3" fontId="0" fillId="21" borderId="0" xfId="0" applyNumberFormat="1" applyFill="1"/>
    <xf numFmtId="3" fontId="0" fillId="21" borderId="17" xfId="0" applyNumberFormat="1" applyFill="1" applyBorder="1"/>
    <xf numFmtId="3" fontId="0" fillId="10" borderId="0" xfId="0" applyNumberFormat="1" applyFill="1"/>
    <xf numFmtId="3" fontId="0" fillId="10" borderId="17" xfId="0" applyNumberFormat="1" applyFill="1" applyBorder="1"/>
    <xf numFmtId="3" fontId="0" fillId="22" borderId="14" xfId="0" applyNumberFormat="1" applyFill="1" applyBorder="1" applyAlignment="1">
      <alignment horizontal="center"/>
    </xf>
    <xf numFmtId="3" fontId="0" fillId="22" borderId="0" xfId="0" applyNumberFormat="1" applyFill="1" applyAlignment="1">
      <alignment horizontal="center"/>
    </xf>
    <xf numFmtId="2" fontId="0" fillId="22" borderId="0" xfId="0" applyNumberFormat="1" applyFill="1" applyAlignment="1">
      <alignment horizontal="center"/>
    </xf>
    <xf numFmtId="3" fontId="0" fillId="22" borderId="16" xfId="0" applyNumberFormat="1" applyFill="1" applyBorder="1" applyAlignment="1">
      <alignment horizontal="center"/>
    </xf>
    <xf numFmtId="3" fontId="0" fillId="22" borderId="17" xfId="0" applyNumberFormat="1" applyFill="1" applyBorder="1" applyAlignment="1">
      <alignment horizontal="center"/>
    </xf>
    <xf numFmtId="3" fontId="0" fillId="22" borderId="0" xfId="0" applyNumberFormat="1" applyFill="1"/>
    <xf numFmtId="3" fontId="0" fillId="22" borderId="17" xfId="0" applyNumberFormat="1" applyFill="1" applyBorder="1"/>
    <xf numFmtId="168" fontId="0" fillId="15" borderId="14" xfId="0" applyNumberFormat="1" applyFill="1" applyBorder="1" applyAlignment="1">
      <alignment horizontal="center"/>
    </xf>
    <xf numFmtId="168" fontId="0" fillId="15" borderId="16" xfId="0" applyNumberFormat="1" applyFill="1" applyBorder="1" applyAlignment="1">
      <alignment horizontal="center"/>
    </xf>
    <xf numFmtId="168" fontId="0" fillId="15" borderId="0" xfId="0" applyNumberFormat="1" applyFill="1" applyAlignment="1">
      <alignment horizontal="center"/>
    </xf>
    <xf numFmtId="168" fontId="0" fillId="15" borderId="17" xfId="0" applyNumberFormat="1" applyFill="1" applyBorder="1" applyAlignment="1">
      <alignment horizontal="center"/>
    </xf>
    <xf numFmtId="168" fontId="0" fillId="15" borderId="0" xfId="0" applyNumberFormat="1" applyFill="1"/>
    <xf numFmtId="168" fontId="0" fillId="15" borderId="17" xfId="0" applyNumberFormat="1" applyFill="1" applyBorder="1"/>
    <xf numFmtId="3" fontId="0" fillId="13" borderId="16" xfId="0" applyNumberFormat="1" applyFill="1" applyBorder="1" applyAlignment="1">
      <alignment horizontal="center"/>
    </xf>
    <xf numFmtId="3" fontId="0" fillId="13" borderId="17" xfId="0" applyNumberFormat="1" applyFill="1" applyBorder="1" applyAlignment="1">
      <alignment horizontal="center"/>
    </xf>
    <xf numFmtId="3" fontId="0" fillId="14" borderId="16" xfId="0" applyNumberFormat="1" applyFill="1" applyBorder="1" applyAlignment="1">
      <alignment horizontal="center"/>
    </xf>
    <xf numFmtId="3" fontId="0" fillId="14" borderId="17" xfId="0" applyNumberFormat="1" applyFill="1" applyBorder="1" applyAlignment="1">
      <alignment horizontal="center"/>
    </xf>
    <xf numFmtId="2" fontId="0" fillId="12" borderId="17" xfId="0" applyNumberFormat="1" applyFill="1" applyBorder="1" applyAlignment="1">
      <alignment horizontal="center" vertical="center" wrapText="1"/>
    </xf>
    <xf numFmtId="3" fontId="0" fillId="0" borderId="16" xfId="0" applyNumberFormat="1" applyBorder="1" applyAlignment="1">
      <alignment horizontal="center"/>
    </xf>
    <xf numFmtId="3" fontId="0" fillId="0" borderId="17" xfId="0" applyNumberFormat="1" applyBorder="1" applyAlignment="1">
      <alignment horizontal="center"/>
    </xf>
    <xf numFmtId="4" fontId="0" fillId="0" borderId="18" xfId="0" applyNumberFormat="1" applyBorder="1" applyAlignment="1">
      <alignment horizontal="center"/>
    </xf>
    <xf numFmtId="2" fontId="0" fillId="10" borderId="17" xfId="0" applyNumberFormat="1" applyFill="1" applyBorder="1" applyAlignment="1">
      <alignment horizontal="center" vertical="center" wrapText="1"/>
    </xf>
    <xf numFmtId="164" fontId="0" fillId="22" borderId="0" xfId="0" applyNumberFormat="1" applyFill="1" applyAlignment="1">
      <alignment horizontal="center"/>
    </xf>
    <xf numFmtId="164" fontId="0" fillId="22" borderId="17" xfId="0" applyNumberFormat="1" applyFill="1" applyBorder="1" applyAlignment="1">
      <alignment horizontal="center"/>
    </xf>
    <xf numFmtId="164" fontId="0" fillId="22" borderId="2" xfId="0" applyNumberFormat="1" applyFill="1" applyBorder="1" applyAlignment="1">
      <alignment horizontal="center"/>
    </xf>
    <xf numFmtId="2" fontId="0" fillId="13" borderId="0" xfId="0" applyNumberFormat="1" applyFill="1" applyAlignment="1">
      <alignment horizontal="center" vertical="center" wrapText="1"/>
    </xf>
    <xf numFmtId="2" fontId="0" fillId="14" borderId="0" xfId="0" applyNumberFormat="1" applyFill="1" applyAlignment="1">
      <alignment horizontal="center" vertical="center" wrapText="1"/>
    </xf>
    <xf numFmtId="3" fontId="0" fillId="23" borderId="0" xfId="0" applyNumberFormat="1" applyFill="1" applyAlignment="1">
      <alignment horizontal="center" vertical="center"/>
    </xf>
    <xf numFmtId="3" fontId="0" fillId="23" borderId="0" xfId="0" applyNumberFormat="1" applyFill="1" applyAlignment="1">
      <alignment horizontal="center" vertical="center" wrapText="1"/>
    </xf>
    <xf numFmtId="1" fontId="0" fillId="23" borderId="0" xfId="0" applyNumberFormat="1" applyFill="1" applyAlignment="1">
      <alignment horizontal="center" vertical="center" wrapText="1"/>
    </xf>
    <xf numFmtId="3" fontId="0" fillId="23" borderId="17" xfId="0" applyNumberFormat="1" applyFill="1" applyBorder="1" applyAlignment="1">
      <alignment horizontal="center" vertical="center"/>
    </xf>
    <xf numFmtId="3" fontId="0" fillId="23" borderId="17" xfId="0" applyNumberFormat="1" applyFill="1" applyBorder="1" applyAlignment="1">
      <alignment horizontal="center" vertical="center" wrapText="1"/>
    </xf>
    <xf numFmtId="1" fontId="0" fillId="23" borderId="17" xfId="0" applyNumberFormat="1" applyFill="1" applyBorder="1" applyAlignment="1">
      <alignment horizontal="center" vertical="center" wrapText="1"/>
    </xf>
    <xf numFmtId="2" fontId="0" fillId="20" borderId="2" xfId="0" applyNumberFormat="1" applyFill="1" applyBorder="1" applyAlignment="1">
      <alignment horizontal="center"/>
    </xf>
    <xf numFmtId="3" fontId="0" fillId="16" borderId="15" xfId="0" applyNumberFormat="1" applyFill="1" applyBorder="1" applyAlignment="1">
      <alignment horizontal="center"/>
    </xf>
    <xf numFmtId="3" fontId="0" fillId="16" borderId="18" xfId="0" applyNumberFormat="1" applyFill="1" applyBorder="1" applyAlignment="1">
      <alignment horizontal="center"/>
    </xf>
    <xf numFmtId="2" fontId="0" fillId="13" borderId="15" xfId="0" applyNumberFormat="1" applyFill="1" applyBorder="1" applyAlignment="1">
      <alignment vertical="center" wrapText="1"/>
    </xf>
    <xf numFmtId="2" fontId="0" fillId="13" borderId="18" xfId="0" applyNumberFormat="1" applyFill="1" applyBorder="1" applyAlignment="1">
      <alignment vertical="center" wrapText="1"/>
    </xf>
    <xf numFmtId="2" fontId="0" fillId="14" borderId="15" xfId="0" applyNumberFormat="1" applyFill="1" applyBorder="1" applyAlignment="1">
      <alignment vertical="center" wrapText="1"/>
    </xf>
    <xf numFmtId="2" fontId="0" fillId="14" borderId="18" xfId="0" applyNumberFormat="1" applyFill="1" applyBorder="1" applyAlignment="1">
      <alignment vertical="center" wrapText="1"/>
    </xf>
    <xf numFmtId="2" fontId="0" fillId="23" borderId="15" xfId="0" applyNumberFormat="1" applyFill="1" applyBorder="1" applyAlignment="1">
      <alignment vertical="center"/>
    </xf>
    <xf numFmtId="2" fontId="0" fillId="23" borderId="18" xfId="0" applyNumberFormat="1" applyFill="1" applyBorder="1" applyAlignment="1">
      <alignment vertical="center"/>
    </xf>
    <xf numFmtId="2" fontId="0" fillId="12" borderId="15" xfId="0" applyNumberFormat="1" applyFill="1" applyBorder="1" applyAlignment="1">
      <alignment vertical="center"/>
    </xf>
    <xf numFmtId="2" fontId="0" fillId="12" borderId="18" xfId="0" applyNumberFormat="1" applyFill="1" applyBorder="1" applyAlignment="1">
      <alignment vertical="center"/>
    </xf>
    <xf numFmtId="2" fontId="0" fillId="15" borderId="0" xfId="0" applyNumberFormat="1" applyFill="1" applyAlignment="1">
      <alignment vertical="center"/>
    </xf>
    <xf numFmtId="2" fontId="0" fillId="15" borderId="17" xfId="0" applyNumberFormat="1" applyFill="1" applyBorder="1" applyAlignment="1">
      <alignment vertical="center"/>
    </xf>
    <xf numFmtId="2" fontId="0" fillId="15" borderId="15" xfId="0" applyNumberFormat="1" applyFill="1" applyBorder="1" applyAlignment="1">
      <alignment vertical="center"/>
    </xf>
    <xf numFmtId="2" fontId="0" fillId="15" borderId="18" xfId="0" applyNumberFormat="1" applyFill="1" applyBorder="1" applyAlignment="1">
      <alignment vertical="center"/>
    </xf>
    <xf numFmtId="2" fontId="0" fillId="10" borderId="15" xfId="0" applyNumberFormat="1" applyFill="1" applyBorder="1" applyAlignment="1">
      <alignment vertical="center"/>
    </xf>
    <xf numFmtId="2" fontId="0" fillId="10" borderId="18" xfId="0" applyNumberFormat="1" applyFill="1" applyBorder="1" applyAlignment="1">
      <alignment vertical="center"/>
    </xf>
    <xf numFmtId="2" fontId="0" fillId="3" borderId="15" xfId="0" applyNumberFormat="1" applyFill="1" applyBorder="1" applyAlignment="1">
      <alignment vertical="center"/>
    </xf>
    <xf numFmtId="2" fontId="0" fillId="3" borderId="18" xfId="0" applyNumberFormat="1" applyFill="1" applyBorder="1" applyAlignment="1">
      <alignment vertical="center"/>
    </xf>
    <xf numFmtId="2" fontId="0" fillId="16" borderId="15" xfId="0" applyNumberFormat="1" applyFill="1" applyBorder="1" applyAlignment="1">
      <alignment vertical="center"/>
    </xf>
    <xf numFmtId="2" fontId="0" fillId="16" borderId="18" xfId="0" applyNumberFormat="1" applyFill="1" applyBorder="1" applyAlignment="1">
      <alignment vertical="center"/>
    </xf>
    <xf numFmtId="2" fontId="0" fillId="22" borderId="15" xfId="0" applyNumberFormat="1" applyFill="1" applyBorder="1" applyAlignment="1">
      <alignment vertical="center"/>
    </xf>
    <xf numFmtId="2" fontId="0" fillId="22" borderId="18" xfId="0" applyNumberFormat="1" applyFill="1" applyBorder="1" applyAlignment="1">
      <alignment vertical="center"/>
    </xf>
    <xf numFmtId="2" fontId="0" fillId="20" borderId="15" xfId="0" applyNumberFormat="1" applyFill="1" applyBorder="1" applyAlignment="1">
      <alignment vertical="center"/>
    </xf>
    <xf numFmtId="2" fontId="0" fillId="20" borderId="18" xfId="0" applyNumberFormat="1" applyFill="1" applyBorder="1" applyAlignment="1">
      <alignment vertical="center"/>
    </xf>
    <xf numFmtId="0" fontId="0" fillId="0" borderId="0" xfId="0" applyAlignment="1">
      <alignment vertical="center"/>
    </xf>
    <xf numFmtId="0" fontId="0" fillId="9" borderId="45" xfId="0" applyFill="1" applyBorder="1" applyAlignment="1">
      <alignment vertical="center"/>
    </xf>
    <xf numFmtId="0" fontId="0" fillId="9" borderId="6" xfId="0" applyFill="1" applyBorder="1" applyAlignment="1">
      <alignment horizontal="center" vertical="center"/>
    </xf>
    <xf numFmtId="0" fontId="0" fillId="9" borderId="6" xfId="0" applyFill="1" applyBorder="1" applyAlignment="1">
      <alignment vertical="center"/>
    </xf>
    <xf numFmtId="0" fontId="0" fillId="13" borderId="45" xfId="0" applyFill="1" applyBorder="1" applyAlignment="1">
      <alignment vertical="center"/>
    </xf>
    <xf numFmtId="0" fontId="0" fillId="13" borderId="6" xfId="0" applyFill="1" applyBorder="1" applyAlignment="1">
      <alignment vertical="center"/>
    </xf>
    <xf numFmtId="0" fontId="0" fillId="13" borderId="6" xfId="0" applyFill="1" applyBorder="1"/>
    <xf numFmtId="0" fontId="0" fillId="14" borderId="45" xfId="0" applyFill="1" applyBorder="1" applyAlignment="1">
      <alignment vertical="center"/>
    </xf>
    <xf numFmtId="0" fontId="0" fillId="14" borderId="6" xfId="0" applyFill="1" applyBorder="1" applyAlignment="1">
      <alignment vertical="center"/>
    </xf>
    <xf numFmtId="0" fontId="0" fillId="23" borderId="45" xfId="0" applyFill="1" applyBorder="1" applyAlignment="1">
      <alignment vertical="center"/>
    </xf>
    <xf numFmtId="0" fontId="0" fillId="23" borderId="6" xfId="0" applyFill="1" applyBorder="1" applyAlignment="1">
      <alignment vertical="center"/>
    </xf>
    <xf numFmtId="0" fontId="0" fillId="23" borderId="6" xfId="0" applyFill="1" applyBorder="1" applyAlignment="1">
      <alignment horizontal="center" vertical="center"/>
    </xf>
    <xf numFmtId="0" fontId="2" fillId="24" borderId="6" xfId="0" applyFont="1" applyFill="1" applyBorder="1" applyAlignment="1">
      <alignment horizontal="right" vertical="center"/>
    </xf>
    <xf numFmtId="0" fontId="2" fillId="24" borderId="6" xfId="0" applyFont="1" applyFill="1" applyBorder="1" applyAlignment="1">
      <alignment horizontal="center" vertical="center"/>
    </xf>
    <xf numFmtId="0" fontId="2" fillId="24" borderId="46" xfId="0" applyFont="1" applyFill="1" applyBorder="1" applyAlignment="1">
      <alignment vertical="center"/>
    </xf>
    <xf numFmtId="2" fontId="2" fillId="24" borderId="6" xfId="0" applyNumberFormat="1" applyFont="1" applyFill="1" applyBorder="1" applyAlignment="1">
      <alignment horizontal="center" vertical="center"/>
    </xf>
    <xf numFmtId="1" fontId="2" fillId="24" borderId="6" xfId="0" applyNumberFormat="1" applyFont="1" applyFill="1" applyBorder="1" applyAlignment="1">
      <alignment horizontal="center" vertical="center"/>
    </xf>
    <xf numFmtId="0" fontId="0" fillId="12" borderId="45" xfId="0" applyFill="1" applyBorder="1" applyAlignment="1">
      <alignment vertical="center"/>
    </xf>
    <xf numFmtId="0" fontId="0" fillId="12" borderId="6" xfId="0" applyFill="1" applyBorder="1" applyAlignment="1">
      <alignment vertical="center"/>
    </xf>
    <xf numFmtId="0" fontId="0" fillId="15" borderId="45" xfId="0" applyFill="1" applyBorder="1" applyAlignment="1">
      <alignment vertical="center"/>
    </xf>
    <xf numFmtId="0" fontId="0" fillId="15" borderId="6" xfId="0" applyFill="1" applyBorder="1" applyAlignment="1">
      <alignment vertical="center"/>
    </xf>
    <xf numFmtId="0" fontId="2" fillId="24" borderId="45" xfId="0" applyFont="1" applyFill="1" applyBorder="1" applyAlignment="1">
      <alignment vertical="center"/>
    </xf>
    <xf numFmtId="0" fontId="2" fillId="24" borderId="6" xfId="0" applyFont="1" applyFill="1" applyBorder="1" applyAlignment="1">
      <alignment vertical="center"/>
    </xf>
    <xf numFmtId="0" fontId="2" fillId="24" borderId="6" xfId="0" applyFont="1" applyFill="1" applyBorder="1" applyAlignment="1">
      <alignment horizontal="left" vertical="center"/>
    </xf>
    <xf numFmtId="0" fontId="2" fillId="24" borderId="45" xfId="0" applyFont="1" applyFill="1" applyBorder="1" applyAlignment="1">
      <alignment horizontal="center" vertical="center"/>
    </xf>
    <xf numFmtId="0" fontId="0" fillId="10" borderId="45" xfId="0" applyFill="1" applyBorder="1" applyAlignment="1">
      <alignment vertical="center"/>
    </xf>
    <xf numFmtId="0" fontId="0" fillId="10" borderId="6" xfId="0" applyFill="1" applyBorder="1" applyAlignment="1">
      <alignment vertical="center"/>
    </xf>
    <xf numFmtId="0" fontId="0" fillId="3" borderId="45" xfId="0" applyFill="1" applyBorder="1" applyAlignment="1">
      <alignment vertical="center"/>
    </xf>
    <xf numFmtId="0" fontId="0" fillId="3" borderId="6" xfId="0" applyFill="1" applyBorder="1" applyAlignment="1">
      <alignment vertical="center"/>
    </xf>
    <xf numFmtId="0" fontId="0" fillId="16" borderId="45" xfId="0" applyFill="1" applyBorder="1" applyAlignment="1">
      <alignment vertical="center"/>
    </xf>
    <xf numFmtId="0" fontId="0" fillId="16" borderId="6" xfId="0" applyFill="1" applyBorder="1" applyAlignment="1">
      <alignment vertical="center"/>
    </xf>
    <xf numFmtId="0" fontId="0" fillId="22" borderId="45" xfId="0" applyFill="1" applyBorder="1" applyAlignment="1">
      <alignment vertical="center"/>
    </xf>
    <xf numFmtId="0" fontId="0" fillId="22" borderId="6" xfId="0" applyFill="1" applyBorder="1" applyAlignment="1">
      <alignment vertical="center"/>
    </xf>
    <xf numFmtId="0" fontId="0" fillId="22" borderId="46" xfId="0" applyFill="1" applyBorder="1" applyAlignment="1">
      <alignment vertical="center"/>
    </xf>
    <xf numFmtId="0" fontId="0" fillId="22" borderId="6" xfId="0" applyFill="1" applyBorder="1" applyAlignment="1">
      <alignment horizontal="center" vertical="center"/>
    </xf>
    <xf numFmtId="0" fontId="0" fillId="15" borderId="46" xfId="0" applyFill="1" applyBorder="1" applyAlignment="1">
      <alignment vertical="center"/>
    </xf>
    <xf numFmtId="0" fontId="0" fillId="15" borderId="6" xfId="0" applyFill="1" applyBorder="1" applyAlignment="1">
      <alignment horizontal="center" vertical="center"/>
    </xf>
    <xf numFmtId="0" fontId="0" fillId="12" borderId="6" xfId="0" applyFill="1" applyBorder="1" applyAlignment="1">
      <alignment horizontal="center" vertical="center"/>
    </xf>
    <xf numFmtId="0" fontId="0" fillId="20" borderId="45" xfId="0" applyFill="1" applyBorder="1" applyAlignment="1">
      <alignment vertical="center"/>
    </xf>
    <xf numFmtId="0" fontId="0" fillId="20" borderId="6" xfId="0" applyFill="1" applyBorder="1" applyAlignment="1">
      <alignment vertical="center"/>
    </xf>
    <xf numFmtId="0" fontId="0" fillId="20" borderId="46" xfId="0" applyFill="1" applyBorder="1" applyAlignment="1">
      <alignment vertical="center"/>
    </xf>
    <xf numFmtId="0" fontId="0" fillId="20" borderId="6" xfId="0" applyFill="1" applyBorder="1" applyAlignment="1">
      <alignment horizontal="center" vertical="center"/>
    </xf>
    <xf numFmtId="0" fontId="0" fillId="17" borderId="6" xfId="0" applyFill="1" applyBorder="1" applyAlignment="1">
      <alignment horizontal="left" vertical="center"/>
    </xf>
    <xf numFmtId="0" fontId="0" fillId="17" borderId="6" xfId="0" applyFill="1" applyBorder="1" applyAlignment="1">
      <alignment horizontal="center" vertical="center"/>
    </xf>
    <xf numFmtId="0" fontId="2" fillId="24" borderId="46" xfId="0" applyFont="1" applyFill="1" applyBorder="1" applyAlignment="1">
      <alignment horizontal="center" vertical="center"/>
    </xf>
    <xf numFmtId="0" fontId="2" fillId="24" borderId="45" xfId="0" applyFont="1" applyFill="1" applyBorder="1" applyAlignment="1">
      <alignment horizontal="left" vertical="center"/>
    </xf>
    <xf numFmtId="0" fontId="2" fillId="24" borderId="46" xfId="0" applyFont="1" applyFill="1" applyBorder="1" applyAlignment="1">
      <alignment horizontal="left" vertical="center"/>
    </xf>
    <xf numFmtId="0" fontId="0" fillId="17" borderId="45" xfId="0" applyFill="1" applyBorder="1" applyAlignment="1">
      <alignment horizontal="left" vertical="center"/>
    </xf>
    <xf numFmtId="0" fontId="0" fillId="17" borderId="46" xfId="0" applyFill="1" applyBorder="1" applyAlignment="1">
      <alignment horizontal="left" vertical="center"/>
    </xf>
    <xf numFmtId="0" fontId="0" fillId="21" borderId="45" xfId="0" applyFill="1" applyBorder="1" applyAlignment="1">
      <alignment horizontal="left" vertical="center"/>
    </xf>
    <xf numFmtId="0" fontId="0" fillId="21" borderId="6" xfId="0" applyFill="1" applyBorder="1" applyAlignment="1">
      <alignment horizontal="left" vertical="center"/>
    </xf>
    <xf numFmtId="0" fontId="0" fillId="21" borderId="6" xfId="0" applyFill="1" applyBorder="1" applyAlignment="1">
      <alignment horizontal="center" vertical="center"/>
    </xf>
    <xf numFmtId="0" fontId="0" fillId="21" borderId="46" xfId="0" applyFill="1" applyBorder="1" applyAlignment="1">
      <alignment horizontal="left" vertical="center"/>
    </xf>
    <xf numFmtId="0" fontId="0" fillId="3" borderId="45" xfId="0" applyFill="1" applyBorder="1" applyAlignment="1">
      <alignment horizontal="left" vertical="center"/>
    </xf>
    <xf numFmtId="0" fontId="0" fillId="3" borderId="6" xfId="0" applyFill="1" applyBorder="1" applyAlignment="1">
      <alignment horizontal="left" vertical="center"/>
    </xf>
    <xf numFmtId="0" fontId="0" fillId="3" borderId="6" xfId="0" applyFill="1" applyBorder="1" applyAlignment="1">
      <alignment horizontal="center" vertical="center"/>
    </xf>
    <xf numFmtId="0" fontId="0" fillId="3" borderId="46" xfId="0" applyFill="1" applyBorder="1" applyAlignment="1">
      <alignment horizontal="left" vertical="center"/>
    </xf>
    <xf numFmtId="0" fontId="0" fillId="18" borderId="45" xfId="0" applyFill="1" applyBorder="1" applyAlignment="1">
      <alignment horizontal="left" vertical="center"/>
    </xf>
    <xf numFmtId="0" fontId="0" fillId="18" borderId="6" xfId="0" applyFill="1" applyBorder="1" applyAlignment="1">
      <alignment horizontal="left" vertical="center"/>
    </xf>
    <xf numFmtId="0" fontId="0" fillId="18" borderId="6" xfId="0" applyFill="1" applyBorder="1" applyAlignment="1">
      <alignment horizontal="center" vertical="center"/>
    </xf>
    <xf numFmtId="0" fontId="0" fillId="18" borderId="46" xfId="0" applyFill="1" applyBorder="1" applyAlignment="1">
      <alignment horizontal="left" vertical="center"/>
    </xf>
    <xf numFmtId="0" fontId="0" fillId="19" borderId="45" xfId="0" applyFill="1" applyBorder="1" applyAlignment="1">
      <alignment horizontal="left" vertical="center"/>
    </xf>
    <xf numFmtId="0" fontId="0" fillId="19" borderId="6" xfId="0" applyFill="1" applyBorder="1" applyAlignment="1">
      <alignment horizontal="left" vertical="center"/>
    </xf>
    <xf numFmtId="0" fontId="0" fillId="19" borderId="6" xfId="0" applyFill="1" applyBorder="1" applyAlignment="1">
      <alignment horizontal="center" vertical="center"/>
    </xf>
    <xf numFmtId="0" fontId="0" fillId="19" borderId="46" xfId="0" applyFill="1" applyBorder="1" applyAlignment="1">
      <alignment horizontal="left" vertical="center"/>
    </xf>
    <xf numFmtId="0" fontId="0" fillId="16" borderId="45" xfId="0" applyFill="1" applyBorder="1" applyAlignment="1">
      <alignment horizontal="center" vertical="center"/>
    </xf>
    <xf numFmtId="0" fontId="0" fillId="16" borderId="6" xfId="0" applyFill="1" applyBorder="1" applyAlignment="1">
      <alignment horizontal="center" vertical="center"/>
    </xf>
    <xf numFmtId="0" fontId="0" fillId="16" borderId="46" xfId="0" applyFill="1" applyBorder="1" applyAlignment="1">
      <alignment horizontal="center" vertical="center"/>
    </xf>
    <xf numFmtId="1" fontId="0" fillId="0" borderId="2" xfId="0" applyNumberFormat="1" applyBorder="1"/>
    <xf numFmtId="2" fontId="0" fillId="0" borderId="2" xfId="0" applyNumberFormat="1" applyBorder="1"/>
    <xf numFmtId="2" fontId="0" fillId="25" borderId="0" xfId="0" applyNumberFormat="1" applyFill="1" applyAlignment="1">
      <alignment horizontal="center" vertical="center" wrapText="1"/>
    </xf>
    <xf numFmtId="2" fontId="0" fillId="25" borderId="17" xfId="0" applyNumberFormat="1" applyFill="1" applyBorder="1" applyAlignment="1">
      <alignment horizontal="center" vertical="center" wrapText="1"/>
    </xf>
    <xf numFmtId="2" fontId="0" fillId="25" borderId="0" xfId="0" applyNumberFormat="1" applyFill="1" applyAlignment="1">
      <alignment horizontal="center" vertical="center"/>
    </xf>
    <xf numFmtId="2" fontId="0" fillId="25" borderId="17" xfId="0" applyNumberFormat="1" applyFill="1" applyBorder="1" applyAlignment="1">
      <alignment horizontal="center" vertical="center"/>
    </xf>
    <xf numFmtId="1" fontId="0" fillId="25" borderId="0" xfId="0" applyNumberFormat="1" applyFill="1" applyAlignment="1">
      <alignment horizontal="center" vertical="center" wrapText="1"/>
    </xf>
    <xf numFmtId="1" fontId="0" fillId="25" borderId="17" xfId="0" applyNumberFormat="1" applyFill="1" applyBorder="1" applyAlignment="1">
      <alignment horizontal="center" vertical="center" wrapText="1"/>
    </xf>
    <xf numFmtId="0" fontId="0" fillId="25" borderId="45" xfId="0" applyFill="1" applyBorder="1" applyAlignment="1">
      <alignment vertical="center"/>
    </xf>
    <xf numFmtId="0" fontId="0" fillId="25" borderId="6" xfId="0" applyFill="1" applyBorder="1" applyAlignment="1">
      <alignment vertical="center"/>
    </xf>
    <xf numFmtId="0" fontId="0" fillId="25" borderId="6" xfId="0" applyFill="1" applyBorder="1" applyAlignment="1">
      <alignment horizontal="center" vertical="center"/>
    </xf>
    <xf numFmtId="0" fontId="2" fillId="25" borderId="6" xfId="0" applyFont="1" applyFill="1" applyBorder="1" applyAlignment="1">
      <alignment horizontal="right" vertical="center"/>
    </xf>
    <xf numFmtId="2" fontId="2" fillId="25" borderId="6" xfId="0" applyNumberFormat="1" applyFont="1" applyFill="1" applyBorder="1" applyAlignment="1">
      <alignment horizontal="center" vertical="center"/>
    </xf>
    <xf numFmtId="0" fontId="2" fillId="25" borderId="46" xfId="0" applyFont="1" applyFill="1" applyBorder="1" applyAlignment="1">
      <alignment vertical="center"/>
    </xf>
    <xf numFmtId="0" fontId="0" fillId="17" borderId="45" xfId="0" applyFill="1" applyBorder="1" applyAlignment="1">
      <alignment vertical="center"/>
    </xf>
    <xf numFmtId="0" fontId="0" fillId="17" borderId="6" xfId="0" applyFill="1" applyBorder="1" applyAlignment="1">
      <alignment vertical="center"/>
    </xf>
    <xf numFmtId="0" fontId="0" fillId="17" borderId="46" xfId="0" applyFill="1" applyBorder="1" applyAlignment="1">
      <alignment vertical="center"/>
    </xf>
    <xf numFmtId="164" fontId="0" fillId="17" borderId="0" xfId="0" applyNumberFormat="1" applyFill="1" applyAlignment="1">
      <alignment horizontal="center" vertical="center"/>
    </xf>
    <xf numFmtId="164" fontId="0" fillId="17" borderId="17" xfId="0" applyNumberFormat="1" applyFill="1" applyBorder="1" applyAlignment="1">
      <alignment horizontal="center" vertical="center"/>
    </xf>
    <xf numFmtId="2" fontId="0" fillId="17" borderId="0" xfId="0" applyNumberFormat="1" applyFill="1" applyAlignment="1">
      <alignment horizontal="center" vertical="center"/>
    </xf>
    <xf numFmtId="2" fontId="0" fillId="17" borderId="17" xfId="0" applyNumberFormat="1" applyFill="1" applyBorder="1" applyAlignment="1">
      <alignment horizontal="center" vertical="center"/>
    </xf>
    <xf numFmtId="0" fontId="0" fillId="17" borderId="0" xfId="0" applyFill="1" applyAlignment="1">
      <alignment horizontal="center" vertical="center"/>
    </xf>
    <xf numFmtId="169" fontId="0" fillId="0" borderId="0" xfId="0" applyNumberFormat="1"/>
    <xf numFmtId="2" fontId="0" fillId="15" borderId="2" xfId="0" applyNumberFormat="1" applyFill="1" applyBorder="1" applyAlignment="1">
      <alignment horizontal="center" vertical="center"/>
    </xf>
    <xf numFmtId="3" fontId="0" fillId="13" borderId="23" xfId="0" applyNumberFormat="1" applyFill="1" applyBorder="1" applyAlignment="1">
      <alignment horizontal="center"/>
    </xf>
    <xf numFmtId="3" fontId="0" fillId="13" borderId="2" xfId="0" applyNumberFormat="1" applyFill="1" applyBorder="1" applyAlignment="1">
      <alignment horizontal="center"/>
    </xf>
    <xf numFmtId="3" fontId="0" fillId="14" borderId="23" xfId="0" applyNumberFormat="1" applyFill="1" applyBorder="1" applyAlignment="1">
      <alignment horizontal="center"/>
    </xf>
    <xf numFmtId="3" fontId="0" fillId="14" borderId="2" xfId="0" applyNumberFormat="1" applyFill="1" applyBorder="1" applyAlignment="1">
      <alignment horizontal="center"/>
    </xf>
    <xf numFmtId="3" fontId="0" fillId="23" borderId="2" xfId="0" applyNumberFormat="1" applyFill="1" applyBorder="1" applyAlignment="1">
      <alignment horizontal="center" vertical="center"/>
    </xf>
    <xf numFmtId="3" fontId="0" fillId="23" borderId="2" xfId="0" applyNumberFormat="1" applyFill="1" applyBorder="1" applyAlignment="1">
      <alignment horizontal="center" vertical="center" wrapText="1"/>
    </xf>
    <xf numFmtId="1" fontId="0" fillId="23" borderId="2" xfId="0" applyNumberFormat="1" applyFill="1" applyBorder="1" applyAlignment="1">
      <alignment horizontal="center" vertical="center" wrapText="1"/>
    </xf>
    <xf numFmtId="2" fontId="0" fillId="12" borderId="2" xfId="0" applyNumberFormat="1" applyFill="1" applyBorder="1" applyAlignment="1">
      <alignment horizontal="center" vertical="center" wrapText="1"/>
    </xf>
    <xf numFmtId="3" fontId="0" fillId="15" borderId="2" xfId="0" applyNumberFormat="1" applyFill="1" applyBorder="1" applyAlignment="1">
      <alignment horizontal="center" vertical="center"/>
    </xf>
    <xf numFmtId="2" fontId="0" fillId="10" borderId="2" xfId="0" applyNumberFormat="1" applyFill="1" applyBorder="1" applyAlignment="1">
      <alignment horizontal="center" vertical="center" wrapText="1"/>
    </xf>
    <xf numFmtId="3" fontId="0" fillId="3" borderId="23" xfId="0" applyNumberFormat="1" applyFill="1" applyBorder="1" applyAlignment="1">
      <alignment horizontal="center"/>
    </xf>
    <xf numFmtId="3" fontId="0" fillId="3" borderId="2" xfId="0" applyNumberFormat="1" applyFill="1" applyBorder="1" applyAlignment="1">
      <alignment horizontal="center"/>
    </xf>
    <xf numFmtId="3" fontId="0" fillId="16" borderId="23" xfId="0" applyNumberFormat="1" applyFill="1" applyBorder="1" applyAlignment="1">
      <alignment horizontal="center"/>
    </xf>
    <xf numFmtId="3" fontId="0" fillId="16" borderId="2" xfId="0" applyNumberFormat="1" applyFill="1" applyBorder="1" applyAlignment="1">
      <alignment horizontal="center"/>
    </xf>
    <xf numFmtId="3" fontId="0" fillId="22" borderId="23" xfId="0" applyNumberFormat="1" applyFill="1" applyBorder="1" applyAlignment="1">
      <alignment horizontal="center"/>
    </xf>
    <xf numFmtId="3" fontId="0" fillId="22" borderId="2" xfId="0" applyNumberFormat="1" applyFill="1" applyBorder="1" applyAlignment="1">
      <alignment horizontal="center"/>
    </xf>
    <xf numFmtId="3" fontId="0" fillId="17" borderId="2" xfId="0" applyNumberFormat="1" applyFill="1" applyBorder="1" applyAlignment="1">
      <alignment horizontal="center"/>
    </xf>
    <xf numFmtId="164" fontId="0" fillId="17" borderId="2" xfId="0" applyNumberFormat="1" applyFill="1" applyBorder="1" applyAlignment="1">
      <alignment horizontal="center" vertical="center"/>
    </xf>
    <xf numFmtId="168" fontId="0" fillId="15" borderId="23" xfId="0" applyNumberFormat="1" applyFill="1" applyBorder="1" applyAlignment="1">
      <alignment horizontal="center"/>
    </xf>
    <xf numFmtId="168" fontId="0" fillId="15" borderId="2" xfId="0" applyNumberFormat="1" applyFill="1" applyBorder="1" applyAlignment="1">
      <alignment horizontal="center"/>
    </xf>
    <xf numFmtId="1" fontId="0" fillId="25" borderId="2" xfId="0" applyNumberFormat="1" applyFill="1" applyBorder="1" applyAlignment="1">
      <alignment horizontal="center" vertical="center" wrapText="1"/>
    </xf>
    <xf numFmtId="2" fontId="0" fillId="25" borderId="2" xfId="0" applyNumberFormat="1" applyFill="1" applyBorder="1" applyAlignment="1">
      <alignment horizontal="center" vertical="center" wrapText="1"/>
    </xf>
    <xf numFmtId="3" fontId="0" fillId="20" borderId="23" xfId="0" applyNumberFormat="1" applyFill="1" applyBorder="1" applyAlignment="1">
      <alignment horizontal="center"/>
    </xf>
    <xf numFmtId="3" fontId="0" fillId="20" borderId="2" xfId="0" applyNumberFormat="1" applyFill="1" applyBorder="1" applyAlignment="1">
      <alignment horizontal="center"/>
    </xf>
    <xf numFmtId="3" fontId="0" fillId="17" borderId="23" xfId="0" applyNumberFormat="1" applyFill="1" applyBorder="1" applyAlignment="1">
      <alignment horizontal="center"/>
    </xf>
    <xf numFmtId="3" fontId="0" fillId="21" borderId="23" xfId="0" applyNumberFormat="1" applyFill="1" applyBorder="1" applyAlignment="1">
      <alignment horizontal="center"/>
    </xf>
    <xf numFmtId="3" fontId="0" fillId="21" borderId="2" xfId="0" applyNumberFormat="1" applyFill="1" applyBorder="1" applyAlignment="1">
      <alignment horizontal="center"/>
    </xf>
    <xf numFmtId="3" fontId="0" fillId="18" borderId="23" xfId="0" applyNumberFormat="1" applyFill="1" applyBorder="1" applyAlignment="1">
      <alignment horizontal="center"/>
    </xf>
    <xf numFmtId="3" fontId="0" fillId="18" borderId="2" xfId="0" applyNumberFormat="1" applyFill="1" applyBorder="1" applyAlignment="1">
      <alignment horizontal="center"/>
    </xf>
    <xf numFmtId="3" fontId="0" fillId="19" borderId="23" xfId="0" applyNumberFormat="1" applyFill="1" applyBorder="1" applyAlignment="1">
      <alignment horizontal="center"/>
    </xf>
    <xf numFmtId="3" fontId="0" fillId="19" borderId="2" xfId="0" applyNumberFormat="1" applyFill="1" applyBorder="1" applyAlignment="1">
      <alignment horizontal="center"/>
    </xf>
    <xf numFmtId="3" fontId="0" fillId="16" borderId="22" xfId="0" applyNumberFormat="1" applyFill="1" applyBorder="1" applyAlignment="1">
      <alignment horizontal="center"/>
    </xf>
    <xf numFmtId="2" fontId="0" fillId="15" borderId="22" xfId="0" applyNumberFormat="1" applyFill="1" applyBorder="1" applyAlignment="1">
      <alignment vertical="center"/>
    </xf>
    <xf numFmtId="1" fontId="0" fillId="9" borderId="22" xfId="0" applyNumberFormat="1" applyFill="1" applyBorder="1" applyAlignment="1">
      <alignment vertical="center"/>
    </xf>
    <xf numFmtId="1" fontId="0" fillId="9" borderId="15" xfId="0" applyNumberFormat="1" applyFill="1" applyBorder="1" applyAlignment="1">
      <alignment vertical="center"/>
    </xf>
    <xf numFmtId="1" fontId="0" fillId="9" borderId="18" xfId="0" applyNumberFormat="1" applyFill="1" applyBorder="1" applyAlignment="1">
      <alignment vertical="center"/>
    </xf>
    <xf numFmtId="0" fontId="0" fillId="26" borderId="6" xfId="0" applyFill="1" applyBorder="1" applyAlignment="1">
      <alignment vertical="center"/>
    </xf>
    <xf numFmtId="2" fontId="0" fillId="26" borderId="0" xfId="0" applyNumberFormat="1" applyFill="1" applyAlignment="1">
      <alignment horizontal="center" vertical="center"/>
    </xf>
    <xf numFmtId="2" fontId="0" fillId="26" borderId="17" xfId="0" applyNumberFormat="1" applyFill="1" applyBorder="1" applyAlignment="1">
      <alignment horizontal="center" vertical="center"/>
    </xf>
    <xf numFmtId="2" fontId="0" fillId="26" borderId="2" xfId="0" applyNumberFormat="1" applyFill="1" applyBorder="1" applyAlignment="1">
      <alignment horizontal="center" vertical="center"/>
    </xf>
    <xf numFmtId="0" fontId="0" fillId="26" borderId="0" xfId="0" applyFill="1" applyAlignment="1">
      <alignment horizontal="center" vertical="center"/>
    </xf>
    <xf numFmtId="0" fontId="0" fillId="26" borderId="6" xfId="0" applyFill="1" applyBorder="1" applyAlignment="1">
      <alignment horizontal="center" vertical="center"/>
    </xf>
    <xf numFmtId="3" fontId="0" fillId="26" borderId="14" xfId="0" applyNumberFormat="1" applyFill="1" applyBorder="1" applyAlignment="1">
      <alignment horizontal="center"/>
    </xf>
    <xf numFmtId="3" fontId="0" fillId="26" borderId="0" xfId="0" applyNumberFormat="1" applyFill="1" applyAlignment="1">
      <alignment horizontal="center"/>
    </xf>
    <xf numFmtId="3" fontId="0" fillId="26" borderId="17" xfId="0" applyNumberFormat="1" applyFill="1" applyBorder="1" applyAlignment="1">
      <alignment horizontal="center"/>
    </xf>
    <xf numFmtId="1" fontId="0" fillId="26" borderId="0" xfId="0" applyNumberFormat="1" applyFill="1" applyAlignment="1">
      <alignment horizontal="center" vertical="center"/>
    </xf>
    <xf numFmtId="4" fontId="0" fillId="9" borderId="0" xfId="0" applyNumberFormat="1" applyFill="1" applyAlignment="1">
      <alignment horizontal="center"/>
    </xf>
    <xf numFmtId="1" fontId="0" fillId="26" borderId="17" xfId="0" applyNumberFormat="1" applyFill="1" applyBorder="1" applyAlignment="1">
      <alignment horizontal="center" vertical="center"/>
    </xf>
    <xf numFmtId="2" fontId="0" fillId="13" borderId="22" xfId="0" applyNumberFormat="1" applyFill="1" applyBorder="1" applyAlignment="1">
      <alignment vertical="center" wrapText="1"/>
    </xf>
    <xf numFmtId="2" fontId="0" fillId="14" borderId="22" xfId="0" applyNumberFormat="1" applyFill="1" applyBorder="1" applyAlignment="1">
      <alignment vertical="center" wrapText="1"/>
    </xf>
    <xf numFmtId="2" fontId="0" fillId="23" borderId="22" xfId="0" applyNumberFormat="1" applyFill="1" applyBorder="1" applyAlignment="1">
      <alignment vertical="center"/>
    </xf>
    <xf numFmtId="2" fontId="0" fillId="12" borderId="22" xfId="0" applyNumberFormat="1" applyFill="1" applyBorder="1" applyAlignment="1">
      <alignment vertical="center"/>
    </xf>
    <xf numFmtId="2" fontId="0" fillId="15" borderId="2" xfId="0" applyNumberFormat="1" applyFill="1" applyBorder="1" applyAlignment="1">
      <alignment vertical="center"/>
    </xf>
    <xf numFmtId="2" fontId="0" fillId="10" borderId="22" xfId="0" applyNumberFormat="1" applyFill="1" applyBorder="1" applyAlignment="1">
      <alignment vertical="center"/>
    </xf>
    <xf numFmtId="2" fontId="0" fillId="3" borderId="22" xfId="0" applyNumberFormat="1" applyFill="1" applyBorder="1" applyAlignment="1">
      <alignment vertical="center"/>
    </xf>
    <xf numFmtId="2" fontId="0" fillId="16" borderId="22" xfId="0" applyNumberFormat="1" applyFill="1" applyBorder="1" applyAlignment="1">
      <alignment vertical="center"/>
    </xf>
    <xf numFmtId="2" fontId="0" fillId="22" borderId="22" xfId="0" applyNumberFormat="1" applyFill="1" applyBorder="1" applyAlignment="1">
      <alignment vertical="center"/>
    </xf>
    <xf numFmtId="2" fontId="0" fillId="20" borderId="22" xfId="0" applyNumberFormat="1" applyFill="1" applyBorder="1" applyAlignment="1">
      <alignment vertical="center"/>
    </xf>
    <xf numFmtId="1" fontId="0" fillId="9" borderId="2" xfId="0" applyNumberFormat="1" applyFill="1" applyBorder="1" applyAlignment="1">
      <alignment vertical="center"/>
    </xf>
    <xf numFmtId="2" fontId="0" fillId="13" borderId="22" xfId="0" applyNumberFormat="1" applyFill="1" applyBorder="1" applyAlignment="1">
      <alignment vertical="center"/>
    </xf>
    <xf numFmtId="2" fontId="0" fillId="14" borderId="22" xfId="0" applyNumberFormat="1" applyFill="1" applyBorder="1" applyAlignment="1">
      <alignment vertical="center"/>
    </xf>
    <xf numFmtId="2" fontId="0" fillId="23" borderId="2" xfId="0" applyNumberFormat="1" applyFill="1" applyBorder="1" applyAlignment="1">
      <alignment vertical="center"/>
    </xf>
    <xf numFmtId="2" fontId="0" fillId="12" borderId="2" xfId="0" applyNumberFormat="1" applyFill="1" applyBorder="1" applyAlignment="1">
      <alignment vertical="center"/>
    </xf>
    <xf numFmtId="2" fontId="0" fillId="10" borderId="2" xfId="0" applyNumberFormat="1" applyFill="1" applyBorder="1" applyAlignment="1">
      <alignment vertical="center"/>
    </xf>
    <xf numFmtId="2" fontId="0" fillId="16" borderId="2" xfId="0" applyNumberFormat="1" applyFill="1" applyBorder="1" applyAlignment="1">
      <alignment vertical="center"/>
    </xf>
    <xf numFmtId="2" fontId="0" fillId="20" borderId="2" xfId="0" applyNumberFormat="1" applyFill="1" applyBorder="1" applyAlignment="1">
      <alignment vertical="center"/>
    </xf>
    <xf numFmtId="1" fontId="0" fillId="9" borderId="0" xfId="0" applyNumberFormat="1" applyFill="1" applyAlignment="1">
      <alignment vertical="center"/>
    </xf>
    <xf numFmtId="2" fontId="0" fillId="13" borderId="15" xfId="0" applyNumberFormat="1" applyFill="1" applyBorder="1" applyAlignment="1">
      <alignment vertical="center"/>
    </xf>
    <xf numFmtId="2" fontId="0" fillId="14" borderId="15" xfId="0" applyNumberFormat="1" applyFill="1" applyBorder="1" applyAlignment="1">
      <alignment vertical="center"/>
    </xf>
    <xf numFmtId="2" fontId="0" fillId="23" borderId="0" xfId="0" applyNumberFormat="1" applyFill="1" applyAlignment="1">
      <alignment vertical="center"/>
    </xf>
    <xf numFmtId="2" fontId="0" fillId="12" borderId="0" xfId="0" applyNumberFormat="1" applyFill="1" applyAlignment="1">
      <alignment vertical="center"/>
    </xf>
    <xf numFmtId="2" fontId="0" fillId="10" borderId="0" xfId="0" applyNumberFormat="1" applyFill="1" applyAlignment="1">
      <alignment vertical="center"/>
    </xf>
    <xf numFmtId="2" fontId="0" fillId="16" borderId="0" xfId="0" applyNumberFormat="1" applyFill="1" applyAlignment="1">
      <alignment vertical="center"/>
    </xf>
    <xf numFmtId="2" fontId="0" fillId="20" borderId="0" xfId="0" applyNumberFormat="1" applyFill="1" applyAlignment="1">
      <alignment vertical="center"/>
    </xf>
    <xf numFmtId="0" fontId="0" fillId="9" borderId="22" xfId="0" applyFill="1" applyBorder="1" applyAlignment="1">
      <alignment vertical="center"/>
    </xf>
    <xf numFmtId="0" fontId="0" fillId="23" borderId="22" xfId="0" applyFill="1" applyBorder="1" applyAlignment="1">
      <alignment vertical="center"/>
    </xf>
    <xf numFmtId="0" fontId="0" fillId="16" borderId="22" xfId="0" applyFill="1" applyBorder="1" applyAlignment="1">
      <alignment vertical="center"/>
    </xf>
    <xf numFmtId="0" fontId="0" fillId="22" borderId="22" xfId="0" applyFill="1" applyBorder="1" applyAlignment="1">
      <alignment vertical="center"/>
    </xf>
    <xf numFmtId="0" fontId="0" fillId="15" borderId="22" xfId="0" applyFill="1" applyBorder="1" applyAlignment="1">
      <alignment vertical="center"/>
    </xf>
    <xf numFmtId="0" fontId="0" fillId="20" borderId="22" xfId="0" applyFill="1" applyBorder="1" applyAlignment="1">
      <alignment vertical="center"/>
    </xf>
    <xf numFmtId="0" fontId="0" fillId="9" borderId="15" xfId="0" applyFill="1" applyBorder="1" applyAlignment="1">
      <alignment vertical="center"/>
    </xf>
    <xf numFmtId="0" fontId="0" fillId="23" borderId="15" xfId="0" applyFill="1" applyBorder="1" applyAlignment="1">
      <alignment vertical="center"/>
    </xf>
    <xf numFmtId="0" fontId="0" fillId="16" borderId="15" xfId="0" applyFill="1" applyBorder="1" applyAlignment="1">
      <alignment vertical="center"/>
    </xf>
    <xf numFmtId="0" fontId="0" fillId="22" borderId="15" xfId="0" applyFill="1" applyBorder="1" applyAlignment="1">
      <alignment vertical="center"/>
    </xf>
    <xf numFmtId="0" fontId="0" fillId="15" borderId="15" xfId="0" applyFill="1" applyBorder="1" applyAlignment="1">
      <alignment vertical="center"/>
    </xf>
    <xf numFmtId="0" fontId="0" fillId="20" borderId="15" xfId="0" applyFill="1" applyBorder="1" applyAlignment="1">
      <alignment vertical="center"/>
    </xf>
    <xf numFmtId="0" fontId="0" fillId="9" borderId="18" xfId="0" applyFill="1" applyBorder="1" applyAlignment="1">
      <alignment vertical="center"/>
    </xf>
    <xf numFmtId="0" fontId="24" fillId="0" borderId="41" xfId="0" applyFont="1" applyBorder="1" applyAlignment="1">
      <alignment horizontal="center" vertical="center" textRotation="90" wrapText="1"/>
    </xf>
    <xf numFmtId="0" fontId="24" fillId="0" borderId="42" xfId="0" applyFont="1" applyBorder="1" applyAlignment="1">
      <alignment horizontal="center" vertical="center" textRotation="90" wrapText="1"/>
    </xf>
    <xf numFmtId="0" fontId="24" fillId="9" borderId="37" xfId="0" applyFont="1" applyFill="1" applyBorder="1" applyAlignment="1">
      <alignment horizontal="center" vertical="center" textRotation="90" wrapText="1"/>
    </xf>
    <xf numFmtId="2" fontId="24" fillId="9" borderId="39" xfId="0" applyNumberFormat="1" applyFont="1" applyFill="1" applyBorder="1" applyAlignment="1">
      <alignment horizontal="center" vertical="center" textRotation="90" wrapText="1"/>
    </xf>
    <xf numFmtId="2" fontId="24" fillId="9" borderId="29" xfId="0" applyNumberFormat="1" applyFont="1" applyFill="1" applyBorder="1" applyAlignment="1">
      <alignment horizontal="center" vertical="center" textRotation="90" wrapText="1"/>
    </xf>
    <xf numFmtId="0" fontId="24" fillId="13" borderId="38" xfId="0" applyFont="1" applyFill="1" applyBorder="1" applyAlignment="1">
      <alignment horizontal="center" vertical="center" textRotation="90" wrapText="1"/>
    </xf>
    <xf numFmtId="0" fontId="24" fillId="13" borderId="37" xfId="0" applyFont="1" applyFill="1" applyBorder="1" applyAlignment="1">
      <alignment horizontal="center" vertical="center" textRotation="90" wrapText="1"/>
    </xf>
    <xf numFmtId="0" fontId="24" fillId="13" borderId="39" xfId="0" applyFont="1" applyFill="1" applyBorder="1" applyAlignment="1">
      <alignment horizontal="center" vertical="center" textRotation="90" wrapText="1"/>
    </xf>
    <xf numFmtId="0" fontId="24" fillId="13" borderId="29" xfId="0" applyFont="1" applyFill="1" applyBorder="1" applyAlignment="1">
      <alignment horizontal="center" vertical="center" textRotation="90" wrapText="1"/>
    </xf>
    <xf numFmtId="0" fontId="24" fillId="14" borderId="38" xfId="0" applyFont="1" applyFill="1" applyBorder="1" applyAlignment="1">
      <alignment horizontal="center" vertical="center" textRotation="90" wrapText="1"/>
    </xf>
    <xf numFmtId="0" fontId="24" fillId="14" borderId="37" xfId="0" applyFont="1" applyFill="1" applyBorder="1" applyAlignment="1">
      <alignment horizontal="center" vertical="center" textRotation="90" wrapText="1"/>
    </xf>
    <xf numFmtId="0" fontId="24" fillId="14" borderId="39" xfId="0" applyFont="1" applyFill="1" applyBorder="1" applyAlignment="1">
      <alignment horizontal="center" vertical="center" textRotation="90" wrapText="1"/>
    </xf>
    <xf numFmtId="0" fontId="24" fillId="14" borderId="29" xfId="0" applyFont="1" applyFill="1" applyBorder="1" applyAlignment="1">
      <alignment horizontal="center" vertical="center" textRotation="90" wrapText="1"/>
    </xf>
    <xf numFmtId="0" fontId="24" fillId="23" borderId="37" xfId="0" applyFont="1" applyFill="1" applyBorder="1" applyAlignment="1">
      <alignment horizontal="center" vertical="center" textRotation="90" wrapText="1"/>
    </xf>
    <xf numFmtId="1" fontId="24" fillId="23" borderId="39" xfId="0" applyNumberFormat="1" applyFont="1" applyFill="1" applyBorder="1" applyAlignment="1">
      <alignment horizontal="center" vertical="center" textRotation="90" wrapText="1"/>
    </xf>
    <xf numFmtId="0" fontId="24" fillId="23" borderId="29" xfId="0" applyFont="1" applyFill="1" applyBorder="1" applyAlignment="1">
      <alignment horizontal="center" vertical="center" textRotation="90" wrapText="1"/>
    </xf>
    <xf numFmtId="0" fontId="24" fillId="12" borderId="37" xfId="0" applyFont="1" applyFill="1" applyBorder="1" applyAlignment="1">
      <alignment horizontal="center" vertical="center" textRotation="90" wrapText="1"/>
    </xf>
    <xf numFmtId="2" fontId="24" fillId="12" borderId="37" xfId="0" applyNumberFormat="1" applyFont="1" applyFill="1" applyBorder="1" applyAlignment="1">
      <alignment horizontal="center" vertical="center" textRotation="90" wrapText="1"/>
    </xf>
    <xf numFmtId="2" fontId="24" fillId="12" borderId="39" xfId="0" applyNumberFormat="1" applyFont="1" applyFill="1" applyBorder="1" applyAlignment="1">
      <alignment horizontal="center" vertical="center" textRotation="90" wrapText="1"/>
    </xf>
    <xf numFmtId="2" fontId="24" fillId="12" borderId="29" xfId="0" applyNumberFormat="1" applyFont="1" applyFill="1" applyBorder="1" applyAlignment="1">
      <alignment horizontal="center" vertical="center" textRotation="90" wrapText="1"/>
    </xf>
    <xf numFmtId="0" fontId="24" fillId="15" borderId="37" xfId="0" applyFont="1" applyFill="1" applyBorder="1" applyAlignment="1">
      <alignment horizontal="center" vertical="center" textRotation="90" wrapText="1"/>
    </xf>
    <xf numFmtId="2" fontId="24" fillId="15" borderId="37" xfId="0" applyNumberFormat="1" applyFont="1" applyFill="1" applyBorder="1" applyAlignment="1">
      <alignment horizontal="center" vertical="center" textRotation="90" wrapText="1"/>
    </xf>
    <xf numFmtId="2" fontId="24" fillId="15" borderId="39" xfId="0" applyNumberFormat="1" applyFont="1" applyFill="1" applyBorder="1" applyAlignment="1">
      <alignment horizontal="center" vertical="center" textRotation="90" wrapText="1"/>
    </xf>
    <xf numFmtId="2" fontId="24" fillId="15" borderId="29" xfId="0" applyNumberFormat="1" applyFont="1" applyFill="1" applyBorder="1" applyAlignment="1">
      <alignment horizontal="center" vertical="center" textRotation="90" wrapText="1"/>
    </xf>
    <xf numFmtId="0" fontId="24" fillId="10" borderId="37" xfId="0" applyFont="1" applyFill="1" applyBorder="1" applyAlignment="1">
      <alignment horizontal="center" vertical="center" textRotation="90" wrapText="1"/>
    </xf>
    <xf numFmtId="2" fontId="24" fillId="10" borderId="37" xfId="0" applyNumberFormat="1" applyFont="1" applyFill="1" applyBorder="1" applyAlignment="1">
      <alignment horizontal="center" vertical="center" textRotation="90" wrapText="1"/>
    </xf>
    <xf numFmtId="2" fontId="24" fillId="10" borderId="29" xfId="0" applyNumberFormat="1" applyFont="1" applyFill="1" applyBorder="1" applyAlignment="1">
      <alignment horizontal="center" vertical="center" textRotation="90" wrapText="1"/>
    </xf>
    <xf numFmtId="0" fontId="24" fillId="3" borderId="37" xfId="0" applyFont="1" applyFill="1" applyBorder="1" applyAlignment="1">
      <alignment horizontal="center" vertical="center" textRotation="90" wrapText="1"/>
    </xf>
    <xf numFmtId="2" fontId="24" fillId="3" borderId="37" xfId="0" applyNumberFormat="1" applyFont="1" applyFill="1" applyBorder="1" applyAlignment="1">
      <alignment horizontal="center" vertical="center" textRotation="90" wrapText="1"/>
    </xf>
    <xf numFmtId="2" fontId="24" fillId="3" borderId="39" xfId="0" applyNumberFormat="1" applyFont="1" applyFill="1" applyBorder="1" applyAlignment="1">
      <alignment horizontal="center" vertical="center" textRotation="90" wrapText="1"/>
    </xf>
    <xf numFmtId="2" fontId="24" fillId="3" borderId="29" xfId="0" applyNumberFormat="1" applyFont="1" applyFill="1" applyBorder="1" applyAlignment="1">
      <alignment horizontal="center" vertical="center" textRotation="90" wrapText="1"/>
    </xf>
    <xf numFmtId="0" fontId="24" fillId="16" borderId="37" xfId="0" applyFont="1" applyFill="1" applyBorder="1" applyAlignment="1">
      <alignment horizontal="center" vertical="center" textRotation="90" wrapText="1"/>
    </xf>
    <xf numFmtId="2" fontId="24" fillId="16" borderId="37" xfId="0" applyNumberFormat="1" applyFont="1" applyFill="1" applyBorder="1" applyAlignment="1">
      <alignment horizontal="center" vertical="center" textRotation="90" wrapText="1"/>
    </xf>
    <xf numFmtId="2" fontId="24" fillId="16" borderId="39" xfId="0" applyNumberFormat="1" applyFont="1" applyFill="1" applyBorder="1" applyAlignment="1">
      <alignment horizontal="center" vertical="center" textRotation="90" wrapText="1"/>
    </xf>
    <xf numFmtId="0" fontId="24" fillId="16" borderId="29" xfId="0" applyFont="1" applyFill="1" applyBorder="1" applyAlignment="1">
      <alignment horizontal="center" vertical="center" textRotation="90" wrapText="1"/>
    </xf>
    <xf numFmtId="0" fontId="24" fillId="26" borderId="31" xfId="0" applyFont="1" applyFill="1" applyBorder="1" applyAlignment="1">
      <alignment horizontal="center" vertical="center" textRotation="90" wrapText="1"/>
    </xf>
    <xf numFmtId="0" fontId="24" fillId="26" borderId="37" xfId="0" applyFont="1" applyFill="1" applyBorder="1" applyAlignment="1">
      <alignment horizontal="center" vertical="center" textRotation="90" wrapText="1"/>
    </xf>
    <xf numFmtId="0" fontId="24" fillId="22" borderId="37" xfId="0" applyFont="1" applyFill="1" applyBorder="1" applyAlignment="1">
      <alignment horizontal="center" vertical="center" textRotation="90" wrapText="1"/>
    </xf>
    <xf numFmtId="2" fontId="24" fillId="22" borderId="37" xfId="0" applyNumberFormat="1" applyFont="1" applyFill="1" applyBorder="1" applyAlignment="1">
      <alignment horizontal="center" vertical="center" textRotation="90" wrapText="1"/>
    </xf>
    <xf numFmtId="2" fontId="24" fillId="22" borderId="39" xfId="0" applyNumberFormat="1" applyFont="1" applyFill="1" applyBorder="1" applyAlignment="1">
      <alignment horizontal="center" vertical="center" textRotation="90" wrapText="1"/>
    </xf>
    <xf numFmtId="0" fontId="24" fillId="22" borderId="29" xfId="0" applyFont="1" applyFill="1" applyBorder="1" applyAlignment="1">
      <alignment horizontal="center" vertical="center" textRotation="90" wrapText="1"/>
    </xf>
    <xf numFmtId="0" fontId="24" fillId="17" borderId="37" xfId="0" applyFont="1" applyFill="1" applyBorder="1" applyAlignment="1">
      <alignment horizontal="center" vertical="center" textRotation="90" wrapText="1"/>
    </xf>
    <xf numFmtId="2" fontId="24" fillId="17" borderId="37" xfId="0" applyNumberFormat="1" applyFont="1" applyFill="1" applyBorder="1" applyAlignment="1">
      <alignment horizontal="center" vertical="center" textRotation="90" wrapText="1"/>
    </xf>
    <xf numFmtId="2" fontId="24" fillId="17" borderId="39" xfId="0" applyNumberFormat="1" applyFont="1" applyFill="1" applyBorder="1" applyAlignment="1">
      <alignment horizontal="center" vertical="center" textRotation="90" wrapText="1"/>
    </xf>
    <xf numFmtId="0" fontId="24" fillId="17" borderId="29" xfId="0" applyFont="1" applyFill="1" applyBorder="1" applyAlignment="1">
      <alignment horizontal="center" vertical="center" textRotation="90" wrapText="1"/>
    </xf>
    <xf numFmtId="0" fontId="24" fillId="15" borderId="29" xfId="0" applyFont="1" applyFill="1" applyBorder="1" applyAlignment="1">
      <alignment horizontal="center" vertical="center" textRotation="90" wrapText="1"/>
    </xf>
    <xf numFmtId="0" fontId="24" fillId="12" borderId="29" xfId="0" applyFont="1" applyFill="1" applyBorder="1" applyAlignment="1">
      <alignment horizontal="center" vertical="center" textRotation="90" wrapText="1"/>
    </xf>
    <xf numFmtId="0" fontId="24" fillId="25" borderId="37" xfId="0" applyFont="1" applyFill="1" applyBorder="1" applyAlignment="1">
      <alignment horizontal="center" vertical="center" textRotation="90" wrapText="1"/>
    </xf>
    <xf numFmtId="2" fontId="24" fillId="25" borderId="37" xfId="0" applyNumberFormat="1" applyFont="1" applyFill="1" applyBorder="1" applyAlignment="1">
      <alignment horizontal="center" vertical="center" textRotation="90" wrapText="1"/>
    </xf>
    <xf numFmtId="2" fontId="24" fillId="25" borderId="39" xfId="0" applyNumberFormat="1" applyFont="1" applyFill="1" applyBorder="1" applyAlignment="1">
      <alignment horizontal="center" vertical="center" textRotation="90" wrapText="1"/>
    </xf>
    <xf numFmtId="0" fontId="24" fillId="25" borderId="29" xfId="0" applyFont="1" applyFill="1" applyBorder="1" applyAlignment="1">
      <alignment horizontal="center" vertical="center" textRotation="90" wrapText="1"/>
    </xf>
    <xf numFmtId="0" fontId="24" fillId="20" borderId="37" xfId="0" applyFont="1" applyFill="1" applyBorder="1" applyAlignment="1">
      <alignment horizontal="center" vertical="center" textRotation="90" wrapText="1"/>
    </xf>
    <xf numFmtId="2" fontId="24" fillId="20" borderId="37" xfId="0" applyNumberFormat="1" applyFont="1" applyFill="1" applyBorder="1" applyAlignment="1">
      <alignment horizontal="center" vertical="center" textRotation="90" wrapText="1"/>
    </xf>
    <xf numFmtId="2" fontId="24" fillId="20" borderId="39" xfId="0" applyNumberFormat="1" applyFont="1" applyFill="1" applyBorder="1" applyAlignment="1">
      <alignment horizontal="center" vertical="center" textRotation="90" wrapText="1"/>
    </xf>
    <xf numFmtId="0" fontId="24" fillId="20" borderId="29" xfId="0" applyFont="1" applyFill="1" applyBorder="1" applyAlignment="1">
      <alignment horizontal="center" vertical="center" textRotation="90" wrapText="1"/>
    </xf>
    <xf numFmtId="0" fontId="24" fillId="21" borderId="37" xfId="0" applyFont="1" applyFill="1" applyBorder="1" applyAlignment="1">
      <alignment horizontal="center" vertical="center" textRotation="90" wrapText="1"/>
    </xf>
    <xf numFmtId="0" fontId="24" fillId="18" borderId="37" xfId="0" applyFont="1" applyFill="1" applyBorder="1" applyAlignment="1">
      <alignment horizontal="center" vertical="center" textRotation="90" wrapText="1"/>
    </xf>
    <xf numFmtId="0" fontId="24" fillId="19" borderId="37" xfId="0" applyFont="1" applyFill="1" applyBorder="1" applyAlignment="1">
      <alignment horizontal="center" vertical="center" textRotation="90" wrapText="1"/>
    </xf>
    <xf numFmtId="2" fontId="24" fillId="10" borderId="39" xfId="0" applyNumberFormat="1" applyFont="1" applyFill="1" applyBorder="1" applyAlignment="1">
      <alignment horizontal="center" vertical="center" textRotation="90" wrapText="1"/>
    </xf>
    <xf numFmtId="0" fontId="24" fillId="10" borderId="29" xfId="0" applyFont="1" applyFill="1" applyBorder="1" applyAlignment="1">
      <alignment horizontal="center" vertical="center" textRotation="90" wrapText="1"/>
    </xf>
    <xf numFmtId="0" fontId="24" fillId="10" borderId="36" xfId="0" applyFont="1" applyFill="1" applyBorder="1" applyAlignment="1">
      <alignment horizontal="center" vertical="center" textRotation="90" wrapText="1"/>
    </xf>
    <xf numFmtId="0" fontId="24" fillId="3" borderId="38" xfId="0" applyFont="1" applyFill="1" applyBorder="1" applyAlignment="1">
      <alignment horizontal="center" vertical="center" textRotation="90" wrapText="1"/>
    </xf>
    <xf numFmtId="0" fontId="24" fillId="16" borderId="36" xfId="0" applyFont="1" applyFill="1" applyBorder="1" applyAlignment="1">
      <alignment horizontal="center" vertical="center" textRotation="90" wrapText="1"/>
    </xf>
    <xf numFmtId="0" fontId="24" fillId="22" borderId="36" xfId="0" applyFont="1" applyFill="1" applyBorder="1" applyAlignment="1">
      <alignment horizontal="center" vertical="center" textRotation="90" wrapText="1"/>
    </xf>
    <xf numFmtId="0" fontId="24" fillId="17" borderId="36" xfId="0" applyFont="1" applyFill="1" applyBorder="1" applyAlignment="1">
      <alignment horizontal="center" vertical="center" textRotation="90" wrapText="1"/>
    </xf>
    <xf numFmtId="0" fontId="24" fillId="15" borderId="36" xfId="0" applyFont="1" applyFill="1" applyBorder="1" applyAlignment="1">
      <alignment horizontal="center" vertical="center" textRotation="90" wrapText="1"/>
    </xf>
    <xf numFmtId="0" fontId="24" fillId="12" borderId="36" xfId="0" applyFont="1" applyFill="1" applyBorder="1" applyAlignment="1">
      <alignment horizontal="center" vertical="center" textRotation="90" wrapText="1"/>
    </xf>
    <xf numFmtId="0" fontId="24" fillId="25" borderId="36" xfId="0" applyFont="1" applyFill="1" applyBorder="1" applyAlignment="1">
      <alignment horizontal="center" vertical="center" textRotation="90" wrapText="1"/>
    </xf>
    <xf numFmtId="0" fontId="24" fillId="20" borderId="36" xfId="0" applyFont="1" applyFill="1" applyBorder="1" applyAlignment="1">
      <alignment horizontal="center" vertical="center" textRotation="90" wrapText="1"/>
    </xf>
    <xf numFmtId="0" fontId="24" fillId="21" borderId="36" xfId="0" applyFont="1" applyFill="1" applyBorder="1" applyAlignment="1">
      <alignment horizontal="center" vertical="center" textRotation="90" wrapText="1"/>
    </xf>
    <xf numFmtId="0" fontId="24" fillId="3" borderId="36" xfId="0" applyFont="1" applyFill="1" applyBorder="1" applyAlignment="1">
      <alignment horizontal="center" vertical="center" textRotation="90" wrapText="1"/>
    </xf>
    <xf numFmtId="0" fontId="24" fillId="18" borderId="36" xfId="0" applyFont="1" applyFill="1" applyBorder="1" applyAlignment="1">
      <alignment horizontal="center" vertical="center" textRotation="90" wrapText="1"/>
    </xf>
    <xf numFmtId="0" fontId="24" fillId="19" borderId="36" xfId="0" applyFont="1" applyFill="1" applyBorder="1" applyAlignment="1">
      <alignment horizontal="center" vertical="center" textRotation="90" wrapText="1"/>
    </xf>
    <xf numFmtId="0" fontId="24" fillId="0" borderId="0" xfId="0" applyFont="1" applyAlignment="1">
      <alignment wrapText="1"/>
    </xf>
    <xf numFmtId="0" fontId="25" fillId="9" borderId="37" xfId="0" applyFont="1" applyFill="1" applyBorder="1" applyAlignment="1">
      <alignment horizontal="center" vertical="center" textRotation="90" wrapText="1"/>
    </xf>
    <xf numFmtId="0" fontId="25" fillId="0" borderId="40" xfId="0" applyFont="1" applyBorder="1" applyAlignment="1">
      <alignment horizontal="center" vertical="center" textRotation="90" wrapText="1"/>
    </xf>
    <xf numFmtId="0" fontId="25" fillId="13" borderId="38" xfId="0" applyFont="1" applyFill="1" applyBorder="1" applyAlignment="1">
      <alignment horizontal="center" vertical="center" textRotation="90" wrapText="1"/>
    </xf>
    <xf numFmtId="0" fontId="25" fillId="14" borderId="38" xfId="0" applyFont="1" applyFill="1" applyBorder="1" applyAlignment="1">
      <alignment horizontal="center" vertical="center" textRotation="90" wrapText="1"/>
    </xf>
    <xf numFmtId="0" fontId="25" fillId="23" borderId="37" xfId="0" applyFont="1" applyFill="1" applyBorder="1" applyAlignment="1">
      <alignment horizontal="center" vertical="center" textRotation="90" wrapText="1"/>
    </xf>
    <xf numFmtId="0" fontId="25" fillId="12" borderId="37" xfId="0" applyFont="1" applyFill="1" applyBorder="1" applyAlignment="1">
      <alignment horizontal="center" vertical="center" textRotation="90" wrapText="1"/>
    </xf>
    <xf numFmtId="0" fontId="25" fillId="15" borderId="37" xfId="0" applyFont="1" applyFill="1" applyBorder="1" applyAlignment="1">
      <alignment horizontal="center" vertical="center" textRotation="90" wrapText="1"/>
    </xf>
    <xf numFmtId="0" fontId="25" fillId="10" borderId="37" xfId="0" applyFont="1" applyFill="1" applyBorder="1" applyAlignment="1">
      <alignment horizontal="center" vertical="center" textRotation="90" wrapText="1"/>
    </xf>
    <xf numFmtId="0" fontId="25" fillId="3" borderId="37" xfId="0" applyFont="1" applyFill="1" applyBorder="1" applyAlignment="1">
      <alignment horizontal="center" vertical="center" textRotation="90" wrapText="1"/>
    </xf>
    <xf numFmtId="0" fontId="25" fillId="16" borderId="37" xfId="0" applyFont="1" applyFill="1" applyBorder="1" applyAlignment="1">
      <alignment horizontal="center" vertical="center" textRotation="90" wrapText="1"/>
    </xf>
    <xf numFmtId="0" fontId="25" fillId="26" borderId="37" xfId="0" applyFont="1" applyFill="1" applyBorder="1" applyAlignment="1">
      <alignment horizontal="center" vertical="center" textRotation="90" wrapText="1"/>
    </xf>
    <xf numFmtId="0" fontId="25" fillId="22" borderId="37" xfId="0" applyFont="1" applyFill="1" applyBorder="1" applyAlignment="1">
      <alignment horizontal="center" vertical="center" textRotation="90" wrapText="1"/>
    </xf>
    <xf numFmtId="0" fontId="25" fillId="17" borderId="37" xfId="0" applyFont="1" applyFill="1" applyBorder="1" applyAlignment="1">
      <alignment horizontal="center" vertical="center" textRotation="90" wrapText="1"/>
    </xf>
    <xf numFmtId="0" fontId="25" fillId="25" borderId="37" xfId="0" applyFont="1" applyFill="1" applyBorder="1" applyAlignment="1">
      <alignment horizontal="center" vertical="center" textRotation="90" wrapText="1"/>
    </xf>
    <xf numFmtId="0" fontId="25" fillId="20" borderId="37" xfId="0" applyFont="1" applyFill="1" applyBorder="1" applyAlignment="1">
      <alignment horizontal="center" vertical="center" textRotation="90" wrapText="1"/>
    </xf>
    <xf numFmtId="0" fontId="25" fillId="21" borderId="37" xfId="0" applyFont="1" applyFill="1" applyBorder="1" applyAlignment="1">
      <alignment horizontal="center" vertical="center" textRotation="90" wrapText="1"/>
    </xf>
    <xf numFmtId="0" fontId="25" fillId="18" borderId="37" xfId="0" applyFont="1" applyFill="1" applyBorder="1" applyAlignment="1">
      <alignment horizontal="center" vertical="center" textRotation="90" wrapText="1"/>
    </xf>
    <xf numFmtId="0" fontId="25" fillId="19" borderId="37" xfId="0" applyFont="1" applyFill="1" applyBorder="1" applyAlignment="1">
      <alignment horizontal="center" vertical="center" textRotation="90" wrapText="1"/>
    </xf>
    <xf numFmtId="0" fontId="25" fillId="0" borderId="41" xfId="0" applyFont="1" applyBorder="1" applyAlignment="1">
      <alignment horizontal="center" vertical="center" textRotation="90" wrapText="1"/>
    </xf>
    <xf numFmtId="0" fontId="25" fillId="9" borderId="38" xfId="0" applyFont="1" applyFill="1" applyBorder="1" applyAlignment="1">
      <alignment horizontal="center" vertical="center" textRotation="90" wrapText="1"/>
    </xf>
    <xf numFmtId="0" fontId="25" fillId="23" borderId="38" xfId="0" applyFont="1" applyFill="1" applyBorder="1" applyAlignment="1">
      <alignment horizontal="center" vertical="center" textRotation="90" wrapText="1"/>
    </xf>
    <xf numFmtId="0" fontId="25" fillId="12" borderId="38" xfId="0" applyFont="1" applyFill="1" applyBorder="1" applyAlignment="1">
      <alignment horizontal="center" vertical="center" textRotation="90" wrapText="1"/>
    </xf>
    <xf numFmtId="0" fontId="25" fillId="15" borderId="38" xfId="0" applyFont="1" applyFill="1" applyBorder="1" applyAlignment="1">
      <alignment horizontal="center" vertical="center" textRotation="90" wrapText="1"/>
    </xf>
    <xf numFmtId="0" fontId="25" fillId="13" borderId="37" xfId="0" applyFont="1" applyFill="1" applyBorder="1" applyAlignment="1">
      <alignment horizontal="center" vertical="center" textRotation="90" wrapText="1"/>
    </xf>
    <xf numFmtId="0" fontId="25" fillId="14" borderId="37" xfId="0" applyFont="1" applyFill="1" applyBorder="1" applyAlignment="1">
      <alignment horizontal="center" vertical="center" textRotation="90" wrapText="1"/>
    </xf>
    <xf numFmtId="14" fontId="0" fillId="0" borderId="23" xfId="0" applyNumberFormat="1" applyBorder="1" applyAlignment="1">
      <alignment horizontal="center"/>
    </xf>
    <xf numFmtId="3" fontId="0" fillId="0" borderId="2" xfId="0" applyNumberFormat="1" applyBorder="1" applyAlignment="1">
      <alignment horizontal="center"/>
    </xf>
    <xf numFmtId="4" fontId="0" fillId="0" borderId="2" xfId="0" applyNumberFormat="1" applyBorder="1" applyAlignment="1">
      <alignment horizontal="center"/>
    </xf>
    <xf numFmtId="1" fontId="0" fillId="26" borderId="2" xfId="0" applyNumberFormat="1" applyFill="1" applyBorder="1" applyAlignment="1">
      <alignment horizontal="center" vertical="center"/>
    </xf>
    <xf numFmtId="3" fontId="0" fillId="26" borderId="2" xfId="0" applyNumberFormat="1" applyFill="1" applyBorder="1" applyAlignment="1">
      <alignment horizontal="center"/>
    </xf>
    <xf numFmtId="2" fontId="0" fillId="17" borderId="2" xfId="0" applyNumberFormat="1" applyFill="1" applyBorder="1" applyAlignment="1">
      <alignment horizontal="center" vertical="center"/>
    </xf>
    <xf numFmtId="2" fontId="0" fillId="25" borderId="2" xfId="0" applyNumberFormat="1" applyFill="1" applyBorder="1" applyAlignment="1">
      <alignment horizontal="center" vertical="center"/>
    </xf>
    <xf numFmtId="14" fontId="0" fillId="0" borderId="14" xfId="0" applyNumberFormat="1" applyBorder="1" applyAlignment="1">
      <alignment horizontal="center"/>
    </xf>
    <xf numFmtId="14" fontId="0" fillId="0" borderId="16" xfId="0" applyNumberFormat="1" applyBorder="1" applyAlignment="1">
      <alignment horizontal="center"/>
    </xf>
    <xf numFmtId="0" fontId="25" fillId="10" borderId="36" xfId="0" applyFont="1" applyFill="1" applyBorder="1" applyAlignment="1">
      <alignment horizontal="center" vertical="center" textRotation="90" wrapText="1"/>
    </xf>
    <xf numFmtId="14" fontId="0" fillId="19" borderId="0" xfId="0" applyNumberFormat="1" applyFill="1" applyAlignment="1">
      <alignment horizontal="center"/>
    </xf>
    <xf numFmtId="168" fontId="0" fillId="22" borderId="14" xfId="0" applyNumberFormat="1" applyFill="1" applyBorder="1" applyAlignment="1">
      <alignment horizontal="center"/>
    </xf>
    <xf numFmtId="0" fontId="2" fillId="0" borderId="1" xfId="0" applyFont="1" applyBorder="1"/>
    <xf numFmtId="0" fontId="0" fillId="0" borderId="1" xfId="0" applyBorder="1"/>
    <xf numFmtId="170" fontId="0" fillId="0" borderId="1" xfId="0" applyNumberFormat="1" applyBorder="1" applyAlignment="1">
      <alignment horizontal="center" vertical="center"/>
    </xf>
    <xf numFmtId="171" fontId="0" fillId="0" borderId="1" xfId="0" applyNumberFormat="1" applyBorder="1" applyAlignment="1">
      <alignment horizontal="center" vertical="center"/>
    </xf>
    <xf numFmtId="172" fontId="0" fillId="0" borderId="1" xfId="0" applyNumberFormat="1" applyBorder="1" applyAlignment="1">
      <alignment horizontal="center" vertical="center"/>
    </xf>
    <xf numFmtId="4" fontId="0" fillId="0" borderId="1" xfId="0" applyNumberFormat="1" applyBorder="1"/>
    <xf numFmtId="173" fontId="0" fillId="0" borderId="1" xfId="0" applyNumberFormat="1" applyBorder="1" applyAlignment="1">
      <alignment horizontal="center" vertical="center"/>
    </xf>
    <xf numFmtId="174" fontId="0" fillId="0" borderId="1" xfId="0" applyNumberFormat="1" applyBorder="1" applyAlignment="1">
      <alignment horizontal="center" vertical="center"/>
    </xf>
    <xf numFmtId="10" fontId="0" fillId="0" borderId="1" xfId="4" applyNumberFormat="1" applyFont="1" applyBorder="1" applyAlignment="1">
      <alignment horizontal="center" vertical="center"/>
    </xf>
    <xf numFmtId="175" fontId="0" fillId="0" borderId="1" xfId="0" applyNumberFormat="1" applyBorder="1" applyAlignment="1">
      <alignment horizontal="center" vertical="center"/>
    </xf>
    <xf numFmtId="10" fontId="0" fillId="0" borderId="4" xfId="4" applyNumberFormat="1" applyFont="1" applyBorder="1" applyAlignment="1">
      <alignment horizontal="center" vertical="center"/>
    </xf>
    <xf numFmtId="0" fontId="2" fillId="27" borderId="1" xfId="0" applyFont="1" applyFill="1" applyBorder="1" applyAlignment="1">
      <alignment horizontal="center" vertical="center"/>
    </xf>
    <xf numFmtId="0" fontId="2" fillId="27" borderId="1" xfId="0" applyFont="1" applyFill="1" applyBorder="1" applyAlignment="1">
      <alignment horizontal="center" vertical="center" wrapText="1"/>
    </xf>
    <xf numFmtId="0" fontId="2" fillId="28" borderId="1" xfId="0" applyFont="1" applyFill="1" applyBorder="1"/>
    <xf numFmtId="0" fontId="0" fillId="28" borderId="1" xfId="0" applyFill="1" applyBorder="1" applyAlignment="1">
      <alignment horizontal="center" vertical="center"/>
    </xf>
    <xf numFmtId="1" fontId="0" fillId="0" borderId="1" xfId="0" applyNumberFormat="1" applyBorder="1" applyAlignment="1">
      <alignment horizontal="center" vertical="center"/>
    </xf>
    <xf numFmtId="8" fontId="0" fillId="0" borderId="1" xfId="0" applyNumberFormat="1" applyBorder="1" applyAlignment="1">
      <alignment horizontal="center"/>
    </xf>
    <xf numFmtId="175" fontId="0" fillId="0" borderId="1" xfId="0" applyNumberFormat="1" applyBorder="1" applyAlignment="1">
      <alignment horizontal="center"/>
    </xf>
    <xf numFmtId="4" fontId="0" fillId="0" borderId="1" xfId="0" applyNumberFormat="1" applyBorder="1" applyAlignment="1">
      <alignment horizontal="center"/>
    </xf>
    <xf numFmtId="4" fontId="0" fillId="0" borderId="1" xfId="0" applyNumberFormat="1" applyBorder="1" applyAlignment="1">
      <alignment horizontal="center" vertical="center"/>
    </xf>
    <xf numFmtId="4" fontId="32" fillId="0" borderId="1" xfId="0" applyNumberFormat="1" applyFont="1" applyBorder="1" applyAlignment="1">
      <alignment horizontal="center" vertical="center"/>
    </xf>
    <xf numFmtId="3" fontId="11" fillId="0" borderId="1" xfId="0" applyNumberFormat="1" applyFont="1" applyBorder="1" applyAlignment="1">
      <alignment horizontal="center" vertical="center"/>
    </xf>
    <xf numFmtId="177" fontId="0" fillId="0" borderId="1" xfId="0" applyNumberFormat="1" applyBorder="1" applyAlignment="1">
      <alignment horizontal="center" vertical="center"/>
    </xf>
    <xf numFmtId="0" fontId="0" fillId="24" borderId="28" xfId="0" applyFill="1" applyBorder="1" applyAlignment="1">
      <alignment horizontal="left"/>
    </xf>
    <xf numFmtId="0" fontId="0" fillId="24" borderId="1" xfId="0" applyFill="1" applyBorder="1" applyAlignment="1">
      <alignment horizontal="left"/>
    </xf>
    <xf numFmtId="8" fontId="0" fillId="0" borderId="0" xfId="0" applyNumberFormat="1"/>
    <xf numFmtId="169" fontId="0" fillId="0" borderId="3" xfId="0" applyNumberFormat="1" applyBorder="1" applyAlignment="1">
      <alignment horizontal="center" vertical="center" textRotation="90" wrapText="1"/>
    </xf>
    <xf numFmtId="169" fontId="0" fillId="0" borderId="25" xfId="0" applyNumberFormat="1" applyBorder="1" applyAlignment="1">
      <alignment horizontal="center" vertical="center" textRotation="90" wrapText="1"/>
    </xf>
    <xf numFmtId="169" fontId="0" fillId="0" borderId="27" xfId="0" applyNumberFormat="1" applyBorder="1" applyAlignment="1">
      <alignment horizontal="center"/>
    </xf>
    <xf numFmtId="169" fontId="0" fillId="0" borderId="24" xfId="0" applyNumberFormat="1" applyBorder="1" applyAlignment="1">
      <alignment horizontal="center"/>
    </xf>
    <xf numFmtId="169" fontId="0" fillId="0" borderId="0" xfId="0" applyNumberFormat="1" applyAlignment="1">
      <alignment horizontal="center"/>
    </xf>
    <xf numFmtId="169" fontId="0" fillId="0" borderId="15" xfId="0" applyNumberFormat="1" applyBorder="1" applyAlignment="1">
      <alignment horizontal="center"/>
    </xf>
    <xf numFmtId="169" fontId="0" fillId="0" borderId="0" xfId="0" applyNumberFormat="1" applyAlignment="1">
      <alignment horizontal="center" vertical="center"/>
    </xf>
    <xf numFmtId="169" fontId="0" fillId="0" borderId="17" xfId="0" applyNumberFormat="1" applyBorder="1" applyAlignment="1">
      <alignment horizontal="center"/>
    </xf>
    <xf numFmtId="169" fontId="0" fillId="0" borderId="17" xfId="0" applyNumberFormat="1" applyBorder="1" applyAlignment="1">
      <alignment horizontal="center" vertical="center"/>
    </xf>
    <xf numFmtId="169" fontId="0" fillId="0" borderId="18" xfId="0" applyNumberFormat="1" applyBorder="1" applyAlignment="1">
      <alignment horizontal="center"/>
    </xf>
    <xf numFmtId="169" fontId="0" fillId="0" borderId="2" xfId="0" applyNumberFormat="1" applyBorder="1" applyAlignment="1">
      <alignment horizontal="center"/>
    </xf>
    <xf numFmtId="169" fontId="20" fillId="0" borderId="2" xfId="0" applyNumberFormat="1" applyFont="1" applyBorder="1" applyAlignment="1">
      <alignment horizontal="center" vertical="top" wrapText="1"/>
    </xf>
    <xf numFmtId="169" fontId="0" fillId="0" borderId="22" xfId="0" applyNumberFormat="1" applyBorder="1" applyAlignment="1">
      <alignment horizontal="center"/>
    </xf>
    <xf numFmtId="169" fontId="20" fillId="0" borderId="0" xfId="0" applyNumberFormat="1" applyFont="1" applyAlignment="1">
      <alignment horizontal="center" vertical="top" wrapText="1"/>
    </xf>
    <xf numFmtId="169" fontId="20" fillId="0" borderId="17" xfId="0" applyNumberFormat="1" applyFont="1" applyBorder="1" applyAlignment="1">
      <alignment horizontal="center" vertical="top" wrapText="1"/>
    </xf>
    <xf numFmtId="169" fontId="19" fillId="0" borderId="2" xfId="1" applyNumberFormat="1" applyFont="1" applyBorder="1" applyAlignment="1">
      <alignment horizontal="center" vertical="top" wrapText="1"/>
    </xf>
    <xf numFmtId="169" fontId="19" fillId="0" borderId="0" xfId="1" applyNumberFormat="1" applyFont="1" applyAlignment="1">
      <alignment horizontal="center" vertical="top" wrapText="1"/>
    </xf>
    <xf numFmtId="169" fontId="22" fillId="0" borderId="0" xfId="0" applyNumberFormat="1" applyFont="1" applyAlignment="1">
      <alignment horizontal="center" vertical="top" wrapText="1"/>
    </xf>
    <xf numFmtId="164" fontId="22" fillId="0" borderId="51" xfId="0" applyNumberFormat="1" applyFont="1" applyBorder="1" applyAlignment="1">
      <alignment horizontal="center" vertical="top" wrapText="1"/>
    </xf>
    <xf numFmtId="2" fontId="22" fillId="0" borderId="51" xfId="0" applyNumberFormat="1" applyFont="1" applyBorder="1" applyAlignment="1">
      <alignment horizontal="center" vertical="top" wrapText="1"/>
    </xf>
    <xf numFmtId="164" fontId="22" fillId="0" borderId="52" xfId="0" applyNumberFormat="1" applyFont="1" applyBorder="1" applyAlignment="1">
      <alignment horizontal="center" vertical="top" wrapText="1"/>
    </xf>
    <xf numFmtId="169" fontId="22" fillId="0" borderId="53" xfId="0" applyNumberFormat="1" applyFont="1" applyBorder="1" applyAlignment="1">
      <alignment horizontal="center" vertical="top" wrapText="1"/>
    </xf>
    <xf numFmtId="0" fontId="0" fillId="24" borderId="14" xfId="0" applyFill="1" applyBorder="1" applyAlignment="1">
      <alignment horizontal="center"/>
    </xf>
    <xf numFmtId="169" fontId="0" fillId="24" borderId="0" xfId="0" applyNumberFormat="1" applyFill="1" applyAlignment="1">
      <alignment horizontal="center"/>
    </xf>
    <xf numFmtId="169" fontId="0" fillId="24" borderId="15" xfId="0" applyNumberFormat="1" applyFill="1" applyBorder="1" applyAlignment="1">
      <alignment horizontal="center"/>
    </xf>
    <xf numFmtId="0" fontId="0" fillId="29" borderId="0" xfId="0" applyFill="1" applyAlignment="1">
      <alignment horizontal="center"/>
    </xf>
    <xf numFmtId="1" fontId="0" fillId="29" borderId="0" xfId="0" applyNumberFormat="1" applyFill="1" applyAlignment="1">
      <alignment horizontal="center"/>
    </xf>
    <xf numFmtId="0" fontId="0" fillId="24" borderId="0" xfId="0" applyFill="1"/>
    <xf numFmtId="164" fontId="19" fillId="0" borderId="14" xfId="0" applyNumberFormat="1" applyFont="1" applyBorder="1" applyAlignment="1">
      <alignment horizontal="center" vertical="top" wrapText="1"/>
    </xf>
    <xf numFmtId="1" fontId="20" fillId="0" borderId="14" xfId="0" applyNumberFormat="1" applyFont="1" applyBorder="1" applyAlignment="1">
      <alignment horizontal="center" vertical="top" wrapText="1"/>
    </xf>
    <xf numFmtId="169" fontId="0" fillId="0" borderId="23" xfId="0" applyNumberFormat="1" applyBorder="1"/>
    <xf numFmtId="169" fontId="0" fillId="0" borderId="14" xfId="0" applyNumberFormat="1" applyBorder="1"/>
    <xf numFmtId="169" fontId="0" fillId="0" borderId="0" xfId="0" applyNumberFormat="1" applyAlignment="1">
      <alignment horizontal="right"/>
    </xf>
    <xf numFmtId="169" fontId="0" fillId="0" borderId="2" xfId="0" applyNumberFormat="1" applyBorder="1"/>
    <xf numFmtId="0" fontId="26" fillId="0" borderId="0" xfId="0" applyFont="1" applyAlignment="1">
      <alignment horizontal="center" vertical="center" wrapText="1"/>
    </xf>
    <xf numFmtId="0" fontId="33" fillId="0" borderId="0" xfId="0" applyFont="1" applyAlignment="1">
      <alignment horizontal="center"/>
    </xf>
    <xf numFmtId="0" fontId="35" fillId="30" borderId="4" xfId="0" applyFont="1" applyFill="1" applyBorder="1" applyAlignment="1">
      <alignment horizontal="center" vertical="center"/>
    </xf>
    <xf numFmtId="0" fontId="35" fillId="30" borderId="4" xfId="0" applyFont="1" applyFill="1" applyBorder="1" applyAlignment="1">
      <alignment horizontal="center" vertical="center" wrapText="1"/>
    </xf>
    <xf numFmtId="0" fontId="36" fillId="30" borderId="4" xfId="0" applyFont="1" applyFill="1" applyBorder="1" applyAlignment="1">
      <alignment horizontal="center" vertical="center"/>
    </xf>
    <xf numFmtId="0" fontId="36" fillId="30" borderId="1" xfId="0" applyFont="1" applyFill="1" applyBorder="1" applyAlignment="1">
      <alignment horizontal="center" vertical="center" wrapText="1"/>
    </xf>
    <xf numFmtId="0" fontId="36" fillId="30" borderId="1" xfId="0" applyFont="1" applyFill="1" applyBorder="1" applyAlignment="1">
      <alignment horizontal="center" vertical="center"/>
    </xf>
    <xf numFmtId="0" fontId="37" fillId="31" borderId="5" xfId="0" applyFont="1" applyFill="1" applyBorder="1" applyAlignment="1">
      <alignment vertical="center"/>
    </xf>
    <xf numFmtId="0" fontId="37" fillId="31" borderId="6" xfId="0" applyFont="1" applyFill="1" applyBorder="1" applyAlignment="1">
      <alignment vertical="center"/>
    </xf>
    <xf numFmtId="0" fontId="37" fillId="31" borderId="1" xfId="0" applyFont="1" applyFill="1" applyBorder="1"/>
    <xf numFmtId="1" fontId="33" fillId="32" borderId="1" xfId="0" applyNumberFormat="1" applyFont="1" applyFill="1" applyBorder="1" applyAlignment="1">
      <alignment horizontal="center" vertical="center"/>
    </xf>
    <xf numFmtId="0" fontId="36" fillId="33" borderId="5" xfId="0" applyFont="1" applyFill="1" applyBorder="1" applyAlignment="1">
      <alignment horizontal="left" vertical="center"/>
    </xf>
    <xf numFmtId="3" fontId="33" fillId="0" borderId="1" xfId="0" applyNumberFormat="1" applyFont="1" applyBorder="1" applyAlignment="1">
      <alignment horizontal="center" vertical="center"/>
    </xf>
    <xf numFmtId="178" fontId="33" fillId="0" borderId="1" xfId="0" applyNumberFormat="1" applyFont="1" applyBorder="1" applyAlignment="1">
      <alignment horizontal="left" vertical="center"/>
    </xf>
    <xf numFmtId="2" fontId="33" fillId="0" borderId="1" xfId="0" applyNumberFormat="1" applyFont="1" applyBorder="1" applyAlignment="1">
      <alignment horizontal="center" vertical="center"/>
    </xf>
    <xf numFmtId="9" fontId="33" fillId="0" borderId="1" xfId="4" applyFont="1" applyBorder="1" applyAlignment="1" applyProtection="1">
      <alignment horizontal="center" vertical="center"/>
    </xf>
    <xf numFmtId="0" fontId="37" fillId="31" borderId="1" xfId="0" applyFont="1" applyFill="1" applyBorder="1" applyAlignment="1">
      <alignment horizontal="left"/>
    </xf>
    <xf numFmtId="178" fontId="37" fillId="31" borderId="1" xfId="0" applyNumberFormat="1" applyFont="1" applyFill="1" applyBorder="1" applyAlignment="1">
      <alignment horizontal="left"/>
    </xf>
    <xf numFmtId="0" fontId="36" fillId="30" borderId="5" xfId="0" applyFont="1" applyFill="1" applyBorder="1" applyAlignment="1">
      <alignment horizontal="center" vertical="center" wrapText="1"/>
    </xf>
    <xf numFmtId="178" fontId="36" fillId="31" borderId="1" xfId="0" applyNumberFormat="1" applyFont="1" applyFill="1" applyBorder="1" applyAlignment="1">
      <alignment horizontal="left" vertical="center"/>
    </xf>
    <xf numFmtId="9" fontId="36" fillId="31" borderId="1" xfId="4" applyFont="1" applyFill="1" applyBorder="1" applyAlignment="1" applyProtection="1">
      <alignment horizontal="center" vertical="center"/>
    </xf>
    <xf numFmtId="178" fontId="33" fillId="0" borderId="1" xfId="0" applyNumberFormat="1" applyFont="1" applyBorder="1" applyAlignment="1">
      <alignment horizontal="center" vertical="center"/>
    </xf>
    <xf numFmtId="178" fontId="36" fillId="31" borderId="1" xfId="0" applyNumberFormat="1" applyFont="1" applyFill="1" applyBorder="1" applyAlignment="1">
      <alignment horizontal="center" vertical="center"/>
    </xf>
    <xf numFmtId="178" fontId="37" fillId="31" borderId="1" xfId="0" applyNumberFormat="1" applyFont="1" applyFill="1" applyBorder="1"/>
    <xf numFmtId="0" fontId="39" fillId="34" borderId="1" xfId="0" applyFont="1" applyFill="1" applyBorder="1" applyAlignment="1">
      <alignment horizontal="center" vertical="center"/>
    </xf>
    <xf numFmtId="179" fontId="33" fillId="0" borderId="1" xfId="0" applyNumberFormat="1" applyFont="1" applyBorder="1" applyAlignment="1">
      <alignment horizontal="center" vertical="center"/>
    </xf>
    <xf numFmtId="0" fontId="33" fillId="0" borderId="0" xfId="0" applyFont="1"/>
    <xf numFmtId="178" fontId="36" fillId="30" borderId="1" xfId="0" applyNumberFormat="1" applyFont="1" applyFill="1" applyBorder="1" applyAlignment="1">
      <alignment horizontal="center" vertical="center"/>
    </xf>
    <xf numFmtId="3" fontId="36" fillId="30" borderId="1" xfId="0" applyNumberFormat="1" applyFont="1" applyFill="1" applyBorder="1" applyAlignment="1">
      <alignment horizontal="center" vertical="center"/>
    </xf>
    <xf numFmtId="0" fontId="40" fillId="34" borderId="1" xfId="0" applyFont="1" applyFill="1" applyBorder="1" applyAlignment="1">
      <alignment horizontal="center" vertical="center" wrapText="1"/>
    </xf>
    <xf numFmtId="178" fontId="39" fillId="34" borderId="1" xfId="4" applyNumberFormat="1" applyFont="1" applyFill="1" applyBorder="1" applyAlignment="1" applyProtection="1">
      <alignment horizontal="left" vertical="center"/>
    </xf>
    <xf numFmtId="9" fontId="39" fillId="34" borderId="1" xfId="4" applyFont="1" applyFill="1" applyBorder="1" applyAlignment="1" applyProtection="1">
      <alignment horizontal="center" vertical="center"/>
    </xf>
    <xf numFmtId="178" fontId="39" fillId="34" borderId="1" xfId="0" applyNumberFormat="1" applyFont="1" applyFill="1" applyBorder="1" applyAlignment="1">
      <alignment horizontal="left" vertical="center"/>
    </xf>
    <xf numFmtId="3" fontId="33" fillId="0" borderId="0" xfId="0" applyNumberFormat="1" applyFont="1" applyAlignment="1">
      <alignment horizontal="center"/>
    </xf>
    <xf numFmtId="4" fontId="33" fillId="0" borderId="1" xfId="0" applyNumberFormat="1" applyFont="1" applyBorder="1" applyAlignment="1">
      <alignment horizontal="center" vertical="center"/>
    </xf>
    <xf numFmtId="178" fontId="36" fillId="0" borderId="1" xfId="0" applyNumberFormat="1" applyFont="1" applyBorder="1" applyAlignment="1">
      <alignment horizontal="left" vertical="center"/>
    </xf>
    <xf numFmtId="4" fontId="33" fillId="0" borderId="0" xfId="0" applyNumberFormat="1" applyFont="1" applyAlignment="1">
      <alignment horizontal="center" vertical="center"/>
    </xf>
    <xf numFmtId="0" fontId="36" fillId="35" borderId="1" xfId="0" applyFont="1" applyFill="1" applyBorder="1" applyAlignment="1">
      <alignment horizontal="left" vertical="center"/>
    </xf>
    <xf numFmtId="4" fontId="41" fillId="0" borderId="1" xfId="0" applyNumberFormat="1" applyFont="1" applyBorder="1" applyAlignment="1">
      <alignment horizontal="center" vertical="center"/>
    </xf>
    <xf numFmtId="9" fontId="33" fillId="0" borderId="1" xfId="4" applyFont="1" applyBorder="1" applyAlignment="1">
      <alignment horizontal="center" vertical="center"/>
    </xf>
    <xf numFmtId="180" fontId="33" fillId="0" borderId="1" xfId="4" applyNumberFormat="1" applyFont="1" applyBorder="1" applyAlignment="1">
      <alignment horizontal="center" vertical="center"/>
    </xf>
    <xf numFmtId="180" fontId="0" fillId="0" borderId="0" xfId="0" applyNumberFormat="1"/>
    <xf numFmtId="1" fontId="0" fillId="32" borderId="1" xfId="0" applyNumberFormat="1" applyFill="1" applyBorder="1" applyAlignment="1">
      <alignment horizontal="center" vertical="center"/>
    </xf>
    <xf numFmtId="178" fontId="0" fillId="0" borderId="1" xfId="0" applyNumberFormat="1" applyBorder="1" applyAlignment="1">
      <alignment horizontal="left" vertical="center"/>
    </xf>
    <xf numFmtId="181" fontId="0" fillId="0" borderId="1" xfId="0" applyNumberFormat="1" applyBorder="1" applyAlignment="1">
      <alignment horizontal="center" vertical="center"/>
    </xf>
    <xf numFmtId="9" fontId="0" fillId="0" borderId="1" xfId="4" applyFont="1" applyBorder="1" applyAlignment="1" applyProtection="1">
      <alignment horizontal="center" vertical="center"/>
    </xf>
    <xf numFmtId="181" fontId="37" fillId="31" borderId="1" xfId="0" applyNumberFormat="1" applyFont="1" applyFill="1" applyBorder="1"/>
    <xf numFmtId="178" fontId="0" fillId="0" borderId="1" xfId="0" applyNumberFormat="1" applyBorder="1" applyAlignment="1">
      <alignment horizontal="center" vertical="center"/>
    </xf>
    <xf numFmtId="179" fontId="0" fillId="0" borderId="1" xfId="0" applyNumberFormat="1" applyBorder="1" applyAlignment="1">
      <alignment horizontal="center" vertical="center"/>
    </xf>
    <xf numFmtId="0" fontId="36" fillId="30" borderId="7" xfId="0" applyFont="1" applyFill="1" applyBorder="1" applyAlignment="1">
      <alignment horizontal="center" vertical="center"/>
    </xf>
    <xf numFmtId="0" fontId="0" fillId="32" borderId="48" xfId="0" applyFill="1" applyBorder="1" applyAlignment="1">
      <alignment horizontal="center" vertical="center"/>
    </xf>
    <xf numFmtId="0" fontId="0" fillId="35" borderId="5" xfId="0" applyFill="1" applyBorder="1" applyAlignment="1">
      <alignment horizontal="center" vertical="center"/>
    </xf>
    <xf numFmtId="0" fontId="0" fillId="35" borderId="1" xfId="0" applyFill="1" applyBorder="1" applyAlignment="1">
      <alignment horizontal="left" vertical="center"/>
    </xf>
    <xf numFmtId="4" fontId="0" fillId="0" borderId="0" xfId="0" applyNumberFormat="1" applyAlignment="1">
      <alignment horizontal="center" vertical="center"/>
    </xf>
    <xf numFmtId="0" fontId="36" fillId="35" borderId="1" xfId="0" applyFont="1" applyFill="1" applyBorder="1" applyAlignment="1">
      <alignment horizontal="center" vertical="center"/>
    </xf>
    <xf numFmtId="0" fontId="36" fillId="35" borderId="1" xfId="0" applyFont="1" applyFill="1" applyBorder="1" applyAlignment="1">
      <alignment vertical="center"/>
    </xf>
    <xf numFmtId="2" fontId="0" fillId="0" borderId="3" xfId="0" applyNumberFormat="1" applyBorder="1" applyAlignment="1">
      <alignment horizontal="center" vertical="center"/>
    </xf>
    <xf numFmtId="2" fontId="36" fillId="0" borderId="4" xfId="0" applyNumberFormat="1" applyFont="1" applyBorder="1" applyAlignment="1">
      <alignment horizontal="center" vertical="center"/>
    </xf>
    <xf numFmtId="175" fontId="0" fillId="24" borderId="0" xfId="0" applyNumberFormat="1" applyFill="1" applyAlignment="1">
      <alignment horizontal="left"/>
    </xf>
    <xf numFmtId="0" fontId="42" fillId="9" borderId="1" xfId="0" applyFont="1" applyFill="1" applyBorder="1"/>
    <xf numFmtId="0" fontId="15" fillId="9" borderId="1" xfId="0" applyFont="1" applyFill="1" applyBorder="1"/>
    <xf numFmtId="0" fontId="15" fillId="9" borderId="1" xfId="0" applyFont="1" applyFill="1" applyBorder="1" applyAlignment="1">
      <alignment horizontal="center"/>
    </xf>
    <xf numFmtId="0" fontId="43" fillId="24" borderId="1" xfId="0" applyFont="1" applyFill="1" applyBorder="1" applyAlignment="1">
      <alignment horizontal="left"/>
    </xf>
    <xf numFmtId="0" fontId="31" fillId="24" borderId="1" xfId="0" applyFont="1" applyFill="1" applyBorder="1" applyAlignment="1">
      <alignment horizontal="center"/>
    </xf>
    <xf numFmtId="0" fontId="31" fillId="0" borderId="1" xfId="0" applyFont="1" applyBorder="1" applyAlignment="1">
      <alignment horizontal="center"/>
    </xf>
    <xf numFmtId="165" fontId="44" fillId="24" borderId="4" xfId="2" applyFont="1" applyFill="1" applyBorder="1" applyAlignment="1">
      <alignment vertical="center" wrapText="1"/>
    </xf>
    <xf numFmtId="0" fontId="45" fillId="24" borderId="4" xfId="2" applyNumberFormat="1" applyFont="1" applyFill="1" applyBorder="1" applyAlignment="1">
      <alignment horizontal="center" vertical="center" wrapText="1"/>
    </xf>
    <xf numFmtId="1" fontId="11" fillId="24" borderId="4" xfId="2" applyNumberFormat="1" applyFont="1" applyFill="1" applyBorder="1" applyAlignment="1">
      <alignment horizontal="center" vertical="center" wrapText="1"/>
    </xf>
    <xf numFmtId="1" fontId="11" fillId="24" borderId="1" xfId="2" applyNumberFormat="1" applyFont="1" applyFill="1" applyBorder="1" applyAlignment="1">
      <alignment horizontal="center" vertical="center" wrapText="1"/>
    </xf>
    <xf numFmtId="175" fontId="0" fillId="24" borderId="1" xfId="0" applyNumberFormat="1" applyFill="1" applyBorder="1" applyAlignment="1">
      <alignment horizontal="left"/>
    </xf>
    <xf numFmtId="4" fontId="0" fillId="24" borderId="1" xfId="0" applyNumberFormat="1" applyFill="1" applyBorder="1" applyAlignment="1">
      <alignment horizontal="left"/>
    </xf>
    <xf numFmtId="175" fontId="0" fillId="24" borderId="28" xfId="0" applyNumberFormat="1" applyFill="1" applyBorder="1" applyAlignment="1">
      <alignment horizontal="left"/>
    </xf>
    <xf numFmtId="0" fontId="0" fillId="24" borderId="28" xfId="5" applyNumberFormat="1" applyFont="1" applyFill="1" applyBorder="1" applyAlignment="1">
      <alignment horizontal="left"/>
    </xf>
    <xf numFmtId="0" fontId="2" fillId="24" borderId="1" xfId="0" applyFont="1" applyFill="1" applyBorder="1" applyAlignment="1">
      <alignment horizontal="left"/>
    </xf>
    <xf numFmtId="0" fontId="0" fillId="24" borderId="1" xfId="0" applyFill="1" applyBorder="1" applyAlignment="1">
      <alignment horizontal="center"/>
    </xf>
    <xf numFmtId="165" fontId="45" fillId="24" borderId="1" xfId="2" applyFont="1" applyFill="1" applyBorder="1" applyAlignment="1">
      <alignment vertical="center" wrapText="1"/>
    </xf>
    <xf numFmtId="182" fontId="0" fillId="0" borderId="1" xfId="0" applyNumberFormat="1" applyBorder="1" applyAlignment="1">
      <alignment horizontal="center"/>
    </xf>
    <xf numFmtId="0" fontId="0" fillId="24" borderId="1" xfId="5" applyNumberFormat="1" applyFont="1" applyFill="1" applyBorder="1" applyAlignment="1">
      <alignment horizontal="left"/>
    </xf>
    <xf numFmtId="1" fontId="11" fillId="24" borderId="6" xfId="2" applyNumberFormat="1" applyFont="1" applyFill="1" applyBorder="1" applyAlignment="1">
      <alignment horizontal="center" vertical="center" wrapText="1"/>
    </xf>
    <xf numFmtId="4" fontId="0" fillId="24" borderId="6" xfId="0" applyNumberFormat="1" applyFill="1" applyBorder="1" applyAlignment="1">
      <alignment horizontal="left"/>
    </xf>
    <xf numFmtId="175" fontId="0" fillId="24" borderId="6" xfId="0" applyNumberFormat="1" applyFill="1" applyBorder="1" applyAlignment="1">
      <alignment horizontal="left"/>
    </xf>
    <xf numFmtId="0" fontId="0" fillId="24" borderId="6" xfId="5" applyNumberFormat="1" applyFont="1" applyFill="1" applyBorder="1" applyAlignment="1">
      <alignment horizontal="left"/>
    </xf>
    <xf numFmtId="175" fontId="0" fillId="24" borderId="7" xfId="0" applyNumberFormat="1" applyFill="1" applyBorder="1" applyAlignment="1">
      <alignment horizontal="left"/>
    </xf>
    <xf numFmtId="3" fontId="46" fillId="0" borderId="0" xfId="0" applyNumberFormat="1" applyFont="1" applyAlignment="1">
      <alignment horizontal="right"/>
    </xf>
    <xf numFmtId="165" fontId="45" fillId="8" borderId="48" xfId="2" applyFont="1" applyFill="1" applyBorder="1" applyAlignment="1">
      <alignment vertical="center" wrapText="1"/>
    </xf>
    <xf numFmtId="0" fontId="45" fillId="8" borderId="49" xfId="2" applyNumberFormat="1" applyFont="1" applyFill="1" applyBorder="1" applyAlignment="1">
      <alignment vertical="center" wrapText="1"/>
    </xf>
    <xf numFmtId="165" fontId="45" fillId="8" borderId="49" xfId="2" applyFont="1" applyFill="1" applyBorder="1" applyAlignment="1">
      <alignment vertical="center" wrapText="1"/>
    </xf>
    <xf numFmtId="165" fontId="45" fillId="8" borderId="0" xfId="2" applyFont="1" applyFill="1" applyBorder="1" applyAlignment="1">
      <alignment vertical="center" wrapText="1"/>
    </xf>
    <xf numFmtId="165" fontId="45" fillId="8" borderId="50" xfId="2" applyFont="1" applyFill="1" applyBorder="1" applyAlignment="1">
      <alignment vertical="center" wrapText="1"/>
    </xf>
    <xf numFmtId="0" fontId="15" fillId="9" borderId="5" xfId="0" applyFont="1" applyFill="1" applyBorder="1"/>
    <xf numFmtId="0" fontId="0" fillId="0" borderId="1" xfId="0" applyBorder="1" applyAlignment="1">
      <alignment horizontal="left"/>
    </xf>
    <xf numFmtId="175" fontId="0" fillId="0" borderId="1" xfId="0" applyNumberFormat="1" applyBorder="1" applyAlignment="1">
      <alignment horizontal="left"/>
    </xf>
    <xf numFmtId="0" fontId="0" fillId="0" borderId="28" xfId="0" applyBorder="1" applyAlignment="1">
      <alignment horizontal="left"/>
    </xf>
    <xf numFmtId="175" fontId="0" fillId="0" borderId="28" xfId="0" applyNumberFormat="1" applyBorder="1" applyAlignment="1">
      <alignment horizontal="left"/>
    </xf>
    <xf numFmtId="0" fontId="45" fillId="24" borderId="1" xfId="2" applyNumberFormat="1" applyFont="1" applyFill="1" applyBorder="1" applyAlignment="1">
      <alignment horizontal="center" vertical="center" wrapText="1"/>
    </xf>
    <xf numFmtId="4" fontId="0" fillId="0" borderId="1" xfId="0" applyNumberFormat="1" applyBorder="1" applyAlignment="1">
      <alignment horizontal="left"/>
    </xf>
    <xf numFmtId="0" fontId="0" fillId="0" borderId="6" xfId="0" applyBorder="1"/>
    <xf numFmtId="175" fontId="0" fillId="0" borderId="6" xfId="0" applyNumberFormat="1" applyBorder="1" applyAlignment="1">
      <alignment horizontal="left"/>
    </xf>
    <xf numFmtId="0" fontId="0" fillId="0" borderId="6" xfId="0" applyBorder="1" applyAlignment="1">
      <alignment horizontal="left"/>
    </xf>
    <xf numFmtId="175" fontId="0" fillId="0" borderId="7" xfId="0" applyNumberFormat="1" applyBorder="1" applyAlignment="1">
      <alignment horizontal="left"/>
    </xf>
    <xf numFmtId="1" fontId="47" fillId="24" borderId="1" xfId="2" applyNumberFormat="1" applyFont="1" applyFill="1" applyBorder="1" applyAlignment="1">
      <alignment horizontal="center" vertical="center" wrapText="1"/>
    </xf>
    <xf numFmtId="1" fontId="11" fillId="24" borderId="0" xfId="2" applyNumberFormat="1" applyFont="1" applyFill="1" applyBorder="1" applyAlignment="1">
      <alignment horizontal="center" vertical="center" wrapText="1"/>
    </xf>
    <xf numFmtId="4" fontId="0" fillId="0" borderId="0" xfId="0" applyNumberFormat="1"/>
    <xf numFmtId="175" fontId="0" fillId="0" borderId="0" xfId="0" applyNumberFormat="1" applyAlignment="1">
      <alignment horizontal="left"/>
    </xf>
    <xf numFmtId="4" fontId="0" fillId="0" borderId="0" xfId="0" applyNumberFormat="1" applyAlignment="1">
      <alignment horizontal="left"/>
    </xf>
    <xf numFmtId="0" fontId="0" fillId="0" borderId="0" xfId="0" applyAlignment="1">
      <alignment horizontal="left"/>
    </xf>
    <xf numFmtId="175" fontId="0" fillId="0" borderId="21" xfId="0" applyNumberFormat="1" applyBorder="1" applyAlignment="1">
      <alignment horizontal="left"/>
    </xf>
    <xf numFmtId="165" fontId="45" fillId="8" borderId="5" xfId="2" applyFont="1" applyFill="1" applyBorder="1" applyAlignment="1">
      <alignment vertical="center" wrapText="1"/>
    </xf>
    <xf numFmtId="0" fontId="45" fillId="8" borderId="6" xfId="2" applyNumberFormat="1" applyFont="1" applyFill="1" applyBorder="1" applyAlignment="1">
      <alignment vertical="center" wrapText="1"/>
    </xf>
    <xf numFmtId="165" fontId="45" fillId="8" borderId="6" xfId="2" applyFont="1" applyFill="1" applyBorder="1" applyAlignment="1">
      <alignment vertical="center" wrapText="1"/>
    </xf>
    <xf numFmtId="175" fontId="45" fillId="8" borderId="7" xfId="2" applyNumberFormat="1" applyFont="1" applyFill="1" applyBorder="1" applyAlignment="1">
      <alignment vertical="center" wrapText="1"/>
    </xf>
    <xf numFmtId="1" fontId="47" fillId="24" borderId="7" xfId="2" applyNumberFormat="1" applyFont="1" applyFill="1" applyBorder="1" applyAlignment="1">
      <alignment horizontal="center" vertical="center" wrapText="1"/>
    </xf>
    <xf numFmtId="0" fontId="0" fillId="24" borderId="3" xfId="0" applyFill="1" applyBorder="1" applyAlignment="1">
      <alignment horizontal="left"/>
    </xf>
    <xf numFmtId="0" fontId="0" fillId="0" borderId="4" xfId="0" applyBorder="1" applyAlignment="1">
      <alignment horizontal="left"/>
    </xf>
    <xf numFmtId="175" fontId="0" fillId="24" borderId="4" xfId="0" applyNumberFormat="1" applyFill="1" applyBorder="1" applyAlignment="1">
      <alignment horizontal="left"/>
    </xf>
    <xf numFmtId="4" fontId="0" fillId="0" borderId="6" xfId="0" applyNumberFormat="1" applyBorder="1" applyAlignment="1">
      <alignment horizontal="left"/>
    </xf>
    <xf numFmtId="175" fontId="0" fillId="0" borderId="49" xfId="0" applyNumberFormat="1" applyBorder="1" applyAlignment="1">
      <alignment horizontal="left"/>
    </xf>
    <xf numFmtId="175" fontId="0" fillId="24" borderId="49" xfId="0" applyNumberFormat="1" applyFill="1" applyBorder="1" applyAlignment="1">
      <alignment horizontal="left"/>
    </xf>
    <xf numFmtId="175" fontId="0" fillId="0" borderId="0" xfId="0" applyNumberFormat="1"/>
    <xf numFmtId="0" fontId="0" fillId="8" borderId="5" xfId="0" applyFill="1" applyBorder="1"/>
    <xf numFmtId="0" fontId="2" fillId="8" borderId="6" xfId="0" applyFont="1" applyFill="1" applyBorder="1"/>
    <xf numFmtId="0" fontId="0" fillId="8" borderId="6" xfId="0" applyFill="1" applyBorder="1"/>
    <xf numFmtId="0" fontId="0" fillId="8" borderId="7" xfId="0" applyFill="1" applyBorder="1"/>
    <xf numFmtId="0" fontId="42" fillId="9" borderId="5" xfId="0" applyFont="1" applyFill="1" applyBorder="1"/>
    <xf numFmtId="0" fontId="48" fillId="9" borderId="6" xfId="0" applyFont="1" applyFill="1" applyBorder="1"/>
    <xf numFmtId="0" fontId="48" fillId="9" borderId="0" xfId="0" applyFont="1" applyFill="1"/>
    <xf numFmtId="165" fontId="45" fillId="24" borderId="4" xfId="2" applyFont="1" applyFill="1" applyBorder="1" applyAlignment="1">
      <alignment vertical="center" wrapText="1"/>
    </xf>
    <xf numFmtId="0" fontId="45" fillId="24" borderId="50" xfId="2" applyNumberFormat="1" applyFont="1" applyFill="1" applyBorder="1" applyAlignment="1">
      <alignment horizontal="center" vertical="center" wrapText="1"/>
    </xf>
    <xf numFmtId="1" fontId="47" fillId="24" borderId="50" xfId="2" applyNumberFormat="1" applyFont="1" applyFill="1" applyBorder="1" applyAlignment="1">
      <alignment horizontal="center" vertical="center" wrapText="1"/>
    </xf>
    <xf numFmtId="178" fontId="47" fillId="24" borderId="1" xfId="2" applyNumberFormat="1" applyFont="1" applyFill="1" applyBorder="1" applyAlignment="1">
      <alignment horizontal="center" vertical="center" wrapText="1"/>
    </xf>
    <xf numFmtId="175" fontId="0" fillId="0" borderId="1" xfId="0" applyNumberFormat="1" applyBorder="1"/>
    <xf numFmtId="164" fontId="0" fillId="24" borderId="1" xfId="0" applyNumberFormat="1" applyFill="1" applyBorder="1"/>
    <xf numFmtId="175" fontId="0" fillId="24" borderId="1" xfId="0" applyNumberFormat="1" applyFill="1" applyBorder="1"/>
    <xf numFmtId="0" fontId="45" fillId="24" borderId="1" xfId="0" applyFont="1" applyFill="1" applyBorder="1"/>
    <xf numFmtId="164" fontId="0" fillId="24" borderId="6" xfId="0" applyNumberFormat="1" applyFill="1" applyBorder="1"/>
    <xf numFmtId="175" fontId="0" fillId="24" borderId="7" xfId="0" applyNumberFormat="1" applyFill="1" applyBorder="1"/>
    <xf numFmtId="183" fontId="0" fillId="24" borderId="0" xfId="0" applyNumberFormat="1" applyFill="1" applyAlignment="1">
      <alignment horizontal="left"/>
    </xf>
    <xf numFmtId="0" fontId="48" fillId="9" borderId="5" xfId="0" applyFont="1" applyFill="1" applyBorder="1"/>
    <xf numFmtId="0" fontId="49" fillId="0" borderId="1" xfId="0" applyFont="1" applyBorder="1"/>
    <xf numFmtId="0" fontId="2" fillId="0" borderId="0" xfId="0" applyFont="1"/>
    <xf numFmtId="0" fontId="2" fillId="4" borderId="1" xfId="0" applyFont="1" applyFill="1" applyBorder="1" applyAlignment="1">
      <alignment horizontal="center" vertical="center"/>
    </xf>
    <xf numFmtId="1" fontId="2" fillId="4" borderId="5" xfId="0" applyNumberFormat="1" applyFont="1" applyFill="1" applyBorder="1" applyAlignment="1">
      <alignment horizontal="center" vertical="center"/>
    </xf>
    <xf numFmtId="1" fontId="2" fillId="4" borderId="7" xfId="0" applyNumberFormat="1" applyFont="1" applyFill="1" applyBorder="1" applyAlignment="1">
      <alignment horizontal="center" vertical="center"/>
    </xf>
    <xf numFmtId="0" fontId="2" fillId="6" borderId="1" xfId="0" applyFont="1" applyFill="1" applyBorder="1" applyAlignment="1">
      <alignment horizontal="left" vertical="center"/>
    </xf>
    <xf numFmtId="1" fontId="2" fillId="8" borderId="1" xfId="0" applyNumberFormat="1" applyFont="1" applyFill="1" applyBorder="1" applyAlignment="1">
      <alignment horizontal="center" vertical="center" wrapText="1"/>
    </xf>
    <xf numFmtId="0" fontId="2" fillId="8" borderId="1" xfId="0" applyFont="1" applyFill="1" applyBorder="1" applyAlignment="1">
      <alignment horizontal="center" wrapText="1"/>
    </xf>
    <xf numFmtId="0" fontId="2" fillId="6" borderId="5" xfId="0" applyFont="1" applyFill="1" applyBorder="1" applyAlignment="1">
      <alignment horizontal="left" vertical="center"/>
    </xf>
    <xf numFmtId="0" fontId="2" fillId="6" borderId="7" xfId="0" applyFont="1" applyFill="1" applyBorder="1" applyAlignment="1">
      <alignment horizontal="left" vertical="center"/>
    </xf>
    <xf numFmtId="0" fontId="2" fillId="4" borderId="5"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4" fillId="0" borderId="1" xfId="0" applyFont="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3" fillId="2" borderId="4" xfId="0" applyFont="1" applyFill="1" applyBorder="1"/>
    <xf numFmtId="0" fontId="0" fillId="10" borderId="11" xfId="0" applyFill="1" applyBorder="1" applyAlignment="1">
      <alignment horizontal="center" vertical="center"/>
    </xf>
    <xf numFmtId="0" fontId="0" fillId="10" borderId="12" xfId="0" applyFill="1" applyBorder="1" applyAlignment="1">
      <alignment horizontal="center" vertical="center"/>
    </xf>
    <xf numFmtId="0" fontId="0" fillId="10" borderId="13" xfId="0" applyFill="1" applyBorder="1" applyAlignment="1">
      <alignment horizontal="center" vertical="center"/>
    </xf>
    <xf numFmtId="2" fontId="0" fillId="25" borderId="22" xfId="0" applyNumberFormat="1" applyFill="1" applyBorder="1" applyAlignment="1">
      <alignment horizontal="center" vertical="center" wrapText="1"/>
    </xf>
    <xf numFmtId="2" fontId="0" fillId="25" borderId="15" xfId="0" applyNumberFormat="1" applyFill="1" applyBorder="1" applyAlignment="1">
      <alignment horizontal="center" vertical="center" wrapText="1"/>
    </xf>
    <xf numFmtId="2" fontId="0" fillId="25" borderId="18" xfId="0" applyNumberFormat="1" applyFill="1" applyBorder="1" applyAlignment="1">
      <alignment horizontal="center" vertical="center" wrapText="1"/>
    </xf>
    <xf numFmtId="2" fontId="0" fillId="20" borderId="22" xfId="0" applyNumberFormat="1" applyFill="1" applyBorder="1" applyAlignment="1">
      <alignment horizontal="center" vertical="center"/>
    </xf>
    <xf numFmtId="2" fontId="0" fillId="20" borderId="15" xfId="0" applyNumberFormat="1" applyFill="1" applyBorder="1" applyAlignment="1">
      <alignment horizontal="center" vertical="center"/>
    </xf>
    <xf numFmtId="2" fontId="0" fillId="20" borderId="18" xfId="0" applyNumberFormat="1" applyFill="1" applyBorder="1" applyAlignment="1">
      <alignment horizontal="center" vertical="center"/>
    </xf>
    <xf numFmtId="164" fontId="0" fillId="15" borderId="22" xfId="0" applyNumberFormat="1" applyFill="1" applyBorder="1" applyAlignment="1">
      <alignment horizontal="center" vertical="center"/>
    </xf>
    <xf numFmtId="164" fontId="0" fillId="15" borderId="15" xfId="0" applyNumberFormat="1" applyFill="1" applyBorder="1" applyAlignment="1">
      <alignment horizontal="center" vertical="center"/>
    </xf>
    <xf numFmtId="164" fontId="0" fillId="15" borderId="18" xfId="0" applyNumberFormat="1" applyFill="1" applyBorder="1" applyAlignment="1">
      <alignment horizontal="center" vertical="center"/>
    </xf>
    <xf numFmtId="2" fontId="0" fillId="25" borderId="22" xfId="0" applyNumberFormat="1" applyFill="1" applyBorder="1" applyAlignment="1">
      <alignment horizontal="center" vertical="center"/>
    </xf>
    <xf numFmtId="2" fontId="0" fillId="25" borderId="15" xfId="0" applyNumberFormat="1" applyFill="1" applyBorder="1" applyAlignment="1">
      <alignment horizontal="center" vertical="center"/>
    </xf>
    <xf numFmtId="2" fontId="0" fillId="25" borderId="18" xfId="0" applyNumberFormat="1" applyFill="1" applyBorder="1" applyAlignment="1">
      <alignment horizontal="center" vertical="center"/>
    </xf>
    <xf numFmtId="0" fontId="0" fillId="10" borderId="22" xfId="0" applyFill="1" applyBorder="1" applyAlignment="1">
      <alignment horizontal="center" vertical="center"/>
    </xf>
    <xf numFmtId="0" fontId="0" fillId="10" borderId="15" xfId="0" applyFill="1" applyBorder="1" applyAlignment="1">
      <alignment horizontal="center" vertical="center"/>
    </xf>
    <xf numFmtId="0" fontId="0" fillId="10" borderId="18" xfId="0" applyFill="1" applyBorder="1" applyAlignment="1">
      <alignment horizontal="center" vertical="center"/>
    </xf>
    <xf numFmtId="2" fontId="0" fillId="10" borderId="22" xfId="0" applyNumberFormat="1" applyFill="1" applyBorder="1" applyAlignment="1">
      <alignment horizontal="center" vertical="center"/>
    </xf>
    <xf numFmtId="2" fontId="0" fillId="10" borderId="15" xfId="0" applyNumberFormat="1" applyFill="1" applyBorder="1" applyAlignment="1">
      <alignment horizontal="center" vertical="center"/>
    </xf>
    <xf numFmtId="2" fontId="0" fillId="10" borderId="18" xfId="0" applyNumberFormat="1" applyFill="1" applyBorder="1" applyAlignment="1">
      <alignment horizontal="center" vertical="center"/>
    </xf>
    <xf numFmtId="2" fontId="0" fillId="10" borderId="2" xfId="0" applyNumberFormat="1" applyFill="1" applyBorder="1" applyAlignment="1">
      <alignment horizontal="center" vertical="center"/>
    </xf>
    <xf numFmtId="2" fontId="0" fillId="10" borderId="0" xfId="0" applyNumberFormat="1" applyFill="1" applyAlignment="1">
      <alignment horizontal="center" vertical="center"/>
    </xf>
    <xf numFmtId="2" fontId="0" fillId="10" borderId="17" xfId="0" applyNumberFormat="1" applyFill="1" applyBorder="1" applyAlignment="1">
      <alignment horizontal="center" vertical="center"/>
    </xf>
    <xf numFmtId="2" fontId="0" fillId="15" borderId="2" xfId="0" applyNumberFormat="1" applyFill="1" applyBorder="1" applyAlignment="1">
      <alignment horizontal="center" vertical="center"/>
    </xf>
    <xf numFmtId="0" fontId="0" fillId="0" borderId="0" xfId="0"/>
    <xf numFmtId="0" fontId="0" fillId="0" borderId="17" xfId="0" applyBorder="1"/>
    <xf numFmtId="0" fontId="0" fillId="0" borderId="15" xfId="0" applyBorder="1"/>
    <xf numFmtId="0" fontId="0" fillId="0" borderId="18" xfId="0" applyBorder="1"/>
    <xf numFmtId="2" fontId="0" fillId="3" borderId="22" xfId="0" applyNumberFormat="1" applyFill="1" applyBorder="1" applyAlignment="1">
      <alignment horizontal="center" vertical="center"/>
    </xf>
    <xf numFmtId="2" fontId="0" fillId="3" borderId="15" xfId="0" applyNumberFormat="1" applyFill="1" applyBorder="1" applyAlignment="1">
      <alignment horizontal="center" vertical="center"/>
    </xf>
    <xf numFmtId="2" fontId="0" fillId="3" borderId="18" xfId="0" applyNumberFormat="1" applyFill="1" applyBorder="1" applyAlignment="1">
      <alignment horizontal="center" vertical="center"/>
    </xf>
    <xf numFmtId="2" fontId="0" fillId="16" borderId="22" xfId="0" applyNumberFormat="1" applyFill="1" applyBorder="1" applyAlignment="1">
      <alignment horizontal="center" vertical="center"/>
    </xf>
    <xf numFmtId="2" fontId="0" fillId="16" borderId="15" xfId="0" applyNumberFormat="1" applyFill="1" applyBorder="1" applyAlignment="1">
      <alignment horizontal="center" vertical="center"/>
    </xf>
    <xf numFmtId="2" fontId="0" fillId="16" borderId="18" xfId="0" applyNumberFormat="1" applyFill="1" applyBorder="1" applyAlignment="1">
      <alignment horizontal="center" vertical="center"/>
    </xf>
    <xf numFmtId="1" fontId="0" fillId="9" borderId="22" xfId="0" applyNumberFormat="1" applyFill="1" applyBorder="1" applyAlignment="1">
      <alignment horizontal="center" vertical="center"/>
    </xf>
    <xf numFmtId="2" fontId="0" fillId="13" borderId="22" xfId="0" applyNumberFormat="1" applyFill="1" applyBorder="1" applyAlignment="1">
      <alignment horizontal="center" vertical="center" wrapText="1"/>
    </xf>
    <xf numFmtId="2" fontId="0" fillId="14" borderId="22" xfId="0" applyNumberFormat="1" applyFill="1" applyBorder="1" applyAlignment="1">
      <alignment horizontal="center" vertical="center" wrapText="1"/>
    </xf>
    <xf numFmtId="2" fontId="0" fillId="23" borderId="22" xfId="0" applyNumberFormat="1" applyFill="1" applyBorder="1" applyAlignment="1">
      <alignment horizontal="center" vertical="center"/>
    </xf>
    <xf numFmtId="2" fontId="0" fillId="12" borderId="22" xfId="0" applyNumberFormat="1" applyFill="1" applyBorder="1" applyAlignment="1">
      <alignment horizontal="center" vertical="center"/>
    </xf>
    <xf numFmtId="164" fontId="0" fillId="22" borderId="22" xfId="0" applyNumberFormat="1" applyFill="1" applyBorder="1" applyAlignment="1">
      <alignment horizontal="center" vertical="center"/>
    </xf>
    <xf numFmtId="164" fontId="0" fillId="22" borderId="15" xfId="0" applyNumberFormat="1" applyFill="1" applyBorder="1" applyAlignment="1">
      <alignment horizontal="center" vertical="center"/>
    </xf>
    <xf numFmtId="164" fontId="0" fillId="22" borderId="18" xfId="0" applyNumberFormat="1" applyFill="1" applyBorder="1" applyAlignment="1">
      <alignment horizontal="center" vertical="center"/>
    </xf>
    <xf numFmtId="2" fontId="0" fillId="12" borderId="15" xfId="0" applyNumberFormat="1" applyFill="1" applyBorder="1" applyAlignment="1">
      <alignment horizontal="center" vertical="center"/>
    </xf>
    <xf numFmtId="2" fontId="0" fillId="12" borderId="18" xfId="0" applyNumberFormat="1" applyFill="1" applyBorder="1" applyAlignment="1">
      <alignment horizontal="center" vertical="center"/>
    </xf>
    <xf numFmtId="2" fontId="0" fillId="13" borderId="15" xfId="0" applyNumberFormat="1" applyFill="1" applyBorder="1" applyAlignment="1">
      <alignment horizontal="center" vertical="center" wrapText="1"/>
    </xf>
    <xf numFmtId="2" fontId="0" fillId="13" borderId="18" xfId="0" applyNumberFormat="1" applyFill="1" applyBorder="1" applyAlignment="1">
      <alignment horizontal="center" vertical="center" wrapText="1"/>
    </xf>
    <xf numFmtId="2" fontId="0" fillId="14" borderId="15" xfId="0" applyNumberFormat="1" applyFill="1" applyBorder="1" applyAlignment="1">
      <alignment horizontal="center" vertical="center" wrapText="1"/>
    </xf>
    <xf numFmtId="2" fontId="0" fillId="14" borderId="18" xfId="0" applyNumberFormat="1" applyFill="1" applyBorder="1" applyAlignment="1">
      <alignment horizontal="center" vertical="center" wrapText="1"/>
    </xf>
    <xf numFmtId="1" fontId="0" fillId="23" borderId="22" xfId="0" applyNumberFormat="1" applyFill="1" applyBorder="1" applyAlignment="1">
      <alignment horizontal="center" vertical="center"/>
    </xf>
    <xf numFmtId="1" fontId="0" fillId="23" borderId="15" xfId="0" applyNumberFormat="1" applyFill="1" applyBorder="1" applyAlignment="1">
      <alignment horizontal="center" vertical="center"/>
    </xf>
    <xf numFmtId="1" fontId="0" fillId="23" borderId="18" xfId="0" applyNumberFormat="1" applyFill="1" applyBorder="1" applyAlignment="1">
      <alignment horizontal="center" vertical="center"/>
    </xf>
    <xf numFmtId="164" fontId="0" fillId="17" borderId="22" xfId="0" applyNumberFormat="1" applyFill="1" applyBorder="1" applyAlignment="1">
      <alignment horizontal="center" vertical="center"/>
    </xf>
    <xf numFmtId="164" fontId="0" fillId="17" borderId="15" xfId="0" applyNumberFormat="1" applyFill="1" applyBorder="1" applyAlignment="1">
      <alignment horizontal="center" vertical="center"/>
    </xf>
    <xf numFmtId="164" fontId="0" fillId="17" borderId="18" xfId="0" applyNumberFormat="1" applyFill="1" applyBorder="1" applyAlignment="1">
      <alignment horizontal="center" vertical="center"/>
    </xf>
    <xf numFmtId="2" fontId="0" fillId="15" borderId="22" xfId="0" applyNumberFormat="1" applyFill="1" applyBorder="1" applyAlignment="1">
      <alignment horizontal="center" vertical="center"/>
    </xf>
    <xf numFmtId="2" fontId="0" fillId="15" borderId="15" xfId="0" applyNumberFormat="1" applyFill="1" applyBorder="1" applyAlignment="1">
      <alignment horizontal="center" vertical="center"/>
    </xf>
    <xf numFmtId="2" fontId="0" fillId="15" borderId="18" xfId="0" applyNumberFormat="1" applyFill="1" applyBorder="1" applyAlignment="1">
      <alignment horizontal="center" vertical="center"/>
    </xf>
    <xf numFmtId="1" fontId="0" fillId="23" borderId="22" xfId="0" applyNumberFormat="1" applyFill="1" applyBorder="1" applyAlignment="1">
      <alignment horizontal="center" vertical="center" wrapText="1"/>
    </xf>
    <xf numFmtId="1" fontId="0" fillId="23" borderId="15" xfId="0" applyNumberFormat="1" applyFill="1" applyBorder="1" applyAlignment="1">
      <alignment horizontal="center" vertical="center" wrapText="1"/>
    </xf>
    <xf numFmtId="1" fontId="0" fillId="23" borderId="18" xfId="0" applyNumberFormat="1" applyFill="1" applyBorder="1" applyAlignment="1">
      <alignment horizontal="center" vertical="center" wrapText="1"/>
    </xf>
    <xf numFmtId="2" fontId="0" fillId="15" borderId="0" xfId="0" applyNumberFormat="1" applyFill="1" applyAlignment="1">
      <alignment horizontal="center" vertical="center"/>
    </xf>
    <xf numFmtId="2" fontId="0" fillId="15" borderId="17" xfId="0" applyNumberFormat="1" applyFill="1" applyBorder="1" applyAlignment="1">
      <alignment horizontal="center" vertical="center"/>
    </xf>
    <xf numFmtId="2" fontId="0" fillId="15" borderId="22" xfId="0" applyNumberFormat="1" applyFill="1" applyBorder="1" applyAlignment="1">
      <alignment horizontal="center" vertical="center" wrapText="1"/>
    </xf>
    <xf numFmtId="2" fontId="0" fillId="15" borderId="15" xfId="0" applyNumberFormat="1" applyFill="1" applyBorder="1" applyAlignment="1">
      <alignment horizontal="center" vertical="center" wrapText="1"/>
    </xf>
    <xf numFmtId="2" fontId="0" fillId="15" borderId="18" xfId="0" applyNumberFormat="1" applyFill="1" applyBorder="1" applyAlignment="1">
      <alignment horizontal="center" vertical="center" wrapText="1"/>
    </xf>
    <xf numFmtId="2" fontId="0" fillId="12" borderId="22" xfId="0" applyNumberFormat="1" applyFill="1" applyBorder="1" applyAlignment="1">
      <alignment horizontal="center" vertical="center" wrapText="1"/>
    </xf>
    <xf numFmtId="2" fontId="0" fillId="12" borderId="15" xfId="0" applyNumberFormat="1" applyFill="1" applyBorder="1" applyAlignment="1">
      <alignment horizontal="center" vertical="center" wrapText="1"/>
    </xf>
    <xf numFmtId="2" fontId="0" fillId="12" borderId="18" xfId="0" applyNumberFormat="1" applyFill="1" applyBorder="1" applyAlignment="1">
      <alignment horizontal="center" vertical="center" wrapText="1"/>
    </xf>
    <xf numFmtId="0" fontId="26" fillId="0" borderId="15" xfId="0" applyFont="1" applyBorder="1" applyAlignment="1">
      <alignment horizontal="center" vertical="top" wrapText="1"/>
    </xf>
    <xf numFmtId="1" fontId="0" fillId="9" borderId="15" xfId="0" applyNumberFormat="1" applyFill="1" applyBorder="1" applyAlignment="1">
      <alignment horizontal="center" vertical="center"/>
    </xf>
    <xf numFmtId="1" fontId="0" fillId="9" borderId="18" xfId="0" applyNumberFormat="1" applyFill="1" applyBorder="1" applyAlignment="1">
      <alignment horizontal="center" vertical="center"/>
    </xf>
    <xf numFmtId="1" fontId="0" fillId="9" borderId="22" xfId="0" applyNumberFormat="1" applyFill="1" applyBorder="1" applyAlignment="1">
      <alignment horizontal="center" vertical="center" wrapText="1"/>
    </xf>
    <xf numFmtId="1" fontId="0" fillId="9" borderId="15" xfId="0" applyNumberFormat="1" applyFill="1" applyBorder="1" applyAlignment="1">
      <alignment horizontal="center" vertical="center" wrapText="1"/>
    </xf>
    <xf numFmtId="1" fontId="0" fillId="9" borderId="18" xfId="0" applyNumberFormat="1" applyFill="1" applyBorder="1" applyAlignment="1">
      <alignment horizontal="center" vertical="center" wrapText="1"/>
    </xf>
    <xf numFmtId="0" fontId="23" fillId="0" borderId="23" xfId="0" applyFont="1" applyBorder="1" applyAlignment="1">
      <alignment horizontal="center" vertical="center"/>
    </xf>
    <xf numFmtId="0" fontId="23" fillId="0" borderId="2" xfId="0" applyFont="1" applyBorder="1" applyAlignment="1">
      <alignment horizontal="center" vertical="center"/>
    </xf>
    <xf numFmtId="0" fontId="23" fillId="0" borderId="16" xfId="0" applyFont="1" applyBorder="1" applyAlignment="1">
      <alignment horizontal="center" vertical="center"/>
    </xf>
    <xf numFmtId="0" fontId="23" fillId="0" borderId="17" xfId="0" applyFont="1" applyBorder="1" applyAlignment="1">
      <alignment horizontal="center" vertical="center"/>
    </xf>
    <xf numFmtId="0" fontId="23" fillId="0" borderId="43" xfId="0" applyFont="1" applyBorder="1" applyAlignment="1">
      <alignment horizontal="center" vertical="center"/>
    </xf>
    <xf numFmtId="0" fontId="23" fillId="0" borderId="22" xfId="0" applyFont="1" applyBorder="1" applyAlignment="1">
      <alignment horizontal="center" vertical="center"/>
    </xf>
    <xf numFmtId="0" fontId="23" fillId="0" borderId="44" xfId="0" applyFont="1" applyBorder="1" applyAlignment="1">
      <alignment horizontal="center" vertical="center"/>
    </xf>
    <xf numFmtId="0" fontId="23" fillId="0" borderId="18" xfId="0" applyFont="1" applyBorder="1" applyAlignment="1">
      <alignment horizontal="center" vertical="center"/>
    </xf>
    <xf numFmtId="2" fontId="0" fillId="10" borderId="22" xfId="0" applyNumberFormat="1" applyFill="1" applyBorder="1" applyAlignment="1">
      <alignment horizontal="center" vertical="center" wrapText="1"/>
    </xf>
    <xf numFmtId="2" fontId="0" fillId="10" borderId="15" xfId="0" applyNumberFormat="1" applyFill="1" applyBorder="1" applyAlignment="1">
      <alignment horizontal="center" vertical="center" wrapText="1"/>
    </xf>
    <xf numFmtId="2" fontId="0" fillId="10" borderId="18" xfId="0" applyNumberFormat="1" applyFill="1" applyBorder="1" applyAlignment="1">
      <alignment horizontal="center" vertical="center" wrapText="1"/>
    </xf>
    <xf numFmtId="0" fontId="2" fillId="24" borderId="45" xfId="0" applyFont="1" applyFill="1" applyBorder="1" applyAlignment="1">
      <alignment horizontal="center" vertical="center"/>
    </xf>
    <xf numFmtId="0" fontId="2" fillId="24" borderId="6" xfId="0" applyFont="1" applyFill="1" applyBorder="1" applyAlignment="1">
      <alignment horizontal="center" vertical="center"/>
    </xf>
    <xf numFmtId="0" fontId="2" fillId="24" borderId="46" xfId="0" applyFont="1" applyFill="1" applyBorder="1" applyAlignment="1">
      <alignment horizontal="center" vertical="center"/>
    </xf>
    <xf numFmtId="2" fontId="0" fillId="13" borderId="22" xfId="0" applyNumberFormat="1" applyFill="1" applyBorder="1" applyAlignment="1">
      <alignment horizontal="center" vertical="center"/>
    </xf>
    <xf numFmtId="2" fontId="0" fillId="13" borderId="15" xfId="0" applyNumberFormat="1" applyFill="1" applyBorder="1" applyAlignment="1">
      <alignment horizontal="center" vertical="center"/>
    </xf>
    <xf numFmtId="2" fontId="0" fillId="13" borderId="18" xfId="0" applyNumberFormat="1" applyFill="1" applyBorder="1" applyAlignment="1">
      <alignment horizontal="center" vertical="center"/>
    </xf>
    <xf numFmtId="2" fontId="0" fillId="14" borderId="22" xfId="0" applyNumberFormat="1" applyFill="1" applyBorder="1" applyAlignment="1">
      <alignment horizontal="center" vertical="center"/>
    </xf>
    <xf numFmtId="2" fontId="0" fillId="14" borderId="15" xfId="0" applyNumberFormat="1" applyFill="1" applyBorder="1" applyAlignment="1">
      <alignment horizontal="center" vertical="center"/>
    </xf>
    <xf numFmtId="2" fontId="0" fillId="14" borderId="18" xfId="0" applyNumberFormat="1" applyFill="1" applyBorder="1" applyAlignment="1">
      <alignment horizontal="center" vertical="center"/>
    </xf>
    <xf numFmtId="0" fontId="0" fillId="11" borderId="22" xfId="0" applyFill="1" applyBorder="1" applyAlignment="1">
      <alignment horizontal="center" vertical="center"/>
    </xf>
    <xf numFmtId="0" fontId="0" fillId="11" borderId="15" xfId="0" applyFill="1" applyBorder="1" applyAlignment="1">
      <alignment horizontal="center" vertical="center"/>
    </xf>
    <xf numFmtId="0" fontId="0" fillId="11" borderId="18" xfId="0" applyFill="1" applyBorder="1" applyAlignment="1">
      <alignment horizontal="center" vertical="center"/>
    </xf>
    <xf numFmtId="0" fontId="0" fillId="9" borderId="22" xfId="0" applyFill="1" applyBorder="1" applyAlignment="1">
      <alignment horizontal="center" vertical="center"/>
    </xf>
    <xf numFmtId="0" fontId="0" fillId="9" borderId="15" xfId="0" applyFill="1" applyBorder="1" applyAlignment="1">
      <alignment horizontal="center" vertical="center"/>
    </xf>
    <xf numFmtId="0" fontId="0" fillId="9" borderId="18" xfId="0" applyFill="1" applyBorder="1" applyAlignment="1">
      <alignment horizontal="center" vertical="center"/>
    </xf>
    <xf numFmtId="0" fontId="0" fillId="16" borderId="22" xfId="0" applyFill="1" applyBorder="1" applyAlignment="1">
      <alignment horizontal="center" vertical="center"/>
    </xf>
    <xf numFmtId="0" fontId="0" fillId="16" borderId="15" xfId="0" applyFill="1" applyBorder="1" applyAlignment="1">
      <alignment horizontal="center" vertical="center"/>
    </xf>
    <xf numFmtId="0" fontId="0" fillId="16" borderId="18" xfId="0" applyFill="1" applyBorder="1" applyAlignment="1">
      <alignment horizontal="center" vertical="center"/>
    </xf>
    <xf numFmtId="2" fontId="0" fillId="11" borderId="22" xfId="0" applyNumberFormat="1" applyFill="1" applyBorder="1" applyAlignment="1">
      <alignment horizontal="center" vertical="center"/>
    </xf>
    <xf numFmtId="2" fontId="0" fillId="11" borderId="15" xfId="0" applyNumberFormat="1" applyFill="1" applyBorder="1" applyAlignment="1">
      <alignment horizontal="center" vertical="center"/>
    </xf>
    <xf numFmtId="2" fontId="0" fillId="11" borderId="18" xfId="0" applyNumberFormat="1" applyFill="1" applyBorder="1" applyAlignment="1">
      <alignment horizontal="center" vertical="center"/>
    </xf>
    <xf numFmtId="2" fontId="0" fillId="9" borderId="22" xfId="0" applyNumberFormat="1" applyFill="1" applyBorder="1" applyAlignment="1">
      <alignment horizontal="center" vertical="center"/>
    </xf>
    <xf numFmtId="2" fontId="0" fillId="9" borderId="15" xfId="0" applyNumberFormat="1" applyFill="1" applyBorder="1" applyAlignment="1">
      <alignment horizontal="center" vertical="center"/>
    </xf>
    <xf numFmtId="2" fontId="0" fillId="9" borderId="18" xfId="0" applyNumberFormat="1" applyFill="1" applyBorder="1" applyAlignment="1">
      <alignment horizontal="center" vertical="center"/>
    </xf>
    <xf numFmtId="2" fontId="0" fillId="14" borderId="0" xfId="0" applyNumberFormat="1" applyFill="1" applyAlignment="1">
      <alignment horizontal="center" vertical="center" wrapText="1"/>
    </xf>
    <xf numFmtId="2" fontId="0" fillId="11" borderId="2" xfId="0" applyNumberFormat="1" applyFill="1" applyBorder="1" applyAlignment="1">
      <alignment horizontal="center" vertical="center"/>
    </xf>
    <xf numFmtId="2" fontId="0" fillId="11" borderId="0" xfId="0" applyNumberFormat="1" applyFill="1" applyAlignment="1">
      <alignment horizontal="center" vertical="center"/>
    </xf>
    <xf numFmtId="2" fontId="0" fillId="11" borderId="17" xfId="0" applyNumberFormat="1" applyFill="1" applyBorder="1" applyAlignment="1">
      <alignment horizontal="center" vertical="center"/>
    </xf>
    <xf numFmtId="2" fontId="0" fillId="12" borderId="0" xfId="0" applyNumberFormat="1" applyFill="1" applyAlignment="1">
      <alignment horizontal="center" vertical="center"/>
    </xf>
    <xf numFmtId="1" fontId="0" fillId="9" borderId="0" xfId="0" applyNumberFormat="1" applyFill="1" applyAlignment="1">
      <alignment horizontal="center" vertical="center"/>
    </xf>
    <xf numFmtId="0" fontId="0" fillId="13" borderId="11" xfId="0" applyFill="1" applyBorder="1" applyAlignment="1">
      <alignment horizontal="center"/>
    </xf>
    <xf numFmtId="0" fontId="0" fillId="13" borderId="12" xfId="0" applyFill="1" applyBorder="1" applyAlignment="1">
      <alignment horizontal="center"/>
    </xf>
    <xf numFmtId="0" fontId="0" fillId="13" borderId="13" xfId="0" applyFill="1" applyBorder="1" applyAlignment="1">
      <alignment horizontal="center"/>
    </xf>
    <xf numFmtId="0" fontId="0" fillId="14" borderId="11" xfId="0" applyFill="1" applyBorder="1" applyAlignment="1">
      <alignment horizontal="center"/>
    </xf>
    <xf numFmtId="0" fontId="0" fillId="14" borderId="12" xfId="0" applyFill="1" applyBorder="1" applyAlignment="1">
      <alignment horizontal="center"/>
    </xf>
    <xf numFmtId="0" fontId="0" fillId="11" borderId="11"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2" borderId="11" xfId="0" applyFill="1" applyBorder="1" applyAlignment="1">
      <alignment horizontal="center"/>
    </xf>
    <xf numFmtId="0" fontId="0" fillId="12" borderId="12" xfId="0" applyFill="1" applyBorder="1" applyAlignment="1">
      <alignment horizontal="center"/>
    </xf>
    <xf numFmtId="0" fontId="0" fillId="12" borderId="13" xfId="0" applyFill="1" applyBorder="1" applyAlignment="1">
      <alignment horizontal="center"/>
    </xf>
    <xf numFmtId="0" fontId="0" fillId="9" borderId="11" xfId="0" applyFill="1" applyBorder="1" applyAlignment="1">
      <alignment horizontal="center"/>
    </xf>
    <xf numFmtId="0" fontId="0" fillId="9" borderId="12" xfId="0" applyFill="1" applyBorder="1" applyAlignment="1">
      <alignment horizontal="center"/>
    </xf>
    <xf numFmtId="0" fontId="0" fillId="9" borderId="13" xfId="0" applyFill="1" applyBorder="1" applyAlignment="1">
      <alignment horizontal="center"/>
    </xf>
    <xf numFmtId="0" fontId="0" fillId="16" borderId="11" xfId="0" applyFill="1" applyBorder="1" applyAlignment="1">
      <alignment horizontal="center"/>
    </xf>
    <xf numFmtId="0" fontId="0" fillId="16" borderId="12" xfId="0" applyFill="1" applyBorder="1" applyAlignment="1">
      <alignment horizontal="center"/>
    </xf>
    <xf numFmtId="0" fontId="0" fillId="16" borderId="13" xfId="0" applyFill="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15" borderId="11" xfId="0" applyFill="1" applyBorder="1" applyAlignment="1">
      <alignment horizontal="center"/>
    </xf>
    <xf numFmtId="0" fontId="0" fillId="15" borderId="12" xfId="0" applyFill="1" applyBorder="1" applyAlignment="1">
      <alignment horizontal="center"/>
    </xf>
    <xf numFmtId="0" fontId="0" fillId="15"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3" borderId="11" xfId="0" applyFill="1" applyBorder="1" applyAlignment="1">
      <alignment horizontal="center"/>
    </xf>
    <xf numFmtId="0" fontId="0" fillId="3" borderId="12" xfId="0" applyFill="1" applyBorder="1" applyAlignment="1">
      <alignment horizontal="center"/>
    </xf>
    <xf numFmtId="0" fontId="0" fillId="3" borderId="13" xfId="0" applyFill="1" applyBorder="1" applyAlignment="1">
      <alignment horizontal="center"/>
    </xf>
    <xf numFmtId="2" fontId="0" fillId="14" borderId="2" xfId="0" applyNumberFormat="1" applyFill="1" applyBorder="1" applyAlignment="1">
      <alignment horizontal="center" vertical="center"/>
    </xf>
    <xf numFmtId="2" fontId="0" fillId="14" borderId="0" xfId="0" applyNumberFormat="1" applyFill="1" applyAlignment="1">
      <alignment horizontal="center" vertical="center"/>
    </xf>
    <xf numFmtId="1" fontId="0" fillId="9" borderId="2" xfId="0" applyNumberFormat="1" applyFill="1" applyBorder="1" applyAlignment="1">
      <alignment horizontal="center" vertical="center"/>
    </xf>
    <xf numFmtId="2" fontId="0" fillId="16" borderId="2" xfId="0" applyNumberFormat="1" applyFill="1" applyBorder="1" applyAlignment="1">
      <alignment horizontal="center" vertical="center"/>
    </xf>
    <xf numFmtId="2" fontId="0" fillId="16" borderId="0" xfId="0" applyNumberFormat="1" applyFill="1" applyAlignment="1">
      <alignment horizontal="center" vertical="center"/>
    </xf>
    <xf numFmtId="2" fontId="0" fillId="9" borderId="2" xfId="0" applyNumberFormat="1" applyFill="1" applyBorder="1" applyAlignment="1">
      <alignment horizontal="center" vertical="center"/>
    </xf>
    <xf numFmtId="2" fontId="0" fillId="9" borderId="0" xfId="0" applyNumberFormat="1" applyFill="1" applyAlignment="1">
      <alignment horizontal="center" vertical="center"/>
    </xf>
    <xf numFmtId="0" fontId="0" fillId="15" borderId="2" xfId="0" applyFill="1" applyBorder="1" applyAlignment="1">
      <alignment horizontal="center"/>
    </xf>
    <xf numFmtId="0" fontId="0" fillId="15" borderId="0" xfId="0" applyFill="1" applyAlignment="1">
      <alignment horizontal="center"/>
    </xf>
    <xf numFmtId="0" fontId="0" fillId="15" borderId="17" xfId="0" applyFill="1" applyBorder="1" applyAlignment="1">
      <alignment horizontal="center"/>
    </xf>
    <xf numFmtId="0" fontId="0" fillId="15" borderId="22" xfId="0" applyFill="1" applyBorder="1" applyAlignment="1">
      <alignment horizontal="center"/>
    </xf>
    <xf numFmtId="0" fontId="0" fillId="15" borderId="15" xfId="0" applyFill="1" applyBorder="1" applyAlignment="1">
      <alignment horizontal="center"/>
    </xf>
    <xf numFmtId="0" fontId="0" fillId="15" borderId="18" xfId="0" applyFill="1" applyBorder="1" applyAlignment="1">
      <alignment horizontal="center"/>
    </xf>
    <xf numFmtId="0" fontId="0" fillId="0" borderId="0" xfId="0" applyAlignment="1">
      <alignment horizontal="center"/>
    </xf>
    <xf numFmtId="0" fontId="50" fillId="0" borderId="0" xfId="0" applyFont="1" applyAlignment="1">
      <alignment horizontal="center" vertical="center"/>
    </xf>
    <xf numFmtId="0" fontId="27" fillId="0" borderId="1" xfId="0" applyFont="1" applyBorder="1" applyAlignment="1">
      <alignment horizontal="center" vertical="center" wrapText="1"/>
    </xf>
    <xf numFmtId="0" fontId="30" fillId="0" borderId="28" xfId="0" applyFont="1" applyBorder="1" applyAlignment="1">
      <alignment horizontal="center" vertical="center" wrapText="1"/>
    </xf>
    <xf numFmtId="0" fontId="30" fillId="0" borderId="47" xfId="0" applyFont="1" applyBorder="1" applyAlignment="1">
      <alignment horizontal="center" vertical="center" wrapText="1"/>
    </xf>
    <xf numFmtId="0" fontId="30" fillId="0" borderId="21" xfId="0" applyFont="1" applyBorder="1" applyAlignment="1">
      <alignment horizontal="center" vertical="center" wrapText="1"/>
    </xf>
    <xf numFmtId="0" fontId="28" fillId="0" borderId="1" xfId="0" applyFont="1" applyBorder="1" applyAlignment="1">
      <alignment horizontal="center" vertical="center" wrapText="1"/>
    </xf>
    <xf numFmtId="0" fontId="30" fillId="0" borderId="48" xfId="0" applyFont="1" applyBorder="1" applyAlignment="1">
      <alignment horizontal="center" vertical="center" wrapText="1"/>
    </xf>
    <xf numFmtId="0" fontId="30" fillId="0" borderId="49" xfId="0" applyFont="1" applyBorder="1" applyAlignment="1">
      <alignment horizontal="center" vertical="center" wrapText="1"/>
    </xf>
    <xf numFmtId="0" fontId="30" fillId="0" borderId="50" xfId="0" applyFont="1" applyBorder="1" applyAlignment="1">
      <alignment horizontal="center" vertical="center" wrapText="1"/>
    </xf>
    <xf numFmtId="0" fontId="0" fillId="0" borderId="1" xfId="0" applyBorder="1" applyAlignment="1">
      <alignment horizontal="left" vertical="center"/>
    </xf>
    <xf numFmtId="0" fontId="2" fillId="28" borderId="1" xfId="0" applyFont="1" applyFill="1" applyBorder="1" applyAlignment="1">
      <alignment horizontal="left"/>
    </xf>
    <xf numFmtId="0" fontId="29" fillId="27" borderId="1" xfId="0" applyFont="1" applyFill="1" applyBorder="1" applyAlignment="1">
      <alignment horizontal="center" vertical="center"/>
    </xf>
    <xf numFmtId="175" fontId="0" fillId="0" borderId="1" xfId="0" applyNumberFormat="1" applyBorder="1" applyAlignment="1">
      <alignment horizontal="center"/>
    </xf>
    <xf numFmtId="176" fontId="0" fillId="0" borderId="1" xfId="0" applyNumberFormat="1" applyBorder="1" applyAlignment="1">
      <alignment horizontal="center"/>
    </xf>
    <xf numFmtId="0" fontId="2" fillId="0" borderId="1" xfId="0" applyFont="1" applyBorder="1" applyAlignment="1">
      <alignment horizontal="left" vertical="center"/>
    </xf>
    <xf numFmtId="0" fontId="2" fillId="27" borderId="5" xfId="0" applyFont="1" applyFill="1" applyBorder="1" applyAlignment="1">
      <alignment horizontal="center" vertical="center" wrapText="1"/>
    </xf>
    <xf numFmtId="0" fontId="2" fillId="27" borderId="7" xfId="0" applyFont="1" applyFill="1" applyBorder="1" applyAlignment="1">
      <alignment horizontal="center" vertical="center" wrapText="1"/>
    </xf>
    <xf numFmtId="0" fontId="2" fillId="0" borderId="4" xfId="0" applyFont="1" applyBorder="1" applyAlignment="1">
      <alignment horizontal="left" vertical="center"/>
    </xf>
    <xf numFmtId="0" fontId="2" fillId="28" borderId="1" xfId="0" applyFont="1" applyFill="1" applyBorder="1" applyAlignment="1">
      <alignment horizontal="left" vertical="center"/>
    </xf>
    <xf numFmtId="0" fontId="2" fillId="27" borderId="1" xfId="0" applyFont="1" applyFill="1" applyBorder="1" applyAlignment="1">
      <alignment horizontal="center" vertical="center"/>
    </xf>
    <xf numFmtId="0" fontId="2" fillId="0" borderId="1" xfId="0" applyFont="1" applyBorder="1" applyAlignment="1">
      <alignment horizontal="left"/>
    </xf>
    <xf numFmtId="0" fontId="2" fillId="27" borderId="1" xfId="0" applyFont="1" applyFill="1" applyBorder="1" applyAlignment="1">
      <alignment horizontal="left" vertical="center"/>
    </xf>
    <xf numFmtId="0" fontId="31" fillId="27" borderId="1" xfId="0" applyFont="1" applyFill="1" applyBorder="1" applyAlignment="1">
      <alignment vertical="center"/>
    </xf>
    <xf numFmtId="0" fontId="0" fillId="0" borderId="0" xfId="0" applyAlignment="1">
      <alignment horizontal="center" wrapText="1"/>
    </xf>
    <xf numFmtId="0" fontId="11" fillId="0" borderId="0" xfId="0" applyFont="1" applyAlignment="1">
      <alignment horizontal="center" wrapText="1"/>
    </xf>
    <xf numFmtId="0" fontId="35" fillId="30" borderId="1" xfId="0" applyFont="1" applyFill="1" applyBorder="1" applyAlignment="1">
      <alignment horizontal="center" vertical="center"/>
    </xf>
    <xf numFmtId="0" fontId="36" fillId="35" borderId="1" xfId="0" applyFont="1" applyFill="1" applyBorder="1" applyAlignment="1">
      <alignment horizontal="left" vertical="center"/>
    </xf>
    <xf numFmtId="0" fontId="36" fillId="35" borderId="1" xfId="0" applyFont="1" applyFill="1" applyBorder="1" applyAlignment="1">
      <alignment horizontal="center" vertical="center" wrapText="1"/>
    </xf>
    <xf numFmtId="0" fontId="35" fillId="30" borderId="28" xfId="0" applyFont="1" applyFill="1" applyBorder="1" applyAlignment="1">
      <alignment horizontal="center" vertical="center"/>
    </xf>
    <xf numFmtId="0" fontId="35" fillId="30" borderId="47" xfId="0" applyFont="1" applyFill="1" applyBorder="1" applyAlignment="1">
      <alignment horizontal="center" vertical="center"/>
    </xf>
    <xf numFmtId="0" fontId="35" fillId="30" borderId="5" xfId="0" applyFont="1" applyFill="1" applyBorder="1" applyAlignment="1">
      <alignment horizontal="center" vertical="center"/>
    </xf>
    <xf numFmtId="0" fontId="0" fillId="0" borderId="7" xfId="0" applyBorder="1"/>
    <xf numFmtId="0" fontId="36" fillId="35" borderId="3" xfId="0" applyFont="1" applyFill="1" applyBorder="1" applyAlignment="1">
      <alignment horizontal="center" vertical="center"/>
    </xf>
    <xf numFmtId="0" fontId="36" fillId="35" borderId="4" xfId="0" applyFont="1" applyFill="1" applyBorder="1" applyAlignment="1">
      <alignment horizontal="center" vertical="center"/>
    </xf>
    <xf numFmtId="0" fontId="40" fillId="34" borderId="1" xfId="0" applyFont="1" applyFill="1" applyBorder="1" applyAlignment="1">
      <alignment horizontal="center" vertical="center" wrapText="1"/>
    </xf>
    <xf numFmtId="0" fontId="33" fillId="0" borderId="1" xfId="0" applyFont="1" applyBorder="1" applyAlignment="1">
      <alignment horizontal="center" vertical="center"/>
    </xf>
    <xf numFmtId="0" fontId="34" fillId="0" borderId="1" xfId="0" applyFont="1" applyBorder="1" applyAlignment="1">
      <alignment horizontal="center" vertical="center"/>
    </xf>
    <xf numFmtId="0" fontId="35" fillId="30" borderId="1" xfId="0" applyFont="1" applyFill="1" applyBorder="1" applyAlignment="1">
      <alignment horizontal="center" vertical="center" wrapText="1"/>
    </xf>
    <xf numFmtId="0" fontId="36" fillId="30" borderId="1" xfId="0" applyFont="1" applyFill="1" applyBorder="1" applyAlignment="1">
      <alignment horizontal="center" vertical="center"/>
    </xf>
    <xf numFmtId="0" fontId="36" fillId="30" borderId="1" xfId="0" applyFont="1" applyFill="1" applyBorder="1" applyAlignment="1">
      <alignment horizontal="center" vertical="center" wrapText="1"/>
    </xf>
    <xf numFmtId="0" fontId="38" fillId="0" borderId="1" xfId="0" applyFont="1" applyBorder="1" applyAlignment="1">
      <alignment horizontal="center" vertical="center"/>
    </xf>
    <xf numFmtId="4" fontId="33" fillId="0" borderId="1" xfId="0" applyNumberFormat="1" applyFont="1" applyBorder="1" applyAlignment="1">
      <alignment horizontal="center" vertical="center"/>
    </xf>
    <xf numFmtId="3" fontId="33" fillId="0" borderId="1" xfId="0" applyNumberFormat="1" applyFont="1" applyBorder="1" applyAlignment="1">
      <alignment horizontal="center" vertical="center"/>
    </xf>
    <xf numFmtId="0" fontId="0" fillId="0" borderId="1" xfId="0" applyBorder="1" applyAlignment="1">
      <alignment horizontal="center" vertical="center"/>
    </xf>
    <xf numFmtId="4" fontId="0" fillId="0" borderId="1" xfId="0" applyNumberFormat="1" applyBorder="1" applyAlignment="1">
      <alignment horizontal="center" vertical="center"/>
    </xf>
    <xf numFmtId="3" fontId="0" fillId="0" borderId="1" xfId="0" applyNumberFormat="1" applyBorder="1" applyAlignment="1">
      <alignment horizontal="center" vertical="center"/>
    </xf>
    <xf numFmtId="0" fontId="15" fillId="9" borderId="1" xfId="0" applyFont="1" applyFill="1" applyBorder="1" applyAlignment="1">
      <alignment horizontal="center"/>
    </xf>
    <xf numFmtId="165" fontId="45" fillId="24" borderId="5" xfId="2" applyFont="1" applyFill="1" applyBorder="1" applyAlignment="1">
      <alignment horizontal="center" vertical="center" wrapText="1"/>
    </xf>
    <xf numFmtId="165" fontId="45" fillId="24" borderId="6" xfId="2" applyFont="1" applyFill="1" applyBorder="1" applyAlignment="1">
      <alignment horizontal="center" vertical="center" wrapText="1"/>
    </xf>
    <xf numFmtId="0" fontId="15" fillId="36" borderId="5" xfId="0" applyFont="1" applyFill="1" applyBorder="1" applyAlignment="1">
      <alignment horizontal="center" vertical="center"/>
    </xf>
    <xf numFmtId="0" fontId="15" fillId="36" borderId="6" xfId="0" applyFont="1" applyFill="1" applyBorder="1" applyAlignment="1">
      <alignment horizontal="center" vertical="center"/>
    </xf>
    <xf numFmtId="0" fontId="15" fillId="36" borderId="7" xfId="0" applyFont="1" applyFill="1" applyBorder="1" applyAlignment="1">
      <alignment horizontal="center" vertical="center"/>
    </xf>
    <xf numFmtId="178" fontId="0" fillId="0" borderId="5" xfId="0" applyNumberFormat="1" applyBorder="1" applyAlignment="1">
      <alignment horizontal="center"/>
    </xf>
    <xf numFmtId="178" fontId="0" fillId="0" borderId="7" xfId="0" applyNumberFormat="1" applyBorder="1" applyAlignment="1">
      <alignment horizontal="center"/>
    </xf>
    <xf numFmtId="178" fontId="0" fillId="0" borderId="6" xfId="0" applyNumberFormat="1" applyBorder="1" applyAlignment="1">
      <alignment horizontal="center"/>
    </xf>
    <xf numFmtId="0" fontId="15" fillId="36" borderId="1" xfId="0" applyFont="1" applyFill="1" applyBorder="1" applyAlignment="1">
      <alignment horizontal="center" vertical="center"/>
    </xf>
    <xf numFmtId="0" fontId="42" fillId="9" borderId="5" xfId="0" applyFont="1" applyFill="1" applyBorder="1" applyAlignment="1">
      <alignment horizontal="center"/>
    </xf>
    <xf numFmtId="0" fontId="42" fillId="9" borderId="6" xfId="0" applyFont="1" applyFill="1" applyBorder="1" applyAlignment="1">
      <alignment horizontal="center"/>
    </xf>
    <xf numFmtId="0" fontId="42" fillId="9" borderId="7" xfId="0" applyFont="1" applyFill="1" applyBorder="1" applyAlignment="1">
      <alignment horizontal="center"/>
    </xf>
    <xf numFmtId="0" fontId="15" fillId="9" borderId="5" xfId="0" applyFont="1" applyFill="1" applyBorder="1" applyAlignment="1">
      <alignment horizontal="center"/>
    </xf>
    <xf numFmtId="0" fontId="15" fillId="9" borderId="6" xfId="0" applyFont="1" applyFill="1" applyBorder="1" applyAlignment="1">
      <alignment horizontal="center"/>
    </xf>
    <xf numFmtId="0" fontId="15" fillId="9" borderId="7" xfId="0" applyFont="1" applyFill="1" applyBorder="1" applyAlignment="1">
      <alignment horizontal="center"/>
    </xf>
    <xf numFmtId="165" fontId="45" fillId="24" borderId="28" xfId="2" applyFont="1" applyFill="1" applyBorder="1" applyAlignment="1">
      <alignment horizontal="center" vertical="center" wrapText="1"/>
    </xf>
    <xf numFmtId="165" fontId="45" fillId="24" borderId="47" xfId="2" applyFont="1" applyFill="1" applyBorder="1" applyAlignment="1">
      <alignment horizontal="center" vertical="center" wrapText="1"/>
    </xf>
    <xf numFmtId="0" fontId="42" fillId="9" borderId="5" xfId="0" applyFont="1" applyFill="1" applyBorder="1" applyAlignment="1">
      <alignment horizontal="left"/>
    </xf>
    <xf numFmtId="0" fontId="42" fillId="9" borderId="6" xfId="0" applyFont="1" applyFill="1" applyBorder="1" applyAlignment="1">
      <alignment horizontal="left"/>
    </xf>
    <xf numFmtId="0" fontId="42" fillId="9" borderId="7" xfId="0" applyFont="1" applyFill="1" applyBorder="1" applyAlignment="1">
      <alignment horizontal="left"/>
    </xf>
    <xf numFmtId="177" fontId="0" fillId="0" borderId="1" xfId="0" applyNumberFormat="1" applyFill="1" applyBorder="1" applyAlignment="1">
      <alignment horizontal="center" vertical="center"/>
    </xf>
    <xf numFmtId="2" fontId="0" fillId="0" borderId="1" xfId="0" applyNumberFormat="1" applyFill="1" applyBorder="1" applyAlignment="1">
      <alignment horizontal="center" vertical="center"/>
    </xf>
    <xf numFmtId="1" fontId="0" fillId="0" borderId="1" xfId="0" applyNumberFormat="1" applyFill="1" applyBorder="1" applyAlignment="1">
      <alignment horizontal="center" vertical="center"/>
    </xf>
    <xf numFmtId="164" fontId="0" fillId="0" borderId="1" xfId="0" applyNumberFormat="1" applyFill="1" applyBorder="1" applyAlignment="1">
      <alignment horizontal="center" vertical="center"/>
    </xf>
    <xf numFmtId="8" fontId="0" fillId="0" borderId="1" xfId="0" applyNumberFormat="1" applyFill="1" applyBorder="1" applyAlignment="1">
      <alignment horizontal="center"/>
    </xf>
  </cellXfs>
  <cellStyles count="6">
    <cellStyle name="Normal" xfId="0" builtinId="0"/>
    <cellStyle name="Normal 2" xfId="1" xr:uid="{00000000-0005-0000-0000-000001000000}"/>
    <cellStyle name="Normal 3" xfId="3" xr:uid="{00000000-0005-0000-0000-000002000000}"/>
    <cellStyle name="Porcentagem" xfId="4" builtinId="5"/>
    <cellStyle name="Separador de milhares 2" xfId="2" xr:uid="{00000000-0005-0000-0000-000004000000}"/>
    <cellStyle name="Vírgula" xfId="5" builtinId="3"/>
  </cellStyles>
  <dxfs count="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E4EC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Representatividade</a:t>
            </a:r>
            <a:r>
              <a:rPr lang="pt-BR" baseline="0"/>
              <a:t> dos Custos (Safra 2022/23)</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85-44DB-90E2-A7ECA4BB93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85-44DB-90E2-A7ECA4BB93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85-44DB-90E2-A7ECA4BB93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85-44DB-90E2-A7ECA4BB932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85-44DB-90E2-A7ECA4BB932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85-44DB-90E2-A7ECA4BB932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785-44DB-90E2-A7ECA4BB932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785-44DB-90E2-A7ECA4BB932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785-44DB-90E2-A7ECA4BB932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785-44DB-90E2-A7ECA4BB932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785-44DB-90E2-A7ECA4BB932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785-44DB-90E2-A7ECA4BB932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785-44DB-90E2-A7ECA4BB9324}"/>
              </c:ext>
            </c:extLst>
          </c:dPt>
          <c:dLbls>
            <c:numFmt formatCode="0.00%"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'Fechamento 2022'!$P$8:$T$20</c:f>
              <c:strCache>
                <c:ptCount val="13"/>
                <c:pt idx="0">
                  <c:v>ANTIBIÓTICO</c:v>
                </c:pt>
                <c:pt idx="1">
                  <c:v>ÁCIDO SULFÚRICO</c:v>
                </c:pt>
                <c:pt idx="2">
                  <c:v>TRATAMENTO DE ÁGUA DA TORRE</c:v>
                </c:pt>
                <c:pt idx="3">
                  <c:v>ANTIESPUMANTE</c:v>
                </c:pt>
                <c:pt idx="4">
                  <c:v>NUTRIENTE/UREIA</c:v>
                </c:pt>
                <c:pt idx="5">
                  <c:v>DISPERSANTE</c:v>
                </c:pt>
                <c:pt idx="6">
                  <c:v>POLÍMERO CATIÔNICO</c:v>
                </c:pt>
                <c:pt idx="7">
                  <c:v>CAL</c:v>
                </c:pt>
                <c:pt idx="8">
                  <c:v>SODA CÁUSTICA</c:v>
                </c:pt>
                <c:pt idx="9">
                  <c:v>POLÍMERO ANIÔNICO</c:v>
                </c:pt>
                <c:pt idx="10">
                  <c:v>BACTERICIDA</c:v>
                </c:pt>
                <c:pt idx="11">
                  <c:v>DIÓXIDO DE CLORO</c:v>
                </c:pt>
                <c:pt idx="12">
                  <c:v>NEUTRALIZANTE</c:v>
                </c:pt>
              </c:strCache>
            </c:strRef>
          </c:cat>
          <c:val>
            <c:numRef>
              <c:f>'Fechamento 2022'!$U$8:$U$20</c:f>
              <c:numCache>
                <c:formatCode>0.00%</c:formatCode>
                <c:ptCount val="13"/>
                <c:pt idx="0">
                  <c:v>0.21302714331219499</c:v>
                </c:pt>
                <c:pt idx="1">
                  <c:v>0.19684399496018568</c:v>
                </c:pt>
                <c:pt idx="2">
                  <c:v>0.10482379922530458</c:v>
                </c:pt>
                <c:pt idx="3">
                  <c:v>0.10096521348077886</c:v>
                </c:pt>
                <c:pt idx="4">
                  <c:v>9.3392856675416316E-2</c:v>
                </c:pt>
                <c:pt idx="5">
                  <c:v>8.0715532670598097E-2</c:v>
                </c:pt>
                <c:pt idx="6">
                  <c:v>7.534020472803063E-2</c:v>
                </c:pt>
                <c:pt idx="7">
                  <c:v>7.3746915830176923E-2</c:v>
                </c:pt>
                <c:pt idx="8">
                  <c:v>4.0125039029755463E-2</c:v>
                </c:pt>
                <c:pt idx="9">
                  <c:v>9.5846325443032614E-3</c:v>
                </c:pt>
                <c:pt idx="10">
                  <c:v>4.2108200938533406E-3</c:v>
                </c:pt>
                <c:pt idx="11">
                  <c:v>4.1963463036011487E-3</c:v>
                </c:pt>
                <c:pt idx="12">
                  <c:v>3.0275011458006876E-3</c:v>
                </c:pt>
              </c:numCache>
            </c:numRef>
          </c:val>
          <c:extLst>
            <c:ext xmlns:c16="http://schemas.microsoft.com/office/drawing/2014/chart" uri="{C3380CC4-5D6E-409C-BE32-E72D297353CC}">
              <c16:uniqueId val="{0000001A-6785-44DB-90E2-A7ECA4BB9324}"/>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Ácido</a:t>
            </a:r>
            <a:r>
              <a:rPr lang="en-US" b="1" baseline="0">
                <a:solidFill>
                  <a:sysClr val="windowText" lastClr="000000"/>
                </a:solidFill>
              </a:rPr>
              <a:t> Sulfúrico</a:t>
            </a:r>
            <a:r>
              <a:rPr lang="en-US" b="1">
                <a:solidFill>
                  <a:sysClr val="windowText" lastClr="000000"/>
                </a:solidFill>
              </a:rPr>
              <a:t> (g/L)</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a:ln>
              <a:noFill/>
            </a:ln>
            <a:effectLst/>
          </c:spPr>
          <c:invertIfNegative val="0"/>
          <c:dLbls>
            <c:spPr>
              <a:noFill/>
              <a:ln>
                <a:noFill/>
              </a:ln>
              <a:effectLst/>
            </c:spPr>
            <c:txPr>
              <a:bodyPr wrap="square" lIns="38100" tIns="19050" rIns="38100" bIns="19050" anchor="ctr">
                <a:spAutoFit/>
              </a:bodyPr>
              <a:lstStyle/>
              <a:p>
                <a:pPr>
                  <a:defRPr sz="9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2022'!$H$41:$L$41</c:f>
              <c:numCache>
                <c:formatCode>0.00</c:formatCode>
                <c:ptCount val="5"/>
                <c:pt idx="0">
                  <c:v>3.96</c:v>
                </c:pt>
                <c:pt idx="1">
                  <c:v>6.63</c:v>
                </c:pt>
                <c:pt idx="2">
                  <c:v>6.853812509805274</c:v>
                </c:pt>
                <c:pt idx="3">
                  <c:v>5.9616295846960519</c:v>
                </c:pt>
                <c:pt idx="4">
                  <c:v>3.9311864468651421</c:v>
                </c:pt>
              </c:numCache>
            </c:numRef>
          </c:val>
          <c:extLst>
            <c:ext xmlns:c16="http://schemas.microsoft.com/office/drawing/2014/chart" uri="{C3380CC4-5D6E-409C-BE32-E72D297353CC}">
              <c16:uniqueId val="{00000000-BA43-4ECE-82D9-59BECB54EAE5}"/>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Antibiótico (g/L)</a:t>
            </a:r>
          </a:p>
        </c:rich>
      </c:tx>
      <c:overlay val="0"/>
      <c:spPr>
        <a:noFill/>
        <a:ln>
          <a:noFill/>
        </a:ln>
        <a:effectLst/>
      </c:spPr>
    </c:title>
    <c:autoTitleDeleted val="0"/>
    <c:plotArea>
      <c:layout/>
      <c:barChart>
        <c:barDir val="col"/>
        <c:grouping val="clustered"/>
        <c:varyColors val="0"/>
        <c:ser>
          <c:idx val="0"/>
          <c:order val="0"/>
          <c:spPr>
            <a:solidFill>
              <a:schemeClr val="tx2"/>
            </a:solidFill>
            <a:ln>
              <a:noFill/>
            </a:ln>
            <a:effectLst/>
          </c:spPr>
          <c:invertIfNegative val="0"/>
          <c:dLbls>
            <c:spPr>
              <a:noFill/>
              <a:ln>
                <a:noFill/>
              </a:ln>
              <a:effectLst/>
            </c:spPr>
            <c:txPr>
              <a:bodyPr wrap="square" lIns="38100" tIns="19050" rIns="38100" bIns="19050" anchor="ctr">
                <a:spAutoFit/>
              </a:bodyPr>
              <a:lstStyle/>
              <a:p>
                <a:pPr>
                  <a:defRPr sz="9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2022'!$H$42:$L$42</c:f>
              <c:numCache>
                <c:formatCode>0.0000</c:formatCode>
                <c:ptCount val="5"/>
                <c:pt idx="0">
                  <c:v>1.3419239907681534E-3</c:v>
                </c:pt>
                <c:pt idx="1">
                  <c:v>1.9627688728148297E-3</c:v>
                </c:pt>
                <c:pt idx="2">
                  <c:v>3.0119329772626169E-3</c:v>
                </c:pt>
                <c:pt idx="3">
                  <c:v>3.2951967359880631E-2</c:v>
                </c:pt>
                <c:pt idx="4" formatCode="0.00">
                  <c:v>0.22368864820922454</c:v>
                </c:pt>
              </c:numCache>
            </c:numRef>
          </c:val>
          <c:extLst>
            <c:ext xmlns:c16="http://schemas.microsoft.com/office/drawing/2014/chart" uri="{C3380CC4-5D6E-409C-BE32-E72D297353CC}">
              <c16:uniqueId val="{00000000-AE1A-4B0F-98F2-B3C9C05E7651}"/>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Antiespumante (g/L)</a:t>
            </a:r>
          </a:p>
        </c:rich>
      </c:tx>
      <c:overlay val="0"/>
      <c:spPr>
        <a:noFill/>
        <a:ln>
          <a:noFill/>
        </a:ln>
        <a:effectLst/>
      </c:spPr>
    </c:title>
    <c:autoTitleDeleted val="0"/>
    <c:plotArea>
      <c:layout/>
      <c:barChart>
        <c:barDir val="col"/>
        <c:grouping val="clustered"/>
        <c:varyColors val="0"/>
        <c:ser>
          <c:idx val="0"/>
          <c:order val="0"/>
          <c:tx>
            <c:v>Antiespumante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2022'!$H$43:$L$43</c:f>
              <c:numCache>
                <c:formatCode>0.00</c:formatCode>
                <c:ptCount val="5"/>
                <c:pt idx="0">
                  <c:v>0.13</c:v>
                </c:pt>
                <c:pt idx="1">
                  <c:v>0.19</c:v>
                </c:pt>
                <c:pt idx="2">
                  <c:v>0.24326378679691069</c:v>
                </c:pt>
                <c:pt idx="3">
                  <c:v>0.10044238713804667</c:v>
                </c:pt>
                <c:pt idx="4">
                  <c:v>0.40823366748340029</c:v>
                </c:pt>
              </c:numCache>
            </c:numRef>
          </c:val>
          <c:extLst>
            <c:ext xmlns:c16="http://schemas.microsoft.com/office/drawing/2014/chart" uri="{C3380CC4-5D6E-409C-BE32-E72D297353CC}">
              <c16:uniqueId val="{00000000-2A22-48CD-97A0-71910A13F2B2}"/>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max val="0.5"/>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Dispersante (g/L)</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2022'!$H$44:$L$44</c:f>
              <c:numCache>
                <c:formatCode>0.00</c:formatCode>
                <c:ptCount val="5"/>
                <c:pt idx="0">
                  <c:v>0.09</c:v>
                </c:pt>
                <c:pt idx="1">
                  <c:v>9.0617258658476835E-2</c:v>
                </c:pt>
                <c:pt idx="2">
                  <c:v>0.11710841627889981</c:v>
                </c:pt>
                <c:pt idx="3">
                  <c:v>5.685860142632429E-2</c:v>
                </c:pt>
                <c:pt idx="4">
                  <c:v>0.20277236844573027</c:v>
                </c:pt>
              </c:numCache>
            </c:numRef>
          </c:val>
          <c:extLst>
            <c:ext xmlns:c16="http://schemas.microsoft.com/office/drawing/2014/chart" uri="{C3380CC4-5D6E-409C-BE32-E72D297353CC}">
              <c16:uniqueId val="{00000000-8121-47C0-B07E-EFC44277F1AC}"/>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Nutriente</a:t>
            </a:r>
            <a:r>
              <a:rPr lang="en-US" b="1" baseline="0">
                <a:solidFill>
                  <a:sysClr val="windowText" lastClr="000000"/>
                </a:solidFill>
              </a:rPr>
              <a:t>/Uréia</a:t>
            </a:r>
            <a:r>
              <a:rPr lang="en-US" b="1">
                <a:solidFill>
                  <a:sysClr val="windowText" lastClr="000000"/>
                </a:solidFill>
              </a:rPr>
              <a:t>(g/L)</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2022'!$H$45:$L$45</c:f>
              <c:numCache>
                <c:formatCode>0.00</c:formatCode>
                <c:ptCount val="5"/>
                <c:pt idx="0">
                  <c:v>0.15</c:v>
                </c:pt>
                <c:pt idx="1">
                  <c:v>0.11</c:v>
                </c:pt>
                <c:pt idx="2">
                  <c:v>0.15874002320906311</c:v>
                </c:pt>
                <c:pt idx="3">
                  <c:v>0.47465832660194202</c:v>
                </c:pt>
                <c:pt idx="4">
                  <c:v>1.200523128633973</c:v>
                </c:pt>
              </c:numCache>
            </c:numRef>
          </c:val>
          <c:extLst>
            <c:ext xmlns:c16="http://schemas.microsoft.com/office/drawing/2014/chart" uri="{C3380CC4-5D6E-409C-BE32-E72D297353CC}">
              <c16:uniqueId val="{00000000-0AF3-4949-B1E5-E0F1B46317EA}"/>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Dióxido</a:t>
            </a:r>
            <a:r>
              <a:rPr lang="en-US" b="1" baseline="0">
                <a:solidFill>
                  <a:sysClr val="windowText" lastClr="000000"/>
                </a:solidFill>
              </a:rPr>
              <a:t> de Cloro</a:t>
            </a:r>
            <a:r>
              <a:rPr lang="en-US" b="1">
                <a:solidFill>
                  <a:sysClr val="windowText" lastClr="000000"/>
                </a:solidFill>
              </a:rPr>
              <a:t> (g/L)</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2022'!$H$46:$L$46</c:f>
              <c:numCache>
                <c:formatCode>0.00</c:formatCode>
                <c:ptCount val="5"/>
                <c:pt idx="0">
                  <c:v>0.18</c:v>
                </c:pt>
                <c:pt idx="1">
                  <c:v>0.28999999999999998</c:v>
                </c:pt>
                <c:pt idx="2">
                  <c:v>0.32113898722013412</c:v>
                </c:pt>
                <c:pt idx="3">
                  <c:v>0.20313814635537872</c:v>
                </c:pt>
                <c:pt idx="4">
                  <c:v>2.8666925306537243E-2</c:v>
                </c:pt>
              </c:numCache>
            </c:numRef>
          </c:val>
          <c:extLst>
            <c:ext xmlns:c16="http://schemas.microsoft.com/office/drawing/2014/chart" uri="{C3380CC4-5D6E-409C-BE32-E72D297353CC}">
              <c16:uniqueId val="{00000000-E844-43B3-BEB5-4E251EA5AE15}"/>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Cal (g/TC)</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2022'!$H$47:$L$47</c:f>
              <c:numCache>
                <c:formatCode>0</c:formatCode>
                <c:ptCount val="5"/>
                <c:pt idx="0">
                  <c:v>562.54</c:v>
                </c:pt>
                <c:pt idx="1">
                  <c:v>434.18</c:v>
                </c:pt>
                <c:pt idx="2">
                  <c:v>475.59422114191506</c:v>
                </c:pt>
                <c:pt idx="3">
                  <c:v>428.66115040320358</c:v>
                </c:pt>
                <c:pt idx="4">
                  <c:v>438.28093182074321</c:v>
                </c:pt>
              </c:numCache>
            </c:numRef>
          </c:val>
          <c:extLst>
            <c:ext xmlns:c16="http://schemas.microsoft.com/office/drawing/2014/chart" uri="{C3380CC4-5D6E-409C-BE32-E72D297353CC}">
              <c16:uniqueId val="{00000000-C625-484E-AA57-1D7A57552B1C}"/>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(g/TC)</a:t>
                </a:r>
              </a:p>
            </c:rich>
          </c:tx>
          <c:layout>
            <c:manualLayout>
              <c:xMode val="edge"/>
              <c:yMode val="edge"/>
              <c:x val="1.5851895861781453E-2"/>
              <c:y val="0.22842993584135315"/>
            </c:manualLayout>
          </c:layout>
          <c:overlay val="0"/>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Polímero</a:t>
            </a:r>
            <a:r>
              <a:rPr lang="en-US" b="1" baseline="0">
                <a:solidFill>
                  <a:sysClr val="windowText" lastClr="000000"/>
                </a:solidFill>
              </a:rPr>
              <a:t> Aniônico</a:t>
            </a:r>
            <a:r>
              <a:rPr lang="en-US" b="1">
                <a:solidFill>
                  <a:sysClr val="windowText" lastClr="000000"/>
                </a:solidFill>
              </a:rPr>
              <a:t> (g/TC)</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2022'!$H$48:$L$48</c:f>
              <c:numCache>
                <c:formatCode>0.00</c:formatCode>
                <c:ptCount val="5"/>
                <c:pt idx="0">
                  <c:v>2.97</c:v>
                </c:pt>
                <c:pt idx="1">
                  <c:v>3.1252858506546017</c:v>
                </c:pt>
                <c:pt idx="2">
                  <c:v>3.4192727472486713</c:v>
                </c:pt>
                <c:pt idx="3">
                  <c:v>3.2675278659448463</c:v>
                </c:pt>
                <c:pt idx="4">
                  <c:v>2.0723304361777051</c:v>
                </c:pt>
              </c:numCache>
            </c:numRef>
          </c:val>
          <c:extLst>
            <c:ext xmlns:c16="http://schemas.microsoft.com/office/drawing/2014/chart" uri="{C3380CC4-5D6E-409C-BE32-E72D297353CC}">
              <c16:uniqueId val="{00000000-EA2A-4F7D-A632-716452D26596}"/>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(g/TC)</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Polímero</a:t>
            </a:r>
            <a:r>
              <a:rPr lang="en-US" b="1" baseline="0">
                <a:solidFill>
                  <a:sysClr val="windowText" lastClr="000000"/>
                </a:solidFill>
              </a:rPr>
              <a:t> catiônico</a:t>
            </a:r>
            <a:r>
              <a:rPr lang="en-US" b="1">
                <a:solidFill>
                  <a:sysClr val="windowText" lastClr="000000"/>
                </a:solidFill>
              </a:rPr>
              <a:t>(g/TC)</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2022'!$H$49:$L$49</c:f>
              <c:numCache>
                <c:formatCode>0.00</c:formatCode>
                <c:ptCount val="5"/>
                <c:pt idx="0">
                  <c:v>9.98</c:v>
                </c:pt>
                <c:pt idx="1">
                  <c:v>9.0500000000000007</c:v>
                </c:pt>
                <c:pt idx="2">
                  <c:v>10.78465740216533</c:v>
                </c:pt>
                <c:pt idx="3">
                  <c:v>11.87131311993798</c:v>
                </c:pt>
                <c:pt idx="4">
                  <c:v>13.211106530632872</c:v>
                </c:pt>
              </c:numCache>
            </c:numRef>
          </c:val>
          <c:extLst>
            <c:ext xmlns:c16="http://schemas.microsoft.com/office/drawing/2014/chart" uri="{C3380CC4-5D6E-409C-BE32-E72D297353CC}">
              <c16:uniqueId val="{00000000-6F51-4855-B695-D4AA46D63EA8}"/>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(g/TC)</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Soda</a:t>
            </a:r>
            <a:r>
              <a:rPr lang="en-US" b="1" baseline="0">
                <a:solidFill>
                  <a:sysClr val="windowText" lastClr="000000"/>
                </a:solidFill>
              </a:rPr>
              <a:t> cáustica</a:t>
            </a:r>
            <a:r>
              <a:rPr lang="en-US" b="1">
                <a:solidFill>
                  <a:sysClr val="windowText" lastClr="000000"/>
                </a:solidFill>
              </a:rPr>
              <a:t> (g/TC)</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2022'!$H$50:$L$50</c:f>
              <c:numCache>
                <c:formatCode>0.00</c:formatCode>
                <c:ptCount val="5"/>
                <c:pt idx="0">
                  <c:v>99.51</c:v>
                </c:pt>
                <c:pt idx="1">
                  <c:v>76.16</c:v>
                </c:pt>
                <c:pt idx="2">
                  <c:v>57.082052517737011</c:v>
                </c:pt>
                <c:pt idx="3">
                  <c:v>66.594235440039398</c:v>
                </c:pt>
                <c:pt idx="4">
                  <c:v>57.547674244274795</c:v>
                </c:pt>
              </c:numCache>
            </c:numRef>
          </c:val>
          <c:extLst>
            <c:ext xmlns:c16="http://schemas.microsoft.com/office/drawing/2014/chart" uri="{C3380CC4-5D6E-409C-BE32-E72D297353CC}">
              <c16:uniqueId val="{00000000-4E78-4582-8E5E-D238417497F2}"/>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(g/TC)</a:t>
                </a:r>
              </a:p>
            </c:rich>
          </c:tx>
          <c:layout>
            <c:manualLayout>
              <c:xMode val="edge"/>
              <c:yMode val="edge"/>
              <c:x val="1.5851895861781453E-2"/>
              <c:y val="0.22842993584135315"/>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Neutralizante (g/L)</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2022'!$H$51:$L$51</c:f>
              <c:numCache>
                <c:formatCode>0.000</c:formatCode>
                <c:ptCount val="5"/>
                <c:pt idx="0">
                  <c:v>6.7096199538407668E-4</c:v>
                </c:pt>
                <c:pt idx="1">
                  <c:v>1.1215822130370454E-2</c:v>
                </c:pt>
                <c:pt idx="2">
                  <c:v>1.7011843667872187E-2</c:v>
                </c:pt>
                <c:pt idx="3">
                  <c:v>2.1050974201057098E-2</c:v>
                </c:pt>
                <c:pt idx="4">
                  <c:v>1.2544592510513746E-2</c:v>
                </c:pt>
              </c:numCache>
            </c:numRef>
          </c:val>
          <c:extLst>
            <c:ext xmlns:c16="http://schemas.microsoft.com/office/drawing/2014/chart" uri="{C3380CC4-5D6E-409C-BE32-E72D297353CC}">
              <c16:uniqueId val="{00000000-C9DD-46E9-B1BA-5C7A53E67B25}"/>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(g/L)</a:t>
                </a:r>
              </a:p>
            </c:rich>
          </c:tx>
          <c:layout>
            <c:manualLayout>
              <c:xMode val="edge"/>
              <c:yMode val="edge"/>
              <c:x val="1.5851895861781453E-2"/>
              <c:y val="0.22842993584135315"/>
            </c:manualLayout>
          </c:layout>
          <c:overlay val="0"/>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Produtos</a:t>
            </a:r>
            <a:r>
              <a:rPr lang="en-US" b="1" baseline="0">
                <a:solidFill>
                  <a:sysClr val="windowText" lastClr="000000"/>
                </a:solidFill>
              </a:rPr>
              <a:t> da Torre</a:t>
            </a:r>
            <a:r>
              <a:rPr lang="en-US" b="1">
                <a:solidFill>
                  <a:sysClr val="windowText" lastClr="000000"/>
                </a:solidFill>
              </a:rPr>
              <a:t> (</a:t>
            </a:r>
            <a:r>
              <a:rPr lang="pt-BR" sz="1400" b="1" i="0" u="none" strike="noStrike" baseline="0">
                <a:effectLst/>
              </a:rPr>
              <a:t>R$/m³</a:t>
            </a:r>
            <a:r>
              <a:rPr lang="en-US" b="1">
                <a:solidFill>
                  <a:sysClr val="windowText" lastClr="000000"/>
                </a:solidFill>
              </a:rPr>
              <a:t>)</a:t>
            </a:r>
          </a:p>
        </c:rich>
      </c:tx>
      <c:overlay val="0"/>
      <c:spPr>
        <a:noFill/>
        <a:ln>
          <a:noFill/>
        </a:ln>
        <a:effectLst/>
      </c:spPr>
    </c:title>
    <c:autoTitleDeleted val="0"/>
    <c:plotArea>
      <c:layout/>
      <c:barChart>
        <c:barDir val="col"/>
        <c:grouping val="clustered"/>
        <c:varyColors val="0"/>
        <c:ser>
          <c:idx val="0"/>
          <c:order val="0"/>
          <c:tx>
            <c:v>Ácido Sulfúrico (g/L)</c:v>
          </c:tx>
          <c:spPr>
            <a:solidFill>
              <a:schemeClr val="tx2"/>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'Fechamento 2022'!$H$37:$L$37</c:f>
              <c:numCache>
                <c:formatCode>General</c:formatCode>
                <c:ptCount val="5"/>
                <c:pt idx="0">
                  <c:v>2018</c:v>
                </c:pt>
                <c:pt idx="1">
                  <c:v>2019</c:v>
                </c:pt>
                <c:pt idx="2">
                  <c:v>2020</c:v>
                </c:pt>
                <c:pt idx="3">
                  <c:v>2021</c:v>
                </c:pt>
                <c:pt idx="4">
                  <c:v>2022</c:v>
                </c:pt>
              </c:numCache>
            </c:numRef>
          </c:cat>
          <c:val>
            <c:numRef>
              <c:f>'Fechamento 2022'!$H$52:$L$52</c:f>
              <c:numCache>
                <c:formatCode>"R$"#,##0.00_);[Red]\("R$"#,##0.00\)</c:formatCode>
                <c:ptCount val="5"/>
                <c:pt idx="0">
                  <c:v>0.37137746444508646</c:v>
                </c:pt>
                <c:pt idx="1">
                  <c:v>1.2942464299874594</c:v>
                </c:pt>
                <c:pt idx="2">
                  <c:v>2.5879379290589166</c:v>
                </c:pt>
                <c:pt idx="3">
                  <c:v>2.4905251978866687</c:v>
                </c:pt>
                <c:pt idx="4">
                  <c:v>4.5070617078425466</c:v>
                </c:pt>
              </c:numCache>
            </c:numRef>
          </c:val>
          <c:extLst>
            <c:ext xmlns:c16="http://schemas.microsoft.com/office/drawing/2014/chart" uri="{C3380CC4-5D6E-409C-BE32-E72D297353CC}">
              <c16:uniqueId val="{00000000-B216-49C4-B60A-98D4E98A98FE}"/>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title>
          <c:tx>
            <c:rich>
              <a:bodyPr/>
              <a:lstStyle/>
              <a:p>
                <a:pPr>
                  <a:defRPr/>
                </a:pPr>
                <a:r>
                  <a:rPr lang="en-US"/>
                  <a:t>Acumulado Safra</a:t>
                </a:r>
              </a:p>
            </c:rich>
          </c:tx>
          <c:overlay val="0"/>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Consumo Específico (R</a:t>
                </a:r>
                <a:r>
                  <a:rPr lang="en-US" u="sng"/>
                  <a:t>$/M³</a:t>
                </a:r>
                <a:r>
                  <a:rPr lang="en-US"/>
                  <a:t>)</a:t>
                </a:r>
              </a:p>
            </c:rich>
          </c:tx>
          <c:layout>
            <c:manualLayout>
              <c:xMode val="edge"/>
              <c:yMode val="edge"/>
              <c:x val="1.5851895861781453E-2"/>
              <c:y val="0.21454104695246429"/>
            </c:manualLayout>
          </c:layout>
          <c:overlay val="0"/>
        </c:title>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Soda Cáustica (g/t cana)</a:t>
            </a:r>
          </a:p>
        </c:rich>
      </c:tx>
      <c:overlay val="0"/>
      <c:spPr>
        <a:noFill/>
        <a:ln>
          <a:noFill/>
        </a:ln>
        <a:effectLst/>
      </c:spPr>
    </c:title>
    <c:autoTitleDeleted val="0"/>
    <c:plotArea>
      <c:layout/>
      <c:barChart>
        <c:barDir val="col"/>
        <c:grouping val="clustered"/>
        <c:varyColors val="0"/>
        <c:ser>
          <c:idx val="0"/>
          <c:order val="0"/>
          <c:tx>
            <c:strRef>
              <c:f>'Fechamento 2019'!$A$1</c:f>
              <c:strCache>
                <c:ptCount val="1"/>
                <c:pt idx="0">
                  <c:v>Soda Cáustica (g/L etanol)</c:v>
                </c:pt>
              </c:strCache>
            </c:strRef>
          </c:tx>
          <c:spPr>
            <a:solidFill>
              <a:srgbClr val="00B050"/>
            </a:solidFill>
            <a:ln>
              <a:noFill/>
            </a:ln>
            <a:effectLst/>
          </c:spPr>
          <c:invertIfNegative val="0"/>
          <c:cat>
            <c:strRef>
              <c:f>'Fechamento 2019'!$A$2:$A$7</c:f>
              <c:strCache>
                <c:ptCount val="6"/>
                <c:pt idx="0">
                  <c:v>Acumulado 2014</c:v>
                </c:pt>
                <c:pt idx="1">
                  <c:v>Acumulado 2015</c:v>
                </c:pt>
                <c:pt idx="2">
                  <c:v>Acumulado 2016</c:v>
                </c:pt>
                <c:pt idx="3">
                  <c:v>Acumulado 2017</c:v>
                </c:pt>
                <c:pt idx="4">
                  <c:v>Acumulado 2018</c:v>
                </c:pt>
                <c:pt idx="5">
                  <c:v>Acumulado 2019</c:v>
                </c:pt>
              </c:strCache>
              <c:extLst/>
            </c:strRef>
          </c:cat>
          <c:val>
            <c:numRef>
              <c:f>'Fechamento 2019'!$C$2:$C$7</c:f>
              <c:numCache>
                <c:formatCode>General</c:formatCode>
                <c:ptCount val="6"/>
                <c:pt idx="0">
                  <c:v>99.11</c:v>
                </c:pt>
                <c:pt idx="1">
                  <c:v>220.71</c:v>
                </c:pt>
                <c:pt idx="2">
                  <c:v>182.28</c:v>
                </c:pt>
                <c:pt idx="3">
                  <c:v>107.49</c:v>
                </c:pt>
                <c:pt idx="4">
                  <c:v>99.51</c:v>
                </c:pt>
                <c:pt idx="5">
                  <c:v>76.16</c:v>
                </c:pt>
              </c:numCache>
              <c:extLst/>
            </c:numRef>
          </c:val>
          <c:extLst>
            <c:ext xmlns:c16="http://schemas.microsoft.com/office/drawing/2014/chart" uri="{C3380CC4-5D6E-409C-BE32-E72D297353CC}">
              <c16:uniqueId val="{0000000C-827E-4021-AAA8-A3C8B7D742B9}"/>
            </c:ext>
          </c:extLst>
        </c:ser>
        <c:dLbls>
          <c:showLegendKey val="0"/>
          <c:showVal val="0"/>
          <c:showCatName val="0"/>
          <c:showSerName val="0"/>
          <c:showPercent val="0"/>
          <c:showBubbleSize val="0"/>
        </c:dLbls>
        <c:gapWidth val="219"/>
        <c:overlap val="-27"/>
        <c:axId val="83320832"/>
        <c:axId val="83322368"/>
      </c:barChart>
      <c:catAx>
        <c:axId val="8332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3322368"/>
        <c:crosses val="autoZero"/>
        <c:auto val="1"/>
        <c:lblAlgn val="ctr"/>
        <c:lblOffset val="100"/>
        <c:noMultiLvlLbl val="0"/>
      </c:catAx>
      <c:valAx>
        <c:axId val="833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3320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2019'!$E$1</c:f>
              <c:strCache>
                <c:ptCount val="1"/>
                <c:pt idx="0">
                  <c:v>Cal (g/t cana)</c:v>
                </c:pt>
              </c:strCache>
            </c:strRef>
          </c:tx>
          <c:spPr>
            <a:solidFill>
              <a:srgbClr val="00B050"/>
            </a:solidFill>
            <a:ln>
              <a:noFill/>
            </a:ln>
            <a:effectLst/>
          </c:spPr>
          <c:invertIfNegative val="0"/>
          <c:cat>
            <c:strRef>
              <c:f>'Fechamento 2019'!$E$2:$F$7</c:f>
              <c:strCache>
                <c:ptCount val="6"/>
                <c:pt idx="0">
                  <c:v>Acumulado 2014</c:v>
                </c:pt>
                <c:pt idx="1">
                  <c:v>Acumulado 2015</c:v>
                </c:pt>
                <c:pt idx="2">
                  <c:v>Acumulado 2016</c:v>
                </c:pt>
                <c:pt idx="3">
                  <c:v>Acumulado 2017</c:v>
                </c:pt>
                <c:pt idx="4">
                  <c:v>Acumulado 2018</c:v>
                </c:pt>
                <c:pt idx="5">
                  <c:v>Acumulado 2019</c:v>
                </c:pt>
              </c:strCache>
            </c:strRef>
          </c:cat>
          <c:val>
            <c:numRef>
              <c:f>'Fechamento 2019'!$G$2:$G$7</c:f>
              <c:numCache>
                <c:formatCode>General</c:formatCode>
                <c:ptCount val="6"/>
                <c:pt idx="0">
                  <c:v>751.59</c:v>
                </c:pt>
                <c:pt idx="1">
                  <c:v>634.92999999999995</c:v>
                </c:pt>
                <c:pt idx="2">
                  <c:v>713.71</c:v>
                </c:pt>
                <c:pt idx="3">
                  <c:v>547.01</c:v>
                </c:pt>
                <c:pt idx="4">
                  <c:v>562.54</c:v>
                </c:pt>
                <c:pt idx="5">
                  <c:v>434.18</c:v>
                </c:pt>
              </c:numCache>
            </c:numRef>
          </c:val>
          <c:extLst>
            <c:ext xmlns:c16="http://schemas.microsoft.com/office/drawing/2014/chart" uri="{C3380CC4-5D6E-409C-BE32-E72D297353CC}">
              <c16:uniqueId val="{0000000C-D2CB-43D7-A926-0A6E095E4403}"/>
            </c:ext>
          </c:extLst>
        </c:ser>
        <c:dLbls>
          <c:showLegendKey val="0"/>
          <c:showVal val="0"/>
          <c:showCatName val="0"/>
          <c:showSerName val="0"/>
          <c:showPercent val="0"/>
          <c:showBubbleSize val="0"/>
        </c:dLbls>
        <c:gapWidth val="219"/>
        <c:overlap val="-27"/>
        <c:axId val="171128320"/>
        <c:axId val="171129856"/>
      </c:barChart>
      <c:catAx>
        <c:axId val="17112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129856"/>
        <c:crosses val="autoZero"/>
        <c:auto val="1"/>
        <c:lblAlgn val="ctr"/>
        <c:lblOffset val="100"/>
        <c:noMultiLvlLbl val="0"/>
      </c:catAx>
      <c:valAx>
        <c:axId val="17112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128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Ác. Sulfúrico (g/L</a:t>
            </a:r>
            <a:r>
              <a:rPr lang="en-US" baseline="0"/>
              <a:t> etanol</a:t>
            </a:r>
            <a:r>
              <a:rPr lang="en-US"/>
              <a:t>)</a:t>
            </a:r>
          </a:p>
        </c:rich>
      </c:tx>
      <c:overlay val="0"/>
      <c:spPr>
        <a:noFill/>
        <a:ln>
          <a:noFill/>
        </a:ln>
        <a:effectLst/>
      </c:spPr>
    </c:title>
    <c:autoTitleDeleted val="0"/>
    <c:plotArea>
      <c:layout/>
      <c:barChart>
        <c:barDir val="col"/>
        <c:grouping val="clustered"/>
        <c:varyColors val="0"/>
        <c:ser>
          <c:idx val="0"/>
          <c:order val="0"/>
          <c:tx>
            <c:strRef>
              <c:f>'Fechamento 2019'!$I$1</c:f>
              <c:strCache>
                <c:ptCount val="1"/>
                <c:pt idx="0">
                  <c:v>Ác. Sulfúrico (g/t cana)</c:v>
                </c:pt>
              </c:strCache>
            </c:strRef>
          </c:tx>
          <c:spPr>
            <a:solidFill>
              <a:srgbClr val="00B050"/>
            </a:solidFill>
            <a:ln>
              <a:noFill/>
            </a:ln>
            <a:effectLst/>
          </c:spPr>
          <c:invertIfNegative val="0"/>
          <c:cat>
            <c:strRef>
              <c:f>'Fechamento 2019'!$I$2:$J$7</c:f>
              <c:strCache>
                <c:ptCount val="6"/>
                <c:pt idx="0">
                  <c:v>Acumulado 2014</c:v>
                </c:pt>
                <c:pt idx="1">
                  <c:v>Acumulado 2015</c:v>
                </c:pt>
                <c:pt idx="2">
                  <c:v>Acumulado 2016</c:v>
                </c:pt>
                <c:pt idx="3">
                  <c:v>Acumulado 2017</c:v>
                </c:pt>
                <c:pt idx="4">
                  <c:v>Acumulado 2018</c:v>
                </c:pt>
                <c:pt idx="5">
                  <c:v>Acumulado 2019</c:v>
                </c:pt>
              </c:strCache>
            </c:strRef>
          </c:cat>
          <c:val>
            <c:numRef>
              <c:f>'Fechamento 2019'!$K$2:$K$7</c:f>
              <c:numCache>
                <c:formatCode>General</c:formatCode>
                <c:ptCount val="6"/>
                <c:pt idx="0">
                  <c:v>13.94</c:v>
                </c:pt>
                <c:pt idx="1">
                  <c:v>11.09</c:v>
                </c:pt>
                <c:pt idx="2">
                  <c:v>8.2100000000000009</c:v>
                </c:pt>
                <c:pt idx="3">
                  <c:v>6.13</c:v>
                </c:pt>
                <c:pt idx="4">
                  <c:v>3.96</c:v>
                </c:pt>
                <c:pt idx="5">
                  <c:v>6.63</c:v>
                </c:pt>
              </c:numCache>
            </c:numRef>
          </c:val>
          <c:extLst>
            <c:ext xmlns:c16="http://schemas.microsoft.com/office/drawing/2014/chart" uri="{C3380CC4-5D6E-409C-BE32-E72D297353CC}">
              <c16:uniqueId val="{0000000C-9F1D-4D29-A972-2DFFDEAB87EC}"/>
            </c:ext>
          </c:extLst>
        </c:ser>
        <c:dLbls>
          <c:showLegendKey val="0"/>
          <c:showVal val="0"/>
          <c:showCatName val="0"/>
          <c:showSerName val="0"/>
          <c:showPercent val="0"/>
          <c:showBubbleSize val="0"/>
        </c:dLbls>
        <c:gapWidth val="219"/>
        <c:overlap val="-27"/>
        <c:axId val="171150336"/>
        <c:axId val="170988288"/>
      </c:barChart>
      <c:catAx>
        <c:axId val="17115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988288"/>
        <c:crosses val="autoZero"/>
        <c:auto val="1"/>
        <c:lblAlgn val="ctr"/>
        <c:lblOffset val="100"/>
        <c:noMultiLvlLbl val="0"/>
      </c:catAx>
      <c:valAx>
        <c:axId val="17098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150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2019'!$M$1</c:f>
              <c:strCache>
                <c:ptCount val="1"/>
                <c:pt idx="0">
                  <c:v>Polímero Filtro (g/t cana)</c:v>
                </c:pt>
              </c:strCache>
            </c:strRef>
          </c:tx>
          <c:spPr>
            <a:solidFill>
              <a:srgbClr val="00B050"/>
            </a:solidFill>
            <a:ln>
              <a:noFill/>
            </a:ln>
            <a:effectLst/>
          </c:spPr>
          <c:invertIfNegative val="0"/>
          <c:cat>
            <c:strRef>
              <c:f>'Fechamento 2019'!$M$2:$N$7</c:f>
              <c:strCache>
                <c:ptCount val="6"/>
                <c:pt idx="0">
                  <c:v>Acumulado 2014</c:v>
                </c:pt>
                <c:pt idx="1">
                  <c:v>Acumulado 2015</c:v>
                </c:pt>
                <c:pt idx="2">
                  <c:v>Acumulado 2016</c:v>
                </c:pt>
                <c:pt idx="3">
                  <c:v>Acumulado 2017</c:v>
                </c:pt>
                <c:pt idx="4">
                  <c:v>Acumulado 2018</c:v>
                </c:pt>
                <c:pt idx="5">
                  <c:v>Acumulado 2019</c:v>
                </c:pt>
              </c:strCache>
            </c:strRef>
          </c:cat>
          <c:val>
            <c:numRef>
              <c:f>'Fechamento 2019'!$O$2:$O$7</c:f>
              <c:numCache>
                <c:formatCode>General</c:formatCode>
                <c:ptCount val="6"/>
                <c:pt idx="0">
                  <c:v>9.1199999999999992</c:v>
                </c:pt>
                <c:pt idx="1">
                  <c:v>6.48</c:v>
                </c:pt>
                <c:pt idx="2">
                  <c:v>6.61</c:v>
                </c:pt>
                <c:pt idx="3">
                  <c:v>9.86</c:v>
                </c:pt>
                <c:pt idx="4">
                  <c:v>9.98</c:v>
                </c:pt>
                <c:pt idx="5">
                  <c:v>9.0500000000000007</c:v>
                </c:pt>
              </c:numCache>
            </c:numRef>
          </c:val>
          <c:extLst>
            <c:ext xmlns:c16="http://schemas.microsoft.com/office/drawing/2014/chart" uri="{C3380CC4-5D6E-409C-BE32-E72D297353CC}">
              <c16:uniqueId val="{0000000C-7CF0-4370-8C48-DE2F219DD015}"/>
            </c:ext>
          </c:extLst>
        </c:ser>
        <c:dLbls>
          <c:showLegendKey val="0"/>
          <c:showVal val="0"/>
          <c:showCatName val="0"/>
          <c:showSerName val="0"/>
          <c:showPercent val="0"/>
          <c:showBubbleSize val="0"/>
        </c:dLbls>
        <c:gapWidth val="219"/>
        <c:overlap val="-27"/>
        <c:axId val="171025152"/>
        <c:axId val="171026688"/>
      </c:barChart>
      <c:catAx>
        <c:axId val="17102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026688"/>
        <c:crosses val="autoZero"/>
        <c:auto val="1"/>
        <c:lblAlgn val="ctr"/>
        <c:lblOffset val="100"/>
        <c:noMultiLvlLbl val="0"/>
      </c:catAx>
      <c:valAx>
        <c:axId val="17102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025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2019'!$Q$1</c:f>
              <c:strCache>
                <c:ptCount val="1"/>
                <c:pt idx="0">
                  <c:v>Dispersante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FABD-4F46-B663-74B7C22599EF}"/>
              </c:ext>
            </c:extLst>
          </c:dPt>
          <c:dPt>
            <c:idx val="1"/>
            <c:invertIfNegative val="0"/>
            <c:bubble3D val="0"/>
            <c:spPr>
              <a:solidFill>
                <a:srgbClr val="00B050"/>
              </a:solidFill>
              <a:ln>
                <a:noFill/>
              </a:ln>
              <a:effectLst/>
            </c:spPr>
            <c:extLst>
              <c:ext xmlns:c16="http://schemas.microsoft.com/office/drawing/2014/chart" uri="{C3380CC4-5D6E-409C-BE32-E72D297353CC}">
                <c16:uniqueId val="{00000003-FABD-4F46-B663-74B7C22599EF}"/>
              </c:ext>
            </c:extLst>
          </c:dPt>
          <c:dPt>
            <c:idx val="2"/>
            <c:invertIfNegative val="0"/>
            <c:bubble3D val="0"/>
            <c:spPr>
              <a:solidFill>
                <a:srgbClr val="00B050"/>
              </a:solidFill>
              <a:ln>
                <a:noFill/>
              </a:ln>
              <a:effectLst/>
            </c:spPr>
            <c:extLst>
              <c:ext xmlns:c16="http://schemas.microsoft.com/office/drawing/2014/chart" uri="{C3380CC4-5D6E-409C-BE32-E72D297353CC}">
                <c16:uniqueId val="{00000005-FABD-4F46-B663-74B7C22599EF}"/>
              </c:ext>
            </c:extLst>
          </c:dPt>
          <c:dPt>
            <c:idx val="3"/>
            <c:invertIfNegative val="0"/>
            <c:bubble3D val="0"/>
            <c:spPr>
              <a:solidFill>
                <a:srgbClr val="00B050"/>
              </a:solidFill>
              <a:ln>
                <a:noFill/>
              </a:ln>
              <a:effectLst/>
            </c:spPr>
            <c:extLst>
              <c:ext xmlns:c16="http://schemas.microsoft.com/office/drawing/2014/chart" uri="{C3380CC4-5D6E-409C-BE32-E72D297353CC}">
                <c16:uniqueId val="{00000007-FABD-4F46-B663-74B7C22599EF}"/>
              </c:ext>
            </c:extLst>
          </c:dPt>
          <c:dPt>
            <c:idx val="4"/>
            <c:invertIfNegative val="0"/>
            <c:bubble3D val="0"/>
            <c:spPr>
              <a:solidFill>
                <a:srgbClr val="00B050"/>
              </a:solidFill>
              <a:ln>
                <a:noFill/>
              </a:ln>
              <a:effectLst/>
            </c:spPr>
            <c:extLst>
              <c:ext xmlns:c16="http://schemas.microsoft.com/office/drawing/2014/chart" uri="{C3380CC4-5D6E-409C-BE32-E72D297353CC}">
                <c16:uniqueId val="{00000009-FABD-4F46-B663-74B7C22599EF}"/>
              </c:ext>
            </c:extLst>
          </c:dPt>
          <c:dPt>
            <c:idx val="5"/>
            <c:invertIfNegative val="0"/>
            <c:bubble3D val="0"/>
            <c:spPr>
              <a:solidFill>
                <a:srgbClr val="FF0000"/>
              </a:solidFill>
              <a:ln>
                <a:noFill/>
              </a:ln>
              <a:effectLst/>
            </c:spPr>
            <c:extLst>
              <c:ext xmlns:c16="http://schemas.microsoft.com/office/drawing/2014/chart" uri="{C3380CC4-5D6E-409C-BE32-E72D297353CC}">
                <c16:uniqueId val="{0000000B-FABD-4F46-B663-74B7C22599EF}"/>
              </c:ext>
            </c:extLst>
          </c:dPt>
          <c:cat>
            <c:strRef>
              <c:f>'Fechamento 2019'!$Q$2:$R$13</c:f>
              <c:strCache>
                <c:ptCount val="12"/>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strCache>
            </c:strRef>
          </c:cat>
          <c:val>
            <c:numRef>
              <c:f>'Fechamento 2019'!$S$2:$S$13</c:f>
              <c:numCache>
                <c:formatCode>0.00</c:formatCode>
                <c:ptCount val="12"/>
                <c:pt idx="0">
                  <c:v>0.36</c:v>
                </c:pt>
                <c:pt idx="1">
                  <c:v>0.33</c:v>
                </c:pt>
                <c:pt idx="2">
                  <c:v>0.24</c:v>
                </c:pt>
                <c:pt idx="3">
                  <c:v>0.2</c:v>
                </c:pt>
                <c:pt idx="4">
                  <c:v>0.09</c:v>
                </c:pt>
                <c:pt idx="5">
                  <c:v>0.12</c:v>
                </c:pt>
                <c:pt idx="6">
                  <c:v>0.13</c:v>
                </c:pt>
                <c:pt idx="7">
                  <c:v>0.16</c:v>
                </c:pt>
                <c:pt idx="8">
                  <c:v>0.09</c:v>
                </c:pt>
                <c:pt idx="9">
                  <c:v>0.05</c:v>
                </c:pt>
                <c:pt idx="10">
                  <c:v>0.06</c:v>
                </c:pt>
                <c:pt idx="11">
                  <c:v>0.06</c:v>
                </c:pt>
              </c:numCache>
            </c:numRef>
          </c:val>
          <c:extLst>
            <c:ext xmlns:c16="http://schemas.microsoft.com/office/drawing/2014/chart" uri="{C3380CC4-5D6E-409C-BE32-E72D297353CC}">
              <c16:uniqueId val="{0000000C-FABD-4F46-B663-74B7C22599EF}"/>
            </c:ext>
          </c:extLst>
        </c:ser>
        <c:dLbls>
          <c:showLegendKey val="0"/>
          <c:showVal val="0"/>
          <c:showCatName val="0"/>
          <c:showSerName val="0"/>
          <c:showPercent val="0"/>
          <c:showBubbleSize val="0"/>
        </c:dLbls>
        <c:gapWidth val="219"/>
        <c:overlap val="-27"/>
        <c:axId val="171355136"/>
        <c:axId val="171356928"/>
      </c:barChart>
      <c:catAx>
        <c:axId val="17135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356928"/>
        <c:crosses val="autoZero"/>
        <c:auto val="1"/>
        <c:lblAlgn val="ctr"/>
        <c:lblOffset val="100"/>
        <c:noMultiLvlLbl val="0"/>
      </c:catAx>
      <c:valAx>
        <c:axId val="17135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355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2019'!$U$1</c:f>
              <c:strCache>
                <c:ptCount val="1"/>
                <c:pt idx="0">
                  <c:v>Antiespumante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22E-41BB-8B22-08EF53A5B4F2}"/>
              </c:ext>
            </c:extLst>
          </c:dPt>
          <c:dPt>
            <c:idx val="1"/>
            <c:invertIfNegative val="0"/>
            <c:bubble3D val="0"/>
            <c:spPr>
              <a:solidFill>
                <a:srgbClr val="00B050"/>
              </a:solidFill>
              <a:ln>
                <a:noFill/>
              </a:ln>
              <a:effectLst/>
            </c:spPr>
            <c:extLst>
              <c:ext xmlns:c16="http://schemas.microsoft.com/office/drawing/2014/chart" uri="{C3380CC4-5D6E-409C-BE32-E72D297353CC}">
                <c16:uniqueId val="{00000003-B22E-41BB-8B22-08EF53A5B4F2}"/>
              </c:ext>
            </c:extLst>
          </c:dPt>
          <c:dPt>
            <c:idx val="2"/>
            <c:invertIfNegative val="0"/>
            <c:bubble3D val="0"/>
            <c:spPr>
              <a:solidFill>
                <a:srgbClr val="00B050"/>
              </a:solidFill>
              <a:ln>
                <a:noFill/>
              </a:ln>
              <a:effectLst/>
            </c:spPr>
            <c:extLst>
              <c:ext xmlns:c16="http://schemas.microsoft.com/office/drawing/2014/chart" uri="{C3380CC4-5D6E-409C-BE32-E72D297353CC}">
                <c16:uniqueId val="{00000005-B22E-41BB-8B22-08EF53A5B4F2}"/>
              </c:ext>
            </c:extLst>
          </c:dPt>
          <c:dPt>
            <c:idx val="3"/>
            <c:invertIfNegative val="0"/>
            <c:bubble3D val="0"/>
            <c:spPr>
              <a:solidFill>
                <a:srgbClr val="00B050"/>
              </a:solidFill>
              <a:ln>
                <a:noFill/>
              </a:ln>
              <a:effectLst/>
            </c:spPr>
            <c:extLst>
              <c:ext xmlns:c16="http://schemas.microsoft.com/office/drawing/2014/chart" uri="{C3380CC4-5D6E-409C-BE32-E72D297353CC}">
                <c16:uniqueId val="{00000007-B22E-41BB-8B22-08EF53A5B4F2}"/>
              </c:ext>
            </c:extLst>
          </c:dPt>
          <c:dPt>
            <c:idx val="4"/>
            <c:invertIfNegative val="0"/>
            <c:bubble3D val="0"/>
            <c:spPr>
              <a:solidFill>
                <a:srgbClr val="00B050"/>
              </a:solidFill>
              <a:ln>
                <a:noFill/>
              </a:ln>
              <a:effectLst/>
            </c:spPr>
            <c:extLst>
              <c:ext xmlns:c16="http://schemas.microsoft.com/office/drawing/2014/chart" uri="{C3380CC4-5D6E-409C-BE32-E72D297353CC}">
                <c16:uniqueId val="{00000009-B22E-41BB-8B22-08EF53A5B4F2}"/>
              </c:ext>
            </c:extLst>
          </c:dPt>
          <c:dPt>
            <c:idx val="5"/>
            <c:invertIfNegative val="0"/>
            <c:bubble3D val="0"/>
            <c:spPr>
              <a:solidFill>
                <a:srgbClr val="FF0000"/>
              </a:solidFill>
              <a:ln>
                <a:noFill/>
              </a:ln>
              <a:effectLst/>
            </c:spPr>
            <c:extLst>
              <c:ext xmlns:c16="http://schemas.microsoft.com/office/drawing/2014/chart" uri="{C3380CC4-5D6E-409C-BE32-E72D297353CC}">
                <c16:uniqueId val="{0000000B-B22E-41BB-8B22-08EF53A5B4F2}"/>
              </c:ext>
            </c:extLst>
          </c:dPt>
          <c:cat>
            <c:strRef>
              <c:f>'Fechamento 2019'!$U$2:$V$7</c:f>
              <c:strCache>
                <c:ptCount val="6"/>
                <c:pt idx="0">
                  <c:v>Acumulado 2014</c:v>
                </c:pt>
                <c:pt idx="1">
                  <c:v>Acumulado 2015</c:v>
                </c:pt>
                <c:pt idx="2">
                  <c:v>Acumulado 2016</c:v>
                </c:pt>
                <c:pt idx="3">
                  <c:v>Acumulado 2017</c:v>
                </c:pt>
                <c:pt idx="4">
                  <c:v>Acumulado 2018</c:v>
                </c:pt>
                <c:pt idx="5">
                  <c:v>Acumulado 2019</c:v>
                </c:pt>
              </c:strCache>
            </c:strRef>
          </c:cat>
          <c:val>
            <c:numRef>
              <c:f>'Fechamento 2019'!$W$2:$W$7</c:f>
              <c:numCache>
                <c:formatCode>General</c:formatCode>
                <c:ptCount val="6"/>
                <c:pt idx="0">
                  <c:v>0.42</c:v>
                </c:pt>
                <c:pt idx="1">
                  <c:v>0.61</c:v>
                </c:pt>
                <c:pt idx="2">
                  <c:v>0.32</c:v>
                </c:pt>
                <c:pt idx="3" formatCode="0.00">
                  <c:v>0.26</c:v>
                </c:pt>
                <c:pt idx="4">
                  <c:v>0.13</c:v>
                </c:pt>
                <c:pt idx="5">
                  <c:v>0.19</c:v>
                </c:pt>
              </c:numCache>
            </c:numRef>
          </c:val>
          <c:extLst>
            <c:ext xmlns:c16="http://schemas.microsoft.com/office/drawing/2014/chart" uri="{C3380CC4-5D6E-409C-BE32-E72D297353CC}">
              <c16:uniqueId val="{0000000C-B22E-41BB-8B22-08EF53A5B4F2}"/>
            </c:ext>
          </c:extLst>
        </c:ser>
        <c:dLbls>
          <c:showLegendKey val="0"/>
          <c:showVal val="0"/>
          <c:showCatName val="0"/>
          <c:showSerName val="0"/>
          <c:showPercent val="0"/>
          <c:showBubbleSize val="0"/>
        </c:dLbls>
        <c:gapWidth val="219"/>
        <c:overlap val="-27"/>
        <c:axId val="171193856"/>
        <c:axId val="171195392"/>
      </c:barChart>
      <c:catAx>
        <c:axId val="17119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195392"/>
        <c:crosses val="autoZero"/>
        <c:auto val="1"/>
        <c:lblAlgn val="ctr"/>
        <c:lblOffset val="100"/>
        <c:noMultiLvlLbl val="0"/>
      </c:catAx>
      <c:valAx>
        <c:axId val="17119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193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2019'!$Y$1</c:f>
              <c:strCache>
                <c:ptCount val="1"/>
                <c:pt idx="0">
                  <c:v>Dióxido de Cloro (g/L etanol)</c:v>
                </c:pt>
              </c:strCache>
            </c:strRef>
          </c:tx>
          <c:spPr>
            <a:solidFill>
              <a:srgbClr val="00B050"/>
            </a:solidFill>
            <a:ln>
              <a:noFill/>
            </a:ln>
            <a:effectLst/>
          </c:spPr>
          <c:invertIfNegative val="0"/>
          <c:cat>
            <c:strRef>
              <c:f>'Fechamento 2019'!$Y$2:$Z$7</c:f>
              <c:strCache>
                <c:ptCount val="6"/>
                <c:pt idx="0">
                  <c:v>Acumulado 2014</c:v>
                </c:pt>
                <c:pt idx="1">
                  <c:v>Acumulado 2015</c:v>
                </c:pt>
                <c:pt idx="2">
                  <c:v>Acumulado 2016</c:v>
                </c:pt>
                <c:pt idx="3">
                  <c:v>Acumulado 2017</c:v>
                </c:pt>
                <c:pt idx="4">
                  <c:v>Acumulado 2018</c:v>
                </c:pt>
                <c:pt idx="5">
                  <c:v>Acumulado 2019</c:v>
                </c:pt>
              </c:strCache>
            </c:strRef>
          </c:cat>
          <c:val>
            <c:numRef>
              <c:f>'Fechamento 2019'!$AA$2:$AA$7</c:f>
              <c:numCache>
                <c:formatCode>General</c:formatCode>
                <c:ptCount val="6"/>
                <c:pt idx="0">
                  <c:v>0.22</c:v>
                </c:pt>
                <c:pt idx="1">
                  <c:v>0.24</c:v>
                </c:pt>
                <c:pt idx="2" formatCode="0.00">
                  <c:v>0.2</c:v>
                </c:pt>
                <c:pt idx="3" formatCode="0.00">
                  <c:v>0.19</c:v>
                </c:pt>
                <c:pt idx="4">
                  <c:v>0.18</c:v>
                </c:pt>
                <c:pt idx="5" formatCode="0.00">
                  <c:v>0.28999999999999998</c:v>
                </c:pt>
              </c:numCache>
            </c:numRef>
          </c:val>
          <c:extLst>
            <c:ext xmlns:c16="http://schemas.microsoft.com/office/drawing/2014/chart" uri="{C3380CC4-5D6E-409C-BE32-E72D297353CC}">
              <c16:uniqueId val="{0000000C-2467-4550-BCAF-8EF157EEDA84}"/>
            </c:ext>
          </c:extLst>
        </c:ser>
        <c:dLbls>
          <c:showLegendKey val="0"/>
          <c:showVal val="0"/>
          <c:showCatName val="0"/>
          <c:showSerName val="0"/>
          <c:showPercent val="0"/>
          <c:showBubbleSize val="0"/>
        </c:dLbls>
        <c:gapWidth val="219"/>
        <c:overlap val="-27"/>
        <c:axId val="171224064"/>
        <c:axId val="171242240"/>
      </c:barChart>
      <c:catAx>
        <c:axId val="17122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242240"/>
        <c:crosses val="autoZero"/>
        <c:auto val="1"/>
        <c:lblAlgn val="ctr"/>
        <c:lblOffset val="100"/>
        <c:noMultiLvlLbl val="0"/>
      </c:catAx>
      <c:valAx>
        <c:axId val="17124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224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2019'!$AC$1</c:f>
              <c:strCache>
                <c:ptCount val="1"/>
                <c:pt idx="0">
                  <c:v>Polímero Decantador (g/t cana)</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F1F-4F76-99AE-AA622C92742B}"/>
              </c:ext>
            </c:extLst>
          </c:dPt>
          <c:dPt>
            <c:idx val="1"/>
            <c:invertIfNegative val="0"/>
            <c:bubble3D val="0"/>
            <c:spPr>
              <a:solidFill>
                <a:srgbClr val="00B050"/>
              </a:solidFill>
              <a:ln>
                <a:noFill/>
              </a:ln>
              <a:effectLst/>
            </c:spPr>
            <c:extLst>
              <c:ext xmlns:c16="http://schemas.microsoft.com/office/drawing/2014/chart" uri="{C3380CC4-5D6E-409C-BE32-E72D297353CC}">
                <c16:uniqueId val="{00000003-BF1F-4F76-99AE-AA622C92742B}"/>
              </c:ext>
            </c:extLst>
          </c:dPt>
          <c:dPt>
            <c:idx val="2"/>
            <c:invertIfNegative val="0"/>
            <c:bubble3D val="0"/>
            <c:spPr>
              <a:solidFill>
                <a:srgbClr val="00B050"/>
              </a:solidFill>
              <a:ln>
                <a:noFill/>
              </a:ln>
              <a:effectLst/>
            </c:spPr>
            <c:extLst>
              <c:ext xmlns:c16="http://schemas.microsoft.com/office/drawing/2014/chart" uri="{C3380CC4-5D6E-409C-BE32-E72D297353CC}">
                <c16:uniqueId val="{00000005-BF1F-4F76-99AE-AA622C92742B}"/>
              </c:ext>
            </c:extLst>
          </c:dPt>
          <c:dPt>
            <c:idx val="3"/>
            <c:invertIfNegative val="0"/>
            <c:bubble3D val="0"/>
            <c:spPr>
              <a:solidFill>
                <a:srgbClr val="00B050"/>
              </a:solidFill>
              <a:ln>
                <a:noFill/>
              </a:ln>
              <a:effectLst/>
            </c:spPr>
            <c:extLst>
              <c:ext xmlns:c16="http://schemas.microsoft.com/office/drawing/2014/chart" uri="{C3380CC4-5D6E-409C-BE32-E72D297353CC}">
                <c16:uniqueId val="{00000007-BF1F-4F76-99AE-AA622C92742B}"/>
              </c:ext>
            </c:extLst>
          </c:dPt>
          <c:dPt>
            <c:idx val="4"/>
            <c:invertIfNegative val="0"/>
            <c:bubble3D val="0"/>
            <c:spPr>
              <a:solidFill>
                <a:srgbClr val="00B050"/>
              </a:solidFill>
              <a:ln>
                <a:noFill/>
              </a:ln>
              <a:effectLst/>
            </c:spPr>
            <c:extLst>
              <c:ext xmlns:c16="http://schemas.microsoft.com/office/drawing/2014/chart" uri="{C3380CC4-5D6E-409C-BE32-E72D297353CC}">
                <c16:uniqueId val="{00000009-BF1F-4F76-99AE-AA622C92742B}"/>
              </c:ext>
            </c:extLst>
          </c:dPt>
          <c:dPt>
            <c:idx val="5"/>
            <c:invertIfNegative val="0"/>
            <c:bubble3D val="0"/>
            <c:spPr>
              <a:solidFill>
                <a:srgbClr val="FF0000"/>
              </a:solidFill>
              <a:ln>
                <a:noFill/>
              </a:ln>
              <a:effectLst/>
            </c:spPr>
            <c:extLst>
              <c:ext xmlns:c16="http://schemas.microsoft.com/office/drawing/2014/chart" uri="{C3380CC4-5D6E-409C-BE32-E72D297353CC}">
                <c16:uniqueId val="{0000000B-BF1F-4F76-99AE-AA622C92742B}"/>
              </c:ext>
            </c:extLst>
          </c:dPt>
          <c:cat>
            <c:strRef>
              <c:f>'Fechamento 2019'!$AC$2:$AD$13</c:f>
              <c:strCache>
                <c:ptCount val="12"/>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strCache>
            </c:strRef>
          </c:cat>
          <c:val>
            <c:numRef>
              <c:f>'Fechamento 2019'!$AE$2:$AE$13</c:f>
              <c:numCache>
                <c:formatCode>General</c:formatCode>
                <c:ptCount val="12"/>
                <c:pt idx="0">
                  <c:v>2.17</c:v>
                </c:pt>
                <c:pt idx="1">
                  <c:v>2.1</c:v>
                </c:pt>
                <c:pt idx="2" formatCode="0.00">
                  <c:v>2.71</c:v>
                </c:pt>
                <c:pt idx="3" formatCode="0.00">
                  <c:v>3.51</c:v>
                </c:pt>
                <c:pt idx="4">
                  <c:v>2.97</c:v>
                </c:pt>
                <c:pt idx="5" formatCode="0.00">
                  <c:v>3.5</c:v>
                </c:pt>
                <c:pt idx="6">
                  <c:v>1.9</c:v>
                </c:pt>
                <c:pt idx="7">
                  <c:v>3.04</c:v>
                </c:pt>
                <c:pt idx="8">
                  <c:v>2.94</c:v>
                </c:pt>
                <c:pt idx="9">
                  <c:v>2.88</c:v>
                </c:pt>
                <c:pt idx="10">
                  <c:v>3.24</c:v>
                </c:pt>
                <c:pt idx="11">
                  <c:v>3.23</c:v>
                </c:pt>
              </c:numCache>
            </c:numRef>
          </c:val>
          <c:extLst>
            <c:ext xmlns:c16="http://schemas.microsoft.com/office/drawing/2014/chart" uri="{C3380CC4-5D6E-409C-BE32-E72D297353CC}">
              <c16:uniqueId val="{0000000C-BF1F-4F76-99AE-AA622C92742B}"/>
            </c:ext>
          </c:extLst>
        </c:ser>
        <c:dLbls>
          <c:showLegendKey val="0"/>
          <c:showVal val="0"/>
          <c:showCatName val="0"/>
          <c:showSerName val="0"/>
          <c:showPercent val="0"/>
          <c:showBubbleSize val="0"/>
        </c:dLbls>
        <c:gapWidth val="219"/>
        <c:overlap val="-27"/>
        <c:axId val="171415040"/>
        <c:axId val="171416576"/>
      </c:barChart>
      <c:catAx>
        <c:axId val="17141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416576"/>
        <c:crosses val="autoZero"/>
        <c:auto val="1"/>
        <c:lblAlgn val="ctr"/>
        <c:lblOffset val="100"/>
        <c:noMultiLvlLbl val="0"/>
      </c:catAx>
      <c:valAx>
        <c:axId val="17141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41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2019'!$AG$1</c:f>
              <c:strCache>
                <c:ptCount val="1"/>
                <c:pt idx="0">
                  <c:v>Nutriente (g/L etanol)</c:v>
                </c:pt>
              </c:strCache>
            </c:strRef>
          </c:tx>
          <c:spPr>
            <a:solidFill>
              <a:srgbClr val="00B050"/>
            </a:solidFill>
            <a:ln>
              <a:noFill/>
            </a:ln>
            <a:effectLst/>
          </c:spPr>
          <c:invertIfNegative val="0"/>
          <c:cat>
            <c:strRef>
              <c:f>'Fechamento 2019'!$AG$2:$AH$7</c:f>
              <c:strCache>
                <c:ptCount val="6"/>
                <c:pt idx="0">
                  <c:v>Acumulado 2014</c:v>
                </c:pt>
                <c:pt idx="1">
                  <c:v>Acumulado 2015</c:v>
                </c:pt>
                <c:pt idx="2">
                  <c:v>Acumulado 2016</c:v>
                </c:pt>
                <c:pt idx="3">
                  <c:v>Acumulado 2017</c:v>
                </c:pt>
                <c:pt idx="4">
                  <c:v>Acumulado 2018</c:v>
                </c:pt>
                <c:pt idx="5">
                  <c:v>Acumulado 2019</c:v>
                </c:pt>
              </c:strCache>
            </c:strRef>
          </c:cat>
          <c:val>
            <c:numRef>
              <c:f>'Fechamento 2019'!$AI$2:$AI$7</c:f>
              <c:numCache>
                <c:formatCode>0.00</c:formatCode>
                <c:ptCount val="6"/>
                <c:pt idx="0" formatCode="General">
                  <c:v>0.17</c:v>
                </c:pt>
                <c:pt idx="1">
                  <c:v>0.2</c:v>
                </c:pt>
                <c:pt idx="2">
                  <c:v>0.08</c:v>
                </c:pt>
                <c:pt idx="3">
                  <c:v>0.06</c:v>
                </c:pt>
                <c:pt idx="4" formatCode="General">
                  <c:v>0.15</c:v>
                </c:pt>
                <c:pt idx="5">
                  <c:v>0.11</c:v>
                </c:pt>
              </c:numCache>
            </c:numRef>
          </c:val>
          <c:extLst>
            <c:ext xmlns:c16="http://schemas.microsoft.com/office/drawing/2014/chart" uri="{C3380CC4-5D6E-409C-BE32-E72D297353CC}">
              <c16:uniqueId val="{0000000C-32EE-406A-B315-36D48AEC5A6D}"/>
            </c:ext>
          </c:extLst>
        </c:ser>
        <c:dLbls>
          <c:showLegendKey val="0"/>
          <c:showVal val="0"/>
          <c:showCatName val="0"/>
          <c:showSerName val="0"/>
          <c:showPercent val="0"/>
          <c:showBubbleSize val="0"/>
        </c:dLbls>
        <c:gapWidth val="219"/>
        <c:overlap val="-27"/>
        <c:axId val="171584512"/>
        <c:axId val="171590400"/>
      </c:barChart>
      <c:catAx>
        <c:axId val="17158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590400"/>
        <c:crosses val="autoZero"/>
        <c:auto val="1"/>
        <c:lblAlgn val="ctr"/>
        <c:lblOffset val="100"/>
        <c:noMultiLvlLbl val="0"/>
      </c:catAx>
      <c:valAx>
        <c:axId val="171590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584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2019'!$AK$1</c:f>
              <c:strCache>
                <c:ptCount val="1"/>
                <c:pt idx="0">
                  <c:v>Trat. Torre Ferm. (R$/m³ etanol)</c:v>
                </c:pt>
              </c:strCache>
            </c:strRef>
          </c:tx>
          <c:spPr>
            <a:solidFill>
              <a:srgbClr val="00B050"/>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559B-4861-9F6E-8E87FDA16D03}"/>
              </c:ext>
            </c:extLst>
          </c:dPt>
          <c:cat>
            <c:strRef>
              <c:f>'Fechamento 2019'!$AK$2:$AL$7</c:f>
              <c:strCache>
                <c:ptCount val="6"/>
                <c:pt idx="0">
                  <c:v>Acumulado 2014</c:v>
                </c:pt>
                <c:pt idx="1">
                  <c:v>Acumulado 2015</c:v>
                </c:pt>
                <c:pt idx="2">
                  <c:v>Acumulado 2016</c:v>
                </c:pt>
                <c:pt idx="3">
                  <c:v>Acumulado 2017</c:v>
                </c:pt>
                <c:pt idx="4">
                  <c:v>Acumulado 2018</c:v>
                </c:pt>
                <c:pt idx="5">
                  <c:v>Orçado Safra</c:v>
                </c:pt>
              </c:strCache>
            </c:strRef>
          </c:cat>
          <c:val>
            <c:numRef>
              <c:f>'Fechamento 2019'!$AM$2:$AM$7</c:f>
              <c:numCache>
                <c:formatCode>0.00</c:formatCode>
                <c:ptCount val="6"/>
                <c:pt idx="0" formatCode="General">
                  <c:v>0.95</c:v>
                </c:pt>
                <c:pt idx="1">
                  <c:v>0.23</c:v>
                </c:pt>
                <c:pt idx="2">
                  <c:v>0.9</c:v>
                </c:pt>
                <c:pt idx="3">
                  <c:v>0.87</c:v>
                </c:pt>
                <c:pt idx="4" formatCode="General">
                  <c:v>0.37</c:v>
                </c:pt>
                <c:pt idx="5">
                  <c:v>1.32</c:v>
                </c:pt>
              </c:numCache>
            </c:numRef>
          </c:val>
          <c:extLst>
            <c:ext xmlns:c16="http://schemas.microsoft.com/office/drawing/2014/chart" uri="{C3380CC4-5D6E-409C-BE32-E72D297353CC}">
              <c16:uniqueId val="{00000002-559B-4861-9F6E-8E87FDA16D03}"/>
            </c:ext>
          </c:extLst>
        </c:ser>
        <c:dLbls>
          <c:showLegendKey val="0"/>
          <c:showVal val="0"/>
          <c:showCatName val="0"/>
          <c:showSerName val="0"/>
          <c:showPercent val="0"/>
          <c:showBubbleSize val="0"/>
        </c:dLbls>
        <c:gapWidth val="219"/>
        <c:overlap val="-27"/>
        <c:axId val="171632128"/>
        <c:axId val="171633664"/>
      </c:barChart>
      <c:catAx>
        <c:axId val="1716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633664"/>
        <c:crosses val="autoZero"/>
        <c:auto val="1"/>
        <c:lblAlgn val="ctr"/>
        <c:lblOffset val="100"/>
        <c:noMultiLvlLbl val="0"/>
      </c:catAx>
      <c:valAx>
        <c:axId val="17163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632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2019'!$AO$1</c:f>
              <c:strCache>
                <c:ptCount val="1"/>
                <c:pt idx="0">
                  <c:v>Custo Específico (R$/t cana)</c:v>
                </c:pt>
              </c:strCache>
            </c:strRef>
          </c:tx>
          <c:spPr>
            <a:solidFill>
              <a:srgbClr val="00B050"/>
            </a:solidFill>
            <a:ln>
              <a:noFill/>
            </a:ln>
            <a:effectLst/>
          </c:spPr>
          <c:invertIfNegative val="0"/>
          <c:dPt>
            <c:idx val="4"/>
            <c:invertIfNegative val="0"/>
            <c:bubble3D val="0"/>
            <c:spPr>
              <a:solidFill>
                <a:srgbClr val="0070C0"/>
              </a:solidFill>
              <a:ln>
                <a:noFill/>
              </a:ln>
              <a:effectLst/>
            </c:spPr>
            <c:extLst>
              <c:ext xmlns:c16="http://schemas.microsoft.com/office/drawing/2014/chart" uri="{C3380CC4-5D6E-409C-BE32-E72D297353CC}">
                <c16:uniqueId val="{00000001-B67B-478A-BC67-44871F5CC685}"/>
              </c:ext>
            </c:extLst>
          </c:dPt>
          <c:dPt>
            <c:idx val="5"/>
            <c:invertIfNegative val="0"/>
            <c:bubble3D val="0"/>
            <c:spPr>
              <a:solidFill>
                <a:srgbClr val="FF0000"/>
              </a:solidFill>
              <a:ln>
                <a:noFill/>
              </a:ln>
              <a:effectLst/>
            </c:spPr>
            <c:extLst>
              <c:ext xmlns:c16="http://schemas.microsoft.com/office/drawing/2014/chart" uri="{C3380CC4-5D6E-409C-BE32-E72D297353CC}">
                <c16:uniqueId val="{00000003-B67B-478A-BC67-44871F5CC685}"/>
              </c:ext>
            </c:extLst>
          </c:dPt>
          <c:cat>
            <c:strRef>
              <c:f>'Fechamento 2019'!$AO$2:$AP$7</c:f>
              <c:strCache>
                <c:ptCount val="6"/>
                <c:pt idx="0">
                  <c:v>Acumulado 2014</c:v>
                </c:pt>
                <c:pt idx="1">
                  <c:v>Acumulado 2015</c:v>
                </c:pt>
                <c:pt idx="2">
                  <c:v>Acumulado 2016</c:v>
                </c:pt>
                <c:pt idx="3">
                  <c:v>Acumulado 2017</c:v>
                </c:pt>
                <c:pt idx="4">
                  <c:v>Acumulado 2018</c:v>
                </c:pt>
                <c:pt idx="5">
                  <c:v>Orçado Safra</c:v>
                </c:pt>
              </c:strCache>
            </c:strRef>
          </c:cat>
          <c:val>
            <c:numRef>
              <c:f>'Fechamento 2019'!$AQ$2:$AQ$7</c:f>
              <c:numCache>
                <c:formatCode>0.00</c:formatCode>
                <c:ptCount val="6"/>
                <c:pt idx="0" formatCode="General">
                  <c:v>1.33</c:v>
                </c:pt>
                <c:pt idx="1">
                  <c:v>1.77</c:v>
                </c:pt>
                <c:pt idx="2">
                  <c:v>1.54</c:v>
                </c:pt>
                <c:pt idx="3">
                  <c:v>1.39</c:v>
                </c:pt>
                <c:pt idx="4" formatCode="General">
                  <c:v>1.36</c:v>
                </c:pt>
                <c:pt idx="5">
                  <c:v>1.2</c:v>
                </c:pt>
              </c:numCache>
            </c:numRef>
          </c:val>
          <c:extLst>
            <c:ext xmlns:c16="http://schemas.microsoft.com/office/drawing/2014/chart" uri="{C3380CC4-5D6E-409C-BE32-E72D297353CC}">
              <c16:uniqueId val="{00000004-B67B-478A-BC67-44871F5CC685}"/>
            </c:ext>
          </c:extLst>
        </c:ser>
        <c:dLbls>
          <c:showLegendKey val="0"/>
          <c:showVal val="0"/>
          <c:showCatName val="0"/>
          <c:showSerName val="0"/>
          <c:showPercent val="0"/>
          <c:showBubbleSize val="0"/>
        </c:dLbls>
        <c:gapWidth val="219"/>
        <c:overlap val="-27"/>
        <c:axId val="171672320"/>
        <c:axId val="171673856"/>
      </c:barChart>
      <c:catAx>
        <c:axId val="17167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673856"/>
        <c:crosses val="autoZero"/>
        <c:auto val="1"/>
        <c:lblAlgn val="ctr"/>
        <c:lblOffset val="100"/>
        <c:noMultiLvlLbl val="0"/>
      </c:catAx>
      <c:valAx>
        <c:axId val="17167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672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2019'!$AS$1</c:f>
              <c:strCache>
                <c:ptCount val="1"/>
                <c:pt idx="0">
                  <c:v>Custo Total (mil R$/t cana)</c:v>
                </c:pt>
              </c:strCache>
            </c:strRef>
          </c:tx>
          <c:spPr>
            <a:solidFill>
              <a:srgbClr val="00B050"/>
            </a:solidFill>
            <a:ln>
              <a:noFill/>
            </a:ln>
            <a:effectLst/>
          </c:spPr>
          <c:invertIfNegative val="0"/>
          <c:dPt>
            <c:idx val="4"/>
            <c:invertIfNegative val="0"/>
            <c:bubble3D val="0"/>
            <c:spPr>
              <a:solidFill>
                <a:srgbClr val="0070C0"/>
              </a:solidFill>
              <a:ln>
                <a:noFill/>
              </a:ln>
              <a:effectLst/>
            </c:spPr>
            <c:extLst>
              <c:ext xmlns:c16="http://schemas.microsoft.com/office/drawing/2014/chart" uri="{C3380CC4-5D6E-409C-BE32-E72D297353CC}">
                <c16:uniqueId val="{00000001-7D26-4CF7-947B-466D687A4312}"/>
              </c:ext>
            </c:extLst>
          </c:dPt>
          <c:dPt>
            <c:idx val="5"/>
            <c:invertIfNegative val="0"/>
            <c:bubble3D val="0"/>
            <c:spPr>
              <a:solidFill>
                <a:srgbClr val="FF0000"/>
              </a:solidFill>
              <a:ln>
                <a:noFill/>
              </a:ln>
              <a:effectLst/>
            </c:spPr>
            <c:extLst>
              <c:ext xmlns:c16="http://schemas.microsoft.com/office/drawing/2014/chart" uri="{C3380CC4-5D6E-409C-BE32-E72D297353CC}">
                <c16:uniqueId val="{00000003-7D26-4CF7-947B-466D687A4312}"/>
              </c:ext>
            </c:extLst>
          </c:dPt>
          <c:cat>
            <c:strRef>
              <c:f>'Fechamento 2019'!$AS$2:$AT$7</c:f>
              <c:strCache>
                <c:ptCount val="6"/>
                <c:pt idx="0">
                  <c:v>Acumulado 2014</c:v>
                </c:pt>
                <c:pt idx="1">
                  <c:v>Acumulado 2015</c:v>
                </c:pt>
                <c:pt idx="2">
                  <c:v>Acumulado 2016</c:v>
                </c:pt>
                <c:pt idx="3">
                  <c:v>Acumulado 2017</c:v>
                </c:pt>
                <c:pt idx="4">
                  <c:v>Acumulado 2018</c:v>
                </c:pt>
                <c:pt idx="5">
                  <c:v>Orçado Safra</c:v>
                </c:pt>
              </c:strCache>
            </c:strRef>
          </c:cat>
          <c:val>
            <c:numRef>
              <c:f>'Fechamento 2019'!$AU$2:$AU$7</c:f>
              <c:numCache>
                <c:formatCode>0</c:formatCode>
                <c:ptCount val="6"/>
                <c:pt idx="0" formatCode="General">
                  <c:v>2443</c:v>
                </c:pt>
                <c:pt idx="1">
                  <c:v>3831</c:v>
                </c:pt>
                <c:pt idx="2">
                  <c:v>2628</c:v>
                </c:pt>
                <c:pt idx="3">
                  <c:v>1865</c:v>
                </c:pt>
                <c:pt idx="4" formatCode="General">
                  <c:v>1310</c:v>
                </c:pt>
                <c:pt idx="5">
                  <c:v>1372</c:v>
                </c:pt>
              </c:numCache>
            </c:numRef>
          </c:val>
          <c:extLst>
            <c:ext xmlns:c16="http://schemas.microsoft.com/office/drawing/2014/chart" uri="{C3380CC4-5D6E-409C-BE32-E72D297353CC}">
              <c16:uniqueId val="{00000004-7D26-4CF7-947B-466D687A4312}"/>
            </c:ext>
          </c:extLst>
        </c:ser>
        <c:dLbls>
          <c:showLegendKey val="0"/>
          <c:showVal val="0"/>
          <c:showCatName val="0"/>
          <c:showSerName val="0"/>
          <c:showPercent val="0"/>
          <c:showBubbleSize val="0"/>
        </c:dLbls>
        <c:gapWidth val="219"/>
        <c:overlap val="-27"/>
        <c:axId val="172396928"/>
        <c:axId val="172398464"/>
      </c:barChart>
      <c:catAx>
        <c:axId val="17239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398464"/>
        <c:crosses val="autoZero"/>
        <c:auto val="1"/>
        <c:lblAlgn val="ctr"/>
        <c:lblOffset val="100"/>
        <c:noMultiLvlLbl val="0"/>
      </c:catAx>
      <c:valAx>
        <c:axId val="17239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39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2019'!$AX$1</c:f>
              <c:strCache>
                <c:ptCount val="1"/>
                <c:pt idx="0">
                  <c:v>Distribuição do Custo (R$)</c:v>
                </c:pt>
              </c:strCache>
            </c:strRef>
          </c:tx>
          <c:spPr>
            <a:solidFill>
              <a:schemeClr val="accent1"/>
            </a:solidFill>
            <a:ln w="19050">
              <a:solidFill>
                <a:schemeClr val="lt1"/>
              </a:solidFill>
            </a:ln>
            <a:effectLst/>
          </c:spPr>
          <c:invertIfNegative val="0"/>
          <c:cat>
            <c:strRef>
              <c:f>'Fechamento 2019'!$AW$2:$AW$12</c:f>
              <c:strCache>
                <c:ptCount val="11"/>
                <c:pt idx="0">
                  <c:v>Ácido Sulfúrico</c:v>
                </c:pt>
                <c:pt idx="1">
                  <c:v>Soda</c:v>
                </c:pt>
                <c:pt idx="2">
                  <c:v>Cal</c:v>
                </c:pt>
                <c:pt idx="3">
                  <c:v>Polímero Catiônico</c:v>
                </c:pt>
                <c:pt idx="4">
                  <c:v>Dispersante</c:v>
                </c:pt>
                <c:pt idx="5">
                  <c:v>Antiespumante</c:v>
                </c:pt>
                <c:pt idx="6">
                  <c:v>Dióxido de Cloro</c:v>
                </c:pt>
                <c:pt idx="7">
                  <c:v>Polímero Aniônico</c:v>
                </c:pt>
                <c:pt idx="8">
                  <c:v>Antibióticos</c:v>
                </c:pt>
                <c:pt idx="9">
                  <c:v>Trat. Torre Ferm.</c:v>
                </c:pt>
                <c:pt idx="10">
                  <c:v>Nutriente</c:v>
                </c:pt>
              </c:strCache>
            </c:strRef>
          </c:cat>
          <c:val>
            <c:numRef>
              <c:f>'Fechamento 2019'!$AX$2:$AX$12</c:f>
              <c:numCache>
                <c:formatCode>General</c:formatCode>
                <c:ptCount val="11"/>
                <c:pt idx="0">
                  <c:v>316325</c:v>
                </c:pt>
                <c:pt idx="1">
                  <c:v>231336</c:v>
                </c:pt>
                <c:pt idx="2">
                  <c:v>207800</c:v>
                </c:pt>
                <c:pt idx="3">
                  <c:v>179487</c:v>
                </c:pt>
                <c:pt idx="4">
                  <c:v>105243</c:v>
                </c:pt>
                <c:pt idx="5">
                  <c:v>74194</c:v>
                </c:pt>
                <c:pt idx="6">
                  <c:v>72843</c:v>
                </c:pt>
                <c:pt idx="7">
                  <c:v>43366</c:v>
                </c:pt>
                <c:pt idx="8">
                  <c:v>28770</c:v>
                </c:pt>
                <c:pt idx="9">
                  <c:v>27675</c:v>
                </c:pt>
                <c:pt idx="10">
                  <c:v>22550</c:v>
                </c:pt>
              </c:numCache>
            </c:numRef>
          </c:val>
          <c:extLst>
            <c:ext xmlns:c16="http://schemas.microsoft.com/office/drawing/2014/chart" uri="{C3380CC4-5D6E-409C-BE32-E72D297353CC}">
              <c16:uniqueId val="{00000000-12E2-45BA-B30D-430F6AED60D1}"/>
            </c:ext>
          </c:extLst>
        </c:ser>
        <c:dLbls>
          <c:showLegendKey val="0"/>
          <c:showVal val="0"/>
          <c:showCatName val="0"/>
          <c:showSerName val="0"/>
          <c:showPercent val="0"/>
          <c:showBubbleSize val="0"/>
        </c:dLbls>
        <c:gapWidth val="150"/>
        <c:axId val="172500864"/>
        <c:axId val="172502400"/>
      </c:barChart>
      <c:catAx>
        <c:axId val="172500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502400"/>
        <c:crosses val="autoZero"/>
        <c:auto val="1"/>
        <c:lblAlgn val="ctr"/>
        <c:lblOffset val="100"/>
        <c:noMultiLvlLbl val="0"/>
      </c:catAx>
      <c:valAx>
        <c:axId val="1725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500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2018'!$A$1</c:f>
              <c:strCache>
                <c:ptCount val="1"/>
                <c:pt idx="0">
                  <c:v>Soda Cáustica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D995-4AA5-8579-21E81A094824}"/>
              </c:ext>
            </c:extLst>
          </c:dPt>
          <c:dPt>
            <c:idx val="1"/>
            <c:invertIfNegative val="0"/>
            <c:bubble3D val="0"/>
            <c:spPr>
              <a:solidFill>
                <a:srgbClr val="00B050"/>
              </a:solidFill>
              <a:ln>
                <a:noFill/>
              </a:ln>
              <a:effectLst/>
            </c:spPr>
            <c:extLst>
              <c:ext xmlns:c16="http://schemas.microsoft.com/office/drawing/2014/chart" uri="{C3380CC4-5D6E-409C-BE32-E72D297353CC}">
                <c16:uniqueId val="{00000003-D995-4AA5-8579-21E81A094824}"/>
              </c:ext>
            </c:extLst>
          </c:dPt>
          <c:dPt>
            <c:idx val="2"/>
            <c:invertIfNegative val="0"/>
            <c:bubble3D val="0"/>
            <c:spPr>
              <a:solidFill>
                <a:srgbClr val="00B050"/>
              </a:solidFill>
              <a:ln>
                <a:noFill/>
              </a:ln>
              <a:effectLst/>
            </c:spPr>
            <c:extLst>
              <c:ext xmlns:c16="http://schemas.microsoft.com/office/drawing/2014/chart" uri="{C3380CC4-5D6E-409C-BE32-E72D297353CC}">
                <c16:uniqueId val="{00000005-D995-4AA5-8579-21E81A094824}"/>
              </c:ext>
            </c:extLst>
          </c:dPt>
          <c:dPt>
            <c:idx val="3"/>
            <c:invertIfNegative val="0"/>
            <c:bubble3D val="0"/>
            <c:spPr>
              <a:solidFill>
                <a:srgbClr val="00B050"/>
              </a:solidFill>
              <a:ln>
                <a:noFill/>
              </a:ln>
              <a:effectLst/>
            </c:spPr>
            <c:extLst>
              <c:ext xmlns:c16="http://schemas.microsoft.com/office/drawing/2014/chart" uri="{C3380CC4-5D6E-409C-BE32-E72D297353CC}">
                <c16:uniqueId val="{00000007-D995-4AA5-8579-21E81A094824}"/>
              </c:ext>
            </c:extLst>
          </c:dPt>
          <c:dPt>
            <c:idx val="4"/>
            <c:invertIfNegative val="0"/>
            <c:bubble3D val="0"/>
            <c:spPr>
              <a:solidFill>
                <a:srgbClr val="00B050"/>
              </a:solidFill>
              <a:ln>
                <a:noFill/>
              </a:ln>
              <a:effectLst/>
            </c:spPr>
            <c:extLst>
              <c:ext xmlns:c16="http://schemas.microsoft.com/office/drawing/2014/chart" uri="{C3380CC4-5D6E-409C-BE32-E72D297353CC}">
                <c16:uniqueId val="{00000009-D995-4AA5-8579-21E81A094824}"/>
              </c:ext>
            </c:extLst>
          </c:dPt>
          <c:dPt>
            <c:idx val="5"/>
            <c:invertIfNegative val="0"/>
            <c:bubble3D val="0"/>
            <c:spPr>
              <a:solidFill>
                <a:srgbClr val="FF0000"/>
              </a:solidFill>
              <a:ln>
                <a:noFill/>
              </a:ln>
              <a:effectLst/>
            </c:spPr>
            <c:extLst>
              <c:ext xmlns:c16="http://schemas.microsoft.com/office/drawing/2014/chart" uri="{C3380CC4-5D6E-409C-BE32-E72D297353CC}">
                <c16:uniqueId val="{0000000B-D995-4AA5-8579-21E81A094824}"/>
              </c:ext>
            </c:extLst>
          </c:dPt>
          <c:cat>
            <c:strRef>
              <c:f>'Fechamento 2018'!$A$2:$B$15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2018'!$C$2:$C$15</c:f>
              <c:numCache>
                <c:formatCode>General</c:formatCode>
                <c:ptCount val="14"/>
                <c:pt idx="0">
                  <c:v>99.11</c:v>
                </c:pt>
                <c:pt idx="1">
                  <c:v>220.71</c:v>
                </c:pt>
                <c:pt idx="2">
                  <c:v>182.28</c:v>
                </c:pt>
                <c:pt idx="3">
                  <c:v>107.49</c:v>
                </c:pt>
                <c:pt idx="4">
                  <c:v>99.51</c:v>
                </c:pt>
                <c:pt idx="5">
                  <c:v>110</c:v>
                </c:pt>
                <c:pt idx="6">
                  <c:v>476.14</c:v>
                </c:pt>
                <c:pt idx="7">
                  <c:v>66.97</c:v>
                </c:pt>
                <c:pt idx="8">
                  <c:v>0</c:v>
                </c:pt>
                <c:pt idx="9">
                  <c:v>132.36000000000001</c:v>
                </c:pt>
                <c:pt idx="10">
                  <c:v>210.76</c:v>
                </c:pt>
                <c:pt idx="11">
                  <c:v>46.72</c:v>
                </c:pt>
                <c:pt idx="12">
                  <c:v>108.36</c:v>
                </c:pt>
                <c:pt idx="13">
                  <c:v>34.24</c:v>
                </c:pt>
              </c:numCache>
            </c:numRef>
          </c:val>
          <c:extLst>
            <c:ext xmlns:c16="http://schemas.microsoft.com/office/drawing/2014/chart" uri="{C3380CC4-5D6E-409C-BE32-E72D297353CC}">
              <c16:uniqueId val="{0000000C-D995-4AA5-8579-21E81A094824}"/>
            </c:ext>
          </c:extLst>
        </c:ser>
        <c:dLbls>
          <c:showLegendKey val="0"/>
          <c:showVal val="0"/>
          <c:showCatName val="0"/>
          <c:showSerName val="0"/>
          <c:showPercent val="0"/>
          <c:showBubbleSize val="0"/>
        </c:dLbls>
        <c:gapWidth val="219"/>
        <c:overlap val="-27"/>
        <c:axId val="82307328"/>
        <c:axId val="116334592"/>
      </c:barChart>
      <c:catAx>
        <c:axId val="8230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334592"/>
        <c:crosses val="autoZero"/>
        <c:auto val="1"/>
        <c:lblAlgn val="ctr"/>
        <c:lblOffset val="100"/>
        <c:noMultiLvlLbl val="0"/>
      </c:catAx>
      <c:valAx>
        <c:axId val="11633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2307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2018'!$E$1</c:f>
              <c:strCache>
                <c:ptCount val="1"/>
                <c:pt idx="0">
                  <c:v>Cal (g/t cana)</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1130-4BFC-A156-C2FE84027132}"/>
              </c:ext>
            </c:extLst>
          </c:dPt>
          <c:dPt>
            <c:idx val="1"/>
            <c:invertIfNegative val="0"/>
            <c:bubble3D val="0"/>
            <c:spPr>
              <a:solidFill>
                <a:srgbClr val="00B050"/>
              </a:solidFill>
              <a:ln>
                <a:noFill/>
              </a:ln>
              <a:effectLst/>
            </c:spPr>
            <c:extLst>
              <c:ext xmlns:c16="http://schemas.microsoft.com/office/drawing/2014/chart" uri="{C3380CC4-5D6E-409C-BE32-E72D297353CC}">
                <c16:uniqueId val="{00000003-1130-4BFC-A156-C2FE84027132}"/>
              </c:ext>
            </c:extLst>
          </c:dPt>
          <c:dPt>
            <c:idx val="2"/>
            <c:invertIfNegative val="0"/>
            <c:bubble3D val="0"/>
            <c:spPr>
              <a:solidFill>
                <a:srgbClr val="00B050"/>
              </a:solidFill>
              <a:ln>
                <a:noFill/>
              </a:ln>
              <a:effectLst/>
            </c:spPr>
            <c:extLst>
              <c:ext xmlns:c16="http://schemas.microsoft.com/office/drawing/2014/chart" uri="{C3380CC4-5D6E-409C-BE32-E72D297353CC}">
                <c16:uniqueId val="{00000005-1130-4BFC-A156-C2FE84027132}"/>
              </c:ext>
            </c:extLst>
          </c:dPt>
          <c:dPt>
            <c:idx val="3"/>
            <c:invertIfNegative val="0"/>
            <c:bubble3D val="0"/>
            <c:spPr>
              <a:solidFill>
                <a:srgbClr val="00B050"/>
              </a:solidFill>
              <a:ln>
                <a:noFill/>
              </a:ln>
              <a:effectLst/>
            </c:spPr>
            <c:extLst>
              <c:ext xmlns:c16="http://schemas.microsoft.com/office/drawing/2014/chart" uri="{C3380CC4-5D6E-409C-BE32-E72D297353CC}">
                <c16:uniqueId val="{00000007-1130-4BFC-A156-C2FE84027132}"/>
              </c:ext>
            </c:extLst>
          </c:dPt>
          <c:dPt>
            <c:idx val="4"/>
            <c:invertIfNegative val="0"/>
            <c:bubble3D val="0"/>
            <c:spPr>
              <a:solidFill>
                <a:srgbClr val="00B050"/>
              </a:solidFill>
              <a:ln>
                <a:noFill/>
              </a:ln>
              <a:effectLst/>
            </c:spPr>
            <c:extLst>
              <c:ext xmlns:c16="http://schemas.microsoft.com/office/drawing/2014/chart" uri="{C3380CC4-5D6E-409C-BE32-E72D297353CC}">
                <c16:uniqueId val="{00000009-1130-4BFC-A156-C2FE84027132}"/>
              </c:ext>
            </c:extLst>
          </c:dPt>
          <c:dPt>
            <c:idx val="5"/>
            <c:invertIfNegative val="0"/>
            <c:bubble3D val="0"/>
            <c:spPr>
              <a:solidFill>
                <a:srgbClr val="FF0000"/>
              </a:solidFill>
              <a:ln>
                <a:noFill/>
              </a:ln>
              <a:effectLst/>
            </c:spPr>
            <c:extLst>
              <c:ext xmlns:c16="http://schemas.microsoft.com/office/drawing/2014/chart" uri="{C3380CC4-5D6E-409C-BE32-E72D297353CC}">
                <c16:uniqueId val="{0000000B-1130-4BFC-A156-C2FE84027132}"/>
              </c:ext>
            </c:extLst>
          </c:dPt>
          <c:cat>
            <c:strRef>
              <c:f>'Fechamento 2018'!$E$2:$F$15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2018'!$G$2:$G$15</c:f>
              <c:numCache>
                <c:formatCode>General</c:formatCode>
                <c:ptCount val="14"/>
                <c:pt idx="0">
                  <c:v>751.59</c:v>
                </c:pt>
                <c:pt idx="1">
                  <c:v>634.92999999999995</c:v>
                </c:pt>
                <c:pt idx="2">
                  <c:v>713.71</c:v>
                </c:pt>
                <c:pt idx="3">
                  <c:v>547.01</c:v>
                </c:pt>
                <c:pt idx="4">
                  <c:v>562.54</c:v>
                </c:pt>
                <c:pt idx="5">
                  <c:v>500</c:v>
                </c:pt>
                <c:pt idx="6">
                  <c:v>804</c:v>
                </c:pt>
                <c:pt idx="7">
                  <c:v>687</c:v>
                </c:pt>
                <c:pt idx="8">
                  <c:v>505</c:v>
                </c:pt>
                <c:pt idx="9">
                  <c:v>566</c:v>
                </c:pt>
                <c:pt idx="10">
                  <c:v>565</c:v>
                </c:pt>
                <c:pt idx="11">
                  <c:v>563</c:v>
                </c:pt>
                <c:pt idx="12">
                  <c:v>719</c:v>
                </c:pt>
                <c:pt idx="13">
                  <c:v>199</c:v>
                </c:pt>
              </c:numCache>
            </c:numRef>
          </c:val>
          <c:extLst>
            <c:ext xmlns:c16="http://schemas.microsoft.com/office/drawing/2014/chart" uri="{C3380CC4-5D6E-409C-BE32-E72D297353CC}">
              <c16:uniqueId val="{0000000C-1130-4BFC-A156-C2FE84027132}"/>
            </c:ext>
          </c:extLst>
        </c:ser>
        <c:dLbls>
          <c:showLegendKey val="0"/>
          <c:showVal val="0"/>
          <c:showCatName val="0"/>
          <c:showSerName val="0"/>
          <c:showPercent val="0"/>
          <c:showBubbleSize val="0"/>
        </c:dLbls>
        <c:gapWidth val="219"/>
        <c:overlap val="-27"/>
        <c:axId val="116368128"/>
        <c:axId val="116369664"/>
      </c:barChart>
      <c:catAx>
        <c:axId val="1163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369664"/>
        <c:crosses val="autoZero"/>
        <c:auto val="1"/>
        <c:lblAlgn val="ctr"/>
        <c:lblOffset val="100"/>
        <c:noMultiLvlLbl val="0"/>
      </c:catAx>
      <c:valAx>
        <c:axId val="11636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36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2018'!$I$1</c:f>
              <c:strCache>
                <c:ptCount val="1"/>
                <c:pt idx="0">
                  <c:v>Ác. Sulfúrico (g/t cana)</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5346-496B-BAC5-4B14393A2AF7}"/>
              </c:ext>
            </c:extLst>
          </c:dPt>
          <c:dPt>
            <c:idx val="1"/>
            <c:invertIfNegative val="0"/>
            <c:bubble3D val="0"/>
            <c:spPr>
              <a:solidFill>
                <a:srgbClr val="00B050"/>
              </a:solidFill>
              <a:ln>
                <a:noFill/>
              </a:ln>
              <a:effectLst/>
            </c:spPr>
            <c:extLst>
              <c:ext xmlns:c16="http://schemas.microsoft.com/office/drawing/2014/chart" uri="{C3380CC4-5D6E-409C-BE32-E72D297353CC}">
                <c16:uniqueId val="{00000003-5346-496B-BAC5-4B14393A2AF7}"/>
              </c:ext>
            </c:extLst>
          </c:dPt>
          <c:dPt>
            <c:idx val="2"/>
            <c:invertIfNegative val="0"/>
            <c:bubble3D val="0"/>
            <c:spPr>
              <a:solidFill>
                <a:srgbClr val="00B050"/>
              </a:solidFill>
              <a:ln>
                <a:noFill/>
              </a:ln>
              <a:effectLst/>
            </c:spPr>
            <c:extLst>
              <c:ext xmlns:c16="http://schemas.microsoft.com/office/drawing/2014/chart" uri="{C3380CC4-5D6E-409C-BE32-E72D297353CC}">
                <c16:uniqueId val="{00000005-5346-496B-BAC5-4B14393A2AF7}"/>
              </c:ext>
            </c:extLst>
          </c:dPt>
          <c:dPt>
            <c:idx val="3"/>
            <c:invertIfNegative val="0"/>
            <c:bubble3D val="0"/>
            <c:spPr>
              <a:solidFill>
                <a:srgbClr val="00B050"/>
              </a:solidFill>
              <a:ln>
                <a:noFill/>
              </a:ln>
              <a:effectLst/>
            </c:spPr>
            <c:extLst>
              <c:ext xmlns:c16="http://schemas.microsoft.com/office/drawing/2014/chart" uri="{C3380CC4-5D6E-409C-BE32-E72D297353CC}">
                <c16:uniqueId val="{00000007-5346-496B-BAC5-4B14393A2AF7}"/>
              </c:ext>
            </c:extLst>
          </c:dPt>
          <c:dPt>
            <c:idx val="4"/>
            <c:invertIfNegative val="0"/>
            <c:bubble3D val="0"/>
            <c:spPr>
              <a:solidFill>
                <a:srgbClr val="00B050"/>
              </a:solidFill>
              <a:ln>
                <a:noFill/>
              </a:ln>
              <a:effectLst/>
            </c:spPr>
            <c:extLst>
              <c:ext xmlns:c16="http://schemas.microsoft.com/office/drawing/2014/chart" uri="{C3380CC4-5D6E-409C-BE32-E72D297353CC}">
                <c16:uniqueId val="{00000009-5346-496B-BAC5-4B14393A2AF7}"/>
              </c:ext>
            </c:extLst>
          </c:dPt>
          <c:dPt>
            <c:idx val="5"/>
            <c:invertIfNegative val="0"/>
            <c:bubble3D val="0"/>
            <c:spPr>
              <a:solidFill>
                <a:srgbClr val="FF0000"/>
              </a:solidFill>
              <a:ln>
                <a:noFill/>
              </a:ln>
              <a:effectLst/>
            </c:spPr>
            <c:extLst>
              <c:ext xmlns:c16="http://schemas.microsoft.com/office/drawing/2014/chart" uri="{C3380CC4-5D6E-409C-BE32-E72D297353CC}">
                <c16:uniqueId val="{0000000B-5346-496B-BAC5-4B14393A2AF7}"/>
              </c:ext>
            </c:extLst>
          </c:dPt>
          <c:cat>
            <c:strRef>
              <c:f>'Fechamento 2018'!$I$2:$J$15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2018'!$K$2:$K$15</c:f>
              <c:numCache>
                <c:formatCode>General</c:formatCode>
                <c:ptCount val="14"/>
                <c:pt idx="0">
                  <c:v>13.94</c:v>
                </c:pt>
                <c:pt idx="1">
                  <c:v>11.09</c:v>
                </c:pt>
                <c:pt idx="2">
                  <c:v>8.2100000000000009</c:v>
                </c:pt>
                <c:pt idx="3">
                  <c:v>6.13</c:v>
                </c:pt>
                <c:pt idx="4">
                  <c:v>3.96</c:v>
                </c:pt>
                <c:pt idx="5">
                  <c:v>6.1</c:v>
                </c:pt>
                <c:pt idx="6">
                  <c:v>0.72</c:v>
                </c:pt>
                <c:pt idx="7">
                  <c:v>2.99</c:v>
                </c:pt>
                <c:pt idx="8">
                  <c:v>3.48</c:v>
                </c:pt>
                <c:pt idx="9">
                  <c:v>5.03</c:v>
                </c:pt>
                <c:pt idx="10">
                  <c:v>5.83</c:v>
                </c:pt>
                <c:pt idx="11">
                  <c:v>4.3499999999999996</c:v>
                </c:pt>
                <c:pt idx="12">
                  <c:v>4.34</c:v>
                </c:pt>
                <c:pt idx="13">
                  <c:v>4.58</c:v>
                </c:pt>
              </c:numCache>
            </c:numRef>
          </c:val>
          <c:extLst>
            <c:ext xmlns:c16="http://schemas.microsoft.com/office/drawing/2014/chart" uri="{C3380CC4-5D6E-409C-BE32-E72D297353CC}">
              <c16:uniqueId val="{0000000C-5346-496B-BAC5-4B14393A2AF7}"/>
            </c:ext>
          </c:extLst>
        </c:ser>
        <c:dLbls>
          <c:showLegendKey val="0"/>
          <c:showVal val="0"/>
          <c:showCatName val="0"/>
          <c:showSerName val="0"/>
          <c:showPercent val="0"/>
          <c:showBubbleSize val="0"/>
        </c:dLbls>
        <c:gapWidth val="219"/>
        <c:overlap val="-27"/>
        <c:axId val="118320128"/>
        <c:axId val="118330112"/>
      </c:barChart>
      <c:catAx>
        <c:axId val="11832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8330112"/>
        <c:crosses val="autoZero"/>
        <c:auto val="1"/>
        <c:lblAlgn val="ctr"/>
        <c:lblOffset val="100"/>
        <c:noMultiLvlLbl val="0"/>
      </c:catAx>
      <c:valAx>
        <c:axId val="11833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832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2018'!$M$1</c:f>
              <c:strCache>
                <c:ptCount val="1"/>
                <c:pt idx="0">
                  <c:v>Polímero Filtro (g/t cana)</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2D2A-4849-8F15-A2EF531A4363}"/>
              </c:ext>
            </c:extLst>
          </c:dPt>
          <c:dPt>
            <c:idx val="1"/>
            <c:invertIfNegative val="0"/>
            <c:bubble3D val="0"/>
            <c:spPr>
              <a:solidFill>
                <a:srgbClr val="00B050"/>
              </a:solidFill>
              <a:ln>
                <a:noFill/>
              </a:ln>
              <a:effectLst/>
            </c:spPr>
            <c:extLst>
              <c:ext xmlns:c16="http://schemas.microsoft.com/office/drawing/2014/chart" uri="{C3380CC4-5D6E-409C-BE32-E72D297353CC}">
                <c16:uniqueId val="{00000003-2D2A-4849-8F15-A2EF531A4363}"/>
              </c:ext>
            </c:extLst>
          </c:dPt>
          <c:dPt>
            <c:idx val="2"/>
            <c:invertIfNegative val="0"/>
            <c:bubble3D val="0"/>
            <c:spPr>
              <a:solidFill>
                <a:srgbClr val="00B050"/>
              </a:solidFill>
              <a:ln>
                <a:noFill/>
              </a:ln>
              <a:effectLst/>
            </c:spPr>
            <c:extLst>
              <c:ext xmlns:c16="http://schemas.microsoft.com/office/drawing/2014/chart" uri="{C3380CC4-5D6E-409C-BE32-E72D297353CC}">
                <c16:uniqueId val="{00000005-2D2A-4849-8F15-A2EF531A4363}"/>
              </c:ext>
            </c:extLst>
          </c:dPt>
          <c:dPt>
            <c:idx val="3"/>
            <c:invertIfNegative val="0"/>
            <c:bubble3D val="0"/>
            <c:spPr>
              <a:solidFill>
                <a:srgbClr val="00B050"/>
              </a:solidFill>
              <a:ln>
                <a:noFill/>
              </a:ln>
              <a:effectLst/>
            </c:spPr>
            <c:extLst>
              <c:ext xmlns:c16="http://schemas.microsoft.com/office/drawing/2014/chart" uri="{C3380CC4-5D6E-409C-BE32-E72D297353CC}">
                <c16:uniqueId val="{00000007-2D2A-4849-8F15-A2EF531A4363}"/>
              </c:ext>
            </c:extLst>
          </c:dPt>
          <c:dPt>
            <c:idx val="4"/>
            <c:invertIfNegative val="0"/>
            <c:bubble3D val="0"/>
            <c:spPr>
              <a:solidFill>
                <a:srgbClr val="00B050"/>
              </a:solidFill>
              <a:ln>
                <a:noFill/>
              </a:ln>
              <a:effectLst/>
            </c:spPr>
            <c:extLst>
              <c:ext xmlns:c16="http://schemas.microsoft.com/office/drawing/2014/chart" uri="{C3380CC4-5D6E-409C-BE32-E72D297353CC}">
                <c16:uniqueId val="{00000009-2D2A-4849-8F15-A2EF531A4363}"/>
              </c:ext>
            </c:extLst>
          </c:dPt>
          <c:dPt>
            <c:idx val="5"/>
            <c:invertIfNegative val="0"/>
            <c:bubble3D val="0"/>
            <c:spPr>
              <a:solidFill>
                <a:srgbClr val="FF0000"/>
              </a:solidFill>
              <a:ln>
                <a:noFill/>
              </a:ln>
              <a:effectLst/>
            </c:spPr>
            <c:extLst>
              <c:ext xmlns:c16="http://schemas.microsoft.com/office/drawing/2014/chart" uri="{C3380CC4-5D6E-409C-BE32-E72D297353CC}">
                <c16:uniqueId val="{0000000B-2D2A-4849-8F15-A2EF531A4363}"/>
              </c:ext>
            </c:extLst>
          </c:dPt>
          <c:cat>
            <c:strRef>
              <c:f>'Fechamento 2018'!$M$2:$N$15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2018'!$O$2:$O$15</c:f>
              <c:numCache>
                <c:formatCode>General</c:formatCode>
                <c:ptCount val="14"/>
                <c:pt idx="0">
                  <c:v>9.1199999999999992</c:v>
                </c:pt>
                <c:pt idx="1">
                  <c:v>6.48</c:v>
                </c:pt>
                <c:pt idx="2">
                  <c:v>6.61</c:v>
                </c:pt>
                <c:pt idx="3">
                  <c:v>9.86</c:v>
                </c:pt>
                <c:pt idx="4">
                  <c:v>9.98</c:v>
                </c:pt>
                <c:pt idx="5">
                  <c:v>9.5</c:v>
                </c:pt>
                <c:pt idx="6">
                  <c:v>13.29</c:v>
                </c:pt>
                <c:pt idx="7">
                  <c:v>7.1</c:v>
                </c:pt>
                <c:pt idx="8">
                  <c:v>8.1</c:v>
                </c:pt>
                <c:pt idx="9">
                  <c:v>8.57</c:v>
                </c:pt>
                <c:pt idx="10">
                  <c:v>10.36</c:v>
                </c:pt>
                <c:pt idx="11">
                  <c:v>10.87</c:v>
                </c:pt>
                <c:pt idx="12">
                  <c:v>14.54</c:v>
                </c:pt>
                <c:pt idx="13">
                  <c:v>19.05</c:v>
                </c:pt>
              </c:numCache>
            </c:numRef>
          </c:val>
          <c:extLst>
            <c:ext xmlns:c16="http://schemas.microsoft.com/office/drawing/2014/chart" uri="{C3380CC4-5D6E-409C-BE32-E72D297353CC}">
              <c16:uniqueId val="{0000000C-2D2A-4849-8F15-A2EF531A4363}"/>
            </c:ext>
          </c:extLst>
        </c:ser>
        <c:dLbls>
          <c:showLegendKey val="0"/>
          <c:showVal val="0"/>
          <c:showCatName val="0"/>
          <c:showSerName val="0"/>
          <c:showPercent val="0"/>
          <c:showBubbleSize val="0"/>
        </c:dLbls>
        <c:gapWidth val="219"/>
        <c:overlap val="-27"/>
        <c:axId val="116401664"/>
        <c:axId val="116403200"/>
      </c:barChart>
      <c:catAx>
        <c:axId val="11640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403200"/>
        <c:crosses val="autoZero"/>
        <c:auto val="1"/>
        <c:lblAlgn val="ctr"/>
        <c:lblOffset val="100"/>
        <c:noMultiLvlLbl val="0"/>
      </c:catAx>
      <c:valAx>
        <c:axId val="11640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40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2018'!$Q$1</c:f>
              <c:strCache>
                <c:ptCount val="1"/>
                <c:pt idx="0">
                  <c:v>Dispersante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4532-43BE-8232-2A910F9C8ADB}"/>
              </c:ext>
            </c:extLst>
          </c:dPt>
          <c:dPt>
            <c:idx val="1"/>
            <c:invertIfNegative val="0"/>
            <c:bubble3D val="0"/>
            <c:spPr>
              <a:solidFill>
                <a:srgbClr val="00B050"/>
              </a:solidFill>
              <a:ln>
                <a:noFill/>
              </a:ln>
              <a:effectLst/>
            </c:spPr>
            <c:extLst>
              <c:ext xmlns:c16="http://schemas.microsoft.com/office/drawing/2014/chart" uri="{C3380CC4-5D6E-409C-BE32-E72D297353CC}">
                <c16:uniqueId val="{00000003-4532-43BE-8232-2A910F9C8ADB}"/>
              </c:ext>
            </c:extLst>
          </c:dPt>
          <c:dPt>
            <c:idx val="2"/>
            <c:invertIfNegative val="0"/>
            <c:bubble3D val="0"/>
            <c:spPr>
              <a:solidFill>
                <a:srgbClr val="00B050"/>
              </a:solidFill>
              <a:ln>
                <a:noFill/>
              </a:ln>
              <a:effectLst/>
            </c:spPr>
            <c:extLst>
              <c:ext xmlns:c16="http://schemas.microsoft.com/office/drawing/2014/chart" uri="{C3380CC4-5D6E-409C-BE32-E72D297353CC}">
                <c16:uniqueId val="{00000005-4532-43BE-8232-2A910F9C8ADB}"/>
              </c:ext>
            </c:extLst>
          </c:dPt>
          <c:dPt>
            <c:idx val="3"/>
            <c:invertIfNegative val="0"/>
            <c:bubble3D val="0"/>
            <c:spPr>
              <a:solidFill>
                <a:srgbClr val="00B050"/>
              </a:solidFill>
              <a:ln>
                <a:noFill/>
              </a:ln>
              <a:effectLst/>
            </c:spPr>
            <c:extLst>
              <c:ext xmlns:c16="http://schemas.microsoft.com/office/drawing/2014/chart" uri="{C3380CC4-5D6E-409C-BE32-E72D297353CC}">
                <c16:uniqueId val="{00000007-4532-43BE-8232-2A910F9C8ADB}"/>
              </c:ext>
            </c:extLst>
          </c:dPt>
          <c:dPt>
            <c:idx val="4"/>
            <c:invertIfNegative val="0"/>
            <c:bubble3D val="0"/>
            <c:spPr>
              <a:solidFill>
                <a:srgbClr val="00B050"/>
              </a:solidFill>
              <a:ln>
                <a:noFill/>
              </a:ln>
              <a:effectLst/>
            </c:spPr>
            <c:extLst>
              <c:ext xmlns:c16="http://schemas.microsoft.com/office/drawing/2014/chart" uri="{C3380CC4-5D6E-409C-BE32-E72D297353CC}">
                <c16:uniqueId val="{00000009-4532-43BE-8232-2A910F9C8ADB}"/>
              </c:ext>
            </c:extLst>
          </c:dPt>
          <c:dPt>
            <c:idx val="5"/>
            <c:invertIfNegative val="0"/>
            <c:bubble3D val="0"/>
            <c:spPr>
              <a:solidFill>
                <a:srgbClr val="FF0000"/>
              </a:solidFill>
              <a:ln>
                <a:noFill/>
              </a:ln>
              <a:effectLst/>
            </c:spPr>
            <c:extLst>
              <c:ext xmlns:c16="http://schemas.microsoft.com/office/drawing/2014/chart" uri="{C3380CC4-5D6E-409C-BE32-E72D297353CC}">
                <c16:uniqueId val="{0000000B-4532-43BE-8232-2A910F9C8ADB}"/>
              </c:ext>
            </c:extLst>
          </c:dPt>
          <c:cat>
            <c:strRef>
              <c:f>'Fechamento 2018'!$Q$2:$R$13</c:f>
              <c:strCache>
                <c:ptCount val="12"/>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strCache>
            </c:strRef>
          </c:cat>
          <c:val>
            <c:numRef>
              <c:f>'Fechamento 2018'!$S$2:$S$13</c:f>
              <c:numCache>
                <c:formatCode>General</c:formatCode>
                <c:ptCount val="12"/>
                <c:pt idx="0">
                  <c:v>0.36</c:v>
                </c:pt>
                <c:pt idx="1">
                  <c:v>0.33</c:v>
                </c:pt>
                <c:pt idx="2">
                  <c:v>0.24</c:v>
                </c:pt>
                <c:pt idx="3" formatCode="0.00">
                  <c:v>0.2</c:v>
                </c:pt>
                <c:pt idx="4">
                  <c:v>0.09</c:v>
                </c:pt>
                <c:pt idx="5">
                  <c:v>0.12</c:v>
                </c:pt>
                <c:pt idx="6">
                  <c:v>0.13</c:v>
                </c:pt>
                <c:pt idx="7">
                  <c:v>0.16</c:v>
                </c:pt>
                <c:pt idx="8">
                  <c:v>0.09</c:v>
                </c:pt>
                <c:pt idx="9">
                  <c:v>0.05</c:v>
                </c:pt>
                <c:pt idx="10">
                  <c:v>0.06</c:v>
                </c:pt>
                <c:pt idx="11">
                  <c:v>0.06</c:v>
                </c:pt>
              </c:numCache>
            </c:numRef>
          </c:val>
          <c:extLst>
            <c:ext xmlns:c16="http://schemas.microsoft.com/office/drawing/2014/chart" uri="{C3380CC4-5D6E-409C-BE32-E72D297353CC}">
              <c16:uniqueId val="{0000000C-4532-43BE-8232-2A910F9C8ADB}"/>
            </c:ext>
          </c:extLst>
        </c:ser>
        <c:dLbls>
          <c:showLegendKey val="0"/>
          <c:showVal val="0"/>
          <c:showCatName val="0"/>
          <c:showSerName val="0"/>
          <c:showPercent val="0"/>
          <c:showBubbleSize val="0"/>
        </c:dLbls>
        <c:gapWidth val="219"/>
        <c:overlap val="-27"/>
        <c:axId val="116445184"/>
        <c:axId val="116446720"/>
      </c:barChart>
      <c:catAx>
        <c:axId val="11644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446720"/>
        <c:crosses val="autoZero"/>
        <c:auto val="1"/>
        <c:lblAlgn val="ctr"/>
        <c:lblOffset val="100"/>
        <c:noMultiLvlLbl val="0"/>
      </c:catAx>
      <c:valAx>
        <c:axId val="11644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445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2018'!$U$1</c:f>
              <c:strCache>
                <c:ptCount val="1"/>
                <c:pt idx="0">
                  <c:v>Antiespumante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6852-413A-836F-E2A0C2603F02}"/>
              </c:ext>
            </c:extLst>
          </c:dPt>
          <c:dPt>
            <c:idx val="1"/>
            <c:invertIfNegative val="0"/>
            <c:bubble3D val="0"/>
            <c:spPr>
              <a:solidFill>
                <a:srgbClr val="00B050"/>
              </a:solidFill>
              <a:ln>
                <a:noFill/>
              </a:ln>
              <a:effectLst/>
            </c:spPr>
            <c:extLst>
              <c:ext xmlns:c16="http://schemas.microsoft.com/office/drawing/2014/chart" uri="{C3380CC4-5D6E-409C-BE32-E72D297353CC}">
                <c16:uniqueId val="{00000003-6852-413A-836F-E2A0C2603F02}"/>
              </c:ext>
            </c:extLst>
          </c:dPt>
          <c:dPt>
            <c:idx val="2"/>
            <c:invertIfNegative val="0"/>
            <c:bubble3D val="0"/>
            <c:spPr>
              <a:solidFill>
                <a:srgbClr val="00B050"/>
              </a:solidFill>
              <a:ln>
                <a:noFill/>
              </a:ln>
              <a:effectLst/>
            </c:spPr>
            <c:extLst>
              <c:ext xmlns:c16="http://schemas.microsoft.com/office/drawing/2014/chart" uri="{C3380CC4-5D6E-409C-BE32-E72D297353CC}">
                <c16:uniqueId val="{00000005-6852-413A-836F-E2A0C2603F02}"/>
              </c:ext>
            </c:extLst>
          </c:dPt>
          <c:dPt>
            <c:idx val="3"/>
            <c:invertIfNegative val="0"/>
            <c:bubble3D val="0"/>
            <c:spPr>
              <a:solidFill>
                <a:srgbClr val="00B050"/>
              </a:solidFill>
              <a:ln>
                <a:noFill/>
              </a:ln>
              <a:effectLst/>
            </c:spPr>
            <c:extLst>
              <c:ext xmlns:c16="http://schemas.microsoft.com/office/drawing/2014/chart" uri="{C3380CC4-5D6E-409C-BE32-E72D297353CC}">
                <c16:uniqueId val="{00000007-6852-413A-836F-E2A0C2603F02}"/>
              </c:ext>
            </c:extLst>
          </c:dPt>
          <c:dPt>
            <c:idx val="4"/>
            <c:invertIfNegative val="0"/>
            <c:bubble3D val="0"/>
            <c:spPr>
              <a:solidFill>
                <a:srgbClr val="00B050"/>
              </a:solidFill>
              <a:ln>
                <a:noFill/>
              </a:ln>
              <a:effectLst/>
            </c:spPr>
            <c:extLst>
              <c:ext xmlns:c16="http://schemas.microsoft.com/office/drawing/2014/chart" uri="{C3380CC4-5D6E-409C-BE32-E72D297353CC}">
                <c16:uniqueId val="{00000009-6852-413A-836F-E2A0C2603F02}"/>
              </c:ext>
            </c:extLst>
          </c:dPt>
          <c:dPt>
            <c:idx val="5"/>
            <c:invertIfNegative val="0"/>
            <c:bubble3D val="0"/>
            <c:spPr>
              <a:solidFill>
                <a:srgbClr val="FF0000"/>
              </a:solidFill>
              <a:ln>
                <a:noFill/>
              </a:ln>
              <a:effectLst/>
            </c:spPr>
            <c:extLst>
              <c:ext xmlns:c16="http://schemas.microsoft.com/office/drawing/2014/chart" uri="{C3380CC4-5D6E-409C-BE32-E72D297353CC}">
                <c16:uniqueId val="{0000000B-6852-413A-836F-E2A0C2603F02}"/>
              </c:ext>
            </c:extLst>
          </c:dPt>
          <c:cat>
            <c:strRef>
              <c:f>'Fechamento 2018'!$U$2:$V$15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2018'!$W$2:$W$15</c:f>
              <c:numCache>
                <c:formatCode>General</c:formatCode>
                <c:ptCount val="14"/>
                <c:pt idx="0">
                  <c:v>0.42</c:v>
                </c:pt>
                <c:pt idx="1">
                  <c:v>0.61</c:v>
                </c:pt>
                <c:pt idx="2">
                  <c:v>0.32</c:v>
                </c:pt>
                <c:pt idx="3" formatCode="0.00">
                  <c:v>0.26</c:v>
                </c:pt>
                <c:pt idx="4">
                  <c:v>0.13</c:v>
                </c:pt>
                <c:pt idx="5">
                  <c:v>0.22</c:v>
                </c:pt>
                <c:pt idx="6">
                  <c:v>0.15</c:v>
                </c:pt>
                <c:pt idx="7">
                  <c:v>0.28000000000000003</c:v>
                </c:pt>
                <c:pt idx="8">
                  <c:v>0.09</c:v>
                </c:pt>
                <c:pt idx="9">
                  <c:v>0.09</c:v>
                </c:pt>
                <c:pt idx="10">
                  <c:v>0.13</c:v>
                </c:pt>
                <c:pt idx="11">
                  <c:v>0.11</c:v>
                </c:pt>
                <c:pt idx="12">
                  <c:v>0.08</c:v>
                </c:pt>
                <c:pt idx="13">
                  <c:v>0.08</c:v>
                </c:pt>
              </c:numCache>
            </c:numRef>
          </c:val>
          <c:extLst>
            <c:ext xmlns:c16="http://schemas.microsoft.com/office/drawing/2014/chart" uri="{C3380CC4-5D6E-409C-BE32-E72D297353CC}">
              <c16:uniqueId val="{0000000C-6852-413A-836F-E2A0C2603F02}"/>
            </c:ext>
          </c:extLst>
        </c:ser>
        <c:dLbls>
          <c:showLegendKey val="0"/>
          <c:showVal val="0"/>
          <c:showCatName val="0"/>
          <c:showSerName val="0"/>
          <c:showPercent val="0"/>
          <c:showBubbleSize val="0"/>
        </c:dLbls>
        <c:gapWidth val="219"/>
        <c:overlap val="-27"/>
        <c:axId val="170686720"/>
        <c:axId val="123936768"/>
      </c:barChart>
      <c:catAx>
        <c:axId val="17068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36768"/>
        <c:crosses val="autoZero"/>
        <c:auto val="1"/>
        <c:lblAlgn val="ctr"/>
        <c:lblOffset val="100"/>
        <c:noMultiLvlLbl val="0"/>
      </c:catAx>
      <c:valAx>
        <c:axId val="12393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686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2018'!$Y$1</c:f>
              <c:strCache>
                <c:ptCount val="1"/>
                <c:pt idx="0">
                  <c:v>Dióxido de Cloro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78BC-45F4-9DF4-106B8C91FDAE}"/>
              </c:ext>
            </c:extLst>
          </c:dPt>
          <c:dPt>
            <c:idx val="1"/>
            <c:invertIfNegative val="0"/>
            <c:bubble3D val="0"/>
            <c:spPr>
              <a:solidFill>
                <a:srgbClr val="00B050"/>
              </a:solidFill>
              <a:ln>
                <a:noFill/>
              </a:ln>
              <a:effectLst/>
            </c:spPr>
            <c:extLst>
              <c:ext xmlns:c16="http://schemas.microsoft.com/office/drawing/2014/chart" uri="{C3380CC4-5D6E-409C-BE32-E72D297353CC}">
                <c16:uniqueId val="{00000003-78BC-45F4-9DF4-106B8C91FDAE}"/>
              </c:ext>
            </c:extLst>
          </c:dPt>
          <c:dPt>
            <c:idx val="2"/>
            <c:invertIfNegative val="0"/>
            <c:bubble3D val="0"/>
            <c:spPr>
              <a:solidFill>
                <a:srgbClr val="00B050"/>
              </a:solidFill>
              <a:ln>
                <a:noFill/>
              </a:ln>
              <a:effectLst/>
            </c:spPr>
            <c:extLst>
              <c:ext xmlns:c16="http://schemas.microsoft.com/office/drawing/2014/chart" uri="{C3380CC4-5D6E-409C-BE32-E72D297353CC}">
                <c16:uniqueId val="{00000005-78BC-45F4-9DF4-106B8C91FDAE}"/>
              </c:ext>
            </c:extLst>
          </c:dPt>
          <c:dPt>
            <c:idx val="3"/>
            <c:invertIfNegative val="0"/>
            <c:bubble3D val="0"/>
            <c:spPr>
              <a:solidFill>
                <a:srgbClr val="00B050"/>
              </a:solidFill>
              <a:ln>
                <a:noFill/>
              </a:ln>
              <a:effectLst/>
            </c:spPr>
            <c:extLst>
              <c:ext xmlns:c16="http://schemas.microsoft.com/office/drawing/2014/chart" uri="{C3380CC4-5D6E-409C-BE32-E72D297353CC}">
                <c16:uniqueId val="{00000007-78BC-45F4-9DF4-106B8C91FDAE}"/>
              </c:ext>
            </c:extLst>
          </c:dPt>
          <c:dPt>
            <c:idx val="4"/>
            <c:invertIfNegative val="0"/>
            <c:bubble3D val="0"/>
            <c:spPr>
              <a:solidFill>
                <a:srgbClr val="00B050"/>
              </a:solidFill>
              <a:ln>
                <a:noFill/>
              </a:ln>
              <a:effectLst/>
            </c:spPr>
            <c:extLst>
              <c:ext xmlns:c16="http://schemas.microsoft.com/office/drawing/2014/chart" uri="{C3380CC4-5D6E-409C-BE32-E72D297353CC}">
                <c16:uniqueId val="{00000009-78BC-45F4-9DF4-106B8C91FDAE}"/>
              </c:ext>
            </c:extLst>
          </c:dPt>
          <c:dPt>
            <c:idx val="5"/>
            <c:invertIfNegative val="0"/>
            <c:bubble3D val="0"/>
            <c:spPr>
              <a:solidFill>
                <a:srgbClr val="FF0000"/>
              </a:solidFill>
              <a:ln>
                <a:noFill/>
              </a:ln>
              <a:effectLst/>
            </c:spPr>
            <c:extLst>
              <c:ext xmlns:c16="http://schemas.microsoft.com/office/drawing/2014/chart" uri="{C3380CC4-5D6E-409C-BE32-E72D297353CC}">
                <c16:uniqueId val="{0000000B-78BC-45F4-9DF4-106B8C91FDAE}"/>
              </c:ext>
            </c:extLst>
          </c:dPt>
          <c:cat>
            <c:strRef>
              <c:f>'Fechamento 2018'!$Y$2:$Z$15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2018'!$AA$2:$AA$15</c:f>
              <c:numCache>
                <c:formatCode>General</c:formatCode>
                <c:ptCount val="14"/>
                <c:pt idx="0">
                  <c:v>0.22</c:v>
                </c:pt>
                <c:pt idx="1">
                  <c:v>0.24</c:v>
                </c:pt>
                <c:pt idx="2" formatCode="0.00">
                  <c:v>0.2</c:v>
                </c:pt>
                <c:pt idx="3" formatCode="0.00">
                  <c:v>0.19</c:v>
                </c:pt>
                <c:pt idx="4">
                  <c:v>0.18</c:v>
                </c:pt>
                <c:pt idx="5" formatCode="0.00">
                  <c:v>0.2</c:v>
                </c:pt>
                <c:pt idx="6">
                  <c:v>0.04</c:v>
                </c:pt>
                <c:pt idx="7">
                  <c:v>0.15</c:v>
                </c:pt>
                <c:pt idx="8">
                  <c:v>0.15</c:v>
                </c:pt>
                <c:pt idx="9">
                  <c:v>0.17</c:v>
                </c:pt>
                <c:pt idx="10">
                  <c:v>0.23</c:v>
                </c:pt>
                <c:pt idx="11">
                  <c:v>0.23</c:v>
                </c:pt>
                <c:pt idx="12">
                  <c:v>0.22</c:v>
                </c:pt>
                <c:pt idx="13">
                  <c:v>0.14000000000000001</c:v>
                </c:pt>
              </c:numCache>
            </c:numRef>
          </c:val>
          <c:extLst>
            <c:ext xmlns:c16="http://schemas.microsoft.com/office/drawing/2014/chart" uri="{C3380CC4-5D6E-409C-BE32-E72D297353CC}">
              <c16:uniqueId val="{0000000C-78BC-45F4-9DF4-106B8C91FDAE}"/>
            </c:ext>
          </c:extLst>
        </c:ser>
        <c:dLbls>
          <c:showLegendKey val="0"/>
          <c:showVal val="0"/>
          <c:showCatName val="0"/>
          <c:showSerName val="0"/>
          <c:showPercent val="0"/>
          <c:showBubbleSize val="0"/>
        </c:dLbls>
        <c:gapWidth val="219"/>
        <c:overlap val="-27"/>
        <c:axId val="123990400"/>
        <c:axId val="123991936"/>
      </c:barChart>
      <c:catAx>
        <c:axId val="12399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91936"/>
        <c:crosses val="autoZero"/>
        <c:auto val="1"/>
        <c:lblAlgn val="ctr"/>
        <c:lblOffset val="100"/>
        <c:noMultiLvlLbl val="0"/>
      </c:catAx>
      <c:valAx>
        <c:axId val="12399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990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2018'!$AC$1</c:f>
              <c:strCache>
                <c:ptCount val="1"/>
                <c:pt idx="0">
                  <c:v>Polímero Decantador (g/t cana)</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9A4-447F-B2BB-4199A17E5975}"/>
              </c:ext>
            </c:extLst>
          </c:dPt>
          <c:dPt>
            <c:idx val="1"/>
            <c:invertIfNegative val="0"/>
            <c:bubble3D val="0"/>
            <c:spPr>
              <a:solidFill>
                <a:srgbClr val="00B050"/>
              </a:solidFill>
              <a:ln>
                <a:noFill/>
              </a:ln>
              <a:effectLst/>
            </c:spPr>
            <c:extLst>
              <c:ext xmlns:c16="http://schemas.microsoft.com/office/drawing/2014/chart" uri="{C3380CC4-5D6E-409C-BE32-E72D297353CC}">
                <c16:uniqueId val="{00000003-B9A4-447F-B2BB-4199A17E5975}"/>
              </c:ext>
            </c:extLst>
          </c:dPt>
          <c:dPt>
            <c:idx val="2"/>
            <c:invertIfNegative val="0"/>
            <c:bubble3D val="0"/>
            <c:spPr>
              <a:solidFill>
                <a:srgbClr val="00B050"/>
              </a:solidFill>
              <a:ln>
                <a:noFill/>
              </a:ln>
              <a:effectLst/>
            </c:spPr>
            <c:extLst>
              <c:ext xmlns:c16="http://schemas.microsoft.com/office/drawing/2014/chart" uri="{C3380CC4-5D6E-409C-BE32-E72D297353CC}">
                <c16:uniqueId val="{00000005-B9A4-447F-B2BB-4199A17E5975}"/>
              </c:ext>
            </c:extLst>
          </c:dPt>
          <c:dPt>
            <c:idx val="3"/>
            <c:invertIfNegative val="0"/>
            <c:bubble3D val="0"/>
            <c:spPr>
              <a:solidFill>
                <a:srgbClr val="00B050"/>
              </a:solidFill>
              <a:ln>
                <a:noFill/>
              </a:ln>
              <a:effectLst/>
            </c:spPr>
            <c:extLst>
              <c:ext xmlns:c16="http://schemas.microsoft.com/office/drawing/2014/chart" uri="{C3380CC4-5D6E-409C-BE32-E72D297353CC}">
                <c16:uniqueId val="{00000007-B9A4-447F-B2BB-4199A17E5975}"/>
              </c:ext>
            </c:extLst>
          </c:dPt>
          <c:dPt>
            <c:idx val="4"/>
            <c:invertIfNegative val="0"/>
            <c:bubble3D val="0"/>
            <c:spPr>
              <a:solidFill>
                <a:srgbClr val="00B050"/>
              </a:solidFill>
              <a:ln>
                <a:noFill/>
              </a:ln>
              <a:effectLst/>
            </c:spPr>
            <c:extLst>
              <c:ext xmlns:c16="http://schemas.microsoft.com/office/drawing/2014/chart" uri="{C3380CC4-5D6E-409C-BE32-E72D297353CC}">
                <c16:uniqueId val="{00000009-B9A4-447F-B2BB-4199A17E5975}"/>
              </c:ext>
            </c:extLst>
          </c:dPt>
          <c:dPt>
            <c:idx val="5"/>
            <c:invertIfNegative val="0"/>
            <c:bubble3D val="0"/>
            <c:spPr>
              <a:solidFill>
                <a:srgbClr val="FF0000"/>
              </a:solidFill>
              <a:ln>
                <a:noFill/>
              </a:ln>
              <a:effectLst/>
            </c:spPr>
            <c:extLst>
              <c:ext xmlns:c16="http://schemas.microsoft.com/office/drawing/2014/chart" uri="{C3380CC4-5D6E-409C-BE32-E72D297353CC}">
                <c16:uniqueId val="{0000000B-B9A4-447F-B2BB-4199A17E5975}"/>
              </c:ext>
            </c:extLst>
          </c:dPt>
          <c:cat>
            <c:strRef>
              <c:f>'Fechamento 2018'!$AC$2:$AD$13</c:f>
              <c:strCache>
                <c:ptCount val="12"/>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strCache>
            </c:strRef>
          </c:cat>
          <c:val>
            <c:numRef>
              <c:f>'Fechamento 2018'!$AE$2:$AE$13</c:f>
              <c:numCache>
                <c:formatCode>General</c:formatCode>
                <c:ptCount val="12"/>
                <c:pt idx="0">
                  <c:v>2.17</c:v>
                </c:pt>
                <c:pt idx="1">
                  <c:v>2.1</c:v>
                </c:pt>
                <c:pt idx="2" formatCode="0.00">
                  <c:v>2.71</c:v>
                </c:pt>
                <c:pt idx="3" formatCode="0.00">
                  <c:v>3.51</c:v>
                </c:pt>
                <c:pt idx="4">
                  <c:v>2.97</c:v>
                </c:pt>
                <c:pt idx="5" formatCode="0.00">
                  <c:v>3.5</c:v>
                </c:pt>
                <c:pt idx="6">
                  <c:v>1.9</c:v>
                </c:pt>
                <c:pt idx="7">
                  <c:v>3.04</c:v>
                </c:pt>
                <c:pt idx="8">
                  <c:v>2.94</c:v>
                </c:pt>
                <c:pt idx="9">
                  <c:v>2.88</c:v>
                </c:pt>
                <c:pt idx="10">
                  <c:v>3.24</c:v>
                </c:pt>
                <c:pt idx="11">
                  <c:v>3.23</c:v>
                </c:pt>
              </c:numCache>
            </c:numRef>
          </c:val>
          <c:extLst>
            <c:ext xmlns:c16="http://schemas.microsoft.com/office/drawing/2014/chart" uri="{C3380CC4-5D6E-409C-BE32-E72D297353CC}">
              <c16:uniqueId val="{0000000C-B9A4-447F-B2BB-4199A17E5975}"/>
            </c:ext>
          </c:extLst>
        </c:ser>
        <c:dLbls>
          <c:showLegendKey val="0"/>
          <c:showVal val="0"/>
          <c:showCatName val="0"/>
          <c:showSerName val="0"/>
          <c:showPercent val="0"/>
          <c:showBubbleSize val="0"/>
        </c:dLbls>
        <c:gapWidth val="219"/>
        <c:overlap val="-27"/>
        <c:axId val="124029568"/>
        <c:axId val="124035456"/>
      </c:barChart>
      <c:catAx>
        <c:axId val="12402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035456"/>
        <c:crosses val="autoZero"/>
        <c:auto val="1"/>
        <c:lblAlgn val="ctr"/>
        <c:lblOffset val="100"/>
        <c:noMultiLvlLbl val="0"/>
      </c:catAx>
      <c:valAx>
        <c:axId val="12403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029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2018'!$AG$1</c:f>
              <c:strCache>
                <c:ptCount val="1"/>
                <c:pt idx="0">
                  <c:v>Nutriente (g/L etanol)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226B-4486-8AF3-F9FA2536231C}"/>
              </c:ext>
            </c:extLst>
          </c:dPt>
          <c:dPt>
            <c:idx val="1"/>
            <c:invertIfNegative val="0"/>
            <c:bubble3D val="0"/>
            <c:spPr>
              <a:solidFill>
                <a:srgbClr val="00B050"/>
              </a:solidFill>
              <a:ln>
                <a:noFill/>
              </a:ln>
              <a:effectLst/>
            </c:spPr>
            <c:extLst>
              <c:ext xmlns:c16="http://schemas.microsoft.com/office/drawing/2014/chart" uri="{C3380CC4-5D6E-409C-BE32-E72D297353CC}">
                <c16:uniqueId val="{00000003-226B-4486-8AF3-F9FA2536231C}"/>
              </c:ext>
            </c:extLst>
          </c:dPt>
          <c:dPt>
            <c:idx val="2"/>
            <c:invertIfNegative val="0"/>
            <c:bubble3D val="0"/>
            <c:spPr>
              <a:solidFill>
                <a:srgbClr val="00B050"/>
              </a:solidFill>
              <a:ln>
                <a:noFill/>
              </a:ln>
              <a:effectLst/>
            </c:spPr>
            <c:extLst>
              <c:ext xmlns:c16="http://schemas.microsoft.com/office/drawing/2014/chart" uri="{C3380CC4-5D6E-409C-BE32-E72D297353CC}">
                <c16:uniqueId val="{00000005-226B-4486-8AF3-F9FA2536231C}"/>
              </c:ext>
            </c:extLst>
          </c:dPt>
          <c:dPt>
            <c:idx val="3"/>
            <c:invertIfNegative val="0"/>
            <c:bubble3D val="0"/>
            <c:spPr>
              <a:solidFill>
                <a:srgbClr val="00B050"/>
              </a:solidFill>
              <a:ln>
                <a:noFill/>
              </a:ln>
              <a:effectLst/>
            </c:spPr>
            <c:extLst>
              <c:ext xmlns:c16="http://schemas.microsoft.com/office/drawing/2014/chart" uri="{C3380CC4-5D6E-409C-BE32-E72D297353CC}">
                <c16:uniqueId val="{00000007-226B-4486-8AF3-F9FA2536231C}"/>
              </c:ext>
            </c:extLst>
          </c:dPt>
          <c:dPt>
            <c:idx val="4"/>
            <c:invertIfNegative val="0"/>
            <c:bubble3D val="0"/>
            <c:spPr>
              <a:solidFill>
                <a:srgbClr val="00B050"/>
              </a:solidFill>
              <a:ln>
                <a:noFill/>
              </a:ln>
              <a:effectLst/>
            </c:spPr>
            <c:extLst>
              <c:ext xmlns:c16="http://schemas.microsoft.com/office/drawing/2014/chart" uri="{C3380CC4-5D6E-409C-BE32-E72D297353CC}">
                <c16:uniqueId val="{00000009-226B-4486-8AF3-F9FA2536231C}"/>
              </c:ext>
            </c:extLst>
          </c:dPt>
          <c:dPt>
            <c:idx val="5"/>
            <c:invertIfNegative val="0"/>
            <c:bubble3D val="0"/>
            <c:spPr>
              <a:solidFill>
                <a:srgbClr val="FF0000"/>
              </a:solidFill>
              <a:ln>
                <a:noFill/>
              </a:ln>
              <a:effectLst/>
            </c:spPr>
            <c:extLst>
              <c:ext xmlns:c16="http://schemas.microsoft.com/office/drawing/2014/chart" uri="{C3380CC4-5D6E-409C-BE32-E72D297353CC}">
                <c16:uniqueId val="{0000000B-226B-4486-8AF3-F9FA2536231C}"/>
              </c:ext>
            </c:extLst>
          </c:dPt>
          <c:cat>
            <c:strRef>
              <c:f>'Fechamento 2018'!$AG$2:$AH$15</c:f>
              <c:strCache>
                <c:ptCount val="14"/>
                <c:pt idx="0">
                  <c:v>Acumulado 2014</c:v>
                </c:pt>
                <c:pt idx="1">
                  <c:v>Acumulado 2015</c:v>
                </c:pt>
                <c:pt idx="2">
                  <c:v>Acumulado 2016</c:v>
                </c:pt>
                <c:pt idx="3">
                  <c:v>Acumulado 2017</c:v>
                </c:pt>
                <c:pt idx="4">
                  <c:v>Acumulado 2018</c:v>
                </c:pt>
                <c:pt idx="5">
                  <c:v>Orçado Safra</c:v>
                </c:pt>
                <c:pt idx="6">
                  <c:v>Abril</c:v>
                </c:pt>
                <c:pt idx="7">
                  <c:v>Maio</c:v>
                </c:pt>
                <c:pt idx="8">
                  <c:v>Junho</c:v>
                </c:pt>
                <c:pt idx="9">
                  <c:v>Julho</c:v>
                </c:pt>
                <c:pt idx="10">
                  <c:v>Agosto</c:v>
                </c:pt>
                <c:pt idx="11">
                  <c:v>Setembro</c:v>
                </c:pt>
                <c:pt idx="12">
                  <c:v>Outubro</c:v>
                </c:pt>
                <c:pt idx="13">
                  <c:v>Novembro</c:v>
                </c:pt>
              </c:strCache>
            </c:strRef>
          </c:cat>
          <c:val>
            <c:numRef>
              <c:f>'Fechamento 2018'!$AI$2:$AI$15</c:f>
              <c:numCache>
                <c:formatCode>0.00</c:formatCode>
                <c:ptCount val="14"/>
                <c:pt idx="0" formatCode="General">
                  <c:v>0.17</c:v>
                </c:pt>
                <c:pt idx="1">
                  <c:v>0.2</c:v>
                </c:pt>
                <c:pt idx="2">
                  <c:v>0.08</c:v>
                </c:pt>
                <c:pt idx="3">
                  <c:v>0.06</c:v>
                </c:pt>
                <c:pt idx="4" formatCode="General">
                  <c:v>0.15</c:v>
                </c:pt>
                <c:pt idx="5">
                  <c:v>0.1</c:v>
                </c:pt>
                <c:pt idx="6" formatCode="General">
                  <c:v>0.98</c:v>
                </c:pt>
                <c:pt idx="7" formatCode="General">
                  <c:v>0.08</c:v>
                </c:pt>
                <c:pt idx="8" formatCode="General">
                  <c:v>0.09</c:v>
                </c:pt>
                <c:pt idx="9" formatCode="General">
                  <c:v>0.13</c:v>
                </c:pt>
                <c:pt idx="10" formatCode="General">
                  <c:v>0.26</c:v>
                </c:pt>
                <c:pt idx="11">
                  <c:v>0.1</c:v>
                </c:pt>
                <c:pt idx="12">
                  <c:v>0.47</c:v>
                </c:pt>
                <c:pt idx="13">
                  <c:v>0.09</c:v>
                </c:pt>
              </c:numCache>
            </c:numRef>
          </c:val>
          <c:extLst>
            <c:ext xmlns:c16="http://schemas.microsoft.com/office/drawing/2014/chart" uri="{C3380CC4-5D6E-409C-BE32-E72D297353CC}">
              <c16:uniqueId val="{0000000C-226B-4486-8AF3-F9FA2536231C}"/>
            </c:ext>
          </c:extLst>
        </c:ser>
        <c:dLbls>
          <c:showLegendKey val="0"/>
          <c:showVal val="0"/>
          <c:showCatName val="0"/>
          <c:showSerName val="0"/>
          <c:showPercent val="0"/>
          <c:showBubbleSize val="0"/>
        </c:dLbls>
        <c:gapWidth val="219"/>
        <c:overlap val="-27"/>
        <c:axId val="124138624"/>
        <c:axId val="124140160"/>
      </c:barChart>
      <c:catAx>
        <c:axId val="12413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140160"/>
        <c:crosses val="autoZero"/>
        <c:auto val="1"/>
        <c:lblAlgn val="ctr"/>
        <c:lblOffset val="100"/>
        <c:noMultiLvlLbl val="0"/>
      </c:catAx>
      <c:valAx>
        <c:axId val="124140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13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2018'!$AK$1</c:f>
              <c:strCache>
                <c:ptCount val="1"/>
                <c:pt idx="0">
                  <c:v>Trat. Torre Ferm. (R$/m³ etanol)</c:v>
                </c:pt>
              </c:strCache>
            </c:strRef>
          </c:tx>
          <c:spPr>
            <a:solidFill>
              <a:srgbClr val="00B050"/>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400A-4444-9C6B-B901D4FBAC80}"/>
              </c:ext>
            </c:extLst>
          </c:dPt>
          <c:cat>
            <c:strRef>
              <c:f>'Fechamento 2018'!$AK$2:$AL$7</c:f>
              <c:strCache>
                <c:ptCount val="6"/>
                <c:pt idx="0">
                  <c:v>Acumulado 2014</c:v>
                </c:pt>
                <c:pt idx="1">
                  <c:v>Acumulado 2015</c:v>
                </c:pt>
                <c:pt idx="2">
                  <c:v>Acumulado 2016</c:v>
                </c:pt>
                <c:pt idx="3">
                  <c:v>Acumulado 2017</c:v>
                </c:pt>
                <c:pt idx="4">
                  <c:v>Acumulado 2018</c:v>
                </c:pt>
                <c:pt idx="5">
                  <c:v>Orçado Safra</c:v>
                </c:pt>
              </c:strCache>
            </c:strRef>
          </c:cat>
          <c:val>
            <c:numRef>
              <c:f>'Fechamento 2018'!$AM$2:$AM$7</c:f>
              <c:numCache>
                <c:formatCode>0.00</c:formatCode>
                <c:ptCount val="6"/>
                <c:pt idx="0" formatCode="General">
                  <c:v>0.95</c:v>
                </c:pt>
                <c:pt idx="1">
                  <c:v>0.23</c:v>
                </c:pt>
                <c:pt idx="2">
                  <c:v>0.9</c:v>
                </c:pt>
                <c:pt idx="3">
                  <c:v>0.87</c:v>
                </c:pt>
                <c:pt idx="4" formatCode="General">
                  <c:v>0.37</c:v>
                </c:pt>
                <c:pt idx="5">
                  <c:v>1.32</c:v>
                </c:pt>
              </c:numCache>
            </c:numRef>
          </c:val>
          <c:extLst>
            <c:ext xmlns:c16="http://schemas.microsoft.com/office/drawing/2014/chart" uri="{C3380CC4-5D6E-409C-BE32-E72D297353CC}">
              <c16:uniqueId val="{00000002-400A-4444-9C6B-B901D4FBAC80}"/>
            </c:ext>
          </c:extLst>
        </c:ser>
        <c:dLbls>
          <c:showLegendKey val="0"/>
          <c:showVal val="0"/>
          <c:showCatName val="0"/>
          <c:showSerName val="0"/>
          <c:showPercent val="0"/>
          <c:showBubbleSize val="0"/>
        </c:dLbls>
        <c:gapWidth val="219"/>
        <c:overlap val="-27"/>
        <c:axId val="124190080"/>
        <c:axId val="124060800"/>
      </c:barChart>
      <c:catAx>
        <c:axId val="12419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060800"/>
        <c:crosses val="autoZero"/>
        <c:auto val="1"/>
        <c:lblAlgn val="ctr"/>
        <c:lblOffset val="100"/>
        <c:noMultiLvlLbl val="0"/>
      </c:catAx>
      <c:valAx>
        <c:axId val="12406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19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2018'!$AO$1</c:f>
              <c:strCache>
                <c:ptCount val="1"/>
                <c:pt idx="0">
                  <c:v>Custo Específico (R$/t cana)</c:v>
                </c:pt>
              </c:strCache>
            </c:strRef>
          </c:tx>
          <c:spPr>
            <a:solidFill>
              <a:srgbClr val="00B050"/>
            </a:solidFill>
            <a:ln>
              <a:noFill/>
            </a:ln>
            <a:effectLst/>
          </c:spPr>
          <c:invertIfNegative val="0"/>
          <c:dPt>
            <c:idx val="4"/>
            <c:invertIfNegative val="0"/>
            <c:bubble3D val="0"/>
            <c:spPr>
              <a:solidFill>
                <a:srgbClr val="0070C0"/>
              </a:solidFill>
              <a:ln>
                <a:noFill/>
              </a:ln>
              <a:effectLst/>
            </c:spPr>
            <c:extLst>
              <c:ext xmlns:c16="http://schemas.microsoft.com/office/drawing/2014/chart" uri="{C3380CC4-5D6E-409C-BE32-E72D297353CC}">
                <c16:uniqueId val="{00000001-1CBE-49AF-99D6-6C54DD1F35F4}"/>
              </c:ext>
            </c:extLst>
          </c:dPt>
          <c:dPt>
            <c:idx val="5"/>
            <c:invertIfNegative val="0"/>
            <c:bubble3D val="0"/>
            <c:spPr>
              <a:solidFill>
                <a:srgbClr val="FF0000"/>
              </a:solidFill>
              <a:ln>
                <a:noFill/>
              </a:ln>
              <a:effectLst/>
            </c:spPr>
            <c:extLst>
              <c:ext xmlns:c16="http://schemas.microsoft.com/office/drawing/2014/chart" uri="{C3380CC4-5D6E-409C-BE32-E72D297353CC}">
                <c16:uniqueId val="{00000003-1CBE-49AF-99D6-6C54DD1F35F4}"/>
              </c:ext>
            </c:extLst>
          </c:dPt>
          <c:cat>
            <c:strRef>
              <c:f>'Fechamento 2018'!$AO$2:$AP$7</c:f>
              <c:strCache>
                <c:ptCount val="6"/>
                <c:pt idx="0">
                  <c:v>Acumulado 2014</c:v>
                </c:pt>
                <c:pt idx="1">
                  <c:v>Acumulado 2015</c:v>
                </c:pt>
                <c:pt idx="2">
                  <c:v>Acumulado 2016</c:v>
                </c:pt>
                <c:pt idx="3">
                  <c:v>Acumulado 2017</c:v>
                </c:pt>
                <c:pt idx="4">
                  <c:v>Acumulado 2018</c:v>
                </c:pt>
                <c:pt idx="5">
                  <c:v>Orçado Safra</c:v>
                </c:pt>
              </c:strCache>
            </c:strRef>
          </c:cat>
          <c:val>
            <c:numRef>
              <c:f>'Fechamento 2018'!$AQ$2:$AQ$7</c:f>
              <c:numCache>
                <c:formatCode>0.00</c:formatCode>
                <c:ptCount val="6"/>
                <c:pt idx="0" formatCode="General">
                  <c:v>1.33</c:v>
                </c:pt>
                <c:pt idx="1">
                  <c:v>1.77</c:v>
                </c:pt>
                <c:pt idx="2">
                  <c:v>1.54</c:v>
                </c:pt>
                <c:pt idx="3">
                  <c:v>1.39</c:v>
                </c:pt>
                <c:pt idx="4" formatCode="General">
                  <c:v>1.36</c:v>
                </c:pt>
                <c:pt idx="5">
                  <c:v>1.2</c:v>
                </c:pt>
              </c:numCache>
            </c:numRef>
          </c:val>
          <c:extLst>
            <c:ext xmlns:c16="http://schemas.microsoft.com/office/drawing/2014/chart" uri="{C3380CC4-5D6E-409C-BE32-E72D297353CC}">
              <c16:uniqueId val="{00000004-1CBE-49AF-99D6-6C54DD1F35F4}"/>
            </c:ext>
          </c:extLst>
        </c:ser>
        <c:dLbls>
          <c:showLegendKey val="0"/>
          <c:showVal val="0"/>
          <c:showCatName val="0"/>
          <c:showSerName val="0"/>
          <c:showPercent val="0"/>
          <c:showBubbleSize val="0"/>
        </c:dLbls>
        <c:gapWidth val="219"/>
        <c:overlap val="-27"/>
        <c:axId val="124082816"/>
        <c:axId val="124109184"/>
      </c:barChart>
      <c:catAx>
        <c:axId val="124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109184"/>
        <c:crosses val="autoZero"/>
        <c:auto val="1"/>
        <c:lblAlgn val="ctr"/>
        <c:lblOffset val="100"/>
        <c:noMultiLvlLbl val="0"/>
      </c:catAx>
      <c:valAx>
        <c:axId val="12410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082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2018'!$AS$1</c:f>
              <c:strCache>
                <c:ptCount val="1"/>
                <c:pt idx="0">
                  <c:v>Custo Total (mil R$/t cana)</c:v>
                </c:pt>
              </c:strCache>
            </c:strRef>
          </c:tx>
          <c:spPr>
            <a:solidFill>
              <a:srgbClr val="00B050"/>
            </a:solidFill>
            <a:ln>
              <a:noFill/>
            </a:ln>
            <a:effectLst/>
          </c:spPr>
          <c:invertIfNegative val="0"/>
          <c:dPt>
            <c:idx val="4"/>
            <c:invertIfNegative val="0"/>
            <c:bubble3D val="0"/>
            <c:spPr>
              <a:solidFill>
                <a:srgbClr val="0070C0"/>
              </a:solidFill>
              <a:ln>
                <a:noFill/>
              </a:ln>
              <a:effectLst/>
            </c:spPr>
            <c:extLst>
              <c:ext xmlns:c16="http://schemas.microsoft.com/office/drawing/2014/chart" uri="{C3380CC4-5D6E-409C-BE32-E72D297353CC}">
                <c16:uniqueId val="{00000001-A7C0-4CF0-AB55-92E4ED46AEA8}"/>
              </c:ext>
            </c:extLst>
          </c:dPt>
          <c:dPt>
            <c:idx val="5"/>
            <c:invertIfNegative val="0"/>
            <c:bubble3D val="0"/>
            <c:spPr>
              <a:solidFill>
                <a:srgbClr val="FF0000"/>
              </a:solidFill>
              <a:ln>
                <a:noFill/>
              </a:ln>
              <a:effectLst/>
            </c:spPr>
            <c:extLst>
              <c:ext xmlns:c16="http://schemas.microsoft.com/office/drawing/2014/chart" uri="{C3380CC4-5D6E-409C-BE32-E72D297353CC}">
                <c16:uniqueId val="{00000003-A7C0-4CF0-AB55-92E4ED46AEA8}"/>
              </c:ext>
            </c:extLst>
          </c:dPt>
          <c:cat>
            <c:strRef>
              <c:f>'Fechamento 2018'!$AS$2:$AT$7</c:f>
              <c:strCache>
                <c:ptCount val="6"/>
                <c:pt idx="0">
                  <c:v>Acumulado 2014</c:v>
                </c:pt>
                <c:pt idx="1">
                  <c:v>Acumulado 2015</c:v>
                </c:pt>
                <c:pt idx="2">
                  <c:v>Acumulado 2016</c:v>
                </c:pt>
                <c:pt idx="3">
                  <c:v>Acumulado 2017</c:v>
                </c:pt>
                <c:pt idx="4">
                  <c:v>Acumulado 2018</c:v>
                </c:pt>
                <c:pt idx="5">
                  <c:v>Orçado Safra</c:v>
                </c:pt>
              </c:strCache>
            </c:strRef>
          </c:cat>
          <c:val>
            <c:numRef>
              <c:f>'Fechamento 2018'!$AU$2:$AU$7</c:f>
              <c:numCache>
                <c:formatCode>0</c:formatCode>
                <c:ptCount val="6"/>
                <c:pt idx="0" formatCode="General">
                  <c:v>2443</c:v>
                </c:pt>
                <c:pt idx="1">
                  <c:v>3831</c:v>
                </c:pt>
                <c:pt idx="2">
                  <c:v>2628</c:v>
                </c:pt>
                <c:pt idx="3">
                  <c:v>1865</c:v>
                </c:pt>
                <c:pt idx="4" formatCode="General">
                  <c:v>1310</c:v>
                </c:pt>
                <c:pt idx="5">
                  <c:v>1372</c:v>
                </c:pt>
              </c:numCache>
            </c:numRef>
          </c:val>
          <c:extLst>
            <c:ext xmlns:c16="http://schemas.microsoft.com/office/drawing/2014/chart" uri="{C3380CC4-5D6E-409C-BE32-E72D297353CC}">
              <c16:uniqueId val="{00000004-A7C0-4CF0-AB55-92E4ED46AEA8}"/>
            </c:ext>
          </c:extLst>
        </c:ser>
        <c:dLbls>
          <c:showLegendKey val="0"/>
          <c:showVal val="0"/>
          <c:showCatName val="0"/>
          <c:showSerName val="0"/>
          <c:showPercent val="0"/>
          <c:showBubbleSize val="0"/>
        </c:dLbls>
        <c:gapWidth val="219"/>
        <c:overlap val="-27"/>
        <c:axId val="124205312"/>
        <c:axId val="124211200"/>
      </c:barChart>
      <c:catAx>
        <c:axId val="12420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211200"/>
        <c:crosses val="autoZero"/>
        <c:auto val="1"/>
        <c:lblAlgn val="ctr"/>
        <c:lblOffset val="100"/>
        <c:noMultiLvlLbl val="0"/>
      </c:catAx>
      <c:valAx>
        <c:axId val="1242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205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'Fechamento 2018'!$AX$1</c:f>
              <c:strCache>
                <c:ptCount val="1"/>
                <c:pt idx="0">
                  <c:v>Distribuição do Custo (R$)</c:v>
                </c:pt>
              </c:strCache>
            </c:strRef>
          </c:tx>
          <c:spPr>
            <a:solidFill>
              <a:schemeClr val="accent1"/>
            </a:solidFill>
            <a:ln w="19050">
              <a:solidFill>
                <a:schemeClr val="lt1"/>
              </a:solidFill>
            </a:ln>
            <a:effectLst/>
          </c:spPr>
          <c:invertIfNegative val="0"/>
          <c:cat>
            <c:strRef>
              <c:f>'Fechamento 2018'!$AW$2:$AW$12</c:f>
              <c:strCache>
                <c:ptCount val="11"/>
                <c:pt idx="0">
                  <c:v>Ácido Sulfúrico</c:v>
                </c:pt>
                <c:pt idx="1">
                  <c:v>Soda</c:v>
                </c:pt>
                <c:pt idx="2">
                  <c:v>Cal</c:v>
                </c:pt>
                <c:pt idx="3">
                  <c:v>Polímero Catiônico</c:v>
                </c:pt>
                <c:pt idx="4">
                  <c:v>Dispersante</c:v>
                </c:pt>
                <c:pt idx="5">
                  <c:v>Antiespumante</c:v>
                </c:pt>
                <c:pt idx="6">
                  <c:v>Dióxido de Cloro</c:v>
                </c:pt>
                <c:pt idx="7">
                  <c:v>Polímero Aniônico</c:v>
                </c:pt>
                <c:pt idx="8">
                  <c:v>Antibióticos</c:v>
                </c:pt>
                <c:pt idx="9">
                  <c:v>Trat. Torre Ferm.</c:v>
                </c:pt>
                <c:pt idx="10">
                  <c:v>Nutriente</c:v>
                </c:pt>
              </c:strCache>
            </c:strRef>
          </c:cat>
          <c:val>
            <c:numRef>
              <c:f>'Fechamento 2018'!$AX$2:$AX$12</c:f>
              <c:numCache>
                <c:formatCode>General</c:formatCode>
                <c:ptCount val="11"/>
                <c:pt idx="0">
                  <c:v>316325</c:v>
                </c:pt>
                <c:pt idx="1">
                  <c:v>231336</c:v>
                </c:pt>
                <c:pt idx="2">
                  <c:v>207800</c:v>
                </c:pt>
                <c:pt idx="3">
                  <c:v>179487</c:v>
                </c:pt>
                <c:pt idx="4">
                  <c:v>105243</c:v>
                </c:pt>
                <c:pt idx="5">
                  <c:v>74194</c:v>
                </c:pt>
                <c:pt idx="6">
                  <c:v>72843</c:v>
                </c:pt>
                <c:pt idx="7">
                  <c:v>43366</c:v>
                </c:pt>
                <c:pt idx="8">
                  <c:v>28770</c:v>
                </c:pt>
                <c:pt idx="9">
                  <c:v>27675</c:v>
                </c:pt>
                <c:pt idx="10">
                  <c:v>22550</c:v>
                </c:pt>
              </c:numCache>
            </c:numRef>
          </c:val>
          <c:extLst>
            <c:ext xmlns:c16="http://schemas.microsoft.com/office/drawing/2014/chart" uri="{C3380CC4-5D6E-409C-BE32-E72D297353CC}">
              <c16:uniqueId val="{00000000-9634-4004-8163-AB3A06B197CB}"/>
            </c:ext>
          </c:extLst>
        </c:ser>
        <c:dLbls>
          <c:showLegendKey val="0"/>
          <c:showVal val="0"/>
          <c:showCatName val="0"/>
          <c:showSerName val="0"/>
          <c:showPercent val="0"/>
          <c:showBubbleSize val="0"/>
        </c:dLbls>
        <c:gapWidth val="150"/>
        <c:axId val="124252160"/>
        <c:axId val="124253696"/>
      </c:barChart>
      <c:catAx>
        <c:axId val="12425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253696"/>
        <c:crosses val="autoZero"/>
        <c:auto val="1"/>
        <c:lblAlgn val="ctr"/>
        <c:lblOffset val="100"/>
        <c:noMultiLvlLbl val="0"/>
      </c:catAx>
      <c:valAx>
        <c:axId val="12425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25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Moagem (TC)</a:t>
            </a:r>
          </a:p>
        </c:rich>
      </c:tx>
      <c:overlay val="0"/>
    </c:title>
    <c:autoTitleDeleted val="0"/>
    <c:plotArea>
      <c:layout>
        <c:manualLayout>
          <c:layoutTarget val="inner"/>
          <c:xMode val="edge"/>
          <c:yMode val="edge"/>
          <c:x val="0.18505690765926991"/>
          <c:y val="0.12150428485596013"/>
          <c:w val="0.75551503221188343"/>
          <c:h val="0.7464013534452778"/>
        </c:manualLayout>
      </c:layout>
      <c:barChart>
        <c:barDir val="col"/>
        <c:grouping val="clustered"/>
        <c:varyColors val="0"/>
        <c:ser>
          <c:idx val="1"/>
          <c:order val="0"/>
          <c:tx>
            <c:v>Moagem</c:v>
          </c:tx>
          <c:spPr>
            <a:solidFill>
              <a:schemeClr val="tx2"/>
            </a:solidFill>
            <a:ln>
              <a:solidFill>
                <a:schemeClr val="tx2"/>
              </a:solidFill>
            </a:ln>
          </c:spPr>
          <c:invertIfNegative val="0"/>
          <c:dLbls>
            <c:numFmt formatCode="#,##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2017'!$C$45:$F$45</c:f>
              <c:numCache>
                <c:formatCode>General</c:formatCode>
                <c:ptCount val="4"/>
                <c:pt idx="0">
                  <c:v>1841157.74</c:v>
                </c:pt>
                <c:pt idx="1">
                  <c:v>2159482.9500000002</c:v>
                </c:pt>
                <c:pt idx="2">
                  <c:v>1711781.0000000002</c:v>
                </c:pt>
                <c:pt idx="3">
                  <c:v>1340602.3599999999</c:v>
                </c:pt>
              </c:numCache>
            </c:numRef>
          </c:val>
          <c:extLst>
            <c:ext xmlns:c16="http://schemas.microsoft.com/office/drawing/2014/chart" uri="{C3380CC4-5D6E-409C-BE32-E72D297353CC}">
              <c16:uniqueId val="{00000000-3ECF-42EE-B81E-47845E283EDA}"/>
            </c:ext>
          </c:extLst>
        </c:ser>
        <c:dLbls>
          <c:showLegendKey val="0"/>
          <c:showVal val="0"/>
          <c:showCatName val="0"/>
          <c:showSerName val="0"/>
          <c:showPercent val="0"/>
          <c:showBubbleSize val="0"/>
        </c:dLbls>
        <c:gapWidth val="75"/>
        <c:overlap val="100"/>
        <c:axId val="91057536"/>
        <c:axId val="91714688"/>
      </c:barChart>
      <c:catAx>
        <c:axId val="91057536"/>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1714688"/>
        <c:crosses val="autoZero"/>
        <c:auto val="1"/>
        <c:lblAlgn val="ctr"/>
        <c:lblOffset val="100"/>
        <c:noMultiLvlLbl val="0"/>
      </c:catAx>
      <c:valAx>
        <c:axId val="91714688"/>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Moagem (TC)</a:t>
                </a:r>
                <a:endParaRPr lang="en-US" sz="1100" b="1"/>
              </a:p>
            </c:rich>
          </c:tx>
          <c:overlay val="0"/>
        </c:title>
        <c:numFmt formatCode="#,##0" sourceLinked="0"/>
        <c:majorTickMark val="out"/>
        <c:minorTickMark val="none"/>
        <c:tickLblPos val="nextTo"/>
        <c:spPr>
          <a:ln w="9525">
            <a:solidFill>
              <a:schemeClr val="tx1"/>
            </a:solidFill>
          </a:ln>
        </c:spPr>
        <c:txPr>
          <a:bodyPr/>
          <a:lstStyle/>
          <a:p>
            <a:pPr>
              <a:defRPr sz="1000" b="0"/>
            </a:pPr>
            <a:endParaRPr lang="pt-BR"/>
          </a:p>
        </c:txPr>
        <c:crossAx val="91057536"/>
        <c:crosses val="autoZero"/>
        <c:crossBetween val="between"/>
      </c:valAx>
    </c:plotArea>
    <c:plotVisOnly val="1"/>
    <c:dispBlanksAs val="gap"/>
    <c:showDLblsOverMax val="0"/>
  </c:chart>
  <c:printSettings>
    <c:headerFooter/>
    <c:pageMargins b="0.78740157499999996" l="0.511811024" r="0.511811024" t="0.78740157499999996" header="0.31496062000001007" footer="0.31496062000001007"/>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Produção de Etanol (L)</a:t>
            </a:r>
          </a:p>
        </c:rich>
      </c:tx>
      <c:overlay val="0"/>
    </c:title>
    <c:autoTitleDeleted val="0"/>
    <c:plotArea>
      <c:layout>
        <c:manualLayout>
          <c:layoutTarget val="inner"/>
          <c:xMode val="edge"/>
          <c:yMode val="edge"/>
          <c:x val="0.18505690765926991"/>
          <c:y val="0.12150428485596015"/>
          <c:w val="0.75551503221188376"/>
          <c:h val="0.74640135344527803"/>
        </c:manualLayout>
      </c:layout>
      <c:barChart>
        <c:barDir val="col"/>
        <c:grouping val="clustered"/>
        <c:varyColors val="0"/>
        <c:ser>
          <c:idx val="1"/>
          <c:order val="0"/>
          <c:tx>
            <c:v>Produção de Etanol</c:v>
          </c:tx>
          <c:spPr>
            <a:solidFill>
              <a:schemeClr val="tx2"/>
            </a:solidFill>
            <a:ln>
              <a:solidFill>
                <a:schemeClr val="tx2"/>
              </a:solidFill>
            </a:ln>
          </c:spPr>
          <c:invertIfNegative val="0"/>
          <c:dLbls>
            <c:numFmt formatCode="#,##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2017'!$C$46:$F$46</c:f>
              <c:numCache>
                <c:formatCode>General</c:formatCode>
                <c:ptCount val="4"/>
                <c:pt idx="0">
                  <c:v>78029017</c:v>
                </c:pt>
                <c:pt idx="1">
                  <c:v>99507339</c:v>
                </c:pt>
                <c:pt idx="2">
                  <c:v>80870673</c:v>
                </c:pt>
                <c:pt idx="3">
                  <c:v>77452430</c:v>
                </c:pt>
              </c:numCache>
            </c:numRef>
          </c:val>
          <c:extLst>
            <c:ext xmlns:c16="http://schemas.microsoft.com/office/drawing/2014/chart" uri="{C3380CC4-5D6E-409C-BE32-E72D297353CC}">
              <c16:uniqueId val="{00000000-4898-401C-9D00-92C615A1554A}"/>
            </c:ext>
          </c:extLst>
        </c:ser>
        <c:dLbls>
          <c:showLegendKey val="0"/>
          <c:showVal val="0"/>
          <c:showCatName val="0"/>
          <c:showSerName val="0"/>
          <c:showPercent val="0"/>
          <c:showBubbleSize val="0"/>
        </c:dLbls>
        <c:gapWidth val="75"/>
        <c:overlap val="100"/>
        <c:axId val="91747456"/>
        <c:axId val="91748992"/>
      </c:barChart>
      <c:catAx>
        <c:axId val="91747456"/>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1748992"/>
        <c:crosses val="autoZero"/>
        <c:auto val="1"/>
        <c:lblAlgn val="ctr"/>
        <c:lblOffset val="100"/>
        <c:noMultiLvlLbl val="0"/>
      </c:catAx>
      <c:valAx>
        <c:axId val="91748992"/>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Produção de Etanol (L)</a:t>
                </a:r>
                <a:endParaRPr lang="en-US" sz="1100" b="1"/>
              </a:p>
            </c:rich>
          </c:tx>
          <c:overlay val="0"/>
        </c:title>
        <c:numFmt formatCode="#,##0" sourceLinked="0"/>
        <c:majorTickMark val="out"/>
        <c:minorTickMark val="none"/>
        <c:tickLblPos val="nextTo"/>
        <c:spPr>
          <a:ln w="9525">
            <a:solidFill>
              <a:schemeClr val="tx1"/>
            </a:solidFill>
          </a:ln>
        </c:spPr>
        <c:txPr>
          <a:bodyPr/>
          <a:lstStyle/>
          <a:p>
            <a:pPr>
              <a:defRPr sz="1000" b="0"/>
            </a:pPr>
            <a:endParaRPr lang="pt-BR"/>
          </a:p>
        </c:txPr>
        <c:crossAx val="91747456"/>
        <c:crosses val="autoZero"/>
        <c:crossBetween val="between"/>
      </c:valAx>
    </c:plotArea>
    <c:plotVisOnly val="1"/>
    <c:dispBlanksAs val="gap"/>
    <c:showDLblsOverMax val="0"/>
  </c:chart>
  <c:printSettings>
    <c:headerFooter/>
    <c:pageMargins b="0.78740157499999996" l="0.511811024" r="0.511811024" t="0.78740157499999996" header="0.31496062000001024" footer="0.31496062000001024"/>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Produção de Açúcar (scs)</a:t>
            </a:r>
          </a:p>
        </c:rich>
      </c:tx>
      <c:overlay val="0"/>
    </c:title>
    <c:autoTitleDeleted val="0"/>
    <c:plotArea>
      <c:layout>
        <c:manualLayout>
          <c:layoutTarget val="inner"/>
          <c:xMode val="edge"/>
          <c:yMode val="edge"/>
          <c:x val="0.18505690765926991"/>
          <c:y val="0.12150428485596018"/>
          <c:w val="0.75551503221188421"/>
          <c:h val="0.74640135344527825"/>
        </c:manualLayout>
      </c:layout>
      <c:barChart>
        <c:barDir val="col"/>
        <c:grouping val="clustered"/>
        <c:varyColors val="0"/>
        <c:ser>
          <c:idx val="1"/>
          <c:order val="0"/>
          <c:tx>
            <c:v>Produção de Açúcar</c:v>
          </c:tx>
          <c:spPr>
            <a:solidFill>
              <a:schemeClr val="tx2"/>
            </a:solidFill>
            <a:ln>
              <a:solidFill>
                <a:schemeClr val="tx2"/>
              </a:solidFill>
            </a:ln>
          </c:spPr>
          <c:invertIfNegative val="0"/>
          <c:dLbls>
            <c:numFmt formatCode="#,##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2017'!$C$47:$F$47</c:f>
              <c:numCache>
                <c:formatCode>General</c:formatCode>
                <c:ptCount val="4"/>
                <c:pt idx="0">
                  <c:v>2204655</c:v>
                </c:pt>
                <c:pt idx="1">
                  <c:v>2254172</c:v>
                </c:pt>
                <c:pt idx="2">
                  <c:v>1654009</c:v>
                </c:pt>
                <c:pt idx="3">
                  <c:v>1108780</c:v>
                </c:pt>
              </c:numCache>
            </c:numRef>
          </c:val>
          <c:extLst>
            <c:ext xmlns:c16="http://schemas.microsoft.com/office/drawing/2014/chart" uri="{C3380CC4-5D6E-409C-BE32-E72D297353CC}">
              <c16:uniqueId val="{00000000-BE43-4C9C-B8D1-62E3BF10F416}"/>
            </c:ext>
          </c:extLst>
        </c:ser>
        <c:dLbls>
          <c:showLegendKey val="0"/>
          <c:showVal val="0"/>
          <c:showCatName val="0"/>
          <c:showSerName val="0"/>
          <c:showPercent val="0"/>
          <c:showBubbleSize val="0"/>
        </c:dLbls>
        <c:gapWidth val="75"/>
        <c:overlap val="100"/>
        <c:axId val="97421952"/>
        <c:axId val="97431936"/>
      </c:barChart>
      <c:catAx>
        <c:axId val="97421952"/>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431936"/>
        <c:crosses val="autoZero"/>
        <c:auto val="1"/>
        <c:lblAlgn val="ctr"/>
        <c:lblOffset val="100"/>
        <c:noMultiLvlLbl val="0"/>
      </c:catAx>
      <c:valAx>
        <c:axId val="97431936"/>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Produção de Açúcar (scs)</a:t>
                </a:r>
                <a:endParaRPr lang="en-US" sz="1100" b="1"/>
              </a:p>
            </c:rich>
          </c:tx>
          <c:overlay val="0"/>
        </c:title>
        <c:numFmt formatCode="#,##0" sourceLinked="0"/>
        <c:majorTickMark val="out"/>
        <c:minorTickMark val="none"/>
        <c:tickLblPos val="nextTo"/>
        <c:spPr>
          <a:ln w="9525">
            <a:solidFill>
              <a:schemeClr val="tx1"/>
            </a:solidFill>
          </a:ln>
        </c:spPr>
        <c:txPr>
          <a:bodyPr/>
          <a:lstStyle/>
          <a:p>
            <a:pPr>
              <a:defRPr sz="1000" b="0"/>
            </a:pPr>
            <a:endParaRPr lang="pt-BR"/>
          </a:p>
        </c:txPr>
        <c:crossAx val="97421952"/>
        <c:crosses val="autoZero"/>
        <c:crossBetween val="between"/>
      </c:valAx>
    </c:plotArea>
    <c:plotVisOnly val="1"/>
    <c:dispBlanksAs val="gap"/>
    <c:showDLblsOverMax val="0"/>
  </c:chart>
  <c:printSettings>
    <c:headerFooter/>
    <c:pageMargins b="0.78740157499999996" l="0.511811024" r="0.511811024" t="0.78740157499999996" header="0.31496062000001041" footer="0.31496062000001041"/>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Custo Total (R$)</a:t>
            </a:r>
          </a:p>
        </c:rich>
      </c:tx>
      <c:overlay val="0"/>
    </c:title>
    <c:autoTitleDeleted val="0"/>
    <c:plotArea>
      <c:layout>
        <c:manualLayout>
          <c:layoutTarget val="inner"/>
          <c:xMode val="edge"/>
          <c:yMode val="edge"/>
          <c:x val="0.22142054402290623"/>
          <c:y val="0.12150428485596021"/>
          <c:w val="0.71915139584824628"/>
          <c:h val="0.74640135344527858"/>
        </c:manualLayout>
      </c:layout>
      <c:barChart>
        <c:barDir val="col"/>
        <c:grouping val="clustered"/>
        <c:varyColors val="0"/>
        <c:ser>
          <c:idx val="1"/>
          <c:order val="0"/>
          <c:tx>
            <c:v>Custo Total</c:v>
          </c:tx>
          <c:spPr>
            <a:solidFill>
              <a:schemeClr val="tx2"/>
            </a:solidFill>
            <a:ln>
              <a:solidFill>
                <a:schemeClr val="tx2"/>
              </a:solidFill>
            </a:ln>
          </c:spPr>
          <c:invertIfNegative val="0"/>
          <c:dLbls>
            <c:numFmt formatCode="&quot;R$&quot;\ #,##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2017'!$C$48:$F$48</c:f>
              <c:numCache>
                <c:formatCode>General</c:formatCode>
                <c:ptCount val="4"/>
                <c:pt idx="0">
                  <c:v>2443012.5500000003</c:v>
                </c:pt>
                <c:pt idx="1">
                  <c:v>3830635.2849999997</c:v>
                </c:pt>
                <c:pt idx="2">
                  <c:v>2627956.4130582684</c:v>
                </c:pt>
                <c:pt idx="3">
                  <c:v>1865488.00712656</c:v>
                </c:pt>
              </c:numCache>
            </c:numRef>
          </c:val>
          <c:extLst>
            <c:ext xmlns:c16="http://schemas.microsoft.com/office/drawing/2014/chart" uri="{C3380CC4-5D6E-409C-BE32-E72D297353CC}">
              <c16:uniqueId val="{00000000-C3F1-475B-98F1-55CD2D058096}"/>
            </c:ext>
          </c:extLst>
        </c:ser>
        <c:dLbls>
          <c:showLegendKey val="0"/>
          <c:showVal val="0"/>
          <c:showCatName val="0"/>
          <c:showSerName val="0"/>
          <c:showPercent val="0"/>
          <c:showBubbleSize val="0"/>
        </c:dLbls>
        <c:gapWidth val="75"/>
        <c:overlap val="100"/>
        <c:axId val="97522048"/>
        <c:axId val="97523584"/>
      </c:barChart>
      <c:catAx>
        <c:axId val="97522048"/>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523584"/>
        <c:crosses val="autoZero"/>
        <c:auto val="1"/>
        <c:lblAlgn val="ctr"/>
        <c:lblOffset val="100"/>
        <c:noMultiLvlLbl val="0"/>
      </c:catAx>
      <c:valAx>
        <c:axId val="97523584"/>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Custo Total (R$)</a:t>
                </a:r>
                <a:endParaRPr lang="en-US" sz="1100" b="1"/>
              </a:p>
            </c:rich>
          </c:tx>
          <c:overlay val="0"/>
        </c:title>
        <c:numFmt formatCode="&quot;R$&quot;\ #,##0.00" sourceLinked="0"/>
        <c:majorTickMark val="out"/>
        <c:minorTickMark val="none"/>
        <c:tickLblPos val="nextTo"/>
        <c:spPr>
          <a:ln w="9525">
            <a:solidFill>
              <a:schemeClr val="tx1"/>
            </a:solidFill>
          </a:ln>
        </c:spPr>
        <c:txPr>
          <a:bodyPr/>
          <a:lstStyle/>
          <a:p>
            <a:pPr>
              <a:defRPr sz="1000" b="0"/>
            </a:pPr>
            <a:endParaRPr lang="pt-BR"/>
          </a:p>
        </c:txPr>
        <c:crossAx val="97522048"/>
        <c:crosses val="autoZero"/>
        <c:crossBetween val="between"/>
      </c:valAx>
    </c:plotArea>
    <c:plotVisOnly val="1"/>
    <c:dispBlanksAs val="gap"/>
    <c:showDLblsOverMax val="0"/>
  </c:chart>
  <c:printSettings>
    <c:headerFooter/>
    <c:pageMargins b="0.78740157499999996" l="0.511811024" r="0.511811024" t="0.78740157499999996" header="0.31496062000001052" footer="0.3149606200000105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Custo</a:t>
            </a:r>
            <a:r>
              <a:rPr lang="en-US" sz="1400" baseline="0">
                <a:latin typeface="Arial Narrow" pitchFamily="34" charset="0"/>
                <a:ea typeface="Arial Unicode MS" pitchFamily="34" charset="-128"/>
                <a:cs typeface="Arial Unicode MS" pitchFamily="34" charset="-128"/>
              </a:rPr>
              <a:t> Específico (R$/TC)</a:t>
            </a:r>
            <a:endParaRPr lang="en-US" sz="1400">
              <a:latin typeface="Arial Narrow" pitchFamily="34" charset="0"/>
              <a:ea typeface="Arial Unicode MS" pitchFamily="34" charset="-128"/>
              <a:cs typeface="Arial Unicode MS" pitchFamily="34" charset="-128"/>
            </a:endParaRPr>
          </a:p>
        </c:rich>
      </c:tx>
      <c:overlay val="0"/>
    </c:title>
    <c:autoTitleDeleted val="0"/>
    <c:plotArea>
      <c:layout>
        <c:manualLayout>
          <c:layoutTarget val="inner"/>
          <c:xMode val="edge"/>
          <c:yMode val="edge"/>
          <c:x val="0.18505690765926991"/>
          <c:y val="0.12150428485596021"/>
          <c:w val="0.75551503221188465"/>
          <c:h val="0.74640135344527858"/>
        </c:manualLayout>
      </c:layout>
      <c:barChart>
        <c:barDir val="col"/>
        <c:grouping val="clustered"/>
        <c:varyColors val="0"/>
        <c:ser>
          <c:idx val="1"/>
          <c:order val="0"/>
          <c:tx>
            <c:v>Custo Específico</c:v>
          </c:tx>
          <c:spPr>
            <a:solidFill>
              <a:schemeClr val="tx2"/>
            </a:solidFill>
            <a:ln>
              <a:solidFill>
                <a:schemeClr val="tx2"/>
              </a:solidFill>
            </a:ln>
          </c:spPr>
          <c:invertIfNegative val="0"/>
          <c:dLbls>
            <c:numFmt formatCode="&quot;R$&quot;\ #,##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2017'!$C$49:$F$49</c:f>
              <c:numCache>
                <c:formatCode>General</c:formatCode>
                <c:ptCount val="4"/>
                <c:pt idx="0">
                  <c:v>1.3268893245398954</c:v>
                </c:pt>
                <c:pt idx="1">
                  <c:v>1.7738668809587033</c:v>
                </c:pt>
                <c:pt idx="2">
                  <c:v>1.5352176552130605</c:v>
                </c:pt>
                <c:pt idx="3">
                  <c:v>1.391529705442679</c:v>
                </c:pt>
              </c:numCache>
            </c:numRef>
          </c:val>
          <c:extLst>
            <c:ext xmlns:c16="http://schemas.microsoft.com/office/drawing/2014/chart" uri="{C3380CC4-5D6E-409C-BE32-E72D297353CC}">
              <c16:uniqueId val="{00000000-74BE-46B3-9220-66515014B2BD}"/>
            </c:ext>
          </c:extLst>
        </c:ser>
        <c:dLbls>
          <c:showLegendKey val="0"/>
          <c:showVal val="0"/>
          <c:showCatName val="0"/>
          <c:showSerName val="0"/>
          <c:showPercent val="0"/>
          <c:showBubbleSize val="0"/>
        </c:dLbls>
        <c:gapWidth val="75"/>
        <c:overlap val="100"/>
        <c:axId val="97572736"/>
        <c:axId val="97574272"/>
      </c:barChart>
      <c:catAx>
        <c:axId val="97572736"/>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574272"/>
        <c:crosses val="autoZero"/>
        <c:auto val="1"/>
        <c:lblAlgn val="ctr"/>
        <c:lblOffset val="100"/>
        <c:noMultiLvlLbl val="0"/>
      </c:catAx>
      <c:valAx>
        <c:axId val="97574272"/>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Custo Específico (R$/TC)</a:t>
                </a:r>
                <a:endParaRPr lang="en-US" sz="1100" b="1"/>
              </a:p>
            </c:rich>
          </c:tx>
          <c:overlay val="0"/>
        </c:title>
        <c:numFmt formatCode="&quot;R$&quot;\ #,##0.00" sourceLinked="0"/>
        <c:majorTickMark val="out"/>
        <c:minorTickMark val="none"/>
        <c:tickLblPos val="nextTo"/>
        <c:spPr>
          <a:ln w="9525">
            <a:solidFill>
              <a:schemeClr val="tx1"/>
            </a:solidFill>
          </a:ln>
        </c:spPr>
        <c:txPr>
          <a:bodyPr/>
          <a:lstStyle/>
          <a:p>
            <a:pPr>
              <a:defRPr sz="1000" b="0"/>
            </a:pPr>
            <a:endParaRPr lang="pt-BR"/>
          </a:p>
        </c:txPr>
        <c:crossAx val="97572736"/>
        <c:crosses val="autoZero"/>
        <c:crossBetween val="between"/>
      </c:valAx>
    </c:plotArea>
    <c:plotVisOnly val="1"/>
    <c:dispBlanksAs val="gap"/>
    <c:showDLblsOverMax val="0"/>
  </c:chart>
  <c:printSettings>
    <c:headerFooter/>
    <c:pageMargins b="0.78740157499999996" l="0.511811024" r="0.511811024" t="0.78740157499999996" header="0.31496062000001052" footer="0.3149606200000105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 de Ácido (g/L)</a:t>
            </a:r>
          </a:p>
        </c:rich>
      </c:tx>
      <c:overlay val="0"/>
    </c:title>
    <c:autoTitleDeleted val="0"/>
    <c:plotArea>
      <c:layout>
        <c:manualLayout>
          <c:layoutTarget val="inner"/>
          <c:xMode val="edge"/>
          <c:yMode val="edge"/>
          <c:x val="0.18505690765926991"/>
          <c:y val="0.12150428485596021"/>
          <c:w val="0.75551503221188465"/>
          <c:h val="0.74640135344527858"/>
        </c:manualLayout>
      </c:layout>
      <c:barChart>
        <c:barDir val="col"/>
        <c:grouping val="clustered"/>
        <c:varyColors val="0"/>
        <c:ser>
          <c:idx val="1"/>
          <c:order val="0"/>
          <c:tx>
            <c:v>Ácido</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2017'!$C$62:$F$62</c:f>
              <c:numCache>
                <c:formatCode>General</c:formatCode>
                <c:ptCount val="4"/>
                <c:pt idx="0">
                  <c:v>13.939301580590206</c:v>
                </c:pt>
                <c:pt idx="1">
                  <c:v>11.086418460049464</c:v>
                </c:pt>
                <c:pt idx="2">
                  <c:v>8.2054467383992211</c:v>
                </c:pt>
                <c:pt idx="3">
                  <c:v>6.1299626293489631</c:v>
                </c:pt>
              </c:numCache>
            </c:numRef>
          </c:val>
          <c:extLst>
            <c:ext xmlns:c16="http://schemas.microsoft.com/office/drawing/2014/chart" uri="{C3380CC4-5D6E-409C-BE32-E72D297353CC}">
              <c16:uniqueId val="{00000000-600C-422F-BF3E-470434003246}"/>
            </c:ext>
          </c:extLst>
        </c:ser>
        <c:dLbls>
          <c:showLegendKey val="0"/>
          <c:showVal val="0"/>
          <c:showCatName val="0"/>
          <c:showSerName val="0"/>
          <c:showPercent val="0"/>
          <c:showBubbleSize val="0"/>
        </c:dLbls>
        <c:gapWidth val="75"/>
        <c:overlap val="100"/>
        <c:axId val="97463680"/>
        <c:axId val="97490048"/>
      </c:barChart>
      <c:catAx>
        <c:axId val="97463680"/>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490048"/>
        <c:crosses val="autoZero"/>
        <c:auto val="1"/>
        <c:lblAlgn val="ctr"/>
        <c:lblOffset val="100"/>
        <c:noMultiLvlLbl val="0"/>
      </c:catAx>
      <c:valAx>
        <c:axId val="97490048"/>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(g/L)</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97463680"/>
        <c:crosses val="autoZero"/>
        <c:crossBetween val="between"/>
      </c:valAx>
    </c:plotArea>
    <c:plotVisOnly val="1"/>
    <c:dispBlanksAs val="gap"/>
    <c:showDLblsOverMax val="0"/>
  </c:chart>
  <c:printSettings>
    <c:headerFooter/>
    <c:pageMargins b="0.78740157499999996" l="0.511811024" r="0.511811024" t="0.78740157499999996" header="0.31496062000001052" footer="0.3149606200000105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 de Antiespumante (g/L)</a:t>
            </a:r>
          </a:p>
        </c:rich>
      </c:tx>
      <c:overlay val="0"/>
    </c:title>
    <c:autoTitleDeleted val="0"/>
    <c:plotArea>
      <c:layout>
        <c:manualLayout>
          <c:layoutTarget val="inner"/>
          <c:xMode val="edge"/>
          <c:yMode val="edge"/>
          <c:x val="0.18505690765926991"/>
          <c:y val="0.12150428485596022"/>
          <c:w val="0.75551503221188498"/>
          <c:h val="0.74640135344527891"/>
        </c:manualLayout>
      </c:layout>
      <c:barChart>
        <c:barDir val="col"/>
        <c:grouping val="clustered"/>
        <c:varyColors val="0"/>
        <c:ser>
          <c:idx val="1"/>
          <c:order val="0"/>
          <c:tx>
            <c:v>Antiespumante</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2017'!$C$63:$F$63</c:f>
              <c:numCache>
                <c:formatCode>General</c:formatCode>
                <c:ptCount val="4"/>
                <c:pt idx="0">
                  <c:v>0.41523014444741757</c:v>
                </c:pt>
                <c:pt idx="1">
                  <c:v>0.60598545399751869</c:v>
                </c:pt>
                <c:pt idx="2">
                  <c:v>0.32413653029056089</c:v>
                </c:pt>
                <c:pt idx="3">
                  <c:v>0.25725756574324682</c:v>
                </c:pt>
              </c:numCache>
            </c:numRef>
          </c:val>
          <c:extLst>
            <c:ext xmlns:c16="http://schemas.microsoft.com/office/drawing/2014/chart" uri="{C3380CC4-5D6E-409C-BE32-E72D297353CC}">
              <c16:uniqueId val="{00000000-5F4C-4CB2-B5B4-F033CA2CDAC3}"/>
            </c:ext>
          </c:extLst>
        </c:ser>
        <c:dLbls>
          <c:showLegendKey val="0"/>
          <c:showVal val="0"/>
          <c:showCatName val="0"/>
          <c:showSerName val="0"/>
          <c:showPercent val="0"/>
          <c:showBubbleSize val="0"/>
        </c:dLbls>
        <c:gapWidth val="75"/>
        <c:overlap val="100"/>
        <c:axId val="97649792"/>
        <c:axId val="97651328"/>
      </c:barChart>
      <c:catAx>
        <c:axId val="97649792"/>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651328"/>
        <c:crosses val="autoZero"/>
        <c:auto val="1"/>
        <c:lblAlgn val="ctr"/>
        <c:lblOffset val="100"/>
        <c:noMultiLvlLbl val="0"/>
      </c:catAx>
      <c:valAx>
        <c:axId val="97651328"/>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(g/L)</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97649792"/>
        <c:crosses val="autoZero"/>
        <c:crossBetween val="between"/>
      </c:valAx>
    </c:plotArea>
    <c:plotVisOnly val="1"/>
    <c:dispBlanksAs val="gap"/>
    <c:showDLblsOverMax val="0"/>
  </c:chart>
  <c:printSettings>
    <c:headerFooter/>
    <c:pageMargins b="0.78740157499999996" l="0.511811024" r="0.511811024" t="0.78740157499999996" header="0.31496062000001063" footer="0.3149606200000106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Dispersante </a:t>
            </a:r>
            <a:r>
              <a:rPr lang="en-US" sz="1400">
                <a:latin typeface="Arial Narrow" pitchFamily="34" charset="0"/>
                <a:ea typeface="Arial Unicode MS" pitchFamily="34" charset="-128"/>
                <a:cs typeface="Arial Unicode MS" pitchFamily="34" charset="-128"/>
              </a:rPr>
              <a:t>(g/L)</a:t>
            </a:r>
          </a:p>
        </c:rich>
      </c:tx>
      <c:overlay val="0"/>
    </c:title>
    <c:autoTitleDeleted val="0"/>
    <c:plotArea>
      <c:layout>
        <c:manualLayout>
          <c:layoutTarget val="inner"/>
          <c:xMode val="edge"/>
          <c:yMode val="edge"/>
          <c:x val="0.18505690765926991"/>
          <c:y val="0.12150428485596022"/>
          <c:w val="0.75551503221188543"/>
          <c:h val="0.74640135344527914"/>
        </c:manualLayout>
      </c:layout>
      <c:barChart>
        <c:barDir val="col"/>
        <c:grouping val="clustered"/>
        <c:varyColors val="0"/>
        <c:ser>
          <c:idx val="1"/>
          <c:order val="0"/>
          <c:tx>
            <c:v>Dispersante</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2017'!$C$64:$F$64</c:f>
              <c:numCache>
                <c:formatCode>General</c:formatCode>
                <c:ptCount val="4"/>
                <c:pt idx="0">
                  <c:v>0.3588408655718423</c:v>
                </c:pt>
                <c:pt idx="1">
                  <c:v>0.33253828644739458</c:v>
                </c:pt>
                <c:pt idx="2">
                  <c:v>0.24166027605101367</c:v>
                </c:pt>
                <c:pt idx="3">
                  <c:v>0.20137175194775514</c:v>
                </c:pt>
              </c:numCache>
            </c:numRef>
          </c:val>
          <c:extLst>
            <c:ext xmlns:c16="http://schemas.microsoft.com/office/drawing/2014/chart" uri="{C3380CC4-5D6E-409C-BE32-E72D297353CC}">
              <c16:uniqueId val="{00000000-3AE4-4C9E-BB8F-BB9705B28671}"/>
            </c:ext>
          </c:extLst>
        </c:ser>
        <c:dLbls>
          <c:showLegendKey val="0"/>
          <c:showVal val="0"/>
          <c:showCatName val="0"/>
          <c:showSerName val="0"/>
          <c:showPercent val="0"/>
          <c:showBubbleSize val="0"/>
        </c:dLbls>
        <c:gapWidth val="75"/>
        <c:overlap val="100"/>
        <c:axId val="97708672"/>
        <c:axId val="97591680"/>
      </c:barChart>
      <c:catAx>
        <c:axId val="97708672"/>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591680"/>
        <c:crosses val="autoZero"/>
        <c:auto val="1"/>
        <c:lblAlgn val="ctr"/>
        <c:lblOffset val="100"/>
        <c:noMultiLvlLbl val="0"/>
      </c:catAx>
      <c:valAx>
        <c:axId val="97591680"/>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(g/L)</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97708672"/>
        <c:crosses val="autoZero"/>
        <c:crossBetween val="between"/>
      </c:valAx>
    </c:plotArea>
    <c:plotVisOnly val="1"/>
    <c:dispBlanksAs val="gap"/>
    <c:showDLblsOverMax val="0"/>
  </c:chart>
  <c:printSettings>
    <c:headerFooter/>
    <c:pageMargins b="0.78740157499999996" l="0.511811024" r="0.511811024" t="0.78740157499999996" header="0.31496062000001085" footer="0.31496062000001085"/>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Nutriente </a:t>
            </a:r>
            <a:r>
              <a:rPr lang="en-US" sz="1400">
                <a:latin typeface="Arial Narrow" pitchFamily="34" charset="0"/>
                <a:ea typeface="Arial Unicode MS" pitchFamily="34" charset="-128"/>
                <a:cs typeface="Arial Unicode MS" pitchFamily="34" charset="-128"/>
              </a:rPr>
              <a:t>(g/L)</a:t>
            </a:r>
          </a:p>
        </c:rich>
      </c:tx>
      <c:overlay val="0"/>
    </c:title>
    <c:autoTitleDeleted val="0"/>
    <c:plotArea>
      <c:layout>
        <c:manualLayout>
          <c:layoutTarget val="inner"/>
          <c:xMode val="edge"/>
          <c:yMode val="edge"/>
          <c:x val="0.18505690765926991"/>
          <c:y val="0.12150428485596022"/>
          <c:w val="0.75551503221188621"/>
          <c:h val="0.7464013534452798"/>
        </c:manualLayout>
      </c:layout>
      <c:barChart>
        <c:barDir val="col"/>
        <c:grouping val="clustered"/>
        <c:varyColors val="0"/>
        <c:ser>
          <c:idx val="1"/>
          <c:order val="0"/>
          <c:tx>
            <c:v>Nutriente</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2017'!$C$65:$F$65</c:f>
              <c:numCache>
                <c:formatCode>General</c:formatCode>
                <c:ptCount val="4"/>
                <c:pt idx="0">
                  <c:v>0.16660468758692679</c:v>
                </c:pt>
                <c:pt idx="1">
                  <c:v>0.19596544532258067</c:v>
                </c:pt>
                <c:pt idx="2">
                  <c:v>7.7283887571950829E-2</c:v>
                </c:pt>
                <c:pt idx="3">
                  <c:v>6.4555753770411076E-2</c:v>
                </c:pt>
              </c:numCache>
            </c:numRef>
          </c:val>
          <c:extLst>
            <c:ext xmlns:c16="http://schemas.microsoft.com/office/drawing/2014/chart" uri="{C3380CC4-5D6E-409C-BE32-E72D297353CC}">
              <c16:uniqueId val="{00000000-76C9-4600-8ABE-7C944BCEA079}"/>
            </c:ext>
          </c:extLst>
        </c:ser>
        <c:dLbls>
          <c:showLegendKey val="0"/>
          <c:showVal val="0"/>
          <c:showCatName val="0"/>
          <c:showSerName val="0"/>
          <c:showPercent val="0"/>
          <c:showBubbleSize val="0"/>
        </c:dLbls>
        <c:gapWidth val="75"/>
        <c:overlap val="100"/>
        <c:axId val="97620352"/>
        <c:axId val="97621888"/>
      </c:barChart>
      <c:catAx>
        <c:axId val="97620352"/>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621888"/>
        <c:crosses val="autoZero"/>
        <c:auto val="1"/>
        <c:lblAlgn val="ctr"/>
        <c:lblOffset val="100"/>
        <c:noMultiLvlLbl val="0"/>
      </c:catAx>
      <c:valAx>
        <c:axId val="97621888"/>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(g/L)</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97620352"/>
        <c:crosses val="autoZero"/>
        <c:crossBetween val="between"/>
      </c:valAx>
    </c:plotArea>
    <c:plotVisOnly val="1"/>
    <c:dispBlanksAs val="gap"/>
    <c:showDLblsOverMax val="0"/>
  </c:chart>
  <c:printSettings>
    <c:headerFooter/>
    <c:pageMargins b="0.78740157499999996" l="0.511811024" r="0.511811024" t="0.78740157499999996" header="0.31496062000001107" footer="0.31496062000001107"/>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Dióxido de Cloro </a:t>
            </a:r>
            <a:r>
              <a:rPr lang="en-US" sz="1400">
                <a:latin typeface="Arial Narrow" pitchFamily="34" charset="0"/>
                <a:ea typeface="Arial Unicode MS" pitchFamily="34" charset="-128"/>
                <a:cs typeface="Arial Unicode MS" pitchFamily="34" charset="-128"/>
              </a:rPr>
              <a:t>(g/L)</a:t>
            </a:r>
          </a:p>
        </c:rich>
      </c:tx>
      <c:overlay val="0"/>
    </c:title>
    <c:autoTitleDeleted val="0"/>
    <c:plotArea>
      <c:layout>
        <c:manualLayout>
          <c:layoutTarget val="inner"/>
          <c:xMode val="edge"/>
          <c:yMode val="edge"/>
          <c:x val="0.18505690765926991"/>
          <c:y val="0.12150428485596022"/>
          <c:w val="0.75551503221188665"/>
          <c:h val="0.74640135344528002"/>
        </c:manualLayout>
      </c:layout>
      <c:barChart>
        <c:barDir val="col"/>
        <c:grouping val="clustered"/>
        <c:varyColors val="0"/>
        <c:ser>
          <c:idx val="1"/>
          <c:order val="0"/>
          <c:tx>
            <c:v>Dióxido de Cloro</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2017'!$C$66:$F$66</c:f>
              <c:numCache>
                <c:formatCode>General</c:formatCode>
                <c:ptCount val="4"/>
                <c:pt idx="0">
                  <c:v>0.21722688112295455</c:v>
                </c:pt>
                <c:pt idx="1">
                  <c:v>0.24118824039702239</c:v>
                </c:pt>
                <c:pt idx="2">
                  <c:v>0.19736450072574516</c:v>
                </c:pt>
                <c:pt idx="3">
                  <c:v>0.19123996496946577</c:v>
                </c:pt>
              </c:numCache>
            </c:numRef>
          </c:val>
          <c:extLst>
            <c:ext xmlns:c16="http://schemas.microsoft.com/office/drawing/2014/chart" uri="{C3380CC4-5D6E-409C-BE32-E72D297353CC}">
              <c16:uniqueId val="{00000000-35C4-4FEB-A4C3-5ECDFCED02D3}"/>
            </c:ext>
          </c:extLst>
        </c:ser>
        <c:dLbls>
          <c:showLegendKey val="0"/>
          <c:showVal val="0"/>
          <c:showCatName val="0"/>
          <c:showSerName val="0"/>
          <c:showPercent val="0"/>
          <c:showBubbleSize val="0"/>
        </c:dLbls>
        <c:gapWidth val="75"/>
        <c:overlap val="100"/>
        <c:axId val="97646464"/>
        <c:axId val="97648000"/>
      </c:barChart>
      <c:catAx>
        <c:axId val="97646464"/>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648000"/>
        <c:crosses val="autoZero"/>
        <c:auto val="1"/>
        <c:lblAlgn val="ctr"/>
        <c:lblOffset val="100"/>
        <c:noMultiLvlLbl val="0"/>
      </c:catAx>
      <c:valAx>
        <c:axId val="97648000"/>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(g/L)</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97646464"/>
        <c:crosses val="autoZero"/>
        <c:crossBetween val="between"/>
      </c:valAx>
    </c:plotArea>
    <c:plotVisOnly val="1"/>
    <c:dispBlanksAs val="gap"/>
    <c:showDLblsOverMax val="0"/>
  </c:chart>
  <c:printSettings>
    <c:headerFooter/>
    <c:pageMargins b="0.78740157499999996" l="0.511811024" r="0.511811024" t="0.78740157499999996" header="0.31496062000001124" footer="0.31496062000001124"/>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Soda </a:t>
            </a:r>
            <a:r>
              <a:rPr lang="en-US" sz="1400">
                <a:latin typeface="Arial Narrow" pitchFamily="34" charset="0"/>
                <a:ea typeface="Arial Unicode MS" pitchFamily="34" charset="-128"/>
                <a:cs typeface="Arial Unicode MS" pitchFamily="34" charset="-128"/>
              </a:rPr>
              <a:t>(g/TC)</a:t>
            </a:r>
          </a:p>
        </c:rich>
      </c:tx>
      <c:overlay val="0"/>
    </c:title>
    <c:autoTitleDeleted val="0"/>
    <c:plotArea>
      <c:layout>
        <c:manualLayout>
          <c:layoutTarget val="inner"/>
          <c:xMode val="edge"/>
          <c:yMode val="edge"/>
          <c:x val="0.18505690765926991"/>
          <c:y val="0.12150428485596022"/>
          <c:w val="0.75551503221188698"/>
          <c:h val="0.74640135344528025"/>
        </c:manualLayout>
      </c:layout>
      <c:barChart>
        <c:barDir val="col"/>
        <c:grouping val="clustered"/>
        <c:varyColors val="0"/>
        <c:ser>
          <c:idx val="1"/>
          <c:order val="0"/>
          <c:tx>
            <c:v>Soda</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2017'!$C$67:$F$67</c:f>
              <c:numCache>
                <c:formatCode>General</c:formatCode>
                <c:ptCount val="4"/>
                <c:pt idx="0">
                  <c:v>99.106120043793752</c:v>
                </c:pt>
                <c:pt idx="1">
                  <c:v>220.71394451157855</c:v>
                </c:pt>
                <c:pt idx="2">
                  <c:v>182.27980010660781</c:v>
                </c:pt>
                <c:pt idx="3">
                  <c:v>107.48569515279249</c:v>
                </c:pt>
              </c:numCache>
            </c:numRef>
          </c:val>
          <c:extLst>
            <c:ext xmlns:c16="http://schemas.microsoft.com/office/drawing/2014/chart" uri="{C3380CC4-5D6E-409C-BE32-E72D297353CC}">
              <c16:uniqueId val="{00000000-2A60-4BA1-9784-05F56E483289}"/>
            </c:ext>
          </c:extLst>
        </c:ser>
        <c:dLbls>
          <c:showLegendKey val="0"/>
          <c:showVal val="0"/>
          <c:showCatName val="0"/>
          <c:showSerName val="0"/>
          <c:showPercent val="0"/>
          <c:showBubbleSize val="0"/>
        </c:dLbls>
        <c:gapWidth val="75"/>
        <c:overlap val="100"/>
        <c:axId val="97729920"/>
        <c:axId val="97756288"/>
      </c:barChart>
      <c:catAx>
        <c:axId val="97729920"/>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97756288"/>
        <c:crosses val="autoZero"/>
        <c:auto val="1"/>
        <c:lblAlgn val="ctr"/>
        <c:lblOffset val="100"/>
        <c:noMultiLvlLbl val="0"/>
      </c:catAx>
      <c:valAx>
        <c:axId val="97756288"/>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(g/TC)</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97729920"/>
        <c:crosses val="autoZero"/>
        <c:crossBetween val="between"/>
      </c:valAx>
    </c:plotArea>
    <c:plotVisOnly val="1"/>
    <c:dispBlanksAs val="gap"/>
    <c:showDLblsOverMax val="0"/>
  </c:chart>
  <c:printSettings>
    <c:headerFooter/>
    <c:pageMargins b="0.78740157499999996" l="0.511811024" r="0.511811024" t="0.78740157499999996" header="0.3149606200000114" footer="0.3149606200000114"/>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Cal </a:t>
            </a:r>
            <a:r>
              <a:rPr lang="en-US" sz="1400">
                <a:latin typeface="Arial Narrow" pitchFamily="34" charset="0"/>
                <a:ea typeface="Arial Unicode MS" pitchFamily="34" charset="-128"/>
                <a:cs typeface="Arial Unicode MS" pitchFamily="34" charset="-128"/>
              </a:rPr>
              <a:t>(g/TC)</a:t>
            </a:r>
          </a:p>
        </c:rich>
      </c:tx>
      <c:overlay val="0"/>
    </c:title>
    <c:autoTitleDeleted val="0"/>
    <c:plotArea>
      <c:layout>
        <c:manualLayout>
          <c:layoutTarget val="inner"/>
          <c:xMode val="edge"/>
          <c:yMode val="edge"/>
          <c:x val="0.18505690765926991"/>
          <c:y val="0.12150428485596022"/>
          <c:w val="0.75551503221188743"/>
          <c:h val="0.74640135344528058"/>
        </c:manualLayout>
      </c:layout>
      <c:barChart>
        <c:barDir val="col"/>
        <c:grouping val="clustered"/>
        <c:varyColors val="0"/>
        <c:ser>
          <c:idx val="1"/>
          <c:order val="0"/>
          <c:tx>
            <c:v>Cal</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2017'!$C$68:$F$68</c:f>
              <c:numCache>
                <c:formatCode>General</c:formatCode>
                <c:ptCount val="4"/>
                <c:pt idx="0">
                  <c:v>751.58687924262267</c:v>
                </c:pt>
                <c:pt idx="1">
                  <c:v>634.92976409005678</c:v>
                </c:pt>
                <c:pt idx="2">
                  <c:v>713.71413749772887</c:v>
                </c:pt>
                <c:pt idx="3">
                  <c:v>547.0052212219415</c:v>
                </c:pt>
              </c:numCache>
            </c:numRef>
          </c:val>
          <c:extLst>
            <c:ext xmlns:c16="http://schemas.microsoft.com/office/drawing/2014/chart" uri="{C3380CC4-5D6E-409C-BE32-E72D297353CC}">
              <c16:uniqueId val="{00000000-C2EB-42B3-A351-3AE0291D83DE}"/>
            </c:ext>
          </c:extLst>
        </c:ser>
        <c:dLbls>
          <c:showLegendKey val="0"/>
          <c:showVal val="0"/>
          <c:showCatName val="0"/>
          <c:showSerName val="0"/>
          <c:showPercent val="0"/>
          <c:showBubbleSize val="0"/>
        </c:dLbls>
        <c:gapWidth val="75"/>
        <c:overlap val="100"/>
        <c:axId val="102302848"/>
        <c:axId val="102304384"/>
      </c:barChart>
      <c:catAx>
        <c:axId val="102302848"/>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102304384"/>
        <c:crosses val="autoZero"/>
        <c:auto val="1"/>
        <c:lblAlgn val="ctr"/>
        <c:lblOffset val="100"/>
        <c:noMultiLvlLbl val="0"/>
      </c:catAx>
      <c:valAx>
        <c:axId val="102304384"/>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(g/TC)</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102302848"/>
        <c:crosses val="autoZero"/>
        <c:crossBetween val="between"/>
      </c:valAx>
    </c:plotArea>
    <c:plotVisOnly val="1"/>
    <c:dispBlanksAs val="gap"/>
    <c:showDLblsOverMax val="0"/>
  </c:chart>
  <c:printSettings>
    <c:headerFooter/>
    <c:pageMargins b="0.78740157499999996" l="0.511811024" r="0.511811024" t="0.78740157499999996" header="0.31496062000001152" footer="0.3149606200000115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Custo Específico com Antiespumante e Dispersante (R$/m³)</a:t>
            </a:r>
          </a:p>
        </c:rich>
      </c:tx>
      <c:overlay val="0"/>
    </c:title>
    <c:autoTitleDeleted val="0"/>
    <c:plotArea>
      <c:layout>
        <c:manualLayout>
          <c:layoutTarget val="inner"/>
          <c:xMode val="edge"/>
          <c:yMode val="edge"/>
          <c:x val="0.15812133142448412"/>
          <c:y val="0.14318181818181816"/>
          <c:w val="0.76006048675733717"/>
          <c:h val="0.67559979718445706"/>
        </c:manualLayout>
      </c:layout>
      <c:barChart>
        <c:barDir val="col"/>
        <c:grouping val="stacked"/>
        <c:varyColors val="0"/>
        <c:ser>
          <c:idx val="0"/>
          <c:order val="0"/>
          <c:tx>
            <c:v>Antiespumante</c:v>
          </c:tx>
          <c:spPr>
            <a:solidFill>
              <a:srgbClr val="C00000"/>
            </a:solidFill>
            <a:ln>
              <a:solidFill>
                <a:srgbClr val="C00000"/>
              </a:solidFill>
            </a:ln>
          </c:spPr>
          <c:invertIfNegative val="0"/>
          <c:dPt>
            <c:idx val="0"/>
            <c:invertIfNegative val="0"/>
            <c:bubble3D val="0"/>
            <c:spPr>
              <a:solidFill>
                <a:srgbClr val="C00000"/>
              </a:solidFill>
              <a:ln w="9525">
                <a:solidFill>
                  <a:srgbClr val="C00000"/>
                </a:solidFill>
              </a:ln>
            </c:spPr>
            <c:extLst>
              <c:ext xmlns:c16="http://schemas.microsoft.com/office/drawing/2014/chart" uri="{C3380CC4-5D6E-409C-BE32-E72D297353CC}">
                <c16:uniqueId val="{00000001-DC05-4538-BB1B-EE4ECB01141E}"/>
              </c:ext>
            </c:extLst>
          </c:dPt>
          <c:dLbls>
            <c:dLbl>
              <c:idx val="0"/>
              <c:layout>
                <c:manualLayout>
                  <c:x val="0"/>
                  <c:y val="1.36536696353816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05-4538-BB1B-EE4ECB01141E}"/>
                </c:ext>
              </c:extLst>
            </c:dLbl>
            <c:dLbl>
              <c:idx val="1"/>
              <c:layout>
                <c:manualLayout>
                  <c:x val="-2.0481310803892607E-3"/>
                  <c:y val="1.0240655401945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05-4538-BB1B-EE4ECB01141E}"/>
                </c:ext>
              </c:extLst>
            </c:dLbl>
            <c:dLbl>
              <c:idx val="2"/>
              <c:layout>
                <c:manualLayout>
                  <c:x val="-4.096262160778510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05-4538-BB1B-EE4ECB01141E}"/>
                </c:ext>
              </c:extLst>
            </c:dLbl>
            <c:dLbl>
              <c:idx val="3"/>
              <c:layout>
                <c:manualLayout>
                  <c:x val="-2.0482923505530052E-3"/>
                  <c:y val="6.82710360129714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05-4538-BB1B-EE4ECB01141E}"/>
                </c:ext>
              </c:extLst>
            </c:dLbl>
            <c:dLbl>
              <c:idx val="4"/>
              <c:layout>
                <c:manualLayout>
                  <c:x val="0"/>
                  <c:y val="6.82710360129714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05-4538-BB1B-EE4ECB01141E}"/>
                </c:ext>
              </c:extLst>
            </c:dLbl>
            <c:spPr>
              <a:noFill/>
              <a:ln>
                <a:noFill/>
              </a:ln>
              <a:effectLst/>
            </c:spPr>
            <c:txPr>
              <a:bodyPr/>
              <a:lstStyle/>
              <a:p>
                <a:pPr>
                  <a:defRPr b="0">
                    <a:solidFill>
                      <a:schemeClr val="bg1"/>
                    </a:solidFill>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2017'!$C$74:$F$74</c:f>
              <c:numCache>
                <c:formatCode>General</c:formatCode>
                <c:ptCount val="4"/>
                <c:pt idx="0">
                  <c:v>2.6436289720271628</c:v>
                </c:pt>
                <c:pt idx="1">
                  <c:v>4.0419196618251441</c:v>
                </c:pt>
                <c:pt idx="2">
                  <c:v>2.2781115762819812</c:v>
                </c:pt>
                <c:pt idx="3">
                  <c:v>1.8067284670281447</c:v>
                </c:pt>
              </c:numCache>
            </c:numRef>
          </c:val>
          <c:extLst>
            <c:ext xmlns:c16="http://schemas.microsoft.com/office/drawing/2014/chart" uri="{C3380CC4-5D6E-409C-BE32-E72D297353CC}">
              <c16:uniqueId val="{00000006-DC05-4538-BB1B-EE4ECB01141E}"/>
            </c:ext>
          </c:extLst>
        </c:ser>
        <c:ser>
          <c:idx val="1"/>
          <c:order val="1"/>
          <c:tx>
            <c:v>Dispersante</c:v>
          </c:tx>
          <c:spPr>
            <a:solidFill>
              <a:schemeClr val="tx2"/>
            </a:solidFill>
            <a:ln>
              <a:solidFill>
                <a:schemeClr val="tx2"/>
              </a:solidFill>
            </a:ln>
          </c:spPr>
          <c:invertIfNegative val="0"/>
          <c:dPt>
            <c:idx val="0"/>
            <c:invertIfNegative val="0"/>
            <c:bubble3D val="0"/>
            <c:spPr>
              <a:solidFill>
                <a:schemeClr val="tx2"/>
              </a:solidFill>
              <a:ln w="9525">
                <a:solidFill>
                  <a:schemeClr val="tx2"/>
                </a:solidFill>
              </a:ln>
            </c:spPr>
            <c:extLst>
              <c:ext xmlns:c16="http://schemas.microsoft.com/office/drawing/2014/chart" uri="{C3380CC4-5D6E-409C-BE32-E72D297353CC}">
                <c16:uniqueId val="{00000008-DC05-4538-BB1B-EE4ECB01141E}"/>
              </c:ext>
            </c:extLst>
          </c:dPt>
          <c:dLbls>
            <c:dLbl>
              <c:idx val="1"/>
              <c:layout>
                <c:manualLayout>
                  <c:x val="-1.789549033643621E-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C05-4538-BB1B-EE4ECB01141E}"/>
                </c:ext>
              </c:extLst>
            </c:dLbl>
            <c:spPr>
              <a:noFill/>
              <a:ln>
                <a:noFill/>
              </a:ln>
              <a:effectLst/>
            </c:spPr>
            <c:txPr>
              <a:bodyPr/>
              <a:lstStyle/>
              <a:p>
                <a:pPr>
                  <a:defRPr b="0">
                    <a:solidFill>
                      <a:schemeClr val="bg1"/>
                    </a:solidFill>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2017'!$C$75:$F$75</c:f>
              <c:numCache>
                <c:formatCode>General</c:formatCode>
                <c:ptCount val="4"/>
                <c:pt idx="0">
                  <c:v>3.6601768288327916</c:v>
                </c:pt>
                <c:pt idx="1">
                  <c:v>3.8300692575047153</c:v>
                </c:pt>
                <c:pt idx="2">
                  <c:v>3.3026918836992554</c:v>
                </c:pt>
                <c:pt idx="3">
                  <c:v>2.7931950079124688</c:v>
                </c:pt>
              </c:numCache>
            </c:numRef>
          </c:val>
          <c:extLst>
            <c:ext xmlns:c16="http://schemas.microsoft.com/office/drawing/2014/chart" uri="{C3380CC4-5D6E-409C-BE32-E72D297353CC}">
              <c16:uniqueId val="{0000000A-DC05-4538-BB1B-EE4ECB01141E}"/>
            </c:ext>
          </c:extLst>
        </c:ser>
        <c:dLbls>
          <c:showLegendKey val="0"/>
          <c:showVal val="0"/>
          <c:showCatName val="0"/>
          <c:showSerName val="0"/>
          <c:showPercent val="0"/>
          <c:showBubbleSize val="0"/>
        </c:dLbls>
        <c:gapWidth val="66"/>
        <c:overlap val="100"/>
        <c:axId val="102386688"/>
        <c:axId val="102400768"/>
      </c:barChart>
      <c:barChart>
        <c:barDir val="col"/>
        <c:grouping val="stacked"/>
        <c:varyColors val="0"/>
        <c:ser>
          <c:idx val="2"/>
          <c:order val="2"/>
          <c:tx>
            <c:v>Total</c:v>
          </c:tx>
          <c:spPr>
            <a:noFill/>
            <a:ln>
              <a:noFill/>
            </a:ln>
          </c:spPr>
          <c:invertIfNegative val="0"/>
          <c:dLbls>
            <c:dLbl>
              <c:idx val="0"/>
              <c:layout>
                <c:manualLayout>
                  <c:x val="0"/>
                  <c:y val="-7.9545454545454544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C05-4538-BB1B-EE4ECB01141E}"/>
                </c:ext>
              </c:extLst>
            </c:dLbl>
            <c:dLbl>
              <c:idx val="1"/>
              <c:layout>
                <c:manualLayout>
                  <c:x val="0"/>
                  <c:y val="-7.1969696969697003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C05-4538-BB1B-EE4ECB01141E}"/>
                </c:ext>
              </c:extLst>
            </c:dLbl>
            <c:dLbl>
              <c:idx val="2"/>
              <c:layout>
                <c:manualLayout>
                  <c:x val="0"/>
                  <c:y val="-6.818181818181826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C05-4538-BB1B-EE4ECB01141E}"/>
                </c:ext>
              </c:extLst>
            </c:dLbl>
            <c:dLbl>
              <c:idx val="3"/>
              <c:layout>
                <c:manualLayout>
                  <c:x val="0"/>
                  <c:y val="-6.8181818181818177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C05-4538-BB1B-EE4ECB01141E}"/>
                </c:ext>
              </c:extLst>
            </c:dLbl>
            <c:dLbl>
              <c:idx val="4"/>
              <c:layout>
                <c:manualLayout>
                  <c:x val="-2.2727272727273433E-3"/>
                  <c:y val="-6.8181818181818177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C05-4538-BB1B-EE4ECB01141E}"/>
                </c:ext>
              </c:extLst>
            </c:dLbl>
            <c:dLbl>
              <c:idx val="5"/>
              <c:layout>
                <c:manualLayout>
                  <c:x val="0"/>
                  <c:y val="-6.8181818181818177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C05-4538-BB1B-EE4ECB01141E}"/>
                </c:ext>
              </c:extLst>
            </c:dLbl>
            <c:spPr>
              <a:noFill/>
              <a:ln>
                <a:noFill/>
              </a:ln>
              <a:effectLst/>
            </c:spPr>
            <c:txPr>
              <a:bodyPr/>
              <a:lstStyle/>
              <a:p>
                <a:pPr>
                  <a:defRPr b="1"/>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2017'!$C$76:$F$76</c:f>
              <c:numCache>
                <c:formatCode>General</c:formatCode>
                <c:ptCount val="4"/>
                <c:pt idx="0">
                  <c:v>6.3038058008599549</c:v>
                </c:pt>
                <c:pt idx="1">
                  <c:v>7.8719889193298593</c:v>
                </c:pt>
                <c:pt idx="2">
                  <c:v>5.5808034599812366</c:v>
                </c:pt>
                <c:pt idx="3">
                  <c:v>4.5999234749406135</c:v>
                </c:pt>
              </c:numCache>
            </c:numRef>
          </c:val>
          <c:extLst>
            <c:ext xmlns:c16="http://schemas.microsoft.com/office/drawing/2014/chart" uri="{C3380CC4-5D6E-409C-BE32-E72D297353CC}">
              <c16:uniqueId val="{00000011-DC05-4538-BB1B-EE4ECB01141E}"/>
            </c:ext>
          </c:extLst>
        </c:ser>
        <c:dLbls>
          <c:showLegendKey val="0"/>
          <c:showVal val="0"/>
          <c:showCatName val="0"/>
          <c:showSerName val="0"/>
          <c:showPercent val="0"/>
          <c:showBubbleSize val="0"/>
        </c:dLbls>
        <c:gapWidth val="35"/>
        <c:overlap val="100"/>
        <c:axId val="102412672"/>
        <c:axId val="102402688"/>
      </c:barChart>
      <c:catAx>
        <c:axId val="102386688"/>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102400768"/>
        <c:crosses val="autoZero"/>
        <c:auto val="1"/>
        <c:lblAlgn val="ctr"/>
        <c:lblOffset val="100"/>
        <c:noMultiLvlLbl val="0"/>
      </c:catAx>
      <c:valAx>
        <c:axId val="102400768"/>
        <c:scaling>
          <c:orientation val="minMax"/>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Custo Específico (R$/m³)</a:t>
                </a:r>
                <a:endParaRPr lang="en-US" sz="1100" b="1"/>
              </a:p>
            </c:rich>
          </c:tx>
          <c:overlay val="0"/>
        </c:title>
        <c:numFmt formatCode="&quot;R$ &quot;#,##0.00" sourceLinked="0"/>
        <c:majorTickMark val="out"/>
        <c:minorTickMark val="none"/>
        <c:tickLblPos val="nextTo"/>
        <c:spPr>
          <a:ln w="9525">
            <a:solidFill>
              <a:schemeClr val="tx1"/>
            </a:solidFill>
          </a:ln>
        </c:spPr>
        <c:txPr>
          <a:bodyPr/>
          <a:lstStyle/>
          <a:p>
            <a:pPr>
              <a:defRPr sz="1000" b="0"/>
            </a:pPr>
            <a:endParaRPr lang="pt-BR"/>
          </a:p>
        </c:txPr>
        <c:crossAx val="102386688"/>
        <c:crosses val="autoZero"/>
        <c:crossBetween val="between"/>
      </c:valAx>
      <c:valAx>
        <c:axId val="102402688"/>
        <c:scaling>
          <c:orientation val="minMax"/>
        </c:scaling>
        <c:delete val="1"/>
        <c:axPos val="r"/>
        <c:numFmt formatCode="General" sourceLinked="1"/>
        <c:majorTickMark val="out"/>
        <c:minorTickMark val="none"/>
        <c:tickLblPos val="nextTo"/>
        <c:crossAx val="102412672"/>
        <c:crosses val="max"/>
        <c:crossBetween val="between"/>
      </c:valAx>
      <c:catAx>
        <c:axId val="102412672"/>
        <c:scaling>
          <c:orientation val="minMax"/>
        </c:scaling>
        <c:delete val="1"/>
        <c:axPos val="b"/>
        <c:numFmt formatCode="General" sourceLinked="1"/>
        <c:majorTickMark val="out"/>
        <c:minorTickMark val="none"/>
        <c:tickLblPos val="nextTo"/>
        <c:crossAx val="102402688"/>
        <c:crosses val="autoZero"/>
        <c:auto val="1"/>
        <c:lblAlgn val="ctr"/>
        <c:lblOffset val="100"/>
        <c:noMultiLvlLbl val="0"/>
      </c:catAx>
    </c:plotArea>
    <c:legend>
      <c:legendPos val="b"/>
      <c:legendEntry>
        <c:idx val="2"/>
        <c:delete val="1"/>
      </c:legendEntry>
      <c:overlay val="0"/>
      <c:txPr>
        <a:bodyPr/>
        <a:lstStyle/>
        <a:p>
          <a:pPr>
            <a:defRPr sz="1000" b="1"/>
          </a:pPr>
          <a:endParaRPr lang="pt-BR"/>
        </a:p>
      </c:txPr>
    </c:legend>
    <c:plotVisOnly val="1"/>
    <c:dispBlanksAs val="gap"/>
    <c:showDLblsOverMax val="0"/>
  </c:chart>
  <c:printSettings>
    <c:headerFooter/>
    <c:pageMargins b="0.78740157499999996" l="0.511811024" r="0.511811024" t="0.78740157499999996" header="0.31496062000001196" footer="0.31496062000001196"/>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Polímero (g/TC)</a:t>
            </a:r>
            <a:endParaRPr lang="en-US" sz="1400">
              <a:latin typeface="Arial Narrow" pitchFamily="34" charset="0"/>
              <a:ea typeface="Arial Unicode MS" pitchFamily="34" charset="-128"/>
              <a:cs typeface="Arial Unicode MS" pitchFamily="34" charset="-128"/>
            </a:endParaRPr>
          </a:p>
        </c:rich>
      </c:tx>
      <c:overlay val="0"/>
    </c:title>
    <c:autoTitleDeleted val="0"/>
    <c:plotArea>
      <c:layout>
        <c:manualLayout>
          <c:layoutTarget val="inner"/>
          <c:xMode val="edge"/>
          <c:yMode val="edge"/>
          <c:x val="0.15812133142448423"/>
          <c:y val="0.14318181818181816"/>
          <c:w val="0.76006048675733717"/>
          <c:h val="0.67559979718445751"/>
        </c:manualLayout>
      </c:layout>
      <c:barChart>
        <c:barDir val="col"/>
        <c:grouping val="stacked"/>
        <c:varyColors val="0"/>
        <c:ser>
          <c:idx val="0"/>
          <c:order val="0"/>
          <c:tx>
            <c:v>Decantador</c:v>
          </c:tx>
          <c:spPr>
            <a:solidFill>
              <a:srgbClr val="C00000"/>
            </a:solidFill>
            <a:ln>
              <a:solidFill>
                <a:srgbClr val="C00000"/>
              </a:solidFill>
            </a:ln>
          </c:spPr>
          <c:invertIfNegative val="0"/>
          <c:dPt>
            <c:idx val="0"/>
            <c:invertIfNegative val="0"/>
            <c:bubble3D val="0"/>
            <c:spPr>
              <a:solidFill>
                <a:srgbClr val="C00000"/>
              </a:solidFill>
              <a:ln w="9525">
                <a:solidFill>
                  <a:srgbClr val="C00000"/>
                </a:solidFill>
              </a:ln>
            </c:spPr>
            <c:extLst>
              <c:ext xmlns:c16="http://schemas.microsoft.com/office/drawing/2014/chart" uri="{C3380CC4-5D6E-409C-BE32-E72D297353CC}">
                <c16:uniqueId val="{00000001-2590-4A03-8641-E76809632E71}"/>
              </c:ext>
            </c:extLst>
          </c:dPt>
          <c:dLbls>
            <c:dLbl>
              <c:idx val="0"/>
              <c:layout>
                <c:manualLayout>
                  <c:x val="0"/>
                  <c:y val="1.36536696353816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90-4A03-8641-E76809632E71}"/>
                </c:ext>
              </c:extLst>
            </c:dLbl>
            <c:dLbl>
              <c:idx val="1"/>
              <c:layout>
                <c:manualLayout>
                  <c:x val="-2.048131080389262E-3"/>
                  <c:y val="1.0240655401945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90-4A03-8641-E76809632E71}"/>
                </c:ext>
              </c:extLst>
            </c:dLbl>
            <c:dLbl>
              <c:idx val="2"/>
              <c:layout>
                <c:manualLayout>
                  <c:x val="-4.096262160778513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90-4A03-8641-E76809632E71}"/>
                </c:ext>
              </c:extLst>
            </c:dLbl>
            <c:dLbl>
              <c:idx val="3"/>
              <c:layout>
                <c:manualLayout>
                  <c:x val="-2.0482923505530052E-3"/>
                  <c:y val="6.82710360129714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90-4A03-8641-E76809632E71}"/>
                </c:ext>
              </c:extLst>
            </c:dLbl>
            <c:dLbl>
              <c:idx val="4"/>
              <c:layout>
                <c:manualLayout>
                  <c:x val="0"/>
                  <c:y val="6.82710360129714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90-4A03-8641-E76809632E71}"/>
                </c:ext>
              </c:extLst>
            </c:dLbl>
            <c:spPr>
              <a:noFill/>
              <a:ln>
                <a:noFill/>
              </a:ln>
              <a:effectLst/>
            </c:spPr>
            <c:txPr>
              <a:bodyPr/>
              <a:lstStyle/>
              <a:p>
                <a:pPr>
                  <a:defRPr b="0">
                    <a:solidFill>
                      <a:schemeClr val="bg1"/>
                    </a:solidFill>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2017'!$C$69:$F$69</c:f>
              <c:numCache>
                <c:formatCode>General</c:formatCode>
                <c:ptCount val="4"/>
                <c:pt idx="0">
                  <c:v>2.1725460633264371</c:v>
                </c:pt>
                <c:pt idx="1">
                  <c:v>2.0954089959358093</c:v>
                </c:pt>
                <c:pt idx="2">
                  <c:v>2.7100429318937409</c:v>
                </c:pt>
                <c:pt idx="3">
                  <c:v>3.5058867120001196</c:v>
                </c:pt>
              </c:numCache>
            </c:numRef>
          </c:val>
          <c:extLst>
            <c:ext xmlns:c16="http://schemas.microsoft.com/office/drawing/2014/chart" uri="{C3380CC4-5D6E-409C-BE32-E72D297353CC}">
              <c16:uniqueId val="{00000006-2590-4A03-8641-E76809632E71}"/>
            </c:ext>
          </c:extLst>
        </c:ser>
        <c:ser>
          <c:idx val="1"/>
          <c:order val="1"/>
          <c:tx>
            <c:v>Filtro-Prensa</c:v>
          </c:tx>
          <c:spPr>
            <a:solidFill>
              <a:schemeClr val="tx2"/>
            </a:solidFill>
            <a:ln>
              <a:solidFill>
                <a:schemeClr val="tx2"/>
              </a:solidFill>
            </a:ln>
          </c:spPr>
          <c:invertIfNegative val="0"/>
          <c:dPt>
            <c:idx val="0"/>
            <c:invertIfNegative val="0"/>
            <c:bubble3D val="0"/>
            <c:spPr>
              <a:solidFill>
                <a:schemeClr val="tx2"/>
              </a:solidFill>
              <a:ln w="9525">
                <a:solidFill>
                  <a:schemeClr val="tx2"/>
                </a:solidFill>
              </a:ln>
            </c:spPr>
            <c:extLst>
              <c:ext xmlns:c16="http://schemas.microsoft.com/office/drawing/2014/chart" uri="{C3380CC4-5D6E-409C-BE32-E72D297353CC}">
                <c16:uniqueId val="{00000008-2590-4A03-8641-E76809632E71}"/>
              </c:ext>
            </c:extLst>
          </c:dPt>
          <c:dLbls>
            <c:dLbl>
              <c:idx val="1"/>
              <c:layout>
                <c:manualLayout>
                  <c:x val="-1.7895490336436226E-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90-4A03-8641-E76809632E71}"/>
                </c:ext>
              </c:extLst>
            </c:dLbl>
            <c:spPr>
              <a:noFill/>
              <a:ln>
                <a:noFill/>
              </a:ln>
              <a:effectLst/>
            </c:spPr>
            <c:txPr>
              <a:bodyPr/>
              <a:lstStyle/>
              <a:p>
                <a:pPr>
                  <a:defRPr b="0">
                    <a:solidFill>
                      <a:schemeClr val="bg1"/>
                    </a:solidFill>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2017'!$C$70:$F$70</c:f>
              <c:numCache>
                <c:formatCode>General</c:formatCode>
                <c:ptCount val="4"/>
                <c:pt idx="0">
                  <c:v>9.1246934659710366</c:v>
                </c:pt>
                <c:pt idx="1">
                  <c:v>6.483033357591454</c:v>
                </c:pt>
                <c:pt idx="2">
                  <c:v>6.6130435493792721</c:v>
                </c:pt>
                <c:pt idx="3">
                  <c:v>9.8649684608939534</c:v>
                </c:pt>
              </c:numCache>
            </c:numRef>
          </c:val>
          <c:extLst>
            <c:ext xmlns:c16="http://schemas.microsoft.com/office/drawing/2014/chart" uri="{C3380CC4-5D6E-409C-BE32-E72D297353CC}">
              <c16:uniqueId val="{0000000A-2590-4A03-8641-E76809632E71}"/>
            </c:ext>
          </c:extLst>
        </c:ser>
        <c:dLbls>
          <c:showLegendKey val="0"/>
          <c:showVal val="0"/>
          <c:showCatName val="0"/>
          <c:showSerName val="0"/>
          <c:showPercent val="0"/>
          <c:showBubbleSize val="0"/>
        </c:dLbls>
        <c:gapWidth val="66"/>
        <c:overlap val="100"/>
        <c:axId val="102282752"/>
        <c:axId val="102284288"/>
      </c:barChart>
      <c:barChart>
        <c:barDir val="col"/>
        <c:grouping val="stacked"/>
        <c:varyColors val="0"/>
        <c:ser>
          <c:idx val="2"/>
          <c:order val="2"/>
          <c:tx>
            <c:v>Total</c:v>
          </c:tx>
          <c:spPr>
            <a:noFill/>
            <a:ln>
              <a:noFill/>
            </a:ln>
          </c:spPr>
          <c:invertIfNegative val="0"/>
          <c:dLbls>
            <c:dLbl>
              <c:idx val="0"/>
              <c:layout>
                <c:manualLayout>
                  <c:x val="0"/>
                  <c:y val="-7.9545454545454544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590-4A03-8641-E76809632E71}"/>
                </c:ext>
              </c:extLst>
            </c:dLbl>
            <c:dLbl>
              <c:idx val="1"/>
              <c:layout>
                <c:manualLayout>
                  <c:x val="0"/>
                  <c:y val="-7.1969696969697003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590-4A03-8641-E76809632E71}"/>
                </c:ext>
              </c:extLst>
            </c:dLbl>
            <c:dLbl>
              <c:idx val="2"/>
              <c:layout>
                <c:manualLayout>
                  <c:x val="0"/>
                  <c:y val="-6.818181818181826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590-4A03-8641-E76809632E71}"/>
                </c:ext>
              </c:extLst>
            </c:dLbl>
            <c:dLbl>
              <c:idx val="3"/>
              <c:layout>
                <c:manualLayout>
                  <c:x val="0"/>
                  <c:y val="-6.8181818181818177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590-4A03-8641-E76809632E71}"/>
                </c:ext>
              </c:extLst>
            </c:dLbl>
            <c:dLbl>
              <c:idx val="4"/>
              <c:layout>
                <c:manualLayout>
                  <c:x val="-2.2727272727273459E-3"/>
                  <c:y val="-6.8181818181818177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590-4A03-8641-E76809632E71}"/>
                </c:ext>
              </c:extLst>
            </c:dLbl>
            <c:dLbl>
              <c:idx val="5"/>
              <c:layout>
                <c:manualLayout>
                  <c:x val="0"/>
                  <c:y val="-6.8181818181818177E-2"/>
                </c:manualLayout>
              </c:layout>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590-4A03-8641-E76809632E71}"/>
                </c:ext>
              </c:extLst>
            </c:dLbl>
            <c:spPr>
              <a:noFill/>
              <a:ln>
                <a:noFill/>
              </a:ln>
              <a:effectLst/>
            </c:spPr>
            <c:txPr>
              <a:bodyPr/>
              <a:lstStyle/>
              <a:p>
                <a:pPr>
                  <a:defRPr b="1"/>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2017'!$C$71:$F$71</c:f>
              <c:numCache>
                <c:formatCode>General</c:formatCode>
                <c:ptCount val="4"/>
                <c:pt idx="0">
                  <c:v>11.297239529297475</c:v>
                </c:pt>
                <c:pt idx="1">
                  <c:v>8.5784423535272634</c:v>
                </c:pt>
                <c:pt idx="2">
                  <c:v>9.3230864812730125</c:v>
                </c:pt>
                <c:pt idx="3">
                  <c:v>13.370855172894073</c:v>
                </c:pt>
              </c:numCache>
            </c:numRef>
          </c:val>
          <c:extLst>
            <c:ext xmlns:c16="http://schemas.microsoft.com/office/drawing/2014/chart" uri="{C3380CC4-5D6E-409C-BE32-E72D297353CC}">
              <c16:uniqueId val="{00000011-2590-4A03-8641-E76809632E71}"/>
            </c:ext>
          </c:extLst>
        </c:ser>
        <c:dLbls>
          <c:showLegendKey val="0"/>
          <c:showVal val="0"/>
          <c:showCatName val="0"/>
          <c:showSerName val="0"/>
          <c:showPercent val="0"/>
          <c:showBubbleSize val="0"/>
        </c:dLbls>
        <c:gapWidth val="35"/>
        <c:overlap val="100"/>
        <c:axId val="102435456"/>
        <c:axId val="102433920"/>
      </c:barChart>
      <c:catAx>
        <c:axId val="102282752"/>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102284288"/>
        <c:crosses val="autoZero"/>
        <c:auto val="1"/>
        <c:lblAlgn val="ctr"/>
        <c:lblOffset val="100"/>
        <c:noMultiLvlLbl val="0"/>
      </c:catAx>
      <c:valAx>
        <c:axId val="102284288"/>
        <c:scaling>
          <c:orientation val="minMax"/>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Custo Específico (g/TC)</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102282752"/>
        <c:crosses val="autoZero"/>
        <c:crossBetween val="between"/>
      </c:valAx>
      <c:valAx>
        <c:axId val="102433920"/>
        <c:scaling>
          <c:orientation val="minMax"/>
        </c:scaling>
        <c:delete val="1"/>
        <c:axPos val="r"/>
        <c:numFmt formatCode="General" sourceLinked="1"/>
        <c:majorTickMark val="out"/>
        <c:minorTickMark val="none"/>
        <c:tickLblPos val="nextTo"/>
        <c:crossAx val="102435456"/>
        <c:crosses val="max"/>
        <c:crossBetween val="between"/>
      </c:valAx>
      <c:catAx>
        <c:axId val="102435456"/>
        <c:scaling>
          <c:orientation val="minMax"/>
        </c:scaling>
        <c:delete val="1"/>
        <c:axPos val="b"/>
        <c:numFmt formatCode="General" sourceLinked="1"/>
        <c:majorTickMark val="out"/>
        <c:minorTickMark val="none"/>
        <c:tickLblPos val="nextTo"/>
        <c:crossAx val="102433920"/>
        <c:crosses val="autoZero"/>
        <c:auto val="1"/>
        <c:lblAlgn val="ctr"/>
        <c:lblOffset val="100"/>
        <c:noMultiLvlLbl val="0"/>
      </c:catAx>
    </c:plotArea>
    <c:legend>
      <c:legendPos val="b"/>
      <c:legendEntry>
        <c:idx val="2"/>
        <c:delete val="1"/>
      </c:legendEntry>
      <c:overlay val="0"/>
      <c:txPr>
        <a:bodyPr/>
        <a:lstStyle/>
        <a:p>
          <a:pPr>
            <a:defRPr sz="1000" b="1"/>
          </a:pPr>
          <a:endParaRPr lang="pt-BR"/>
        </a:p>
      </c:txPr>
    </c:legend>
    <c:plotVisOnly val="1"/>
    <c:dispBlanksAs val="gap"/>
    <c:showDLblsOverMax val="0"/>
  </c:chart>
  <c:printSettings>
    <c:headerFooter/>
    <c:pageMargins b="0.78740157499999996" l="0.511811024" r="0.511811024" t="0.78740157499999996" header="0.31496062000001207" footer="0.31496062000001207"/>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Consumo Específico</a:t>
            </a:r>
            <a:r>
              <a:rPr lang="en-US" sz="1400" baseline="0">
                <a:latin typeface="Arial Narrow" pitchFamily="34" charset="0"/>
                <a:ea typeface="Arial Unicode MS" pitchFamily="34" charset="-128"/>
                <a:cs typeface="Arial Unicode MS" pitchFamily="34" charset="-128"/>
              </a:rPr>
              <a:t> de Clarificante </a:t>
            </a:r>
            <a:r>
              <a:rPr lang="en-US" sz="1400">
                <a:latin typeface="Arial Narrow" pitchFamily="34" charset="0"/>
                <a:ea typeface="Arial Unicode MS" pitchFamily="34" charset="-128"/>
                <a:cs typeface="Arial Unicode MS" pitchFamily="34" charset="-128"/>
              </a:rPr>
              <a:t>(g/TC)</a:t>
            </a:r>
          </a:p>
        </c:rich>
      </c:tx>
      <c:overlay val="0"/>
    </c:title>
    <c:autoTitleDeleted val="0"/>
    <c:plotArea>
      <c:layout>
        <c:manualLayout>
          <c:layoutTarget val="inner"/>
          <c:xMode val="edge"/>
          <c:yMode val="edge"/>
          <c:x val="0.18505690765926991"/>
          <c:y val="0.12150428485596022"/>
          <c:w val="0.75551503221188776"/>
          <c:h val="0.74640135344528091"/>
        </c:manualLayout>
      </c:layout>
      <c:barChart>
        <c:barDir val="col"/>
        <c:grouping val="clustered"/>
        <c:varyColors val="0"/>
        <c:ser>
          <c:idx val="1"/>
          <c:order val="0"/>
          <c:tx>
            <c:v>Clarificante</c:v>
          </c:tx>
          <c:spPr>
            <a:solidFill>
              <a:schemeClr val="tx2"/>
            </a:solidFill>
            <a:ln>
              <a:solidFill>
                <a:schemeClr val="tx2"/>
              </a:solidFill>
            </a:ln>
          </c:spPr>
          <c:invertIfNegative val="0"/>
          <c:dLbls>
            <c:numFmt formatCode="#,##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2017'!$C$72:$F$72</c:f>
              <c:numCache>
                <c:formatCode>General</c:formatCode>
                <c:ptCount val="4"/>
                <c:pt idx="0">
                  <c:v>0</c:v>
                </c:pt>
                <c:pt idx="1">
                  <c:v>0</c:v>
                </c:pt>
                <c:pt idx="2">
                  <c:v>17.937458121103106</c:v>
                </c:pt>
                <c:pt idx="3">
                  <c:v>4.4756000578724926</c:v>
                </c:pt>
              </c:numCache>
            </c:numRef>
          </c:val>
          <c:extLst>
            <c:ext xmlns:c16="http://schemas.microsoft.com/office/drawing/2014/chart" uri="{C3380CC4-5D6E-409C-BE32-E72D297353CC}">
              <c16:uniqueId val="{00000000-A017-456B-AD7E-B63BA16E5514}"/>
            </c:ext>
          </c:extLst>
        </c:ser>
        <c:dLbls>
          <c:showLegendKey val="0"/>
          <c:showVal val="0"/>
          <c:showCatName val="0"/>
          <c:showSerName val="0"/>
          <c:showPercent val="0"/>
          <c:showBubbleSize val="0"/>
        </c:dLbls>
        <c:gapWidth val="75"/>
        <c:overlap val="100"/>
        <c:axId val="102263808"/>
        <c:axId val="102470400"/>
      </c:barChart>
      <c:catAx>
        <c:axId val="102263808"/>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102470400"/>
        <c:crosses val="autoZero"/>
        <c:auto val="1"/>
        <c:lblAlgn val="ctr"/>
        <c:lblOffset val="100"/>
        <c:noMultiLvlLbl val="0"/>
      </c:catAx>
      <c:valAx>
        <c:axId val="102470400"/>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Consumo Específico (g/TC)</a:t>
                </a:r>
                <a:endParaRPr lang="en-US" sz="1100" b="1"/>
              </a:p>
            </c:rich>
          </c:tx>
          <c:overlay val="0"/>
        </c:title>
        <c:numFmt formatCode="#,##0.00" sourceLinked="0"/>
        <c:majorTickMark val="out"/>
        <c:minorTickMark val="none"/>
        <c:tickLblPos val="nextTo"/>
        <c:spPr>
          <a:ln w="9525">
            <a:solidFill>
              <a:schemeClr val="tx1"/>
            </a:solidFill>
          </a:ln>
        </c:spPr>
        <c:txPr>
          <a:bodyPr/>
          <a:lstStyle/>
          <a:p>
            <a:pPr>
              <a:defRPr sz="1000" b="0"/>
            </a:pPr>
            <a:endParaRPr lang="pt-BR"/>
          </a:p>
        </c:txPr>
        <c:crossAx val="102263808"/>
        <c:crosses val="autoZero"/>
        <c:crossBetween val="between"/>
      </c:valAx>
    </c:plotArea>
    <c:plotVisOnly val="1"/>
    <c:dispBlanksAs val="gap"/>
    <c:showDLblsOverMax val="0"/>
  </c:chart>
  <c:printSettings>
    <c:headerFooter/>
    <c:pageMargins b="0.78740157499999996" l="0.511811024" r="0.511811024" t="0.78740157499999996" header="0.31496062000001163" footer="0.3149606200000116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Custo</a:t>
            </a:r>
            <a:r>
              <a:rPr lang="en-US" sz="1400" baseline="0">
                <a:latin typeface="Arial Narrow" pitchFamily="34" charset="0"/>
                <a:ea typeface="Arial Unicode MS" pitchFamily="34" charset="-128"/>
                <a:cs typeface="Arial Unicode MS" pitchFamily="34" charset="-128"/>
              </a:rPr>
              <a:t> de Tratamento das Torres de Resfriamento (R$/m³)</a:t>
            </a:r>
            <a:endParaRPr lang="en-US" sz="1400">
              <a:latin typeface="Arial Narrow" pitchFamily="34" charset="0"/>
              <a:ea typeface="Arial Unicode MS" pitchFamily="34" charset="-128"/>
              <a:cs typeface="Arial Unicode MS" pitchFamily="34" charset="-128"/>
            </a:endParaRPr>
          </a:p>
        </c:rich>
      </c:tx>
      <c:overlay val="0"/>
    </c:title>
    <c:autoTitleDeleted val="0"/>
    <c:plotArea>
      <c:layout>
        <c:manualLayout>
          <c:layoutTarget val="inner"/>
          <c:xMode val="edge"/>
          <c:yMode val="edge"/>
          <c:x val="0.18505690765926991"/>
          <c:y val="0.12150428485596022"/>
          <c:w val="0.75551503221188498"/>
          <c:h val="0.74640135344527891"/>
        </c:manualLayout>
      </c:layout>
      <c:barChart>
        <c:barDir val="col"/>
        <c:grouping val="clustered"/>
        <c:varyColors val="0"/>
        <c:ser>
          <c:idx val="1"/>
          <c:order val="0"/>
          <c:tx>
            <c:v>Torre de Resfriamento</c:v>
          </c:tx>
          <c:spPr>
            <a:solidFill>
              <a:schemeClr val="tx2"/>
            </a:solidFill>
            <a:ln>
              <a:solidFill>
                <a:schemeClr val="tx2"/>
              </a:solidFill>
            </a:ln>
          </c:spPr>
          <c:invertIfNegative val="0"/>
          <c:dLbls>
            <c:numFmt formatCode="&quot;R$&quot;\ #,##0.00" sourceLinked="0"/>
            <c:spPr>
              <a:noFill/>
              <a:ln>
                <a:noFill/>
              </a:ln>
              <a:effectLst/>
            </c:spPr>
            <c:txPr>
              <a:bodyPr/>
              <a:lstStyle/>
              <a:p>
                <a:pPr>
                  <a:defRPr sz="1000" b="1"/>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'[2]Safra 2017'!$C$44:$F$44</c:f>
              <c:strCache>
                <c:ptCount val="4"/>
                <c:pt idx="0">
                  <c:v>Safra 2014</c:v>
                </c:pt>
                <c:pt idx="1">
                  <c:v>Safra 2015</c:v>
                </c:pt>
                <c:pt idx="2">
                  <c:v>Safra 2016</c:v>
                </c:pt>
                <c:pt idx="3">
                  <c:v>Safra 2017</c:v>
                </c:pt>
              </c:strCache>
            </c:strRef>
          </c:cat>
          <c:val>
            <c:numRef>
              <c:f>'[2]Safra 2017'!$C$77:$F$77</c:f>
              <c:numCache>
                <c:formatCode>General</c:formatCode>
                <c:ptCount val="4"/>
                <c:pt idx="0">
                  <c:v>0.95149295549884982</c:v>
                </c:pt>
                <c:pt idx="1">
                  <c:v>0.23272132721788485</c:v>
                </c:pt>
                <c:pt idx="2">
                  <c:v>0.90009182988305858</c:v>
                </c:pt>
                <c:pt idx="3">
                  <c:v>0.86810094144237937</c:v>
                </c:pt>
              </c:numCache>
            </c:numRef>
          </c:val>
          <c:extLst>
            <c:ext xmlns:c16="http://schemas.microsoft.com/office/drawing/2014/chart" uri="{C3380CC4-5D6E-409C-BE32-E72D297353CC}">
              <c16:uniqueId val="{00000000-3207-4C2A-90E0-7222A2A7AEB2}"/>
            </c:ext>
          </c:extLst>
        </c:ser>
        <c:dLbls>
          <c:showLegendKey val="0"/>
          <c:showVal val="0"/>
          <c:showCatName val="0"/>
          <c:showSerName val="0"/>
          <c:showPercent val="0"/>
          <c:showBubbleSize val="0"/>
        </c:dLbls>
        <c:gapWidth val="75"/>
        <c:overlap val="100"/>
        <c:axId val="102490880"/>
        <c:axId val="102492416"/>
      </c:barChart>
      <c:catAx>
        <c:axId val="102490880"/>
        <c:scaling>
          <c:orientation val="minMax"/>
        </c:scaling>
        <c:delete val="0"/>
        <c:axPos val="b"/>
        <c:numFmt formatCode="General" sourceLinked="1"/>
        <c:majorTickMark val="out"/>
        <c:minorTickMark val="none"/>
        <c:tickLblPos val="nextTo"/>
        <c:spPr>
          <a:noFill/>
          <a:ln w="9525">
            <a:solidFill>
              <a:schemeClr val="tx1"/>
            </a:solidFill>
          </a:ln>
        </c:spPr>
        <c:txPr>
          <a:bodyPr/>
          <a:lstStyle/>
          <a:p>
            <a:pPr>
              <a:defRPr sz="1050" b="1"/>
            </a:pPr>
            <a:endParaRPr lang="pt-BR"/>
          </a:p>
        </c:txPr>
        <c:crossAx val="102492416"/>
        <c:crosses val="autoZero"/>
        <c:auto val="1"/>
        <c:lblAlgn val="ctr"/>
        <c:lblOffset val="100"/>
        <c:noMultiLvlLbl val="0"/>
      </c:catAx>
      <c:valAx>
        <c:axId val="102492416"/>
        <c:scaling>
          <c:orientation val="minMax"/>
          <c:min val="0"/>
        </c:scaling>
        <c:delete val="0"/>
        <c:axPos val="l"/>
        <c:title>
          <c:tx>
            <c:rich>
              <a:bodyPr rot="-5400000" vert="horz"/>
              <a:lstStyle/>
              <a:p>
                <a:pPr>
                  <a:defRPr sz="1100" b="1">
                    <a:latin typeface="Arial Unicode MS" pitchFamily="34" charset="-128"/>
                    <a:ea typeface="Arial Unicode MS" pitchFamily="34" charset="-128"/>
                    <a:cs typeface="Arial Unicode MS" pitchFamily="34" charset="-128"/>
                  </a:defRPr>
                </a:pPr>
                <a:r>
                  <a:rPr lang="en-US" sz="1100" b="1" i="0" baseline="0"/>
                  <a:t>Custo Específico (R$/m³)</a:t>
                </a:r>
                <a:endParaRPr lang="en-US" sz="1100" b="1"/>
              </a:p>
            </c:rich>
          </c:tx>
          <c:overlay val="0"/>
        </c:title>
        <c:numFmt formatCode="&quot;R$&quot;\ #,##0.00" sourceLinked="0"/>
        <c:majorTickMark val="out"/>
        <c:minorTickMark val="none"/>
        <c:tickLblPos val="nextTo"/>
        <c:spPr>
          <a:ln w="9525">
            <a:solidFill>
              <a:schemeClr val="tx1"/>
            </a:solidFill>
          </a:ln>
        </c:spPr>
        <c:txPr>
          <a:bodyPr/>
          <a:lstStyle/>
          <a:p>
            <a:pPr>
              <a:defRPr sz="1000" b="0"/>
            </a:pPr>
            <a:endParaRPr lang="pt-BR"/>
          </a:p>
        </c:txPr>
        <c:crossAx val="102490880"/>
        <c:crosses val="autoZero"/>
        <c:crossBetween val="between"/>
      </c:valAx>
    </c:plotArea>
    <c:plotVisOnly val="1"/>
    <c:dispBlanksAs val="gap"/>
    <c:showDLblsOverMax val="0"/>
  </c:chart>
  <c:printSettings>
    <c:headerFooter/>
    <c:pageMargins b="0.78740157499999996" l="0.511811024" r="0.511811024" t="0.78740157499999996" header="0.31496062000001063" footer="0.3149606200000106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Narrow" pitchFamily="34" charset="0"/>
                <a:ea typeface="Arial Unicode MS" pitchFamily="34" charset="-128"/>
                <a:cs typeface="Arial Unicode MS" pitchFamily="34" charset="-128"/>
              </a:defRPr>
            </a:pPr>
            <a:r>
              <a:rPr lang="en-US" sz="1400">
                <a:latin typeface="Arial Narrow" pitchFamily="34" charset="0"/>
                <a:ea typeface="Arial Unicode MS" pitchFamily="34" charset="-128"/>
                <a:cs typeface="Arial Unicode MS" pitchFamily="34" charset="-128"/>
              </a:rPr>
              <a:t>Representatividade nos</a:t>
            </a:r>
            <a:r>
              <a:rPr lang="en-US" sz="1400" baseline="0">
                <a:latin typeface="Arial Narrow" pitchFamily="34" charset="0"/>
                <a:ea typeface="Arial Unicode MS" pitchFamily="34" charset="-128"/>
                <a:cs typeface="Arial Unicode MS" pitchFamily="34" charset="-128"/>
              </a:rPr>
              <a:t> Custos (%)</a:t>
            </a:r>
            <a:endParaRPr lang="en-US" sz="1400">
              <a:latin typeface="Arial Narrow" pitchFamily="34" charset="0"/>
              <a:ea typeface="Arial Unicode MS" pitchFamily="34" charset="-128"/>
              <a:cs typeface="Arial Unicode MS" pitchFamily="34" charset="-128"/>
            </a:endParaRPr>
          </a:p>
        </c:rich>
      </c:tx>
      <c:overlay val="0"/>
    </c:title>
    <c:autoTitleDeleted val="0"/>
    <c:view3D>
      <c:rotX val="75"/>
      <c:rotY val="0"/>
      <c:rAngAx val="0"/>
    </c:view3D>
    <c:floor>
      <c:thickness val="0"/>
    </c:floor>
    <c:sideWall>
      <c:thickness val="0"/>
    </c:sideWall>
    <c:backWall>
      <c:thickness val="0"/>
    </c:backWall>
    <c:plotArea>
      <c:layout>
        <c:manualLayout>
          <c:layoutTarget val="inner"/>
          <c:xMode val="edge"/>
          <c:yMode val="edge"/>
          <c:x val="0.41104491768074464"/>
          <c:y val="0.22190589128166213"/>
          <c:w val="0.75551503221188543"/>
          <c:h val="0.74640135344527914"/>
        </c:manualLayout>
      </c:layout>
      <c:pie3DChart>
        <c:varyColors val="1"/>
        <c:ser>
          <c:idx val="0"/>
          <c:order val="0"/>
          <c:tx>
            <c:v>Representatividade nos Custos</c:v>
          </c:tx>
          <c:dPt>
            <c:idx val="0"/>
            <c:bubble3D val="0"/>
            <c:spPr>
              <a:solidFill>
                <a:schemeClr val="tx2"/>
              </a:solidFill>
              <a:ln>
                <a:solidFill>
                  <a:schemeClr val="tx2"/>
                </a:solidFill>
              </a:ln>
            </c:spPr>
            <c:extLst>
              <c:ext xmlns:c16="http://schemas.microsoft.com/office/drawing/2014/chart" uri="{C3380CC4-5D6E-409C-BE32-E72D297353CC}">
                <c16:uniqueId val="{00000001-6CD6-4682-A73D-38611C2C5DD6}"/>
              </c:ext>
            </c:extLst>
          </c:dPt>
          <c:dPt>
            <c:idx val="1"/>
            <c:bubble3D val="0"/>
            <c:spPr>
              <a:solidFill>
                <a:schemeClr val="accent2">
                  <a:lumMod val="75000"/>
                </a:schemeClr>
              </a:solidFill>
              <a:ln>
                <a:solidFill>
                  <a:schemeClr val="accent2">
                    <a:lumMod val="75000"/>
                  </a:schemeClr>
                </a:solidFill>
              </a:ln>
            </c:spPr>
            <c:extLst>
              <c:ext xmlns:c16="http://schemas.microsoft.com/office/drawing/2014/chart" uri="{C3380CC4-5D6E-409C-BE32-E72D297353CC}">
                <c16:uniqueId val="{00000003-6CD6-4682-A73D-38611C2C5DD6}"/>
              </c:ext>
            </c:extLst>
          </c:dPt>
          <c:dPt>
            <c:idx val="2"/>
            <c:bubble3D val="0"/>
            <c:spPr>
              <a:solidFill>
                <a:srgbClr val="92D050"/>
              </a:solidFill>
              <a:ln>
                <a:solidFill>
                  <a:srgbClr val="92D050"/>
                </a:solidFill>
              </a:ln>
            </c:spPr>
            <c:extLst>
              <c:ext xmlns:c16="http://schemas.microsoft.com/office/drawing/2014/chart" uri="{C3380CC4-5D6E-409C-BE32-E72D297353CC}">
                <c16:uniqueId val="{00000005-6CD6-4682-A73D-38611C2C5DD6}"/>
              </c:ext>
            </c:extLst>
          </c:dPt>
          <c:dPt>
            <c:idx val="3"/>
            <c:bubble3D val="0"/>
            <c:spPr>
              <a:solidFill>
                <a:srgbClr val="663300"/>
              </a:solidFill>
              <a:ln>
                <a:solidFill>
                  <a:srgbClr val="663300"/>
                </a:solidFill>
              </a:ln>
            </c:spPr>
            <c:extLst>
              <c:ext xmlns:c16="http://schemas.microsoft.com/office/drawing/2014/chart" uri="{C3380CC4-5D6E-409C-BE32-E72D297353CC}">
                <c16:uniqueId val="{00000007-6CD6-4682-A73D-38611C2C5DD6}"/>
              </c:ext>
            </c:extLst>
          </c:dPt>
          <c:dPt>
            <c:idx val="4"/>
            <c:bubble3D val="0"/>
            <c:spPr>
              <a:solidFill>
                <a:schemeClr val="accent5"/>
              </a:solidFill>
              <a:ln>
                <a:solidFill>
                  <a:schemeClr val="accent5"/>
                </a:solidFill>
              </a:ln>
            </c:spPr>
            <c:extLst>
              <c:ext xmlns:c16="http://schemas.microsoft.com/office/drawing/2014/chart" uri="{C3380CC4-5D6E-409C-BE32-E72D297353CC}">
                <c16:uniqueId val="{00000009-6CD6-4682-A73D-38611C2C5DD6}"/>
              </c:ext>
            </c:extLst>
          </c:dPt>
          <c:dPt>
            <c:idx val="5"/>
            <c:bubble3D val="0"/>
            <c:spPr>
              <a:solidFill>
                <a:schemeClr val="accent6">
                  <a:lumMod val="75000"/>
                </a:schemeClr>
              </a:solidFill>
              <a:ln>
                <a:solidFill>
                  <a:schemeClr val="accent6">
                    <a:lumMod val="75000"/>
                  </a:schemeClr>
                </a:solidFill>
              </a:ln>
            </c:spPr>
            <c:extLst>
              <c:ext xmlns:c16="http://schemas.microsoft.com/office/drawing/2014/chart" uri="{C3380CC4-5D6E-409C-BE32-E72D297353CC}">
                <c16:uniqueId val="{0000000B-6CD6-4682-A73D-38611C2C5DD6}"/>
              </c:ext>
            </c:extLst>
          </c:dPt>
          <c:dPt>
            <c:idx val="6"/>
            <c:bubble3D val="0"/>
            <c:spPr>
              <a:solidFill>
                <a:srgbClr val="7030A0"/>
              </a:solidFill>
              <a:ln>
                <a:solidFill>
                  <a:srgbClr val="7030A0"/>
                </a:solidFill>
              </a:ln>
            </c:spPr>
            <c:extLst>
              <c:ext xmlns:c16="http://schemas.microsoft.com/office/drawing/2014/chart" uri="{C3380CC4-5D6E-409C-BE32-E72D297353CC}">
                <c16:uniqueId val="{0000000D-6CD6-4682-A73D-38611C2C5DD6}"/>
              </c:ext>
            </c:extLst>
          </c:dPt>
          <c:dPt>
            <c:idx val="7"/>
            <c:bubble3D val="0"/>
            <c:spPr>
              <a:solidFill>
                <a:srgbClr val="FF99FF"/>
              </a:solidFill>
              <a:ln>
                <a:solidFill>
                  <a:srgbClr val="FF99FF"/>
                </a:solidFill>
              </a:ln>
            </c:spPr>
            <c:extLst>
              <c:ext xmlns:c16="http://schemas.microsoft.com/office/drawing/2014/chart" uri="{C3380CC4-5D6E-409C-BE32-E72D297353CC}">
                <c16:uniqueId val="{0000000F-6CD6-4682-A73D-38611C2C5DD6}"/>
              </c:ext>
            </c:extLst>
          </c:dPt>
          <c:dPt>
            <c:idx val="8"/>
            <c:bubble3D val="0"/>
            <c:spPr>
              <a:solidFill>
                <a:schemeClr val="tx1">
                  <a:lumMod val="65000"/>
                  <a:lumOff val="35000"/>
                </a:schemeClr>
              </a:solidFill>
              <a:ln>
                <a:solidFill>
                  <a:schemeClr val="tx1">
                    <a:lumMod val="65000"/>
                    <a:lumOff val="35000"/>
                  </a:schemeClr>
                </a:solidFill>
              </a:ln>
            </c:spPr>
            <c:extLst>
              <c:ext xmlns:c16="http://schemas.microsoft.com/office/drawing/2014/chart" uri="{C3380CC4-5D6E-409C-BE32-E72D297353CC}">
                <c16:uniqueId val="{00000011-6CD6-4682-A73D-38611C2C5DD6}"/>
              </c:ext>
            </c:extLst>
          </c:dPt>
          <c:dPt>
            <c:idx val="9"/>
            <c:bubble3D val="0"/>
            <c:spPr>
              <a:solidFill>
                <a:srgbClr val="FFC000"/>
              </a:solidFill>
              <a:ln>
                <a:solidFill>
                  <a:srgbClr val="FFC000"/>
                </a:solidFill>
              </a:ln>
            </c:spPr>
            <c:extLst>
              <c:ext xmlns:c16="http://schemas.microsoft.com/office/drawing/2014/chart" uri="{C3380CC4-5D6E-409C-BE32-E72D297353CC}">
                <c16:uniqueId val="{00000013-6CD6-4682-A73D-38611C2C5DD6}"/>
              </c:ext>
            </c:extLst>
          </c:dPt>
          <c:dLbls>
            <c:dLbl>
              <c:idx val="0"/>
              <c:layout>
                <c:manualLayout>
                  <c:x val="-9.0314781675017899E-2"/>
                  <c:y val="0.11788761344590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D6-4682-A73D-38611C2C5DD6}"/>
                </c:ext>
              </c:extLst>
            </c:dLbl>
            <c:dLbl>
              <c:idx val="1"/>
              <c:layout>
                <c:manualLayout>
                  <c:x val="-8.5773979957050828E-2"/>
                  <c:y val="-8.900262467191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D6-4682-A73D-38611C2C5DD6}"/>
                </c:ext>
              </c:extLst>
            </c:dLbl>
            <c:dLbl>
              <c:idx val="2"/>
              <c:layout>
                <c:manualLayout>
                  <c:x val="8.9844309234073105E-3"/>
                  <c:y val="-0.158848306612275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D6-4682-A73D-38611C2C5DD6}"/>
                </c:ext>
              </c:extLst>
            </c:dLbl>
            <c:dLbl>
              <c:idx val="3"/>
              <c:layout>
                <c:manualLayout>
                  <c:x val="8.772118826055833E-2"/>
                  <c:y val="-0.116878221547607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D6-4682-A73D-38611C2C5DD6}"/>
                </c:ext>
              </c:extLst>
            </c:dLbl>
            <c:dLbl>
              <c:idx val="4"/>
              <c:layout>
                <c:manualLayout>
                  <c:x val="0.10802380100214749"/>
                  <c:y val="2.94624165955159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D6-4682-A73D-38611C2C5DD6}"/>
                </c:ext>
              </c:extLst>
            </c:dLbl>
            <c:dLbl>
              <c:idx val="5"/>
              <c:layout>
                <c:manualLayout>
                  <c:x val="7.5380994989262734E-2"/>
                  <c:y val="0.10160357967302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CD6-4682-A73D-38611C2C5DD6}"/>
                </c:ext>
              </c:extLst>
            </c:dLbl>
            <c:spPr>
              <a:noFill/>
              <a:ln>
                <a:noFill/>
              </a:ln>
              <a:effectLst/>
            </c:spPr>
            <c:txPr>
              <a:bodyPr/>
              <a:lstStyle/>
              <a:p>
                <a:pPr>
                  <a:defRPr b="1"/>
                </a:pPr>
                <a:endParaRPr lang="pt-BR"/>
              </a:p>
            </c:txPr>
            <c:showLegendKey val="0"/>
            <c:showVal val="1"/>
            <c:showCatName val="0"/>
            <c:showSerName val="0"/>
            <c:showPercent val="0"/>
            <c:showBubbleSize val="0"/>
            <c:showLeaderLines val="1"/>
            <c:extLst>
              <c:ext xmlns:c15="http://schemas.microsoft.com/office/drawing/2012/chart" uri="{CE6537A1-D6FC-4f65-9D91-7224C49458BB}"/>
            </c:extLst>
          </c:dLbls>
          <c:cat>
            <c:multiLvlStrRef>
              <c:f>'[2]Safra 2017'!$A$80:$B$89</c:f>
              <c:multiLvlStrCache>
                <c:ptCount val="10"/>
                <c:lvl/>
                <c:lvl>
                  <c:pt idx="0">
                    <c:v>Ácido Sulfúrico (26%)</c:v>
                  </c:pt>
                  <c:pt idx="1">
                    <c:v>Cal (16%)</c:v>
                  </c:pt>
                  <c:pt idx="2">
                    <c:v>Polímero (14%)</c:v>
                  </c:pt>
                  <c:pt idx="3">
                    <c:v>Soda Cáustica (13%)</c:v>
                  </c:pt>
                  <c:pt idx="4">
                    <c:v>Dispersante (12%)</c:v>
                  </c:pt>
                  <c:pt idx="5">
                    <c:v>Antiespumante (7,5%)</c:v>
                  </c:pt>
                  <c:pt idx="6">
                    <c:v>Dióxido de Cloro (3,9%)</c:v>
                  </c:pt>
                  <c:pt idx="7">
                    <c:v>Tratamento Torre de Resfriamento (3,6%)</c:v>
                  </c:pt>
                  <c:pt idx="8">
                    <c:v>Clarificante (1,0%)</c:v>
                  </c:pt>
                  <c:pt idx="9">
                    <c:v>Nutriente (0,4%)</c:v>
                  </c:pt>
                </c:lvl>
              </c:multiLvlStrCache>
            </c:multiLvlStrRef>
          </c:cat>
          <c:val>
            <c:numRef>
              <c:f>'[2]Safra 2017'!$C$80:$C$89</c:f>
              <c:numCache>
                <c:formatCode>General</c:formatCode>
                <c:ptCount val="10"/>
                <c:pt idx="0">
                  <c:v>0.26011390708979515</c:v>
                </c:pt>
                <c:pt idx="1">
                  <c:v>0.15837851345191892</c:v>
                </c:pt>
                <c:pt idx="2">
                  <c:v>0.14401511278746776</c:v>
                </c:pt>
                <c:pt idx="3">
                  <c:v>0.13138728338005576</c:v>
                </c:pt>
                <c:pt idx="4">
                  <c:v>0.11596951575149572</c:v>
                </c:pt>
                <c:pt idx="5">
                  <c:v>7.5012816800173132E-2</c:v>
                </c:pt>
                <c:pt idx="6">
                  <c:v>3.8963713367399185E-2</c:v>
                </c:pt>
                <c:pt idx="7">
                  <c:v>3.6042326266983331E-2</c:v>
                </c:pt>
                <c:pt idx="8">
                  <c:v>9.9705813861810169E-3</c:v>
                </c:pt>
                <c:pt idx="9">
                  <c:v>4.4894418875949475E-3</c:v>
                </c:pt>
              </c:numCache>
            </c:numRef>
          </c:val>
          <c:extLst>
            <c:ext xmlns:c16="http://schemas.microsoft.com/office/drawing/2014/chart" uri="{C3380CC4-5D6E-409C-BE32-E72D297353CC}">
              <c16:uniqueId val="{00000014-6CD6-4682-A73D-38611C2C5DD6}"/>
            </c:ext>
          </c:extLst>
        </c:ser>
        <c:dLbls>
          <c:showLegendKey val="0"/>
          <c:showVal val="0"/>
          <c:showCatName val="0"/>
          <c:showSerName val="0"/>
          <c:showPercent val="0"/>
          <c:showBubbleSize val="0"/>
          <c:showLeaderLines val="1"/>
        </c:dLbls>
      </c:pie3DChart>
    </c:plotArea>
    <c:legend>
      <c:legendPos val="r"/>
      <c:layout>
        <c:manualLayout>
          <c:xMode val="edge"/>
          <c:yMode val="edge"/>
          <c:x val="2.5080708661417372E-2"/>
          <c:y val="0.12228757549884578"/>
          <c:w val="0.39537383679312826"/>
          <c:h val="0.84803529076937689"/>
        </c:manualLayout>
      </c:layout>
      <c:overlay val="0"/>
      <c:txPr>
        <a:bodyPr/>
        <a:lstStyle/>
        <a:p>
          <a:pPr>
            <a:defRPr sz="900" b="1"/>
          </a:pPr>
          <a:endParaRPr lang="pt-BR"/>
        </a:p>
      </c:txPr>
    </c:legend>
    <c:plotVisOnly val="1"/>
    <c:dispBlanksAs val="gap"/>
    <c:showDLblsOverMax val="0"/>
  </c:chart>
  <c:printSettings>
    <c:headerFooter/>
    <c:pageMargins b="0.78740157499999996" l="0.511811024" r="0.511811024" t="0.78740157499999996" header="0.31496062000001085" footer="0.3149606200000108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Custo Total (R$)</a:t>
            </a:r>
          </a:p>
        </c:rich>
      </c:tx>
      <c:overlay val="0"/>
    </c:title>
    <c:autoTitleDeleted val="0"/>
    <c:plotArea>
      <c:layout>
        <c:manualLayout>
          <c:layoutTarget val="inner"/>
          <c:xMode val="edge"/>
          <c:yMode val="edge"/>
          <c:x val="0.22988013698630111"/>
          <c:y val="0.13304808475957611"/>
          <c:w val="0.60475782778865039"/>
          <c:h val="0.68714343928280441"/>
        </c:manualLayout>
      </c:layout>
      <c:barChart>
        <c:barDir val="col"/>
        <c:grouping val="clustered"/>
        <c:varyColors val="0"/>
        <c:ser>
          <c:idx val="0"/>
          <c:order val="0"/>
          <c:tx>
            <c:v>Custo Total</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2016'!$H$45:$K$45</c:f>
              <c:numCache>
                <c:formatCode>General</c:formatCode>
                <c:ptCount val="4"/>
                <c:pt idx="0">
                  <c:v>2624385.35</c:v>
                </c:pt>
                <c:pt idx="1">
                  <c:v>3961402.21</c:v>
                </c:pt>
                <c:pt idx="2">
                  <c:v>2627956.4130582684</c:v>
                </c:pt>
                <c:pt idx="3">
                  <c:v>2274546.9504740098</c:v>
                </c:pt>
              </c:numCache>
            </c:numRef>
          </c:val>
          <c:extLst>
            <c:ext xmlns:c16="http://schemas.microsoft.com/office/drawing/2014/chart" uri="{C3380CC4-5D6E-409C-BE32-E72D297353CC}">
              <c16:uniqueId val="{00000000-87E6-462D-B504-937AB97C5498}"/>
            </c:ext>
          </c:extLst>
        </c:ser>
        <c:dLbls>
          <c:showLegendKey val="0"/>
          <c:showVal val="0"/>
          <c:showCatName val="0"/>
          <c:showSerName val="0"/>
          <c:showPercent val="0"/>
          <c:showBubbleSize val="0"/>
        </c:dLbls>
        <c:gapWidth val="100"/>
        <c:overlap val="-50"/>
        <c:axId val="127177472"/>
        <c:axId val="127179392"/>
      </c:barChart>
      <c:catAx>
        <c:axId val="127177472"/>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27179392"/>
        <c:crosses val="autoZero"/>
        <c:auto val="1"/>
        <c:lblAlgn val="ctr"/>
        <c:lblOffset val="100"/>
        <c:noMultiLvlLbl val="0"/>
      </c:catAx>
      <c:valAx>
        <c:axId val="127179392"/>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Custo Total (R$)</a:t>
                </a:r>
              </a:p>
            </c:rich>
          </c:tx>
          <c:overlay val="0"/>
        </c:title>
        <c:numFmt formatCode="&quot;R$ &quot;#,##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27177472"/>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Custo Específico (R$/TC)</a:t>
            </a:r>
          </a:p>
        </c:rich>
      </c:tx>
      <c:overlay val="0"/>
    </c:title>
    <c:autoTitleDeleted val="0"/>
    <c:plotArea>
      <c:layout>
        <c:manualLayout>
          <c:layoutTarget val="inner"/>
          <c:xMode val="edge"/>
          <c:yMode val="edge"/>
          <c:x val="0.22988013698630111"/>
          <c:y val="0.13304808475957611"/>
          <c:w val="0.60475782778865039"/>
          <c:h val="0.68714343928280441"/>
        </c:manualLayout>
      </c:layout>
      <c:barChart>
        <c:barDir val="col"/>
        <c:grouping val="clustered"/>
        <c:varyColors val="0"/>
        <c:ser>
          <c:idx val="0"/>
          <c:order val="0"/>
          <c:tx>
            <c:v>Custo Específico</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2016'!$H$46:$K$46</c:f>
              <c:numCache>
                <c:formatCode>General</c:formatCode>
                <c:ptCount val="4"/>
                <c:pt idx="0">
                  <c:v>1.4253995151985186</c:v>
                </c:pt>
                <c:pt idx="1">
                  <c:v>1.8344216193047505</c:v>
                </c:pt>
                <c:pt idx="2">
                  <c:v>1.5352176552130605</c:v>
                </c:pt>
                <c:pt idx="3">
                  <c:v>1.33058642725984</c:v>
                </c:pt>
              </c:numCache>
            </c:numRef>
          </c:val>
          <c:extLst>
            <c:ext xmlns:c16="http://schemas.microsoft.com/office/drawing/2014/chart" uri="{C3380CC4-5D6E-409C-BE32-E72D297353CC}">
              <c16:uniqueId val="{00000000-0E22-4B33-97D0-70331D80FBD9}"/>
            </c:ext>
          </c:extLst>
        </c:ser>
        <c:dLbls>
          <c:showLegendKey val="0"/>
          <c:showVal val="0"/>
          <c:showCatName val="0"/>
          <c:showSerName val="0"/>
          <c:showPercent val="0"/>
          <c:showBubbleSize val="0"/>
        </c:dLbls>
        <c:gapWidth val="100"/>
        <c:overlap val="-50"/>
        <c:axId val="107678336"/>
        <c:axId val="108708224"/>
      </c:barChart>
      <c:catAx>
        <c:axId val="107678336"/>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08708224"/>
        <c:crosses val="autoZero"/>
        <c:auto val="1"/>
        <c:lblAlgn val="ctr"/>
        <c:lblOffset val="100"/>
        <c:noMultiLvlLbl val="0"/>
      </c:catAx>
      <c:valAx>
        <c:axId val="108708224"/>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Custo Específico (R$/TC)</a:t>
                </a:r>
              </a:p>
            </c:rich>
          </c:tx>
          <c:overlay val="0"/>
        </c:title>
        <c:numFmt formatCode="&quot;R$ &quot;#,##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07678336"/>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Ácido (g/L)</a:t>
            </a:r>
          </a:p>
        </c:rich>
      </c:tx>
      <c:overlay val="0"/>
    </c:title>
    <c:autoTitleDeleted val="0"/>
    <c:plotArea>
      <c:layout>
        <c:manualLayout>
          <c:layoutTarget val="inner"/>
          <c:xMode val="edge"/>
          <c:yMode val="edge"/>
          <c:x val="0.22988013698630111"/>
          <c:y val="0.13304808475957611"/>
          <c:w val="0.60475782778865039"/>
          <c:h val="0.68714343928280441"/>
        </c:manualLayout>
      </c:layout>
      <c:barChart>
        <c:barDir val="col"/>
        <c:grouping val="clustered"/>
        <c:varyColors val="0"/>
        <c:ser>
          <c:idx val="0"/>
          <c:order val="0"/>
          <c:tx>
            <c:v>Ácido</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2016'!$H$52:$K$52</c:f>
              <c:numCache>
                <c:formatCode>General</c:formatCode>
                <c:ptCount val="4"/>
                <c:pt idx="0">
                  <c:v>13.9393015805902</c:v>
                </c:pt>
                <c:pt idx="1">
                  <c:v>11.086418460049501</c:v>
                </c:pt>
                <c:pt idx="2">
                  <c:v>8.2054467383992211</c:v>
                </c:pt>
                <c:pt idx="3">
                  <c:v>10</c:v>
                </c:pt>
              </c:numCache>
            </c:numRef>
          </c:val>
          <c:extLst>
            <c:ext xmlns:c16="http://schemas.microsoft.com/office/drawing/2014/chart" uri="{C3380CC4-5D6E-409C-BE32-E72D297353CC}">
              <c16:uniqueId val="{00000000-A099-4B93-88AE-BE6EB162402A}"/>
            </c:ext>
          </c:extLst>
        </c:ser>
        <c:dLbls>
          <c:showLegendKey val="0"/>
          <c:showVal val="0"/>
          <c:showCatName val="0"/>
          <c:showSerName val="0"/>
          <c:showPercent val="0"/>
          <c:showBubbleSize val="0"/>
        </c:dLbls>
        <c:gapWidth val="100"/>
        <c:overlap val="-50"/>
        <c:axId val="108683648"/>
        <c:axId val="108685184"/>
      </c:barChart>
      <c:catAx>
        <c:axId val="108683648"/>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08685184"/>
        <c:crosses val="autoZero"/>
        <c:auto val="1"/>
        <c:lblAlgn val="ctr"/>
        <c:lblOffset val="100"/>
        <c:noMultiLvlLbl val="0"/>
      </c:catAx>
      <c:valAx>
        <c:axId val="108685184"/>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(g/L)</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08683648"/>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Antiespumante (g/L)</a:t>
            </a:r>
          </a:p>
        </c:rich>
      </c:tx>
      <c:overlay val="0"/>
    </c:title>
    <c:autoTitleDeleted val="0"/>
    <c:plotArea>
      <c:layout>
        <c:manualLayout>
          <c:layoutTarget val="inner"/>
          <c:xMode val="edge"/>
          <c:yMode val="edge"/>
          <c:x val="0.22988013698630111"/>
          <c:y val="0.13304808475957611"/>
          <c:w val="0.60475782778865039"/>
          <c:h val="0.68714343928280441"/>
        </c:manualLayout>
      </c:layout>
      <c:barChart>
        <c:barDir val="col"/>
        <c:grouping val="clustered"/>
        <c:varyColors val="0"/>
        <c:ser>
          <c:idx val="0"/>
          <c:order val="0"/>
          <c:tx>
            <c:v>Antiespumante</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2016'!$H$53:$K$53</c:f>
              <c:numCache>
                <c:formatCode>General</c:formatCode>
                <c:ptCount val="4"/>
                <c:pt idx="0">
                  <c:v>0.41523014444741801</c:v>
                </c:pt>
                <c:pt idx="1">
                  <c:v>0.60598545399751902</c:v>
                </c:pt>
                <c:pt idx="2">
                  <c:v>0.32413653029056089</c:v>
                </c:pt>
                <c:pt idx="3">
                  <c:v>0.4</c:v>
                </c:pt>
              </c:numCache>
            </c:numRef>
          </c:val>
          <c:extLst>
            <c:ext xmlns:c16="http://schemas.microsoft.com/office/drawing/2014/chart" uri="{C3380CC4-5D6E-409C-BE32-E72D297353CC}">
              <c16:uniqueId val="{00000000-07C9-4C3C-93AC-A558FFC09B4D}"/>
            </c:ext>
          </c:extLst>
        </c:ser>
        <c:dLbls>
          <c:showLegendKey val="0"/>
          <c:showVal val="0"/>
          <c:showCatName val="0"/>
          <c:showSerName val="0"/>
          <c:showPercent val="0"/>
          <c:showBubbleSize val="0"/>
        </c:dLbls>
        <c:gapWidth val="100"/>
        <c:overlap val="-50"/>
        <c:axId val="108689280"/>
        <c:axId val="108690816"/>
      </c:barChart>
      <c:catAx>
        <c:axId val="108689280"/>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08690816"/>
        <c:crosses val="autoZero"/>
        <c:auto val="1"/>
        <c:lblAlgn val="ctr"/>
        <c:lblOffset val="100"/>
        <c:noMultiLvlLbl val="0"/>
      </c:catAx>
      <c:valAx>
        <c:axId val="108690816"/>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(g/L)</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08689280"/>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Dispersante (g/L)</a:t>
            </a:r>
          </a:p>
        </c:rich>
      </c:tx>
      <c:overlay val="0"/>
    </c:title>
    <c:autoTitleDeleted val="0"/>
    <c:plotArea>
      <c:layout>
        <c:manualLayout>
          <c:layoutTarget val="inner"/>
          <c:xMode val="edge"/>
          <c:yMode val="edge"/>
          <c:x val="0.22988013698630111"/>
          <c:y val="0.13304808475957611"/>
          <c:w val="0.60475782778865039"/>
          <c:h val="0.68714343928280441"/>
        </c:manualLayout>
      </c:layout>
      <c:barChart>
        <c:barDir val="col"/>
        <c:grouping val="clustered"/>
        <c:varyColors val="0"/>
        <c:ser>
          <c:idx val="0"/>
          <c:order val="0"/>
          <c:tx>
            <c:v>Dispersante</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2016'!$H$54:$K$54</c:f>
              <c:numCache>
                <c:formatCode>General</c:formatCode>
                <c:ptCount val="4"/>
                <c:pt idx="0">
                  <c:v>0.35884086557184203</c:v>
                </c:pt>
                <c:pt idx="1">
                  <c:v>0.33253828644739503</c:v>
                </c:pt>
                <c:pt idx="2">
                  <c:v>0.2416602760510137</c:v>
                </c:pt>
                <c:pt idx="3">
                  <c:v>0.32</c:v>
                </c:pt>
              </c:numCache>
            </c:numRef>
          </c:val>
          <c:extLst>
            <c:ext xmlns:c16="http://schemas.microsoft.com/office/drawing/2014/chart" uri="{C3380CC4-5D6E-409C-BE32-E72D297353CC}">
              <c16:uniqueId val="{00000000-0F42-4A43-9B49-4CE7B96687E1}"/>
            </c:ext>
          </c:extLst>
        </c:ser>
        <c:dLbls>
          <c:showLegendKey val="0"/>
          <c:showVal val="0"/>
          <c:showCatName val="0"/>
          <c:showSerName val="0"/>
          <c:showPercent val="0"/>
          <c:showBubbleSize val="0"/>
        </c:dLbls>
        <c:gapWidth val="100"/>
        <c:overlap val="-50"/>
        <c:axId val="114130304"/>
        <c:axId val="114496640"/>
      </c:barChart>
      <c:catAx>
        <c:axId val="114130304"/>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14496640"/>
        <c:crosses val="autoZero"/>
        <c:auto val="1"/>
        <c:lblAlgn val="ctr"/>
        <c:lblOffset val="100"/>
        <c:noMultiLvlLbl val="0"/>
      </c:catAx>
      <c:valAx>
        <c:axId val="114496640"/>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(g/L)</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14130304"/>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Nutriente (g/L)</a:t>
            </a:r>
          </a:p>
        </c:rich>
      </c:tx>
      <c:overlay val="0"/>
    </c:title>
    <c:autoTitleDeleted val="0"/>
    <c:plotArea>
      <c:layout>
        <c:manualLayout>
          <c:layoutTarget val="inner"/>
          <c:xMode val="edge"/>
          <c:yMode val="edge"/>
          <c:x val="0.229860690490612"/>
          <c:y val="0.13304808475957611"/>
          <c:w val="0.60472440944881989"/>
          <c:h val="0.68714343928280441"/>
        </c:manualLayout>
      </c:layout>
      <c:barChart>
        <c:barDir val="col"/>
        <c:grouping val="clustered"/>
        <c:varyColors val="0"/>
        <c:ser>
          <c:idx val="0"/>
          <c:order val="0"/>
          <c:tx>
            <c:v>Nutriente</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2016'!$H$56:$K$56</c:f>
              <c:numCache>
                <c:formatCode>General</c:formatCode>
                <c:ptCount val="4"/>
                <c:pt idx="0">
                  <c:v>0.16660468758692701</c:v>
                </c:pt>
                <c:pt idx="1">
                  <c:v>0.18390603330273</c:v>
                </c:pt>
                <c:pt idx="2">
                  <c:v>7.7283887571950829E-2</c:v>
                </c:pt>
                <c:pt idx="3">
                  <c:v>0.1</c:v>
                </c:pt>
              </c:numCache>
            </c:numRef>
          </c:val>
          <c:extLst>
            <c:ext xmlns:c16="http://schemas.microsoft.com/office/drawing/2014/chart" uri="{C3380CC4-5D6E-409C-BE32-E72D297353CC}">
              <c16:uniqueId val="{00000000-73EB-4D77-BB18-9518659C5B03}"/>
            </c:ext>
          </c:extLst>
        </c:ser>
        <c:dLbls>
          <c:showLegendKey val="0"/>
          <c:showVal val="0"/>
          <c:showCatName val="0"/>
          <c:showSerName val="0"/>
          <c:showPercent val="0"/>
          <c:showBubbleSize val="0"/>
        </c:dLbls>
        <c:gapWidth val="100"/>
        <c:overlap val="-50"/>
        <c:axId val="114181248"/>
        <c:axId val="114182784"/>
      </c:barChart>
      <c:catAx>
        <c:axId val="114181248"/>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14182784"/>
        <c:crosses val="autoZero"/>
        <c:auto val="1"/>
        <c:lblAlgn val="ctr"/>
        <c:lblOffset val="100"/>
        <c:noMultiLvlLbl val="0"/>
      </c:catAx>
      <c:valAx>
        <c:axId val="114182784"/>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(g/L)</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14181248"/>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Dióxido de Cloro (g/L)</a:t>
            </a:r>
          </a:p>
        </c:rich>
      </c:tx>
      <c:overlay val="0"/>
    </c:title>
    <c:autoTitleDeleted val="0"/>
    <c:plotArea>
      <c:layout>
        <c:manualLayout>
          <c:layoutTarget val="inner"/>
          <c:xMode val="edge"/>
          <c:yMode val="edge"/>
          <c:x val="0.229860690490612"/>
          <c:y val="0.13304808475957611"/>
          <c:w val="0.60472440944881989"/>
          <c:h val="0.68714343928280441"/>
        </c:manualLayout>
      </c:layout>
      <c:barChart>
        <c:barDir val="col"/>
        <c:grouping val="clustered"/>
        <c:varyColors val="0"/>
        <c:ser>
          <c:idx val="0"/>
          <c:order val="0"/>
          <c:tx>
            <c:v>Dióxido</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2016'!$H$55:$K$55</c:f>
              <c:numCache>
                <c:formatCode>General</c:formatCode>
                <c:ptCount val="4"/>
                <c:pt idx="0">
                  <c:v>0.21722688112295499</c:v>
                </c:pt>
                <c:pt idx="1">
                  <c:v>0.241188240397022</c:v>
                </c:pt>
                <c:pt idx="2">
                  <c:v>0.19736450072574518</c:v>
                </c:pt>
                <c:pt idx="3">
                  <c:v>0.13500000000000001</c:v>
                </c:pt>
              </c:numCache>
            </c:numRef>
          </c:val>
          <c:extLst>
            <c:ext xmlns:c16="http://schemas.microsoft.com/office/drawing/2014/chart" uri="{C3380CC4-5D6E-409C-BE32-E72D297353CC}">
              <c16:uniqueId val="{00000000-96F5-48C0-A97D-7CCE8203360C}"/>
            </c:ext>
          </c:extLst>
        </c:ser>
        <c:dLbls>
          <c:showLegendKey val="0"/>
          <c:showVal val="0"/>
          <c:showCatName val="0"/>
          <c:showSerName val="0"/>
          <c:showPercent val="0"/>
          <c:showBubbleSize val="0"/>
        </c:dLbls>
        <c:gapWidth val="100"/>
        <c:overlap val="-50"/>
        <c:axId val="114543232"/>
        <c:axId val="114667904"/>
      </c:barChart>
      <c:catAx>
        <c:axId val="114543232"/>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14667904"/>
        <c:crosses val="autoZero"/>
        <c:auto val="1"/>
        <c:lblAlgn val="ctr"/>
        <c:lblOffset val="100"/>
        <c:noMultiLvlLbl val="0"/>
      </c:catAx>
      <c:valAx>
        <c:axId val="114667904"/>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(g/L)</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14543232"/>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Soda (g/TC)</a:t>
            </a:r>
          </a:p>
        </c:rich>
      </c:tx>
      <c:overlay val="0"/>
    </c:title>
    <c:autoTitleDeleted val="0"/>
    <c:plotArea>
      <c:layout>
        <c:manualLayout>
          <c:layoutTarget val="inner"/>
          <c:xMode val="edge"/>
          <c:yMode val="edge"/>
          <c:x val="0.229860690490612"/>
          <c:y val="0.13304808475957611"/>
          <c:w val="0.60472440944881989"/>
          <c:h val="0.68714343928280441"/>
        </c:manualLayout>
      </c:layout>
      <c:barChart>
        <c:barDir val="col"/>
        <c:grouping val="clustered"/>
        <c:varyColors val="0"/>
        <c:ser>
          <c:idx val="0"/>
          <c:order val="0"/>
          <c:tx>
            <c:v>Soda</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2016'!$H$61:$K$61</c:f>
              <c:numCache>
                <c:formatCode>General</c:formatCode>
                <c:ptCount val="4"/>
                <c:pt idx="0">
                  <c:v>99.106120043793794</c:v>
                </c:pt>
                <c:pt idx="1">
                  <c:v>220.713944511579</c:v>
                </c:pt>
                <c:pt idx="2">
                  <c:v>182.27980010660781</c:v>
                </c:pt>
                <c:pt idx="3">
                  <c:v>127.59</c:v>
                </c:pt>
              </c:numCache>
            </c:numRef>
          </c:val>
          <c:extLst>
            <c:ext xmlns:c16="http://schemas.microsoft.com/office/drawing/2014/chart" uri="{C3380CC4-5D6E-409C-BE32-E72D297353CC}">
              <c16:uniqueId val="{00000000-33EF-485C-B1AD-B95E48BD8BCC}"/>
            </c:ext>
          </c:extLst>
        </c:ser>
        <c:dLbls>
          <c:showLegendKey val="0"/>
          <c:showVal val="0"/>
          <c:showCatName val="0"/>
          <c:showSerName val="0"/>
          <c:showPercent val="0"/>
          <c:showBubbleSize val="0"/>
        </c:dLbls>
        <c:gapWidth val="100"/>
        <c:overlap val="-50"/>
        <c:axId val="114897280"/>
        <c:axId val="114898816"/>
      </c:barChart>
      <c:catAx>
        <c:axId val="114897280"/>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14898816"/>
        <c:crosses val="autoZero"/>
        <c:auto val="1"/>
        <c:lblAlgn val="ctr"/>
        <c:lblOffset val="100"/>
        <c:noMultiLvlLbl val="0"/>
      </c:catAx>
      <c:valAx>
        <c:axId val="114898816"/>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(g/TC)</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14897280"/>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Cal (g/TC)</a:t>
            </a:r>
          </a:p>
        </c:rich>
      </c:tx>
      <c:overlay val="0"/>
    </c:title>
    <c:autoTitleDeleted val="0"/>
    <c:plotArea>
      <c:layout>
        <c:manualLayout>
          <c:layoutTarget val="inner"/>
          <c:xMode val="edge"/>
          <c:yMode val="edge"/>
          <c:x val="0.229860690490612"/>
          <c:y val="0.13304808475957611"/>
          <c:w val="0.60472440944881989"/>
          <c:h val="0.68714343928280441"/>
        </c:manualLayout>
      </c:layout>
      <c:barChart>
        <c:barDir val="col"/>
        <c:grouping val="clustered"/>
        <c:varyColors val="0"/>
        <c:ser>
          <c:idx val="0"/>
          <c:order val="0"/>
          <c:tx>
            <c:v>Cal</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2016'!$H$62:$K$62</c:f>
              <c:numCache>
                <c:formatCode>General</c:formatCode>
                <c:ptCount val="4"/>
                <c:pt idx="0">
                  <c:v>751.58687924262301</c:v>
                </c:pt>
                <c:pt idx="1">
                  <c:v>634.92976409005701</c:v>
                </c:pt>
                <c:pt idx="2">
                  <c:v>713.71413749772887</c:v>
                </c:pt>
                <c:pt idx="3">
                  <c:v>550</c:v>
                </c:pt>
              </c:numCache>
            </c:numRef>
          </c:val>
          <c:extLst>
            <c:ext xmlns:c16="http://schemas.microsoft.com/office/drawing/2014/chart" uri="{C3380CC4-5D6E-409C-BE32-E72D297353CC}">
              <c16:uniqueId val="{00000000-8B24-4DD3-9E32-5626547619AF}"/>
            </c:ext>
          </c:extLst>
        </c:ser>
        <c:dLbls>
          <c:showLegendKey val="0"/>
          <c:showVal val="0"/>
          <c:showCatName val="0"/>
          <c:showSerName val="0"/>
          <c:showPercent val="0"/>
          <c:showBubbleSize val="0"/>
        </c:dLbls>
        <c:gapWidth val="100"/>
        <c:overlap val="-50"/>
        <c:axId val="114534272"/>
        <c:axId val="114535808"/>
      </c:barChart>
      <c:catAx>
        <c:axId val="114534272"/>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14535808"/>
        <c:crosses val="autoZero"/>
        <c:auto val="1"/>
        <c:lblAlgn val="ctr"/>
        <c:lblOffset val="100"/>
        <c:noMultiLvlLbl val="0"/>
      </c:catAx>
      <c:valAx>
        <c:axId val="114535808"/>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(g/TC)</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14534272"/>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Consumo Específico de Polímeros (g/TC)</a:t>
            </a:r>
          </a:p>
        </c:rich>
      </c:tx>
      <c:overlay val="0"/>
    </c:title>
    <c:autoTitleDeleted val="0"/>
    <c:plotArea>
      <c:layout>
        <c:manualLayout>
          <c:layoutTarget val="inner"/>
          <c:xMode val="edge"/>
          <c:yMode val="edge"/>
          <c:x val="0.229860690490612"/>
          <c:y val="0.13304808475957611"/>
          <c:w val="0.60472440944881989"/>
          <c:h val="0.68714343928280441"/>
        </c:manualLayout>
      </c:layout>
      <c:barChart>
        <c:barDir val="col"/>
        <c:grouping val="clustered"/>
        <c:varyColors val="0"/>
        <c:ser>
          <c:idx val="0"/>
          <c:order val="0"/>
          <c:tx>
            <c:v>Polímeros</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2016'!$H$42:$L$42</c:f>
              <c:strCache>
                <c:ptCount val="5"/>
                <c:pt idx="0">
                  <c:v>Acumulado Safra 2014</c:v>
                </c:pt>
                <c:pt idx="1">
                  <c:v>Acumulado Safra 2015</c:v>
                </c:pt>
                <c:pt idx="2">
                  <c:v>Acumulado Safra 2016</c:v>
                </c:pt>
                <c:pt idx="3">
                  <c:v>Orçado Safra 2016</c:v>
                </c:pt>
              </c:strCache>
            </c:strRef>
          </c:cat>
          <c:val>
            <c:numRef>
              <c:f>'[3]Safra 2016'!$H$65:$K$65</c:f>
              <c:numCache>
                <c:formatCode>General</c:formatCode>
                <c:ptCount val="4"/>
                <c:pt idx="0">
                  <c:v>11.29723952929748</c:v>
                </c:pt>
                <c:pt idx="1">
                  <c:v>8.5784423535272598</c:v>
                </c:pt>
                <c:pt idx="2">
                  <c:v>9.3230864812730125</c:v>
                </c:pt>
                <c:pt idx="3">
                  <c:v>8</c:v>
                </c:pt>
              </c:numCache>
            </c:numRef>
          </c:val>
          <c:extLst>
            <c:ext xmlns:c16="http://schemas.microsoft.com/office/drawing/2014/chart" uri="{C3380CC4-5D6E-409C-BE32-E72D297353CC}">
              <c16:uniqueId val="{00000000-0F78-4771-B9EE-27C10D6E2621}"/>
            </c:ext>
          </c:extLst>
        </c:ser>
        <c:dLbls>
          <c:showLegendKey val="0"/>
          <c:showVal val="0"/>
          <c:showCatName val="0"/>
          <c:showSerName val="0"/>
          <c:showPercent val="0"/>
          <c:showBubbleSize val="0"/>
        </c:dLbls>
        <c:gapWidth val="100"/>
        <c:overlap val="-50"/>
        <c:axId val="114548096"/>
        <c:axId val="114918528"/>
      </c:barChart>
      <c:catAx>
        <c:axId val="114548096"/>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1050" b="1" strike="noStrike" spc="-1">
                <a:solidFill>
                  <a:srgbClr val="000000"/>
                </a:solidFill>
                <a:uFill>
                  <a:solidFill>
                    <a:srgbClr val="FFFFFF"/>
                  </a:solidFill>
                </a:uFill>
                <a:latin typeface="Calibri"/>
              </a:defRPr>
            </a:pPr>
            <a:endParaRPr lang="pt-BR"/>
          </a:p>
        </c:txPr>
        <c:crossAx val="114918528"/>
        <c:crosses val="autoZero"/>
        <c:auto val="1"/>
        <c:lblAlgn val="ctr"/>
        <c:lblOffset val="100"/>
        <c:noMultiLvlLbl val="0"/>
      </c:catAx>
      <c:valAx>
        <c:axId val="114918528"/>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Consumo Específico (g/TC)</a:t>
                </a:r>
              </a:p>
            </c:rich>
          </c:tx>
          <c:overlay val="0"/>
        </c:title>
        <c:numFmt formatCode="0.00" sourceLinked="0"/>
        <c:majorTickMark val="out"/>
        <c:minorTickMark val="none"/>
        <c:tickLblPos val="nextTo"/>
        <c:spPr>
          <a:ln w="9360">
            <a:solidFill>
              <a:srgbClr val="000000"/>
            </a:solidFill>
            <a:round/>
          </a:ln>
        </c:spPr>
        <c:txPr>
          <a:bodyPr/>
          <a:lstStyle/>
          <a:p>
            <a:pPr>
              <a:defRPr lang="en-US" sz="1050" strike="noStrike" spc="-1">
                <a:solidFill>
                  <a:srgbClr val="000000"/>
                </a:solidFill>
                <a:uFill>
                  <a:solidFill>
                    <a:srgbClr val="FFFFFF"/>
                  </a:solidFill>
                </a:uFill>
                <a:latin typeface="Calibri"/>
              </a:defRPr>
            </a:pPr>
            <a:endParaRPr lang="pt-BR"/>
          </a:p>
        </c:txPr>
        <c:crossAx val="114548096"/>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400" b="1" strike="noStrike" spc="-1">
                <a:solidFill>
                  <a:srgbClr val="000000"/>
                </a:solidFill>
                <a:uFill>
                  <a:solidFill>
                    <a:srgbClr val="FFFFFF"/>
                  </a:solidFill>
                </a:uFill>
                <a:latin typeface="Arial Narrow"/>
              </a:defRPr>
            </a:pPr>
            <a:r>
              <a:rPr lang="pt-BR" sz="1400" b="1" strike="noStrike" spc="-1">
                <a:solidFill>
                  <a:srgbClr val="000000"/>
                </a:solidFill>
                <a:uFill>
                  <a:solidFill>
                    <a:srgbClr val="FFFFFF"/>
                  </a:solidFill>
                </a:uFill>
                <a:latin typeface="Arial Narrow"/>
              </a:rPr>
              <a:t>Custo Específico com Antiespumante e Dispersante (R$/m³)</a:t>
            </a:r>
          </a:p>
        </c:rich>
      </c:tx>
      <c:overlay val="0"/>
    </c:title>
    <c:autoTitleDeleted val="0"/>
    <c:plotArea>
      <c:layout>
        <c:manualLayout>
          <c:layoutTarget val="inner"/>
          <c:xMode val="edge"/>
          <c:yMode val="edge"/>
          <c:x val="0.18487035225048901"/>
          <c:y val="0.1431178870517501"/>
          <c:w val="0.73324363992172203"/>
          <c:h val="0.63764225896499971"/>
        </c:manualLayout>
      </c:layout>
      <c:barChart>
        <c:barDir val="col"/>
        <c:grouping val="stacked"/>
        <c:varyColors val="0"/>
        <c:ser>
          <c:idx val="0"/>
          <c:order val="0"/>
          <c:tx>
            <c:v>Antiespumante</c:v>
          </c:tx>
          <c:spPr>
            <a:solidFill>
              <a:srgbClr val="C00000"/>
            </a:solidFill>
            <a:ln>
              <a:solidFill>
                <a:srgbClr val="C00000"/>
              </a:solidFill>
            </a:ln>
          </c:spPr>
          <c:invertIfNegative val="0"/>
          <c:dLbls>
            <c:spPr>
              <a:noFill/>
              <a:ln>
                <a:noFill/>
              </a:ln>
              <a:effectLst/>
            </c:spPr>
            <c:txPr>
              <a:bodyPr/>
              <a:lstStyle/>
              <a:p>
                <a:pPr>
                  <a:defRPr lang="en-US"/>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2016'!$H$42:$K$42</c:f>
              <c:strCache>
                <c:ptCount val="4"/>
                <c:pt idx="0">
                  <c:v>Acumulado Safra 2014</c:v>
                </c:pt>
                <c:pt idx="1">
                  <c:v>Acumulado Safra 2015</c:v>
                </c:pt>
                <c:pt idx="2">
                  <c:v>Acumulado Safra 2016</c:v>
                </c:pt>
                <c:pt idx="3">
                  <c:v>Orçado Safra 2016</c:v>
                </c:pt>
              </c:strCache>
            </c:strRef>
          </c:cat>
          <c:val>
            <c:numRef>
              <c:f>'[3]Safra 2016'!$H$57:$K$57</c:f>
              <c:numCache>
                <c:formatCode>General</c:formatCode>
                <c:ptCount val="4"/>
                <c:pt idx="0">
                  <c:v>2.6436289720271602</c:v>
                </c:pt>
                <c:pt idx="1">
                  <c:v>4.0419196618251396</c:v>
                </c:pt>
                <c:pt idx="2">
                  <c:v>2.2781115762819812</c:v>
                </c:pt>
                <c:pt idx="3">
                  <c:v>3.2</c:v>
                </c:pt>
              </c:numCache>
            </c:numRef>
          </c:val>
          <c:extLst>
            <c:ext xmlns:c16="http://schemas.microsoft.com/office/drawing/2014/chart" uri="{C3380CC4-5D6E-409C-BE32-E72D297353CC}">
              <c16:uniqueId val="{00000000-3614-4C21-8333-20A7B06660B1}"/>
            </c:ext>
          </c:extLst>
        </c:ser>
        <c:ser>
          <c:idx val="1"/>
          <c:order val="1"/>
          <c:tx>
            <c:v>Dispersante</c:v>
          </c:tx>
          <c:spPr>
            <a:solidFill>
              <a:srgbClr val="1F497D"/>
            </a:solidFill>
            <a:ln>
              <a:solidFill>
                <a:srgbClr val="1F497D"/>
              </a:solidFill>
            </a:ln>
          </c:spPr>
          <c:invertIfNegative val="0"/>
          <c:dLbls>
            <c:spPr>
              <a:noFill/>
              <a:ln>
                <a:noFill/>
              </a:ln>
              <a:effectLst/>
            </c:spPr>
            <c:txPr>
              <a:bodyPr/>
              <a:lstStyle/>
              <a:p>
                <a:pPr>
                  <a:defRPr lang="en-US"/>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'[3]Safra 2016'!$H$42:$K$42</c:f>
              <c:strCache>
                <c:ptCount val="4"/>
                <c:pt idx="0">
                  <c:v>Acumulado Safra 2014</c:v>
                </c:pt>
                <c:pt idx="1">
                  <c:v>Acumulado Safra 2015</c:v>
                </c:pt>
                <c:pt idx="2">
                  <c:v>Acumulado Safra 2016</c:v>
                </c:pt>
                <c:pt idx="3">
                  <c:v>Orçado Safra 2016</c:v>
                </c:pt>
              </c:strCache>
            </c:strRef>
          </c:cat>
          <c:val>
            <c:numRef>
              <c:f>'[3]Safra 2016'!$H$58:$K$58</c:f>
              <c:numCache>
                <c:formatCode>General</c:formatCode>
                <c:ptCount val="4"/>
                <c:pt idx="0">
                  <c:v>3.6601768288327898</c:v>
                </c:pt>
                <c:pt idx="1">
                  <c:v>3.8300692575047202</c:v>
                </c:pt>
                <c:pt idx="2">
                  <c:v>3.3026918836992554</c:v>
                </c:pt>
                <c:pt idx="3">
                  <c:v>4.7359999999999998</c:v>
                </c:pt>
              </c:numCache>
            </c:numRef>
          </c:val>
          <c:extLst>
            <c:ext xmlns:c16="http://schemas.microsoft.com/office/drawing/2014/chart" uri="{C3380CC4-5D6E-409C-BE32-E72D297353CC}">
              <c16:uniqueId val="{00000001-3614-4C21-8333-20A7B06660B1}"/>
            </c:ext>
          </c:extLst>
        </c:ser>
        <c:dLbls>
          <c:showLegendKey val="0"/>
          <c:showVal val="0"/>
          <c:showCatName val="0"/>
          <c:showSerName val="0"/>
          <c:showPercent val="0"/>
          <c:showBubbleSize val="0"/>
        </c:dLbls>
        <c:gapWidth val="100"/>
        <c:overlap val="100"/>
        <c:axId val="115026176"/>
        <c:axId val="115052544"/>
      </c:barChart>
      <c:catAx>
        <c:axId val="115026176"/>
        <c:scaling>
          <c:orientation val="minMax"/>
        </c:scaling>
        <c:delete val="0"/>
        <c:axPos val="b"/>
        <c:numFmt formatCode="General" sourceLinked="1"/>
        <c:majorTickMark val="out"/>
        <c:minorTickMark val="none"/>
        <c:tickLblPos val="nextTo"/>
        <c:spPr>
          <a:ln w="9360">
            <a:solidFill>
              <a:srgbClr val="000000"/>
            </a:solidFill>
            <a:round/>
          </a:ln>
        </c:spPr>
        <c:txPr>
          <a:bodyPr/>
          <a:lstStyle/>
          <a:p>
            <a:pPr>
              <a:defRPr lang="en-US" sz="900" b="1" strike="noStrike" spc="-1">
                <a:solidFill>
                  <a:srgbClr val="000000"/>
                </a:solidFill>
                <a:uFill>
                  <a:solidFill>
                    <a:srgbClr val="FFFFFF"/>
                  </a:solidFill>
                </a:uFill>
                <a:latin typeface="Calibri"/>
              </a:defRPr>
            </a:pPr>
            <a:endParaRPr lang="pt-BR"/>
          </a:p>
        </c:txPr>
        <c:crossAx val="115052544"/>
        <c:crosses val="autoZero"/>
        <c:auto val="1"/>
        <c:lblAlgn val="ctr"/>
        <c:lblOffset val="100"/>
        <c:noMultiLvlLbl val="0"/>
      </c:catAx>
      <c:valAx>
        <c:axId val="115052544"/>
        <c:scaling>
          <c:orientation val="minMax"/>
        </c:scaling>
        <c:delete val="0"/>
        <c:axPos val="l"/>
        <c:title>
          <c:tx>
            <c:rich>
              <a:bodyPr rot="-5400000"/>
              <a:lstStyle/>
              <a:p>
                <a:pPr>
                  <a:defRPr lang="en-US" sz="1100" b="1" strike="noStrike" spc="-1">
                    <a:solidFill>
                      <a:srgbClr val="000000"/>
                    </a:solidFill>
                    <a:uFill>
                      <a:solidFill>
                        <a:srgbClr val="FFFFFF"/>
                      </a:solidFill>
                    </a:uFill>
                    <a:latin typeface="Arial Unicode MS"/>
                  </a:defRPr>
                </a:pPr>
                <a:r>
                  <a:rPr lang="pt-BR" sz="1100" b="1" strike="noStrike" spc="-1">
                    <a:solidFill>
                      <a:srgbClr val="000000"/>
                    </a:solidFill>
                    <a:uFill>
                      <a:solidFill>
                        <a:srgbClr val="FFFFFF"/>
                      </a:solidFill>
                    </a:uFill>
                    <a:latin typeface="Arial Unicode MS"/>
                  </a:rPr>
                  <a:t>Custo Específico (R$/m³)</a:t>
                </a:r>
              </a:p>
            </c:rich>
          </c:tx>
          <c:overlay val="0"/>
        </c:title>
        <c:numFmt formatCode="&quot;R$ &quot;#,##0.00" sourceLinked="0"/>
        <c:majorTickMark val="out"/>
        <c:minorTickMark val="none"/>
        <c:tickLblPos val="nextTo"/>
        <c:spPr>
          <a:ln w="9360">
            <a:solidFill>
              <a:srgbClr val="000000"/>
            </a:solidFill>
            <a:round/>
          </a:ln>
        </c:spPr>
        <c:txPr>
          <a:bodyPr/>
          <a:lstStyle/>
          <a:p>
            <a:pPr>
              <a:defRPr lang="en-US" sz="1000" strike="noStrike" spc="-1">
                <a:solidFill>
                  <a:srgbClr val="000000"/>
                </a:solidFill>
                <a:uFill>
                  <a:solidFill>
                    <a:srgbClr val="FFFFFF"/>
                  </a:solidFill>
                </a:uFill>
                <a:latin typeface="Calibri"/>
              </a:defRPr>
            </a:pPr>
            <a:endParaRPr lang="pt-BR"/>
          </a:p>
        </c:txPr>
        <c:crossAx val="115026176"/>
        <c:crosses val="autoZero"/>
        <c:crossBetween val="between"/>
      </c:valAx>
      <c:spPr>
        <a:solidFill>
          <a:srgbClr val="FFFFFF"/>
        </a:solidFill>
        <a:ln>
          <a:noFill/>
        </a:ln>
      </c:spPr>
    </c:plotArea>
    <c:legend>
      <c:legendPos val="b"/>
      <c:overlay val="0"/>
      <c:spPr>
        <a:noFill/>
        <a:ln>
          <a:noFill/>
        </a:ln>
      </c:spPr>
      <c:txPr>
        <a:bodyPr/>
        <a:lstStyle/>
        <a:p>
          <a:pPr>
            <a:defRPr lang="en-US"/>
          </a:pPr>
          <a:endParaRPr lang="pt-BR"/>
        </a:p>
      </c:txPr>
    </c:legend>
    <c:plotVisOnly val="1"/>
    <c:dispBlanksAs val="gap"/>
    <c:showDLblsOverMax val="0"/>
  </c:chart>
  <c:spPr>
    <a:solidFill>
      <a:srgbClr val="FFFFFF"/>
    </a:solidFill>
    <a:ln>
      <a:noFill/>
    </a:ln>
  </c:spPr>
  <c:printSettings>
    <c:headerFooter/>
    <c:pageMargins b="0.78740157499999996" l="0.511811024" r="0.511811024" t="0.78740157499999996" header="0.31496062000000025" footer="0.3149606200000002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27916052139425"/>
          <c:y val="3.7008408663624377E-2"/>
          <c:w val="0.76510080025556004"/>
          <c:h val="0.87948605760788978"/>
        </c:manualLayout>
      </c:layout>
      <c:lineChart>
        <c:grouping val="standard"/>
        <c:varyColors val="0"/>
        <c:ser>
          <c:idx val="1"/>
          <c:order val="0"/>
          <c:tx>
            <c:strRef>
              <c:f>'[4]Orçamento atualizado'!$N$6</c:f>
              <c:strCache>
                <c:ptCount val="1"/>
                <c:pt idx="0">
                  <c:v>Valor Gasto Total</c:v>
                </c:pt>
              </c:strCache>
            </c:strRef>
          </c:tx>
          <c:marker>
            <c:symbol val="circle"/>
            <c:size val="5"/>
            <c:spPr>
              <a:solidFill>
                <a:schemeClr val="tx1"/>
              </a:solidFill>
              <a:ln>
                <a:noFill/>
              </a:ln>
            </c:spPr>
          </c:marker>
          <c:dLbls>
            <c:dLbl>
              <c:idx val="0"/>
              <c:layout>
                <c:manualLayout>
                  <c:x val="-6.5602118077400171E-2"/>
                  <c:y val="-5.00000131233630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F6-400A-B0E2-F470FD2974D4}"/>
                </c:ext>
              </c:extLst>
            </c:dLbl>
            <c:dLbl>
              <c:idx val="1"/>
              <c:layout>
                <c:manualLayout>
                  <c:x val="-7.917497009341401E-2"/>
                  <c:y val="-3.6666676290466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F6-400A-B0E2-F470FD2974D4}"/>
                </c:ext>
              </c:extLst>
            </c:dLbl>
            <c:dLbl>
              <c:idx val="2"/>
              <c:layout>
                <c:manualLayout>
                  <c:x val="-7.6912828090745039E-2"/>
                  <c:y val="-4.6666678915138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F6-400A-B0E2-F470FD2974D4}"/>
                </c:ext>
              </c:extLst>
            </c:dLbl>
            <c:spPr>
              <a:noFill/>
              <a:ln>
                <a:noFill/>
              </a:ln>
              <a:effectLst/>
            </c:spPr>
            <c:txPr>
              <a:bodyPr/>
              <a:lstStyle/>
              <a:p>
                <a:pPr>
                  <a:defRPr b="1">
                    <a:latin typeface="Arial" pitchFamily="34" charset="0"/>
                    <a:cs typeface="Arial"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'[4]Orçamento atualizado'!$O$6:$Q$6</c:f>
              <c:numCache>
                <c:formatCode>General</c:formatCode>
                <c:ptCount val="3"/>
                <c:pt idx="0">
                  <c:v>2799500.2600000007</c:v>
                </c:pt>
                <c:pt idx="1">
                  <c:v>4147091.8699999996</c:v>
                </c:pt>
                <c:pt idx="2">
                  <c:v>3645576.9600119456</c:v>
                </c:pt>
              </c:numCache>
            </c:numRef>
          </c:val>
          <c:smooth val="0"/>
          <c:extLst>
            <c:ext xmlns:c16="http://schemas.microsoft.com/office/drawing/2014/chart" uri="{C3380CC4-5D6E-409C-BE32-E72D297353CC}">
              <c16:uniqueId val="{00000003-85F6-400A-B0E2-F470FD2974D4}"/>
            </c:ext>
          </c:extLst>
        </c:ser>
        <c:dLbls>
          <c:showLegendKey val="0"/>
          <c:showVal val="0"/>
          <c:showCatName val="0"/>
          <c:showSerName val="0"/>
          <c:showPercent val="0"/>
          <c:showBubbleSize val="0"/>
        </c:dLbls>
        <c:marker val="1"/>
        <c:smooth val="0"/>
        <c:axId val="84034688"/>
        <c:axId val="84036224"/>
      </c:lineChart>
      <c:lineChart>
        <c:grouping val="standard"/>
        <c:varyColors val="0"/>
        <c:ser>
          <c:idx val="2"/>
          <c:order val="1"/>
          <c:tx>
            <c:strRef>
              <c:f>'[4]Orçamento atualizado'!$N$8</c:f>
              <c:strCache>
                <c:ptCount val="1"/>
                <c:pt idx="0">
                  <c:v>R$/TC Total</c:v>
                </c:pt>
              </c:strCache>
            </c:strRef>
          </c:tx>
          <c:marker>
            <c:symbol val="circle"/>
            <c:size val="5"/>
            <c:spPr>
              <a:solidFill>
                <a:sysClr val="windowText" lastClr="000000"/>
              </a:solidFill>
              <a:ln>
                <a:noFill/>
              </a:ln>
            </c:spPr>
          </c:marker>
          <c:dLbls>
            <c:dLbl>
              <c:idx val="0"/>
              <c:layout>
                <c:manualLayout>
                  <c:x val="-5.881569206939332E-2"/>
                  <c:y val="5.3333347331587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F6-400A-B0E2-F470FD2974D4}"/>
                </c:ext>
              </c:extLst>
            </c:dLbl>
            <c:dLbl>
              <c:idx val="1"/>
              <c:layout>
                <c:manualLayout>
                  <c:x val="-6.1077834072062229E-2"/>
                  <c:y val="4.6666678915138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F6-400A-B0E2-F470FD2974D4}"/>
                </c:ext>
              </c:extLst>
            </c:dLbl>
            <c:dLbl>
              <c:idx val="2"/>
              <c:layout>
                <c:manualLayout>
                  <c:x val="-4.9767124058717485E-2"/>
                  <c:y val="4.66666789151388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F6-400A-B0E2-F470FD2974D4}"/>
                </c:ext>
              </c:extLst>
            </c:dLbl>
            <c:spPr>
              <a:noFill/>
              <a:ln>
                <a:noFill/>
              </a:ln>
              <a:effectLst/>
            </c:spPr>
            <c:txPr>
              <a:bodyPr/>
              <a:lstStyle/>
              <a:p>
                <a:pPr>
                  <a:defRPr b="1">
                    <a:latin typeface="Arial" pitchFamily="34" charset="0"/>
                    <a:cs typeface="Arial"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'[4]Orçamento atualizado'!$O$8:$Q$8</c:f>
              <c:numCache>
                <c:formatCode>General</c:formatCode>
                <c:ptCount val="3"/>
                <c:pt idx="0">
                  <c:v>1.5205108172860848</c:v>
                </c:pt>
                <c:pt idx="1">
                  <c:v>1.92040963787188</c:v>
                </c:pt>
                <c:pt idx="2">
                  <c:v>1.5850334608747589</c:v>
                </c:pt>
              </c:numCache>
            </c:numRef>
          </c:val>
          <c:smooth val="0"/>
          <c:extLst>
            <c:ext xmlns:c16="http://schemas.microsoft.com/office/drawing/2014/chart" uri="{C3380CC4-5D6E-409C-BE32-E72D297353CC}">
              <c16:uniqueId val="{00000007-85F6-400A-B0E2-F470FD2974D4}"/>
            </c:ext>
          </c:extLst>
        </c:ser>
        <c:dLbls>
          <c:showLegendKey val="0"/>
          <c:showVal val="0"/>
          <c:showCatName val="0"/>
          <c:showSerName val="0"/>
          <c:showPercent val="0"/>
          <c:showBubbleSize val="0"/>
        </c:dLbls>
        <c:marker val="1"/>
        <c:smooth val="0"/>
        <c:axId val="84072320"/>
        <c:axId val="84070784"/>
      </c:lineChart>
      <c:catAx>
        <c:axId val="84034688"/>
        <c:scaling>
          <c:orientation val="minMax"/>
        </c:scaling>
        <c:delete val="1"/>
        <c:axPos val="b"/>
        <c:majorTickMark val="out"/>
        <c:minorTickMark val="none"/>
        <c:tickLblPos val="none"/>
        <c:crossAx val="84036224"/>
        <c:crosses val="autoZero"/>
        <c:auto val="1"/>
        <c:lblAlgn val="ctr"/>
        <c:lblOffset val="100"/>
        <c:noMultiLvlLbl val="0"/>
      </c:catAx>
      <c:valAx>
        <c:axId val="84036224"/>
        <c:scaling>
          <c:orientation val="minMax"/>
        </c:scaling>
        <c:delete val="0"/>
        <c:axPos val="l"/>
        <c:majorGridlines/>
        <c:numFmt formatCode="General" sourceLinked="1"/>
        <c:majorTickMark val="out"/>
        <c:minorTickMark val="none"/>
        <c:tickLblPos val="nextTo"/>
        <c:txPr>
          <a:bodyPr/>
          <a:lstStyle/>
          <a:p>
            <a:pPr>
              <a:defRPr sz="800"/>
            </a:pPr>
            <a:endParaRPr lang="pt-BR"/>
          </a:p>
        </c:txPr>
        <c:crossAx val="84034688"/>
        <c:crosses val="autoZero"/>
        <c:crossBetween val="between"/>
      </c:valAx>
      <c:valAx>
        <c:axId val="84070784"/>
        <c:scaling>
          <c:orientation val="minMax"/>
          <c:max val="3"/>
          <c:min val="0"/>
        </c:scaling>
        <c:delete val="0"/>
        <c:axPos val="r"/>
        <c:numFmt formatCode="General" sourceLinked="1"/>
        <c:majorTickMark val="out"/>
        <c:minorTickMark val="none"/>
        <c:tickLblPos val="nextTo"/>
        <c:txPr>
          <a:bodyPr/>
          <a:lstStyle/>
          <a:p>
            <a:pPr>
              <a:defRPr sz="800"/>
            </a:pPr>
            <a:endParaRPr lang="pt-BR"/>
          </a:p>
        </c:txPr>
        <c:crossAx val="84072320"/>
        <c:crosses val="max"/>
        <c:crossBetween val="between"/>
      </c:valAx>
      <c:catAx>
        <c:axId val="84072320"/>
        <c:scaling>
          <c:orientation val="minMax"/>
        </c:scaling>
        <c:delete val="1"/>
        <c:axPos val="b"/>
        <c:majorTickMark val="out"/>
        <c:minorTickMark val="none"/>
        <c:tickLblPos val="none"/>
        <c:crossAx val="84070784"/>
        <c:crosses val="autoZero"/>
        <c:auto val="1"/>
        <c:lblAlgn val="ctr"/>
        <c:lblOffset val="100"/>
        <c:noMultiLvlLbl val="0"/>
      </c:catAx>
    </c:plotArea>
    <c:legend>
      <c:legendPos val="r"/>
      <c:layout>
        <c:manualLayout>
          <c:xMode val="edge"/>
          <c:yMode val="edge"/>
          <c:x val="0.36083575989443967"/>
          <c:y val="0.92485873130838414"/>
          <c:w val="0.36109733917311421"/>
          <c:h val="6.5417612417414894E-2"/>
        </c:manualLayout>
      </c:layout>
      <c:overlay val="0"/>
    </c:legend>
    <c:plotVisOnly val="1"/>
    <c:dispBlanksAs val="gap"/>
    <c:showDLblsOverMax val="0"/>
  </c:chart>
  <c:printSettings>
    <c:headerFooter/>
    <c:pageMargins b="0.78740157499999996" l="0.511811024" r="0.511811024" t="0.78740157499999996" header="0.31496062000000041" footer="0.31496062000000041"/>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Antiespumante (g/L)</a:t>
            </a:r>
          </a:p>
        </c:rich>
      </c:tx>
      <c:overlay val="0"/>
      <c:spPr>
        <a:noFill/>
        <a:ln>
          <a:noFill/>
        </a:ln>
        <a:effectLst/>
      </c:spPr>
    </c:title>
    <c:autoTitleDeleted val="0"/>
    <c:plotArea>
      <c:layout/>
      <c:barChart>
        <c:barDir val="col"/>
        <c:grouping val="clustered"/>
        <c:varyColors val="0"/>
        <c:ser>
          <c:idx val="0"/>
          <c:order val="0"/>
          <c:tx>
            <c:strRef>
              <c:f>'Graf 2020'!$A$8</c:f>
              <c:strCache>
                <c:ptCount val="1"/>
                <c:pt idx="0">
                  <c:v>Antiespumante</c:v>
                </c:pt>
              </c:strCache>
            </c:strRef>
          </c:tx>
          <c:spPr>
            <a:solidFill>
              <a:schemeClr val="accent1"/>
            </a:solidFill>
            <a:ln>
              <a:noFill/>
            </a:ln>
            <a:effectLst/>
          </c:spPr>
          <c:invertIfNegative val="0"/>
          <c:cat>
            <c:strRef>
              <c:f>'Graf 2020'!$B$7:$J$7</c:f>
              <c:strCache>
                <c:ptCount val="9"/>
                <c:pt idx="0">
                  <c:v>ABR</c:v>
                </c:pt>
                <c:pt idx="1">
                  <c:v>MAI</c:v>
                </c:pt>
                <c:pt idx="2">
                  <c:v>JUN</c:v>
                </c:pt>
                <c:pt idx="3">
                  <c:v>JUL</c:v>
                </c:pt>
                <c:pt idx="4">
                  <c:v>AGO</c:v>
                </c:pt>
                <c:pt idx="5">
                  <c:v>SET</c:v>
                </c:pt>
                <c:pt idx="6">
                  <c:v>OUT</c:v>
                </c:pt>
                <c:pt idx="7">
                  <c:v>NOV</c:v>
                </c:pt>
                <c:pt idx="8">
                  <c:v>DEZ</c:v>
                </c:pt>
              </c:strCache>
            </c:strRef>
          </c:cat>
          <c:val>
            <c:numRef>
              <c:f>'Graf 2020'!$B$8:$J$8</c:f>
              <c:numCache>
                <c:formatCode>General</c:formatCode>
                <c:ptCount val="9"/>
                <c:pt idx="0">
                  <c:v>0.09</c:v>
                </c:pt>
                <c:pt idx="1">
                  <c:v>0.48</c:v>
                </c:pt>
                <c:pt idx="2">
                  <c:v>0.36</c:v>
                </c:pt>
                <c:pt idx="3">
                  <c:v>0.4</c:v>
                </c:pt>
                <c:pt idx="4">
                  <c:v>0.1</c:v>
                </c:pt>
                <c:pt idx="5" formatCode="0.00">
                  <c:v>0.09</c:v>
                </c:pt>
                <c:pt idx="6">
                  <c:v>7.0000000000000007E-2</c:v>
                </c:pt>
                <c:pt idx="7">
                  <c:v>0.21</c:v>
                </c:pt>
              </c:numCache>
            </c:numRef>
          </c:val>
          <c:extLst>
            <c:ext xmlns:c16="http://schemas.microsoft.com/office/drawing/2014/chart" uri="{C3380CC4-5D6E-409C-BE32-E72D297353CC}">
              <c16:uniqueId val="{00000000-BA0C-4A3E-9318-F5D88B01F99F}"/>
            </c:ext>
          </c:extLst>
        </c:ser>
        <c:dLbls>
          <c:showLegendKey val="0"/>
          <c:showVal val="0"/>
          <c:showCatName val="0"/>
          <c:showSerName val="0"/>
          <c:showPercent val="0"/>
          <c:showBubbleSize val="0"/>
        </c:dLbls>
        <c:gapWidth val="219"/>
        <c:overlap val="-27"/>
        <c:axId val="172567552"/>
        <c:axId val="172589824"/>
      </c:barChart>
      <c:lineChart>
        <c:grouping val="standard"/>
        <c:varyColors val="0"/>
        <c:ser>
          <c:idx val="1"/>
          <c:order val="1"/>
          <c:tx>
            <c:strRef>
              <c:f>'Graf 2020'!$A$9</c:f>
              <c:strCache>
                <c:ptCount val="1"/>
                <c:pt idx="0">
                  <c:v>Acumulado Antiespumante</c:v>
                </c:pt>
              </c:strCache>
            </c:strRef>
          </c:tx>
          <c:spPr>
            <a:ln w="28575" cap="rnd">
              <a:solidFill>
                <a:schemeClr val="accent2"/>
              </a:solidFill>
              <a:round/>
            </a:ln>
            <a:effectLst/>
          </c:spPr>
          <c:marker>
            <c:symbol val="none"/>
          </c:marker>
          <c:cat>
            <c:strRef>
              <c:f>'Graf 2020'!$B$7:$J$7</c:f>
              <c:strCache>
                <c:ptCount val="9"/>
                <c:pt idx="0">
                  <c:v>ABR</c:v>
                </c:pt>
                <c:pt idx="1">
                  <c:v>MAI</c:v>
                </c:pt>
                <c:pt idx="2">
                  <c:v>JUN</c:v>
                </c:pt>
                <c:pt idx="3">
                  <c:v>JUL</c:v>
                </c:pt>
                <c:pt idx="4">
                  <c:v>AGO</c:v>
                </c:pt>
                <c:pt idx="5">
                  <c:v>SET</c:v>
                </c:pt>
                <c:pt idx="6">
                  <c:v>OUT</c:v>
                </c:pt>
                <c:pt idx="7">
                  <c:v>NOV</c:v>
                </c:pt>
                <c:pt idx="8">
                  <c:v>DEZ</c:v>
                </c:pt>
              </c:strCache>
            </c:strRef>
          </c:cat>
          <c:val>
            <c:numRef>
              <c:f>'Graf 2020'!$B$9:$J$9</c:f>
              <c:numCache>
                <c:formatCode>General</c:formatCode>
                <c:ptCount val="9"/>
                <c:pt idx="0">
                  <c:v>0.09</c:v>
                </c:pt>
                <c:pt idx="1">
                  <c:v>0.43</c:v>
                </c:pt>
                <c:pt idx="2">
                  <c:v>0.4</c:v>
                </c:pt>
                <c:pt idx="3">
                  <c:v>0.4</c:v>
                </c:pt>
                <c:pt idx="4">
                  <c:v>0.33</c:v>
                </c:pt>
                <c:pt idx="5">
                  <c:v>0.27</c:v>
                </c:pt>
                <c:pt idx="6">
                  <c:v>0.24</c:v>
                </c:pt>
                <c:pt idx="7">
                  <c:v>0.24</c:v>
                </c:pt>
              </c:numCache>
            </c:numRef>
          </c:val>
          <c:smooth val="0"/>
          <c:extLst>
            <c:ext xmlns:c16="http://schemas.microsoft.com/office/drawing/2014/chart" uri="{C3380CC4-5D6E-409C-BE32-E72D297353CC}">
              <c16:uniqueId val="{00000001-BA0C-4A3E-9318-F5D88B01F99F}"/>
            </c:ext>
          </c:extLst>
        </c:ser>
        <c:ser>
          <c:idx val="2"/>
          <c:order val="2"/>
          <c:tx>
            <c:strRef>
              <c:f>'Graf 2020'!$A$10</c:f>
              <c:strCache>
                <c:ptCount val="1"/>
                <c:pt idx="0">
                  <c:v>Meta Acumulado Antiespumante</c:v>
                </c:pt>
              </c:strCache>
            </c:strRef>
          </c:tx>
          <c:spPr>
            <a:ln w="28575" cap="rnd">
              <a:solidFill>
                <a:schemeClr val="accent3"/>
              </a:solidFill>
              <a:round/>
            </a:ln>
            <a:effectLst/>
          </c:spPr>
          <c:marker>
            <c:symbol val="none"/>
          </c:marker>
          <c:cat>
            <c:strRef>
              <c:f>'Graf 2020'!$B$7:$J$7</c:f>
              <c:strCache>
                <c:ptCount val="9"/>
                <c:pt idx="0">
                  <c:v>ABR</c:v>
                </c:pt>
                <c:pt idx="1">
                  <c:v>MAI</c:v>
                </c:pt>
                <c:pt idx="2">
                  <c:v>JUN</c:v>
                </c:pt>
                <c:pt idx="3">
                  <c:v>JUL</c:v>
                </c:pt>
                <c:pt idx="4">
                  <c:v>AGO</c:v>
                </c:pt>
                <c:pt idx="5">
                  <c:v>SET</c:v>
                </c:pt>
                <c:pt idx="6">
                  <c:v>OUT</c:v>
                </c:pt>
                <c:pt idx="7">
                  <c:v>NOV</c:v>
                </c:pt>
                <c:pt idx="8">
                  <c:v>DEZ</c:v>
                </c:pt>
              </c:strCache>
            </c:strRef>
          </c:cat>
          <c:val>
            <c:numRef>
              <c:f>'Graf 2020'!$B$10:$J$10</c:f>
              <c:numCache>
                <c:formatCode>0.00</c:formatCode>
                <c:ptCount val="9"/>
                <c:pt idx="0" formatCode="General">
                  <c:v>0.24</c:v>
                </c:pt>
                <c:pt idx="1">
                  <c:v>0.24</c:v>
                </c:pt>
                <c:pt idx="2">
                  <c:v>0.24</c:v>
                </c:pt>
                <c:pt idx="3">
                  <c:v>0.24</c:v>
                </c:pt>
                <c:pt idx="4">
                  <c:v>0.24</c:v>
                </c:pt>
                <c:pt idx="5">
                  <c:v>0.24</c:v>
                </c:pt>
                <c:pt idx="6">
                  <c:v>0.24</c:v>
                </c:pt>
                <c:pt idx="7">
                  <c:v>0.24</c:v>
                </c:pt>
              </c:numCache>
            </c:numRef>
          </c:val>
          <c:smooth val="0"/>
          <c:extLst>
            <c:ext xmlns:c16="http://schemas.microsoft.com/office/drawing/2014/chart" uri="{C3380CC4-5D6E-409C-BE32-E72D297353CC}">
              <c16:uniqueId val="{00000002-BA0C-4A3E-9318-F5D88B01F99F}"/>
            </c:ext>
          </c:extLst>
        </c:ser>
        <c:dLbls>
          <c:showLegendKey val="0"/>
          <c:showVal val="0"/>
          <c:showCatName val="0"/>
          <c:showSerName val="0"/>
          <c:showPercent val="0"/>
          <c:showBubbleSize val="0"/>
        </c:dLbls>
        <c:marker val="1"/>
        <c:smooth val="0"/>
        <c:axId val="172567552"/>
        <c:axId val="172589824"/>
      </c:lineChart>
      <c:catAx>
        <c:axId val="17256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589824"/>
        <c:crosses val="autoZero"/>
        <c:auto val="1"/>
        <c:lblAlgn val="ctr"/>
        <c:lblOffset val="100"/>
        <c:noMultiLvlLbl val="0"/>
      </c:catAx>
      <c:valAx>
        <c:axId val="17258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56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Dispersante (g/L)</a:t>
            </a:r>
          </a:p>
        </c:rich>
      </c:tx>
      <c:overlay val="0"/>
      <c:spPr>
        <a:noFill/>
        <a:ln>
          <a:noFill/>
        </a:ln>
        <a:effectLst/>
      </c:spPr>
    </c:title>
    <c:autoTitleDeleted val="0"/>
    <c:plotArea>
      <c:layout/>
      <c:barChart>
        <c:barDir val="col"/>
        <c:grouping val="clustered"/>
        <c:varyColors val="0"/>
        <c:ser>
          <c:idx val="0"/>
          <c:order val="0"/>
          <c:tx>
            <c:strRef>
              <c:f>'Graf 2020'!$A$12</c:f>
              <c:strCache>
                <c:ptCount val="1"/>
                <c:pt idx="0">
                  <c:v>Dispersante</c:v>
                </c:pt>
              </c:strCache>
            </c:strRef>
          </c:tx>
          <c:spPr>
            <a:solidFill>
              <a:schemeClr val="accent1"/>
            </a:solidFill>
            <a:ln>
              <a:noFill/>
            </a:ln>
            <a:effectLst/>
          </c:spPr>
          <c:invertIfNegative val="0"/>
          <c:cat>
            <c:strRef>
              <c:f>'Graf 2020'!$B$11:$J$11</c:f>
              <c:strCache>
                <c:ptCount val="9"/>
                <c:pt idx="0">
                  <c:v>ABR</c:v>
                </c:pt>
                <c:pt idx="1">
                  <c:v>MAI</c:v>
                </c:pt>
                <c:pt idx="2">
                  <c:v>JUN</c:v>
                </c:pt>
                <c:pt idx="3">
                  <c:v>JUL</c:v>
                </c:pt>
                <c:pt idx="4">
                  <c:v>AGO</c:v>
                </c:pt>
                <c:pt idx="5">
                  <c:v>SET</c:v>
                </c:pt>
                <c:pt idx="6">
                  <c:v>OUT</c:v>
                </c:pt>
                <c:pt idx="7">
                  <c:v>NOV</c:v>
                </c:pt>
                <c:pt idx="8">
                  <c:v>DEZ</c:v>
                </c:pt>
              </c:strCache>
            </c:strRef>
          </c:cat>
          <c:val>
            <c:numRef>
              <c:f>'Graf 2020'!$B$12:$J$12</c:f>
              <c:numCache>
                <c:formatCode>General</c:formatCode>
                <c:ptCount val="9"/>
                <c:pt idx="0">
                  <c:v>0.08</c:v>
                </c:pt>
                <c:pt idx="1">
                  <c:v>0.19</c:v>
                </c:pt>
                <c:pt idx="2">
                  <c:v>0.18</c:v>
                </c:pt>
                <c:pt idx="3">
                  <c:v>0.19</c:v>
                </c:pt>
                <c:pt idx="4">
                  <c:v>0.08</c:v>
                </c:pt>
                <c:pt idx="5">
                  <c:v>0.04</c:v>
                </c:pt>
                <c:pt idx="6">
                  <c:v>0.05</c:v>
                </c:pt>
                <c:pt idx="7">
                  <c:v>0.03</c:v>
                </c:pt>
              </c:numCache>
            </c:numRef>
          </c:val>
          <c:extLst>
            <c:ext xmlns:c16="http://schemas.microsoft.com/office/drawing/2014/chart" uri="{C3380CC4-5D6E-409C-BE32-E72D297353CC}">
              <c16:uniqueId val="{00000000-CEC9-450D-8E2F-3415F75EB4E6}"/>
            </c:ext>
          </c:extLst>
        </c:ser>
        <c:dLbls>
          <c:showLegendKey val="0"/>
          <c:showVal val="0"/>
          <c:showCatName val="0"/>
          <c:showSerName val="0"/>
          <c:showPercent val="0"/>
          <c:showBubbleSize val="0"/>
        </c:dLbls>
        <c:gapWidth val="219"/>
        <c:overlap val="-27"/>
        <c:axId val="172634880"/>
        <c:axId val="172636416"/>
      </c:barChart>
      <c:lineChart>
        <c:grouping val="standard"/>
        <c:varyColors val="0"/>
        <c:ser>
          <c:idx val="1"/>
          <c:order val="1"/>
          <c:tx>
            <c:strRef>
              <c:f>'Graf 2020'!$A$13</c:f>
              <c:strCache>
                <c:ptCount val="1"/>
                <c:pt idx="0">
                  <c:v>Acumulado Dispersante</c:v>
                </c:pt>
              </c:strCache>
            </c:strRef>
          </c:tx>
          <c:spPr>
            <a:ln w="28575" cap="rnd">
              <a:solidFill>
                <a:schemeClr val="accent2"/>
              </a:solidFill>
              <a:round/>
            </a:ln>
            <a:effectLst/>
          </c:spPr>
          <c:marker>
            <c:symbol val="none"/>
          </c:marker>
          <c:cat>
            <c:strRef>
              <c:f>'Graf 2020'!$B$11:$J$11</c:f>
              <c:strCache>
                <c:ptCount val="9"/>
                <c:pt idx="0">
                  <c:v>ABR</c:v>
                </c:pt>
                <c:pt idx="1">
                  <c:v>MAI</c:v>
                </c:pt>
                <c:pt idx="2">
                  <c:v>JUN</c:v>
                </c:pt>
                <c:pt idx="3">
                  <c:v>JUL</c:v>
                </c:pt>
                <c:pt idx="4">
                  <c:v>AGO</c:v>
                </c:pt>
                <c:pt idx="5">
                  <c:v>SET</c:v>
                </c:pt>
                <c:pt idx="6">
                  <c:v>OUT</c:v>
                </c:pt>
                <c:pt idx="7">
                  <c:v>NOV</c:v>
                </c:pt>
                <c:pt idx="8">
                  <c:v>DEZ</c:v>
                </c:pt>
              </c:strCache>
            </c:strRef>
          </c:cat>
          <c:val>
            <c:numRef>
              <c:f>'Graf 2020'!$B$13:$J$13</c:f>
              <c:numCache>
                <c:formatCode>General</c:formatCode>
                <c:ptCount val="9"/>
                <c:pt idx="0">
                  <c:v>0.08</c:v>
                </c:pt>
                <c:pt idx="1">
                  <c:v>0.17</c:v>
                </c:pt>
                <c:pt idx="2">
                  <c:v>0.17</c:v>
                </c:pt>
                <c:pt idx="3">
                  <c:v>0.18</c:v>
                </c:pt>
                <c:pt idx="4">
                  <c:v>0.15</c:v>
                </c:pt>
                <c:pt idx="5">
                  <c:v>0.13</c:v>
                </c:pt>
                <c:pt idx="6">
                  <c:v>0.12</c:v>
                </c:pt>
                <c:pt idx="7">
                  <c:v>0.12</c:v>
                </c:pt>
              </c:numCache>
            </c:numRef>
          </c:val>
          <c:smooth val="0"/>
          <c:extLst>
            <c:ext xmlns:c16="http://schemas.microsoft.com/office/drawing/2014/chart" uri="{C3380CC4-5D6E-409C-BE32-E72D297353CC}">
              <c16:uniqueId val="{00000001-CEC9-450D-8E2F-3415F75EB4E6}"/>
            </c:ext>
          </c:extLst>
        </c:ser>
        <c:ser>
          <c:idx val="2"/>
          <c:order val="2"/>
          <c:tx>
            <c:strRef>
              <c:f>'Graf 2020'!$A$14</c:f>
              <c:strCache>
                <c:ptCount val="1"/>
                <c:pt idx="0">
                  <c:v>Meta Acumulado Antiespumante</c:v>
                </c:pt>
              </c:strCache>
            </c:strRef>
          </c:tx>
          <c:spPr>
            <a:ln w="28575" cap="rnd">
              <a:solidFill>
                <a:schemeClr val="accent3"/>
              </a:solidFill>
              <a:round/>
            </a:ln>
            <a:effectLst/>
          </c:spPr>
          <c:marker>
            <c:symbol val="none"/>
          </c:marker>
          <c:cat>
            <c:strRef>
              <c:f>'Graf 2020'!$B$11:$J$11</c:f>
              <c:strCache>
                <c:ptCount val="9"/>
                <c:pt idx="0">
                  <c:v>ABR</c:v>
                </c:pt>
                <c:pt idx="1">
                  <c:v>MAI</c:v>
                </c:pt>
                <c:pt idx="2">
                  <c:v>JUN</c:v>
                </c:pt>
                <c:pt idx="3">
                  <c:v>JUL</c:v>
                </c:pt>
                <c:pt idx="4">
                  <c:v>AGO</c:v>
                </c:pt>
                <c:pt idx="5">
                  <c:v>SET</c:v>
                </c:pt>
                <c:pt idx="6">
                  <c:v>OUT</c:v>
                </c:pt>
                <c:pt idx="7">
                  <c:v>NOV</c:v>
                </c:pt>
                <c:pt idx="8">
                  <c:v>DEZ</c:v>
                </c:pt>
              </c:strCache>
            </c:strRef>
          </c:cat>
          <c:val>
            <c:numRef>
              <c:f>'Graf 2020'!$B$14:$J$14</c:f>
              <c:numCache>
                <c:formatCode>0.00</c:formatCode>
                <c:ptCount val="9"/>
                <c:pt idx="0" formatCode="General">
                  <c:v>0.12</c:v>
                </c:pt>
                <c:pt idx="1">
                  <c:v>0.12</c:v>
                </c:pt>
                <c:pt idx="2">
                  <c:v>0.12</c:v>
                </c:pt>
                <c:pt idx="3">
                  <c:v>0.12</c:v>
                </c:pt>
                <c:pt idx="4">
                  <c:v>0.12</c:v>
                </c:pt>
                <c:pt idx="5">
                  <c:v>0.12</c:v>
                </c:pt>
                <c:pt idx="6">
                  <c:v>0.12</c:v>
                </c:pt>
                <c:pt idx="7">
                  <c:v>0.12</c:v>
                </c:pt>
              </c:numCache>
            </c:numRef>
          </c:val>
          <c:smooth val="0"/>
          <c:extLst>
            <c:ext xmlns:c16="http://schemas.microsoft.com/office/drawing/2014/chart" uri="{C3380CC4-5D6E-409C-BE32-E72D297353CC}">
              <c16:uniqueId val="{00000002-CEC9-450D-8E2F-3415F75EB4E6}"/>
            </c:ext>
          </c:extLst>
        </c:ser>
        <c:dLbls>
          <c:showLegendKey val="0"/>
          <c:showVal val="0"/>
          <c:showCatName val="0"/>
          <c:showSerName val="0"/>
          <c:showPercent val="0"/>
          <c:showBubbleSize val="0"/>
        </c:dLbls>
        <c:marker val="1"/>
        <c:smooth val="0"/>
        <c:axId val="172634880"/>
        <c:axId val="172636416"/>
      </c:lineChart>
      <c:catAx>
        <c:axId val="17263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636416"/>
        <c:crosses val="autoZero"/>
        <c:auto val="1"/>
        <c:lblAlgn val="ctr"/>
        <c:lblOffset val="100"/>
        <c:noMultiLvlLbl val="0"/>
      </c:catAx>
      <c:valAx>
        <c:axId val="1726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634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Ácido</a:t>
            </a:r>
            <a:r>
              <a:rPr lang="pt-BR" baseline="0"/>
              <a:t> Sulfúrico (g/L)</a:t>
            </a:r>
            <a:endParaRPr lang="pt-BR"/>
          </a:p>
        </c:rich>
      </c:tx>
      <c:overlay val="0"/>
      <c:spPr>
        <a:noFill/>
        <a:ln>
          <a:noFill/>
        </a:ln>
        <a:effectLst/>
      </c:spPr>
    </c:title>
    <c:autoTitleDeleted val="0"/>
    <c:plotArea>
      <c:layout/>
      <c:barChart>
        <c:barDir val="col"/>
        <c:grouping val="clustered"/>
        <c:varyColors val="0"/>
        <c:ser>
          <c:idx val="0"/>
          <c:order val="0"/>
          <c:tx>
            <c:strRef>
              <c:f>'Graf 2020'!$A$2</c:f>
              <c:strCache>
                <c:ptCount val="1"/>
                <c:pt idx="0">
                  <c:v>Ecoácido Equiv.</c:v>
                </c:pt>
              </c:strCache>
            </c:strRef>
          </c:tx>
          <c:spPr>
            <a:solidFill>
              <a:schemeClr val="accent1"/>
            </a:solidFill>
            <a:ln>
              <a:noFill/>
            </a:ln>
            <a:effectLst/>
          </c:spPr>
          <c:invertIfNegative val="0"/>
          <c:cat>
            <c:strRef>
              <c:f>'Graf 2020'!$B$1:$J$1</c:f>
              <c:strCache>
                <c:ptCount val="9"/>
                <c:pt idx="0">
                  <c:v>ABR</c:v>
                </c:pt>
                <c:pt idx="1">
                  <c:v>MAI</c:v>
                </c:pt>
                <c:pt idx="2">
                  <c:v>JUN</c:v>
                </c:pt>
                <c:pt idx="3">
                  <c:v>JUL</c:v>
                </c:pt>
                <c:pt idx="4">
                  <c:v>AGO</c:v>
                </c:pt>
                <c:pt idx="5">
                  <c:v>SET</c:v>
                </c:pt>
                <c:pt idx="6">
                  <c:v>OUT</c:v>
                </c:pt>
                <c:pt idx="7">
                  <c:v>NOV</c:v>
                </c:pt>
                <c:pt idx="8">
                  <c:v>DEZ</c:v>
                </c:pt>
              </c:strCache>
            </c:strRef>
          </c:cat>
          <c:val>
            <c:numRef>
              <c:f>'Graf 2020'!$B$2:$J$2</c:f>
              <c:numCache>
                <c:formatCode>0.00</c:formatCode>
                <c:ptCount val="9"/>
                <c:pt idx="0" formatCode="General">
                  <c:v>2.12</c:v>
                </c:pt>
                <c:pt idx="1">
                  <c:v>2.86</c:v>
                </c:pt>
                <c:pt idx="2">
                  <c:v>4.96</c:v>
                </c:pt>
                <c:pt idx="3">
                  <c:v>4.09</c:v>
                </c:pt>
                <c:pt idx="4">
                  <c:v>4.25</c:v>
                </c:pt>
                <c:pt idx="5">
                  <c:v>3.32</c:v>
                </c:pt>
                <c:pt idx="6">
                  <c:v>3.95</c:v>
                </c:pt>
                <c:pt idx="7">
                  <c:v>7.02</c:v>
                </c:pt>
              </c:numCache>
            </c:numRef>
          </c:val>
          <c:extLst>
            <c:ext xmlns:c16="http://schemas.microsoft.com/office/drawing/2014/chart" uri="{C3380CC4-5D6E-409C-BE32-E72D297353CC}">
              <c16:uniqueId val="{00000000-31F3-4B6E-9BE9-EED8C8EBEE2D}"/>
            </c:ext>
          </c:extLst>
        </c:ser>
        <c:ser>
          <c:idx val="1"/>
          <c:order val="1"/>
          <c:tx>
            <c:strRef>
              <c:f>'Graf 2020'!$A$3</c:f>
              <c:strCache>
                <c:ptCount val="1"/>
                <c:pt idx="0">
                  <c:v>Ácido Sulfúrico Total</c:v>
                </c:pt>
              </c:strCache>
            </c:strRef>
          </c:tx>
          <c:spPr>
            <a:solidFill>
              <a:schemeClr val="accent2"/>
            </a:solidFill>
            <a:ln>
              <a:noFill/>
            </a:ln>
            <a:effectLst/>
          </c:spPr>
          <c:invertIfNegative val="0"/>
          <c:cat>
            <c:strRef>
              <c:f>'Graf 2020'!$B$1:$J$1</c:f>
              <c:strCache>
                <c:ptCount val="9"/>
                <c:pt idx="0">
                  <c:v>ABR</c:v>
                </c:pt>
                <c:pt idx="1">
                  <c:v>MAI</c:v>
                </c:pt>
                <c:pt idx="2">
                  <c:v>JUN</c:v>
                </c:pt>
                <c:pt idx="3">
                  <c:v>JUL</c:v>
                </c:pt>
                <c:pt idx="4">
                  <c:v>AGO</c:v>
                </c:pt>
                <c:pt idx="5">
                  <c:v>SET</c:v>
                </c:pt>
                <c:pt idx="6">
                  <c:v>OUT</c:v>
                </c:pt>
                <c:pt idx="7">
                  <c:v>NOV</c:v>
                </c:pt>
                <c:pt idx="8">
                  <c:v>DEZ</c:v>
                </c:pt>
              </c:strCache>
            </c:strRef>
          </c:cat>
          <c:val>
            <c:numRef>
              <c:f>'Graf 2020'!$B$3:$J$3</c:f>
              <c:numCache>
                <c:formatCode>General</c:formatCode>
                <c:ptCount val="9"/>
                <c:pt idx="0">
                  <c:v>7.79</c:v>
                </c:pt>
                <c:pt idx="1">
                  <c:v>4.84</c:v>
                </c:pt>
                <c:pt idx="2">
                  <c:v>5.87</c:v>
                </c:pt>
                <c:pt idx="3">
                  <c:v>5.19</c:v>
                </c:pt>
                <c:pt idx="4">
                  <c:v>7.56</c:v>
                </c:pt>
                <c:pt idx="5">
                  <c:v>4.92</c:v>
                </c:pt>
                <c:pt idx="6">
                  <c:v>7.59</c:v>
                </c:pt>
                <c:pt idx="7">
                  <c:v>11.19</c:v>
                </c:pt>
              </c:numCache>
            </c:numRef>
          </c:val>
          <c:extLst>
            <c:ext xmlns:c16="http://schemas.microsoft.com/office/drawing/2014/chart" uri="{C3380CC4-5D6E-409C-BE32-E72D297353CC}">
              <c16:uniqueId val="{00000001-31F3-4B6E-9BE9-EED8C8EBEE2D}"/>
            </c:ext>
          </c:extLst>
        </c:ser>
        <c:ser>
          <c:idx val="2"/>
          <c:order val="2"/>
          <c:tx>
            <c:strRef>
              <c:f>'Graf 2020'!$A$4</c:f>
              <c:strCache>
                <c:ptCount val="1"/>
                <c:pt idx="0">
                  <c:v>Ácido Sulfúrico 98 %</c:v>
                </c:pt>
              </c:strCache>
            </c:strRef>
          </c:tx>
          <c:spPr>
            <a:solidFill>
              <a:schemeClr val="accent3"/>
            </a:solidFill>
            <a:ln>
              <a:noFill/>
            </a:ln>
            <a:effectLst/>
          </c:spPr>
          <c:invertIfNegative val="0"/>
          <c:cat>
            <c:strRef>
              <c:f>'Graf 2020'!$B$1:$J$1</c:f>
              <c:strCache>
                <c:ptCount val="9"/>
                <c:pt idx="0">
                  <c:v>ABR</c:v>
                </c:pt>
                <c:pt idx="1">
                  <c:v>MAI</c:v>
                </c:pt>
                <c:pt idx="2">
                  <c:v>JUN</c:v>
                </c:pt>
                <c:pt idx="3">
                  <c:v>JUL</c:v>
                </c:pt>
                <c:pt idx="4">
                  <c:v>AGO</c:v>
                </c:pt>
                <c:pt idx="5">
                  <c:v>SET</c:v>
                </c:pt>
                <c:pt idx="6">
                  <c:v>OUT</c:v>
                </c:pt>
                <c:pt idx="7">
                  <c:v>NOV</c:v>
                </c:pt>
                <c:pt idx="8">
                  <c:v>DEZ</c:v>
                </c:pt>
              </c:strCache>
            </c:strRef>
          </c:cat>
          <c:val>
            <c:numRef>
              <c:f>'Graf 2020'!$B$4:$J$4</c:f>
              <c:numCache>
                <c:formatCode>General</c:formatCode>
                <c:ptCount val="9"/>
                <c:pt idx="0">
                  <c:v>5.67</c:v>
                </c:pt>
                <c:pt idx="1">
                  <c:v>1.98</c:v>
                </c:pt>
                <c:pt idx="2">
                  <c:v>0.91</c:v>
                </c:pt>
                <c:pt idx="3">
                  <c:v>1.1000000000000001</c:v>
                </c:pt>
                <c:pt idx="4">
                  <c:v>3.31</c:v>
                </c:pt>
                <c:pt idx="5">
                  <c:v>1.6</c:v>
                </c:pt>
                <c:pt idx="6" formatCode="0.00">
                  <c:v>3.64</c:v>
                </c:pt>
                <c:pt idx="7" formatCode="0.00">
                  <c:v>4.17</c:v>
                </c:pt>
              </c:numCache>
            </c:numRef>
          </c:val>
          <c:extLst>
            <c:ext xmlns:c16="http://schemas.microsoft.com/office/drawing/2014/chart" uri="{C3380CC4-5D6E-409C-BE32-E72D297353CC}">
              <c16:uniqueId val="{00000002-31F3-4B6E-9BE9-EED8C8EBEE2D}"/>
            </c:ext>
          </c:extLst>
        </c:ser>
        <c:dLbls>
          <c:showLegendKey val="0"/>
          <c:showVal val="0"/>
          <c:showCatName val="0"/>
          <c:showSerName val="0"/>
          <c:showPercent val="0"/>
          <c:showBubbleSize val="0"/>
        </c:dLbls>
        <c:gapWidth val="219"/>
        <c:overlap val="-27"/>
        <c:axId val="172795392"/>
        <c:axId val="172796928"/>
      </c:barChart>
      <c:lineChart>
        <c:grouping val="standard"/>
        <c:varyColors val="0"/>
        <c:ser>
          <c:idx val="3"/>
          <c:order val="3"/>
          <c:tx>
            <c:strRef>
              <c:f>'Graf 2020'!$A$5</c:f>
              <c:strCache>
                <c:ptCount val="1"/>
                <c:pt idx="0">
                  <c:v>Acumulado Ácido Sulfúrico Total</c:v>
                </c:pt>
              </c:strCache>
            </c:strRef>
          </c:tx>
          <c:spPr>
            <a:ln w="28575" cap="rnd">
              <a:solidFill>
                <a:schemeClr val="accent4"/>
              </a:solidFill>
              <a:round/>
            </a:ln>
            <a:effectLst/>
          </c:spPr>
          <c:marker>
            <c:symbol val="none"/>
          </c:marker>
          <c:cat>
            <c:strRef>
              <c:f>'Graf 2020'!$B$1:$J$1</c:f>
              <c:strCache>
                <c:ptCount val="9"/>
                <c:pt idx="0">
                  <c:v>ABR</c:v>
                </c:pt>
                <c:pt idx="1">
                  <c:v>MAI</c:v>
                </c:pt>
                <c:pt idx="2">
                  <c:v>JUN</c:v>
                </c:pt>
                <c:pt idx="3">
                  <c:v>JUL</c:v>
                </c:pt>
                <c:pt idx="4">
                  <c:v>AGO</c:v>
                </c:pt>
                <c:pt idx="5">
                  <c:v>SET</c:v>
                </c:pt>
                <c:pt idx="6">
                  <c:v>OUT</c:v>
                </c:pt>
                <c:pt idx="7">
                  <c:v>NOV</c:v>
                </c:pt>
                <c:pt idx="8">
                  <c:v>DEZ</c:v>
                </c:pt>
              </c:strCache>
            </c:strRef>
          </c:cat>
          <c:val>
            <c:numRef>
              <c:f>'Graf 2020'!$B$5:$J$5</c:f>
              <c:numCache>
                <c:formatCode>General</c:formatCode>
                <c:ptCount val="9"/>
                <c:pt idx="0">
                  <c:v>7.79</c:v>
                </c:pt>
                <c:pt idx="1">
                  <c:v>4.43</c:v>
                </c:pt>
                <c:pt idx="2">
                  <c:v>5.03</c:v>
                </c:pt>
                <c:pt idx="3">
                  <c:v>5.09</c:v>
                </c:pt>
                <c:pt idx="4">
                  <c:v>5.68</c:v>
                </c:pt>
                <c:pt idx="5">
                  <c:v>5.51</c:v>
                </c:pt>
                <c:pt idx="6">
                  <c:v>5.82</c:v>
                </c:pt>
                <c:pt idx="7" formatCode="0.00">
                  <c:v>5.87</c:v>
                </c:pt>
              </c:numCache>
            </c:numRef>
          </c:val>
          <c:smooth val="0"/>
          <c:extLst>
            <c:ext xmlns:c16="http://schemas.microsoft.com/office/drawing/2014/chart" uri="{C3380CC4-5D6E-409C-BE32-E72D297353CC}">
              <c16:uniqueId val="{00000003-31F3-4B6E-9BE9-EED8C8EBEE2D}"/>
            </c:ext>
          </c:extLst>
        </c:ser>
        <c:ser>
          <c:idx val="4"/>
          <c:order val="4"/>
          <c:tx>
            <c:strRef>
              <c:f>'Graf 2020'!$A$6</c:f>
              <c:strCache>
                <c:ptCount val="1"/>
                <c:pt idx="0">
                  <c:v>Meta</c:v>
                </c:pt>
              </c:strCache>
            </c:strRef>
          </c:tx>
          <c:spPr>
            <a:ln w="28575" cap="rnd">
              <a:solidFill>
                <a:schemeClr val="accent5"/>
              </a:solidFill>
              <a:round/>
            </a:ln>
            <a:effectLst/>
          </c:spPr>
          <c:marker>
            <c:symbol val="none"/>
          </c:marker>
          <c:cat>
            <c:strRef>
              <c:f>'Graf 2020'!$B$1:$J$1</c:f>
              <c:strCache>
                <c:ptCount val="9"/>
                <c:pt idx="0">
                  <c:v>ABR</c:v>
                </c:pt>
                <c:pt idx="1">
                  <c:v>MAI</c:v>
                </c:pt>
                <c:pt idx="2">
                  <c:v>JUN</c:v>
                </c:pt>
                <c:pt idx="3">
                  <c:v>JUL</c:v>
                </c:pt>
                <c:pt idx="4">
                  <c:v>AGO</c:v>
                </c:pt>
                <c:pt idx="5">
                  <c:v>SET</c:v>
                </c:pt>
                <c:pt idx="6">
                  <c:v>OUT</c:v>
                </c:pt>
                <c:pt idx="7">
                  <c:v>NOV</c:v>
                </c:pt>
                <c:pt idx="8">
                  <c:v>DEZ</c:v>
                </c:pt>
              </c:strCache>
            </c:strRef>
          </c:cat>
          <c:val>
            <c:numRef>
              <c:f>'Graf 2020'!$B$6:$J$6</c:f>
              <c:numCache>
                <c:formatCode>0.00</c:formatCode>
                <c:ptCount val="9"/>
                <c:pt idx="0" formatCode="General">
                  <c:v>6.67</c:v>
                </c:pt>
                <c:pt idx="1">
                  <c:v>6.67</c:v>
                </c:pt>
                <c:pt idx="2">
                  <c:v>6.67</c:v>
                </c:pt>
                <c:pt idx="3">
                  <c:v>6.67</c:v>
                </c:pt>
                <c:pt idx="4">
                  <c:v>6.67</c:v>
                </c:pt>
                <c:pt idx="5">
                  <c:v>6.67</c:v>
                </c:pt>
                <c:pt idx="6">
                  <c:v>6.67</c:v>
                </c:pt>
                <c:pt idx="7">
                  <c:v>6.67</c:v>
                </c:pt>
              </c:numCache>
            </c:numRef>
          </c:val>
          <c:smooth val="0"/>
          <c:extLst>
            <c:ext xmlns:c16="http://schemas.microsoft.com/office/drawing/2014/chart" uri="{C3380CC4-5D6E-409C-BE32-E72D297353CC}">
              <c16:uniqueId val="{00000004-31F3-4B6E-9BE9-EED8C8EBEE2D}"/>
            </c:ext>
          </c:extLst>
        </c:ser>
        <c:dLbls>
          <c:showLegendKey val="0"/>
          <c:showVal val="0"/>
          <c:showCatName val="0"/>
          <c:showSerName val="0"/>
          <c:showPercent val="0"/>
          <c:showBubbleSize val="0"/>
        </c:dLbls>
        <c:marker val="1"/>
        <c:smooth val="0"/>
        <c:axId val="172795392"/>
        <c:axId val="172796928"/>
      </c:lineChart>
      <c:catAx>
        <c:axId val="17279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796928"/>
        <c:crosses val="autoZero"/>
        <c:auto val="1"/>
        <c:lblAlgn val="ctr"/>
        <c:lblOffset val="100"/>
        <c:noMultiLvlLbl val="0"/>
      </c:catAx>
      <c:valAx>
        <c:axId val="17279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795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Polímero</a:t>
            </a:r>
            <a:r>
              <a:rPr lang="pt-BR" baseline="0"/>
              <a:t> Catiônico (g/t cana)</a:t>
            </a:r>
            <a:endParaRPr lang="pt-BR"/>
          </a:p>
        </c:rich>
      </c:tx>
      <c:overlay val="0"/>
      <c:spPr>
        <a:noFill/>
        <a:ln>
          <a:noFill/>
        </a:ln>
        <a:effectLst/>
      </c:spPr>
    </c:title>
    <c:autoTitleDeleted val="0"/>
    <c:plotArea>
      <c:layout/>
      <c:barChart>
        <c:barDir val="col"/>
        <c:grouping val="clustered"/>
        <c:varyColors val="0"/>
        <c:ser>
          <c:idx val="0"/>
          <c:order val="0"/>
          <c:tx>
            <c:strRef>
              <c:f>'Graf 2020'!$A$16</c:f>
              <c:strCache>
                <c:ptCount val="1"/>
                <c:pt idx="0">
                  <c:v>Polímero Catiônico</c:v>
                </c:pt>
              </c:strCache>
            </c:strRef>
          </c:tx>
          <c:spPr>
            <a:solidFill>
              <a:schemeClr val="accent1"/>
            </a:solidFill>
            <a:ln>
              <a:noFill/>
            </a:ln>
            <a:effectLst/>
          </c:spPr>
          <c:invertIfNegative val="0"/>
          <c:cat>
            <c:strRef>
              <c:f>'Graf 2020'!$B$15:$J$15</c:f>
              <c:strCache>
                <c:ptCount val="9"/>
                <c:pt idx="0">
                  <c:v>ABR</c:v>
                </c:pt>
                <c:pt idx="1">
                  <c:v>MAI</c:v>
                </c:pt>
                <c:pt idx="2">
                  <c:v>JUN</c:v>
                </c:pt>
                <c:pt idx="3">
                  <c:v>JUL</c:v>
                </c:pt>
                <c:pt idx="4">
                  <c:v>AGO</c:v>
                </c:pt>
                <c:pt idx="5">
                  <c:v>SET</c:v>
                </c:pt>
                <c:pt idx="6">
                  <c:v>OUT</c:v>
                </c:pt>
                <c:pt idx="7">
                  <c:v>NOV</c:v>
                </c:pt>
                <c:pt idx="8">
                  <c:v>DEZ</c:v>
                </c:pt>
              </c:strCache>
            </c:strRef>
          </c:cat>
          <c:val>
            <c:numRef>
              <c:f>'Graf 2020'!$B$16:$J$16</c:f>
              <c:numCache>
                <c:formatCode>General</c:formatCode>
                <c:ptCount val="9"/>
                <c:pt idx="0">
                  <c:v>9.6300000000000008</c:v>
                </c:pt>
                <c:pt idx="1">
                  <c:v>8.4499999999999993</c:v>
                </c:pt>
                <c:pt idx="2">
                  <c:v>9.66</c:v>
                </c:pt>
                <c:pt idx="3">
                  <c:v>10.72</c:v>
                </c:pt>
                <c:pt idx="4">
                  <c:v>10.78</c:v>
                </c:pt>
                <c:pt idx="5">
                  <c:v>11.09</c:v>
                </c:pt>
                <c:pt idx="6">
                  <c:v>14.02</c:v>
                </c:pt>
                <c:pt idx="7">
                  <c:v>23.95</c:v>
                </c:pt>
              </c:numCache>
            </c:numRef>
          </c:val>
          <c:extLst>
            <c:ext xmlns:c16="http://schemas.microsoft.com/office/drawing/2014/chart" uri="{C3380CC4-5D6E-409C-BE32-E72D297353CC}">
              <c16:uniqueId val="{00000000-7896-4C81-88CE-3D049FDE64F3}"/>
            </c:ext>
          </c:extLst>
        </c:ser>
        <c:dLbls>
          <c:showLegendKey val="0"/>
          <c:showVal val="0"/>
          <c:showCatName val="0"/>
          <c:showSerName val="0"/>
          <c:showPercent val="0"/>
          <c:showBubbleSize val="0"/>
        </c:dLbls>
        <c:gapWidth val="219"/>
        <c:overlap val="-27"/>
        <c:axId val="172723200"/>
        <c:axId val="172733184"/>
      </c:barChart>
      <c:lineChart>
        <c:grouping val="standard"/>
        <c:varyColors val="0"/>
        <c:ser>
          <c:idx val="1"/>
          <c:order val="1"/>
          <c:tx>
            <c:strRef>
              <c:f>'Graf 2020'!$A$17</c:f>
              <c:strCache>
                <c:ptCount val="1"/>
                <c:pt idx="0">
                  <c:v>Acum. Polímero Catiônico</c:v>
                </c:pt>
              </c:strCache>
            </c:strRef>
          </c:tx>
          <c:spPr>
            <a:ln w="28575" cap="rnd">
              <a:solidFill>
                <a:schemeClr val="accent2"/>
              </a:solidFill>
              <a:round/>
            </a:ln>
            <a:effectLst/>
          </c:spPr>
          <c:marker>
            <c:symbol val="none"/>
          </c:marker>
          <c:cat>
            <c:strRef>
              <c:f>'Graf 2020'!$B$15:$J$15</c:f>
              <c:strCache>
                <c:ptCount val="9"/>
                <c:pt idx="0">
                  <c:v>ABR</c:v>
                </c:pt>
                <c:pt idx="1">
                  <c:v>MAI</c:v>
                </c:pt>
                <c:pt idx="2">
                  <c:v>JUN</c:v>
                </c:pt>
                <c:pt idx="3">
                  <c:v>JUL</c:v>
                </c:pt>
                <c:pt idx="4">
                  <c:v>AGO</c:v>
                </c:pt>
                <c:pt idx="5">
                  <c:v>SET</c:v>
                </c:pt>
                <c:pt idx="6">
                  <c:v>OUT</c:v>
                </c:pt>
                <c:pt idx="7">
                  <c:v>NOV</c:v>
                </c:pt>
                <c:pt idx="8">
                  <c:v>DEZ</c:v>
                </c:pt>
              </c:strCache>
            </c:strRef>
          </c:cat>
          <c:val>
            <c:numRef>
              <c:f>'Graf 2020'!$B$17:$J$17</c:f>
              <c:numCache>
                <c:formatCode>General</c:formatCode>
                <c:ptCount val="9"/>
                <c:pt idx="0">
                  <c:v>9.6300000000000008</c:v>
                </c:pt>
                <c:pt idx="1">
                  <c:v>8.6199999999999992</c:v>
                </c:pt>
                <c:pt idx="2">
                  <c:v>9.0299999999999994</c:v>
                </c:pt>
                <c:pt idx="3">
                  <c:v>9.68</c:v>
                </c:pt>
                <c:pt idx="4">
                  <c:v>9.93</c:v>
                </c:pt>
                <c:pt idx="5">
                  <c:v>10.18</c:v>
                </c:pt>
                <c:pt idx="6">
                  <c:v>10.69</c:v>
                </c:pt>
                <c:pt idx="7">
                  <c:v>10.78</c:v>
                </c:pt>
              </c:numCache>
            </c:numRef>
          </c:val>
          <c:smooth val="0"/>
          <c:extLst>
            <c:ext xmlns:c16="http://schemas.microsoft.com/office/drawing/2014/chart" uri="{C3380CC4-5D6E-409C-BE32-E72D297353CC}">
              <c16:uniqueId val="{00000001-7896-4C81-88CE-3D049FDE64F3}"/>
            </c:ext>
          </c:extLst>
        </c:ser>
        <c:ser>
          <c:idx val="2"/>
          <c:order val="2"/>
          <c:tx>
            <c:strRef>
              <c:f>'Graf 2020'!$A$18</c:f>
              <c:strCache>
                <c:ptCount val="1"/>
                <c:pt idx="0">
                  <c:v>Meta Acum. Polímero Catiônico</c:v>
                </c:pt>
              </c:strCache>
            </c:strRef>
          </c:tx>
          <c:spPr>
            <a:ln w="28575" cap="rnd">
              <a:solidFill>
                <a:schemeClr val="accent3"/>
              </a:solidFill>
              <a:round/>
            </a:ln>
            <a:effectLst/>
          </c:spPr>
          <c:marker>
            <c:symbol val="none"/>
          </c:marker>
          <c:cat>
            <c:strRef>
              <c:f>'Graf 2020'!$B$15:$J$15</c:f>
              <c:strCache>
                <c:ptCount val="9"/>
                <c:pt idx="0">
                  <c:v>ABR</c:v>
                </c:pt>
                <c:pt idx="1">
                  <c:v>MAI</c:v>
                </c:pt>
                <c:pt idx="2">
                  <c:v>JUN</c:v>
                </c:pt>
                <c:pt idx="3">
                  <c:v>JUL</c:v>
                </c:pt>
                <c:pt idx="4">
                  <c:v>AGO</c:v>
                </c:pt>
                <c:pt idx="5">
                  <c:v>SET</c:v>
                </c:pt>
                <c:pt idx="6">
                  <c:v>OUT</c:v>
                </c:pt>
                <c:pt idx="7">
                  <c:v>NOV</c:v>
                </c:pt>
                <c:pt idx="8">
                  <c:v>DEZ</c:v>
                </c:pt>
              </c:strCache>
            </c:strRef>
          </c:cat>
          <c:val>
            <c:numRef>
              <c:f>'Graf 2020'!$B$18:$J$18</c:f>
              <c:numCache>
                <c:formatCode>0.00</c:formatCode>
                <c:ptCount val="9"/>
                <c:pt idx="0">
                  <c:v>9.5</c:v>
                </c:pt>
                <c:pt idx="1">
                  <c:v>9.5</c:v>
                </c:pt>
                <c:pt idx="2">
                  <c:v>9.5</c:v>
                </c:pt>
                <c:pt idx="3">
                  <c:v>9.5</c:v>
                </c:pt>
                <c:pt idx="4">
                  <c:v>9.5</c:v>
                </c:pt>
                <c:pt idx="5">
                  <c:v>9.5</c:v>
                </c:pt>
                <c:pt idx="6">
                  <c:v>9.5</c:v>
                </c:pt>
                <c:pt idx="7">
                  <c:v>9.5</c:v>
                </c:pt>
              </c:numCache>
            </c:numRef>
          </c:val>
          <c:smooth val="0"/>
          <c:extLst>
            <c:ext xmlns:c16="http://schemas.microsoft.com/office/drawing/2014/chart" uri="{C3380CC4-5D6E-409C-BE32-E72D297353CC}">
              <c16:uniqueId val="{00000002-7896-4C81-88CE-3D049FDE64F3}"/>
            </c:ext>
          </c:extLst>
        </c:ser>
        <c:dLbls>
          <c:showLegendKey val="0"/>
          <c:showVal val="0"/>
          <c:showCatName val="0"/>
          <c:showSerName val="0"/>
          <c:showPercent val="0"/>
          <c:showBubbleSize val="0"/>
        </c:dLbls>
        <c:marker val="1"/>
        <c:smooth val="0"/>
        <c:axId val="172723200"/>
        <c:axId val="172733184"/>
      </c:lineChart>
      <c:catAx>
        <c:axId val="17272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733184"/>
        <c:crosses val="autoZero"/>
        <c:auto val="1"/>
        <c:lblAlgn val="ctr"/>
        <c:lblOffset val="100"/>
        <c:noMultiLvlLbl val="0"/>
      </c:catAx>
      <c:valAx>
        <c:axId val="17273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72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Polímero</a:t>
            </a:r>
            <a:r>
              <a:rPr lang="pt-BR" baseline="0"/>
              <a:t> Aniônico (g/t cana)</a:t>
            </a:r>
            <a:endParaRPr lang="pt-BR"/>
          </a:p>
        </c:rich>
      </c:tx>
      <c:overlay val="0"/>
      <c:spPr>
        <a:noFill/>
        <a:ln>
          <a:noFill/>
        </a:ln>
        <a:effectLst/>
      </c:spPr>
    </c:title>
    <c:autoTitleDeleted val="0"/>
    <c:plotArea>
      <c:layout/>
      <c:barChart>
        <c:barDir val="col"/>
        <c:grouping val="clustered"/>
        <c:varyColors val="0"/>
        <c:ser>
          <c:idx val="0"/>
          <c:order val="0"/>
          <c:tx>
            <c:strRef>
              <c:f>'Graf 2020'!$A$20</c:f>
              <c:strCache>
                <c:ptCount val="1"/>
                <c:pt idx="0">
                  <c:v>Polímero Aniônico</c:v>
                </c:pt>
              </c:strCache>
            </c:strRef>
          </c:tx>
          <c:spPr>
            <a:solidFill>
              <a:schemeClr val="accent1"/>
            </a:solidFill>
            <a:ln>
              <a:noFill/>
            </a:ln>
            <a:effectLst/>
          </c:spPr>
          <c:invertIfNegative val="0"/>
          <c:cat>
            <c:strRef>
              <c:f>'Graf 2020'!$B$19:$J$19</c:f>
              <c:strCache>
                <c:ptCount val="9"/>
                <c:pt idx="0">
                  <c:v>ABR</c:v>
                </c:pt>
                <c:pt idx="1">
                  <c:v>MAI</c:v>
                </c:pt>
                <c:pt idx="2">
                  <c:v>JUN</c:v>
                </c:pt>
                <c:pt idx="3">
                  <c:v>JUL</c:v>
                </c:pt>
                <c:pt idx="4">
                  <c:v>AGO</c:v>
                </c:pt>
                <c:pt idx="5">
                  <c:v>SET</c:v>
                </c:pt>
                <c:pt idx="6">
                  <c:v>OUT</c:v>
                </c:pt>
                <c:pt idx="7">
                  <c:v>NOV</c:v>
                </c:pt>
                <c:pt idx="8">
                  <c:v>DEZ</c:v>
                </c:pt>
              </c:strCache>
            </c:strRef>
          </c:cat>
          <c:val>
            <c:numRef>
              <c:f>'Graf 2020'!$B$20:$J$20</c:f>
              <c:numCache>
                <c:formatCode>General</c:formatCode>
                <c:ptCount val="9"/>
                <c:pt idx="0">
                  <c:v>3.1</c:v>
                </c:pt>
                <c:pt idx="1">
                  <c:v>2.72</c:v>
                </c:pt>
                <c:pt idx="2">
                  <c:v>3.49</c:v>
                </c:pt>
                <c:pt idx="3">
                  <c:v>3.21</c:v>
                </c:pt>
                <c:pt idx="4">
                  <c:v>3.31</c:v>
                </c:pt>
                <c:pt idx="5">
                  <c:v>3.61</c:v>
                </c:pt>
                <c:pt idx="6">
                  <c:v>4.57</c:v>
                </c:pt>
                <c:pt idx="7">
                  <c:v>4.88</c:v>
                </c:pt>
              </c:numCache>
            </c:numRef>
          </c:val>
          <c:extLst>
            <c:ext xmlns:c16="http://schemas.microsoft.com/office/drawing/2014/chart" uri="{C3380CC4-5D6E-409C-BE32-E72D297353CC}">
              <c16:uniqueId val="{00000000-1770-4C89-839D-934239BC871B}"/>
            </c:ext>
          </c:extLst>
        </c:ser>
        <c:dLbls>
          <c:showLegendKey val="0"/>
          <c:showVal val="0"/>
          <c:showCatName val="0"/>
          <c:showSerName val="0"/>
          <c:showPercent val="0"/>
          <c:showBubbleSize val="0"/>
        </c:dLbls>
        <c:gapWidth val="219"/>
        <c:overlap val="-27"/>
        <c:axId val="172864256"/>
        <c:axId val="172865792"/>
      </c:barChart>
      <c:lineChart>
        <c:grouping val="standard"/>
        <c:varyColors val="0"/>
        <c:ser>
          <c:idx val="1"/>
          <c:order val="1"/>
          <c:tx>
            <c:strRef>
              <c:f>'Graf 2020'!$A$21</c:f>
              <c:strCache>
                <c:ptCount val="1"/>
                <c:pt idx="0">
                  <c:v>Acum. Polímero Aniônico</c:v>
                </c:pt>
              </c:strCache>
            </c:strRef>
          </c:tx>
          <c:spPr>
            <a:ln w="28575" cap="rnd">
              <a:solidFill>
                <a:schemeClr val="accent2"/>
              </a:solidFill>
              <a:round/>
            </a:ln>
            <a:effectLst/>
          </c:spPr>
          <c:marker>
            <c:symbol val="none"/>
          </c:marker>
          <c:cat>
            <c:strRef>
              <c:f>'Graf 2020'!$B$19:$J$19</c:f>
              <c:strCache>
                <c:ptCount val="9"/>
                <c:pt idx="0">
                  <c:v>ABR</c:v>
                </c:pt>
                <c:pt idx="1">
                  <c:v>MAI</c:v>
                </c:pt>
                <c:pt idx="2">
                  <c:v>JUN</c:v>
                </c:pt>
                <c:pt idx="3">
                  <c:v>JUL</c:v>
                </c:pt>
                <c:pt idx="4">
                  <c:v>AGO</c:v>
                </c:pt>
                <c:pt idx="5">
                  <c:v>SET</c:v>
                </c:pt>
                <c:pt idx="6">
                  <c:v>OUT</c:v>
                </c:pt>
                <c:pt idx="7">
                  <c:v>NOV</c:v>
                </c:pt>
                <c:pt idx="8">
                  <c:v>DEZ</c:v>
                </c:pt>
              </c:strCache>
            </c:strRef>
          </c:cat>
          <c:val>
            <c:numRef>
              <c:f>'Graf 2020'!$B$21:$J$21</c:f>
              <c:numCache>
                <c:formatCode>General</c:formatCode>
                <c:ptCount val="9"/>
                <c:pt idx="0">
                  <c:v>3.1</c:v>
                </c:pt>
                <c:pt idx="1">
                  <c:v>2.77</c:v>
                </c:pt>
                <c:pt idx="2">
                  <c:v>3.06</c:v>
                </c:pt>
                <c:pt idx="3">
                  <c:v>3.11</c:v>
                </c:pt>
                <c:pt idx="4">
                  <c:v>3.13</c:v>
                </c:pt>
                <c:pt idx="5">
                  <c:v>3.23</c:v>
                </c:pt>
                <c:pt idx="6">
                  <c:v>3.41</c:v>
                </c:pt>
                <c:pt idx="7">
                  <c:v>3.42</c:v>
                </c:pt>
              </c:numCache>
            </c:numRef>
          </c:val>
          <c:smooth val="0"/>
          <c:extLst>
            <c:ext xmlns:c16="http://schemas.microsoft.com/office/drawing/2014/chart" uri="{C3380CC4-5D6E-409C-BE32-E72D297353CC}">
              <c16:uniqueId val="{00000001-1770-4C89-839D-934239BC871B}"/>
            </c:ext>
          </c:extLst>
        </c:ser>
        <c:ser>
          <c:idx val="2"/>
          <c:order val="2"/>
          <c:tx>
            <c:strRef>
              <c:f>'Graf 2020'!$A$22</c:f>
              <c:strCache>
                <c:ptCount val="1"/>
                <c:pt idx="0">
                  <c:v>Meta Acum. Polímero Aniônico</c:v>
                </c:pt>
              </c:strCache>
            </c:strRef>
          </c:tx>
          <c:spPr>
            <a:ln w="28575" cap="rnd">
              <a:solidFill>
                <a:schemeClr val="accent3"/>
              </a:solidFill>
              <a:round/>
            </a:ln>
            <a:effectLst/>
          </c:spPr>
          <c:marker>
            <c:symbol val="none"/>
          </c:marker>
          <c:cat>
            <c:strRef>
              <c:f>'Graf 2020'!$B$19:$J$19</c:f>
              <c:strCache>
                <c:ptCount val="9"/>
                <c:pt idx="0">
                  <c:v>ABR</c:v>
                </c:pt>
                <c:pt idx="1">
                  <c:v>MAI</c:v>
                </c:pt>
                <c:pt idx="2">
                  <c:v>JUN</c:v>
                </c:pt>
                <c:pt idx="3">
                  <c:v>JUL</c:v>
                </c:pt>
                <c:pt idx="4">
                  <c:v>AGO</c:v>
                </c:pt>
                <c:pt idx="5">
                  <c:v>SET</c:v>
                </c:pt>
                <c:pt idx="6">
                  <c:v>OUT</c:v>
                </c:pt>
                <c:pt idx="7">
                  <c:v>NOV</c:v>
                </c:pt>
                <c:pt idx="8">
                  <c:v>DEZ</c:v>
                </c:pt>
              </c:strCache>
            </c:strRef>
          </c:cat>
          <c:val>
            <c:numRef>
              <c:f>'Graf 2020'!$B$22:$J$22</c:f>
              <c:numCache>
                <c:formatCode>0.00</c:formatCode>
                <c:ptCount val="9"/>
                <c:pt idx="0">
                  <c:v>2.8</c:v>
                </c:pt>
                <c:pt idx="1">
                  <c:v>2.8</c:v>
                </c:pt>
                <c:pt idx="2">
                  <c:v>2.8</c:v>
                </c:pt>
                <c:pt idx="3">
                  <c:v>2.8</c:v>
                </c:pt>
                <c:pt idx="4">
                  <c:v>2.8</c:v>
                </c:pt>
                <c:pt idx="5">
                  <c:v>2.8</c:v>
                </c:pt>
                <c:pt idx="6">
                  <c:v>2.8</c:v>
                </c:pt>
                <c:pt idx="7">
                  <c:v>2.8</c:v>
                </c:pt>
              </c:numCache>
            </c:numRef>
          </c:val>
          <c:smooth val="0"/>
          <c:extLst>
            <c:ext xmlns:c16="http://schemas.microsoft.com/office/drawing/2014/chart" uri="{C3380CC4-5D6E-409C-BE32-E72D297353CC}">
              <c16:uniqueId val="{00000002-1770-4C89-839D-934239BC871B}"/>
            </c:ext>
          </c:extLst>
        </c:ser>
        <c:dLbls>
          <c:showLegendKey val="0"/>
          <c:showVal val="0"/>
          <c:showCatName val="0"/>
          <c:showSerName val="0"/>
          <c:showPercent val="0"/>
          <c:showBubbleSize val="0"/>
        </c:dLbls>
        <c:marker val="1"/>
        <c:smooth val="0"/>
        <c:axId val="172864256"/>
        <c:axId val="172865792"/>
      </c:lineChart>
      <c:catAx>
        <c:axId val="17286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865792"/>
        <c:crosses val="autoZero"/>
        <c:auto val="1"/>
        <c:lblAlgn val="ctr"/>
        <c:lblOffset val="100"/>
        <c:noMultiLvlLbl val="0"/>
      </c:catAx>
      <c:valAx>
        <c:axId val="17286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86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Dióxido de Cloro (g/L)</a:t>
            </a:r>
          </a:p>
        </c:rich>
      </c:tx>
      <c:overlay val="0"/>
      <c:spPr>
        <a:noFill/>
        <a:ln>
          <a:noFill/>
        </a:ln>
        <a:effectLst/>
      </c:spPr>
    </c:title>
    <c:autoTitleDeleted val="0"/>
    <c:plotArea>
      <c:layout/>
      <c:barChart>
        <c:barDir val="col"/>
        <c:grouping val="clustered"/>
        <c:varyColors val="0"/>
        <c:ser>
          <c:idx val="0"/>
          <c:order val="0"/>
          <c:tx>
            <c:strRef>
              <c:f>'Graf 2020'!$A$24</c:f>
              <c:strCache>
                <c:ptCount val="1"/>
                <c:pt idx="0">
                  <c:v>Dióxido de Cloro</c:v>
                </c:pt>
              </c:strCache>
            </c:strRef>
          </c:tx>
          <c:spPr>
            <a:solidFill>
              <a:schemeClr val="accent1"/>
            </a:solidFill>
            <a:ln>
              <a:noFill/>
            </a:ln>
            <a:effectLst/>
          </c:spPr>
          <c:invertIfNegative val="0"/>
          <c:cat>
            <c:strRef>
              <c:f>'Graf 2020'!$B$23:$J$23</c:f>
              <c:strCache>
                <c:ptCount val="9"/>
                <c:pt idx="0">
                  <c:v>ABR</c:v>
                </c:pt>
                <c:pt idx="1">
                  <c:v>MAI</c:v>
                </c:pt>
                <c:pt idx="2">
                  <c:v>JUN</c:v>
                </c:pt>
                <c:pt idx="3">
                  <c:v>JUL</c:v>
                </c:pt>
                <c:pt idx="4">
                  <c:v>AGO</c:v>
                </c:pt>
                <c:pt idx="5">
                  <c:v>SET</c:v>
                </c:pt>
                <c:pt idx="6">
                  <c:v>OUT</c:v>
                </c:pt>
                <c:pt idx="7">
                  <c:v>NOV</c:v>
                </c:pt>
                <c:pt idx="8">
                  <c:v>DEZ</c:v>
                </c:pt>
              </c:strCache>
            </c:strRef>
          </c:cat>
          <c:val>
            <c:numRef>
              <c:f>'Graf 2020'!$B$24:$J$24</c:f>
              <c:numCache>
                <c:formatCode>General</c:formatCode>
                <c:ptCount val="9"/>
                <c:pt idx="1">
                  <c:v>0.24</c:v>
                </c:pt>
                <c:pt idx="2">
                  <c:v>0.33</c:v>
                </c:pt>
                <c:pt idx="3">
                  <c:v>0.37</c:v>
                </c:pt>
                <c:pt idx="4">
                  <c:v>0.36</c:v>
                </c:pt>
                <c:pt idx="5">
                  <c:v>0.32</c:v>
                </c:pt>
                <c:pt idx="6" formatCode="0.00">
                  <c:v>0.33</c:v>
                </c:pt>
                <c:pt idx="7" formatCode="0.00">
                  <c:v>0.52</c:v>
                </c:pt>
              </c:numCache>
            </c:numRef>
          </c:val>
          <c:extLst>
            <c:ext xmlns:c16="http://schemas.microsoft.com/office/drawing/2014/chart" uri="{C3380CC4-5D6E-409C-BE32-E72D297353CC}">
              <c16:uniqueId val="{00000000-4611-4258-9E40-0550EE0DCDE6}"/>
            </c:ext>
          </c:extLst>
        </c:ser>
        <c:dLbls>
          <c:showLegendKey val="0"/>
          <c:showVal val="0"/>
          <c:showCatName val="0"/>
          <c:showSerName val="0"/>
          <c:showPercent val="0"/>
          <c:showBubbleSize val="0"/>
        </c:dLbls>
        <c:gapWidth val="219"/>
        <c:overlap val="-27"/>
        <c:axId val="172976384"/>
        <c:axId val="172994560"/>
      </c:barChart>
      <c:lineChart>
        <c:grouping val="standard"/>
        <c:varyColors val="0"/>
        <c:ser>
          <c:idx val="1"/>
          <c:order val="1"/>
          <c:tx>
            <c:strRef>
              <c:f>'Graf 2020'!$A$25</c:f>
              <c:strCache>
                <c:ptCount val="1"/>
                <c:pt idx="0">
                  <c:v>Acum. Dióxido de Cloro</c:v>
                </c:pt>
              </c:strCache>
            </c:strRef>
          </c:tx>
          <c:spPr>
            <a:ln w="28575" cap="rnd">
              <a:solidFill>
                <a:schemeClr val="accent2"/>
              </a:solidFill>
              <a:round/>
            </a:ln>
            <a:effectLst/>
          </c:spPr>
          <c:marker>
            <c:symbol val="none"/>
          </c:marker>
          <c:cat>
            <c:strRef>
              <c:f>'Graf 2020'!$B$23:$J$23</c:f>
              <c:strCache>
                <c:ptCount val="9"/>
                <c:pt idx="0">
                  <c:v>ABR</c:v>
                </c:pt>
                <c:pt idx="1">
                  <c:v>MAI</c:v>
                </c:pt>
                <c:pt idx="2">
                  <c:v>JUN</c:v>
                </c:pt>
                <c:pt idx="3">
                  <c:v>JUL</c:v>
                </c:pt>
                <c:pt idx="4">
                  <c:v>AGO</c:v>
                </c:pt>
                <c:pt idx="5">
                  <c:v>SET</c:v>
                </c:pt>
                <c:pt idx="6">
                  <c:v>OUT</c:v>
                </c:pt>
                <c:pt idx="7">
                  <c:v>NOV</c:v>
                </c:pt>
                <c:pt idx="8">
                  <c:v>DEZ</c:v>
                </c:pt>
              </c:strCache>
            </c:strRef>
          </c:cat>
          <c:val>
            <c:numRef>
              <c:f>'Graf 2020'!$B$25:$J$25</c:f>
              <c:numCache>
                <c:formatCode>General</c:formatCode>
                <c:ptCount val="9"/>
                <c:pt idx="1">
                  <c:v>0.21</c:v>
                </c:pt>
                <c:pt idx="2">
                  <c:v>0.26</c:v>
                </c:pt>
                <c:pt idx="3">
                  <c:v>0.3</c:v>
                </c:pt>
                <c:pt idx="4" formatCode="0.00">
                  <c:v>0.32</c:v>
                </c:pt>
                <c:pt idx="5" formatCode="0.00">
                  <c:v>0.32</c:v>
                </c:pt>
                <c:pt idx="6" formatCode="0.00">
                  <c:v>0.32</c:v>
                </c:pt>
                <c:pt idx="7" formatCode="0.00">
                  <c:v>0.32</c:v>
                </c:pt>
              </c:numCache>
            </c:numRef>
          </c:val>
          <c:smooth val="0"/>
          <c:extLst>
            <c:ext xmlns:c16="http://schemas.microsoft.com/office/drawing/2014/chart" uri="{C3380CC4-5D6E-409C-BE32-E72D297353CC}">
              <c16:uniqueId val="{00000001-4611-4258-9E40-0550EE0DCDE6}"/>
            </c:ext>
          </c:extLst>
        </c:ser>
        <c:ser>
          <c:idx val="2"/>
          <c:order val="2"/>
          <c:tx>
            <c:strRef>
              <c:f>'Graf 2020'!$A$26</c:f>
              <c:strCache>
                <c:ptCount val="1"/>
                <c:pt idx="0">
                  <c:v>Meta Acum. Dióxido de Cloro</c:v>
                </c:pt>
              </c:strCache>
            </c:strRef>
          </c:tx>
          <c:spPr>
            <a:ln w="28575" cap="rnd">
              <a:solidFill>
                <a:schemeClr val="accent3"/>
              </a:solidFill>
              <a:round/>
            </a:ln>
            <a:effectLst/>
          </c:spPr>
          <c:marker>
            <c:symbol val="none"/>
          </c:marker>
          <c:cat>
            <c:strRef>
              <c:f>'Graf 2020'!$B$23:$J$23</c:f>
              <c:strCache>
                <c:ptCount val="9"/>
                <c:pt idx="0">
                  <c:v>ABR</c:v>
                </c:pt>
                <c:pt idx="1">
                  <c:v>MAI</c:v>
                </c:pt>
                <c:pt idx="2">
                  <c:v>JUN</c:v>
                </c:pt>
                <c:pt idx="3">
                  <c:v>JUL</c:v>
                </c:pt>
                <c:pt idx="4">
                  <c:v>AGO</c:v>
                </c:pt>
                <c:pt idx="5">
                  <c:v>SET</c:v>
                </c:pt>
                <c:pt idx="6">
                  <c:v>OUT</c:v>
                </c:pt>
                <c:pt idx="7">
                  <c:v>NOV</c:v>
                </c:pt>
                <c:pt idx="8">
                  <c:v>DEZ</c:v>
                </c:pt>
              </c:strCache>
            </c:strRef>
          </c:cat>
          <c:val>
            <c:numRef>
              <c:f>'Graf 2020'!$B$26:$J$26</c:f>
              <c:numCache>
                <c:formatCode>0.00</c:formatCode>
                <c:ptCount val="9"/>
                <c:pt idx="1">
                  <c:v>0.3</c:v>
                </c:pt>
                <c:pt idx="2">
                  <c:v>0.3</c:v>
                </c:pt>
                <c:pt idx="3">
                  <c:v>0.3</c:v>
                </c:pt>
                <c:pt idx="4">
                  <c:v>0.3</c:v>
                </c:pt>
                <c:pt idx="5">
                  <c:v>0.3</c:v>
                </c:pt>
                <c:pt idx="6">
                  <c:v>0.3</c:v>
                </c:pt>
                <c:pt idx="7">
                  <c:v>0.3</c:v>
                </c:pt>
              </c:numCache>
            </c:numRef>
          </c:val>
          <c:smooth val="0"/>
          <c:extLst>
            <c:ext xmlns:c16="http://schemas.microsoft.com/office/drawing/2014/chart" uri="{C3380CC4-5D6E-409C-BE32-E72D297353CC}">
              <c16:uniqueId val="{00000002-4611-4258-9E40-0550EE0DCDE6}"/>
            </c:ext>
          </c:extLst>
        </c:ser>
        <c:dLbls>
          <c:showLegendKey val="0"/>
          <c:showVal val="0"/>
          <c:showCatName val="0"/>
          <c:showSerName val="0"/>
          <c:showPercent val="0"/>
          <c:showBubbleSize val="0"/>
        </c:dLbls>
        <c:marker val="1"/>
        <c:smooth val="0"/>
        <c:axId val="172976384"/>
        <c:axId val="172994560"/>
      </c:lineChart>
      <c:catAx>
        <c:axId val="17297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994560"/>
        <c:crosses val="autoZero"/>
        <c:auto val="1"/>
        <c:lblAlgn val="ctr"/>
        <c:lblOffset val="100"/>
        <c:noMultiLvlLbl val="0"/>
      </c:catAx>
      <c:valAx>
        <c:axId val="17299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97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Nutriente (g/L)</a:t>
            </a:r>
          </a:p>
        </c:rich>
      </c:tx>
      <c:overlay val="0"/>
      <c:spPr>
        <a:noFill/>
        <a:ln>
          <a:noFill/>
        </a:ln>
        <a:effectLst/>
      </c:spPr>
    </c:title>
    <c:autoTitleDeleted val="0"/>
    <c:plotArea>
      <c:layout/>
      <c:barChart>
        <c:barDir val="col"/>
        <c:grouping val="clustered"/>
        <c:varyColors val="0"/>
        <c:ser>
          <c:idx val="0"/>
          <c:order val="0"/>
          <c:tx>
            <c:strRef>
              <c:f>'Graf 2020'!$A$28</c:f>
              <c:strCache>
                <c:ptCount val="1"/>
                <c:pt idx="0">
                  <c:v>Nutriente</c:v>
                </c:pt>
              </c:strCache>
            </c:strRef>
          </c:tx>
          <c:spPr>
            <a:solidFill>
              <a:schemeClr val="accent1"/>
            </a:solidFill>
            <a:ln>
              <a:noFill/>
            </a:ln>
            <a:effectLst/>
          </c:spPr>
          <c:invertIfNegative val="0"/>
          <c:cat>
            <c:strRef>
              <c:f>'Graf 2020'!$B$27:$J$27</c:f>
              <c:strCache>
                <c:ptCount val="9"/>
                <c:pt idx="0">
                  <c:v>ABR</c:v>
                </c:pt>
                <c:pt idx="1">
                  <c:v>MAI</c:v>
                </c:pt>
                <c:pt idx="2">
                  <c:v>JUN</c:v>
                </c:pt>
                <c:pt idx="3">
                  <c:v>JUL</c:v>
                </c:pt>
                <c:pt idx="4">
                  <c:v>AGO</c:v>
                </c:pt>
                <c:pt idx="5">
                  <c:v>SET</c:v>
                </c:pt>
                <c:pt idx="6">
                  <c:v>OUT</c:v>
                </c:pt>
                <c:pt idx="7">
                  <c:v>NOV</c:v>
                </c:pt>
                <c:pt idx="8">
                  <c:v>DEZ</c:v>
                </c:pt>
              </c:strCache>
            </c:strRef>
          </c:cat>
          <c:val>
            <c:numRef>
              <c:f>'Graf 2020'!$B$28:$J$28</c:f>
              <c:numCache>
                <c:formatCode>General</c:formatCode>
                <c:ptCount val="9"/>
                <c:pt idx="0">
                  <c:v>1.32</c:v>
                </c:pt>
                <c:pt idx="1">
                  <c:v>0.04</c:v>
                </c:pt>
                <c:pt idx="2">
                  <c:v>0.19</c:v>
                </c:pt>
                <c:pt idx="3">
                  <c:v>0</c:v>
                </c:pt>
                <c:pt idx="4">
                  <c:v>0.15</c:v>
                </c:pt>
                <c:pt idx="5">
                  <c:v>0.2</c:v>
                </c:pt>
                <c:pt idx="6">
                  <c:v>0.25</c:v>
                </c:pt>
                <c:pt idx="7">
                  <c:v>0</c:v>
                </c:pt>
              </c:numCache>
            </c:numRef>
          </c:val>
          <c:extLst>
            <c:ext xmlns:c16="http://schemas.microsoft.com/office/drawing/2014/chart" uri="{C3380CC4-5D6E-409C-BE32-E72D297353CC}">
              <c16:uniqueId val="{00000000-9C10-4518-8D5C-A3F10C0FE4BF}"/>
            </c:ext>
          </c:extLst>
        </c:ser>
        <c:dLbls>
          <c:showLegendKey val="0"/>
          <c:showVal val="0"/>
          <c:showCatName val="0"/>
          <c:showSerName val="0"/>
          <c:showPercent val="0"/>
          <c:showBubbleSize val="0"/>
        </c:dLbls>
        <c:gapWidth val="219"/>
        <c:overlap val="-27"/>
        <c:axId val="172924928"/>
        <c:axId val="172926464"/>
      </c:barChart>
      <c:lineChart>
        <c:grouping val="standard"/>
        <c:varyColors val="0"/>
        <c:ser>
          <c:idx val="1"/>
          <c:order val="1"/>
          <c:tx>
            <c:strRef>
              <c:f>'Graf 2020'!$A$29</c:f>
              <c:strCache>
                <c:ptCount val="1"/>
                <c:pt idx="0">
                  <c:v>Acum. Nutriente</c:v>
                </c:pt>
              </c:strCache>
            </c:strRef>
          </c:tx>
          <c:spPr>
            <a:ln w="28575" cap="rnd">
              <a:solidFill>
                <a:schemeClr val="accent2"/>
              </a:solidFill>
              <a:round/>
            </a:ln>
            <a:effectLst/>
          </c:spPr>
          <c:marker>
            <c:symbol val="none"/>
          </c:marker>
          <c:cat>
            <c:strRef>
              <c:f>'Graf 2020'!$B$27:$J$27</c:f>
              <c:strCache>
                <c:ptCount val="9"/>
                <c:pt idx="0">
                  <c:v>ABR</c:v>
                </c:pt>
                <c:pt idx="1">
                  <c:v>MAI</c:v>
                </c:pt>
                <c:pt idx="2">
                  <c:v>JUN</c:v>
                </c:pt>
                <c:pt idx="3">
                  <c:v>JUL</c:v>
                </c:pt>
                <c:pt idx="4">
                  <c:v>AGO</c:v>
                </c:pt>
                <c:pt idx="5">
                  <c:v>SET</c:v>
                </c:pt>
                <c:pt idx="6">
                  <c:v>OUT</c:v>
                </c:pt>
                <c:pt idx="7">
                  <c:v>NOV</c:v>
                </c:pt>
                <c:pt idx="8">
                  <c:v>DEZ</c:v>
                </c:pt>
              </c:strCache>
            </c:strRef>
          </c:cat>
          <c:val>
            <c:numRef>
              <c:f>'Graf 2020'!$B$29:$J$29</c:f>
              <c:numCache>
                <c:formatCode>General</c:formatCode>
                <c:ptCount val="9"/>
                <c:pt idx="0">
                  <c:v>1.32</c:v>
                </c:pt>
                <c:pt idx="1">
                  <c:v>0.19</c:v>
                </c:pt>
                <c:pt idx="2">
                  <c:v>0.19</c:v>
                </c:pt>
                <c:pt idx="3">
                  <c:v>0.12</c:v>
                </c:pt>
                <c:pt idx="4">
                  <c:v>0.13</c:v>
                </c:pt>
                <c:pt idx="5">
                  <c:v>0.14000000000000001</c:v>
                </c:pt>
                <c:pt idx="6">
                  <c:v>0.16</c:v>
                </c:pt>
                <c:pt idx="7">
                  <c:v>0.16</c:v>
                </c:pt>
              </c:numCache>
            </c:numRef>
          </c:val>
          <c:smooth val="0"/>
          <c:extLst>
            <c:ext xmlns:c16="http://schemas.microsoft.com/office/drawing/2014/chart" uri="{C3380CC4-5D6E-409C-BE32-E72D297353CC}">
              <c16:uniqueId val="{00000001-9C10-4518-8D5C-A3F10C0FE4BF}"/>
            </c:ext>
          </c:extLst>
        </c:ser>
        <c:ser>
          <c:idx val="2"/>
          <c:order val="2"/>
          <c:tx>
            <c:strRef>
              <c:f>'Graf 2020'!$A$30</c:f>
              <c:strCache>
                <c:ptCount val="1"/>
                <c:pt idx="0">
                  <c:v>Meta Acum. Nutriente</c:v>
                </c:pt>
              </c:strCache>
            </c:strRef>
          </c:tx>
          <c:spPr>
            <a:ln w="28575" cap="rnd">
              <a:solidFill>
                <a:schemeClr val="accent3"/>
              </a:solidFill>
              <a:round/>
            </a:ln>
            <a:effectLst/>
          </c:spPr>
          <c:marker>
            <c:symbol val="none"/>
          </c:marker>
          <c:cat>
            <c:strRef>
              <c:f>'Graf 2020'!$B$27:$J$27</c:f>
              <c:strCache>
                <c:ptCount val="9"/>
                <c:pt idx="0">
                  <c:v>ABR</c:v>
                </c:pt>
                <c:pt idx="1">
                  <c:v>MAI</c:v>
                </c:pt>
                <c:pt idx="2">
                  <c:v>JUN</c:v>
                </c:pt>
                <c:pt idx="3">
                  <c:v>JUL</c:v>
                </c:pt>
                <c:pt idx="4">
                  <c:v>AGO</c:v>
                </c:pt>
                <c:pt idx="5">
                  <c:v>SET</c:v>
                </c:pt>
                <c:pt idx="6">
                  <c:v>OUT</c:v>
                </c:pt>
                <c:pt idx="7">
                  <c:v>NOV</c:v>
                </c:pt>
                <c:pt idx="8">
                  <c:v>DEZ</c:v>
                </c:pt>
              </c:strCache>
            </c:strRef>
          </c:cat>
          <c:val>
            <c:numRef>
              <c:f>'Graf 2020'!$B$30:$J$30</c:f>
              <c:numCache>
                <c:formatCode>General</c:formatCode>
                <c:ptCount val="9"/>
                <c:pt idx="1">
                  <c:v>0.15</c:v>
                </c:pt>
                <c:pt idx="2">
                  <c:v>0.15</c:v>
                </c:pt>
                <c:pt idx="3">
                  <c:v>0.15</c:v>
                </c:pt>
                <c:pt idx="4">
                  <c:v>0.15</c:v>
                </c:pt>
                <c:pt idx="5">
                  <c:v>0.15</c:v>
                </c:pt>
                <c:pt idx="6">
                  <c:v>0.15</c:v>
                </c:pt>
                <c:pt idx="7">
                  <c:v>0.15</c:v>
                </c:pt>
              </c:numCache>
            </c:numRef>
          </c:val>
          <c:smooth val="0"/>
          <c:extLst>
            <c:ext xmlns:c16="http://schemas.microsoft.com/office/drawing/2014/chart" uri="{C3380CC4-5D6E-409C-BE32-E72D297353CC}">
              <c16:uniqueId val="{00000002-9C10-4518-8D5C-A3F10C0FE4BF}"/>
            </c:ext>
          </c:extLst>
        </c:ser>
        <c:dLbls>
          <c:showLegendKey val="0"/>
          <c:showVal val="0"/>
          <c:showCatName val="0"/>
          <c:showSerName val="0"/>
          <c:showPercent val="0"/>
          <c:showBubbleSize val="0"/>
        </c:dLbls>
        <c:marker val="1"/>
        <c:smooth val="0"/>
        <c:axId val="172924928"/>
        <c:axId val="172926464"/>
      </c:lineChart>
      <c:catAx>
        <c:axId val="17292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926464"/>
        <c:crosses val="autoZero"/>
        <c:auto val="1"/>
        <c:lblAlgn val="ctr"/>
        <c:lblOffset val="100"/>
        <c:noMultiLvlLbl val="0"/>
      </c:catAx>
      <c:valAx>
        <c:axId val="17292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2924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Cal (g/t cana)</a:t>
            </a:r>
          </a:p>
        </c:rich>
      </c:tx>
      <c:overlay val="0"/>
      <c:spPr>
        <a:noFill/>
        <a:ln>
          <a:noFill/>
        </a:ln>
        <a:effectLst/>
      </c:spPr>
    </c:title>
    <c:autoTitleDeleted val="0"/>
    <c:plotArea>
      <c:layout/>
      <c:barChart>
        <c:barDir val="col"/>
        <c:grouping val="clustered"/>
        <c:varyColors val="0"/>
        <c:ser>
          <c:idx val="0"/>
          <c:order val="0"/>
          <c:tx>
            <c:strRef>
              <c:f>'Graf 2020'!$A$32</c:f>
              <c:strCache>
                <c:ptCount val="1"/>
                <c:pt idx="0">
                  <c:v>Cal</c:v>
                </c:pt>
              </c:strCache>
            </c:strRef>
          </c:tx>
          <c:spPr>
            <a:solidFill>
              <a:schemeClr val="accent1"/>
            </a:solidFill>
            <a:ln>
              <a:noFill/>
            </a:ln>
            <a:effectLst/>
          </c:spPr>
          <c:invertIfNegative val="0"/>
          <c:cat>
            <c:strRef>
              <c:f>'Graf 2020'!$B$31:$J$31</c:f>
              <c:strCache>
                <c:ptCount val="9"/>
                <c:pt idx="0">
                  <c:v>ABR</c:v>
                </c:pt>
                <c:pt idx="1">
                  <c:v>MAI</c:v>
                </c:pt>
                <c:pt idx="2">
                  <c:v>JUN</c:v>
                </c:pt>
                <c:pt idx="3">
                  <c:v>JUL</c:v>
                </c:pt>
                <c:pt idx="4">
                  <c:v>AGO</c:v>
                </c:pt>
                <c:pt idx="5">
                  <c:v>SET</c:v>
                </c:pt>
                <c:pt idx="6">
                  <c:v>OUT</c:v>
                </c:pt>
                <c:pt idx="7">
                  <c:v>NOV</c:v>
                </c:pt>
                <c:pt idx="8">
                  <c:v>DEZ</c:v>
                </c:pt>
              </c:strCache>
            </c:strRef>
          </c:cat>
          <c:val>
            <c:numRef>
              <c:f>'Graf 2020'!$B$32:$J$32</c:f>
              <c:numCache>
                <c:formatCode>General</c:formatCode>
                <c:ptCount val="9"/>
                <c:pt idx="0">
                  <c:v>641</c:v>
                </c:pt>
                <c:pt idx="1">
                  <c:v>449</c:v>
                </c:pt>
                <c:pt idx="2">
                  <c:v>379</c:v>
                </c:pt>
                <c:pt idx="3">
                  <c:v>455</c:v>
                </c:pt>
                <c:pt idx="4">
                  <c:v>479</c:v>
                </c:pt>
                <c:pt idx="5">
                  <c:v>501</c:v>
                </c:pt>
                <c:pt idx="6">
                  <c:v>577</c:v>
                </c:pt>
                <c:pt idx="7">
                  <c:v>125</c:v>
                </c:pt>
              </c:numCache>
            </c:numRef>
          </c:val>
          <c:extLst>
            <c:ext xmlns:c16="http://schemas.microsoft.com/office/drawing/2014/chart" uri="{C3380CC4-5D6E-409C-BE32-E72D297353CC}">
              <c16:uniqueId val="{00000000-1E31-4917-80E0-B7E491E5C031}"/>
            </c:ext>
          </c:extLst>
        </c:ser>
        <c:dLbls>
          <c:showLegendKey val="0"/>
          <c:showVal val="0"/>
          <c:showCatName val="0"/>
          <c:showSerName val="0"/>
          <c:showPercent val="0"/>
          <c:showBubbleSize val="0"/>
        </c:dLbls>
        <c:gapWidth val="219"/>
        <c:overlap val="-27"/>
        <c:axId val="173131264"/>
        <c:axId val="173132800"/>
      </c:barChart>
      <c:lineChart>
        <c:grouping val="standard"/>
        <c:varyColors val="0"/>
        <c:ser>
          <c:idx val="1"/>
          <c:order val="1"/>
          <c:tx>
            <c:strRef>
              <c:f>'Graf 2020'!$A$33</c:f>
              <c:strCache>
                <c:ptCount val="1"/>
                <c:pt idx="0">
                  <c:v>Acum. Cal</c:v>
                </c:pt>
              </c:strCache>
            </c:strRef>
          </c:tx>
          <c:spPr>
            <a:ln w="28575" cap="rnd">
              <a:solidFill>
                <a:schemeClr val="accent2"/>
              </a:solidFill>
              <a:round/>
            </a:ln>
            <a:effectLst/>
          </c:spPr>
          <c:marker>
            <c:symbol val="none"/>
          </c:marker>
          <c:cat>
            <c:strRef>
              <c:f>'Graf 2020'!$B$31:$J$31</c:f>
              <c:strCache>
                <c:ptCount val="9"/>
                <c:pt idx="0">
                  <c:v>ABR</c:v>
                </c:pt>
                <c:pt idx="1">
                  <c:v>MAI</c:v>
                </c:pt>
                <c:pt idx="2">
                  <c:v>JUN</c:v>
                </c:pt>
                <c:pt idx="3">
                  <c:v>JUL</c:v>
                </c:pt>
                <c:pt idx="4">
                  <c:v>AGO</c:v>
                </c:pt>
                <c:pt idx="5">
                  <c:v>SET</c:v>
                </c:pt>
                <c:pt idx="6">
                  <c:v>OUT</c:v>
                </c:pt>
                <c:pt idx="7">
                  <c:v>NOV</c:v>
                </c:pt>
                <c:pt idx="8">
                  <c:v>DEZ</c:v>
                </c:pt>
              </c:strCache>
            </c:strRef>
          </c:cat>
          <c:val>
            <c:numRef>
              <c:f>'Graf 2020'!$B$33:$J$33</c:f>
              <c:numCache>
                <c:formatCode>General</c:formatCode>
                <c:ptCount val="9"/>
                <c:pt idx="0">
                  <c:v>641</c:v>
                </c:pt>
                <c:pt idx="1">
                  <c:v>478</c:v>
                </c:pt>
                <c:pt idx="2">
                  <c:v>439</c:v>
                </c:pt>
                <c:pt idx="3">
                  <c:v>445</c:v>
                </c:pt>
                <c:pt idx="4">
                  <c:v>453</c:v>
                </c:pt>
                <c:pt idx="5">
                  <c:v>463</c:v>
                </c:pt>
                <c:pt idx="6">
                  <c:v>478</c:v>
                </c:pt>
                <c:pt idx="7">
                  <c:v>476</c:v>
                </c:pt>
              </c:numCache>
            </c:numRef>
          </c:val>
          <c:smooth val="0"/>
          <c:extLst>
            <c:ext xmlns:c16="http://schemas.microsoft.com/office/drawing/2014/chart" uri="{C3380CC4-5D6E-409C-BE32-E72D297353CC}">
              <c16:uniqueId val="{00000001-1E31-4917-80E0-B7E491E5C031}"/>
            </c:ext>
          </c:extLst>
        </c:ser>
        <c:ser>
          <c:idx val="2"/>
          <c:order val="2"/>
          <c:tx>
            <c:strRef>
              <c:f>'Graf 2020'!$A$34</c:f>
              <c:strCache>
                <c:ptCount val="1"/>
                <c:pt idx="0">
                  <c:v>Meta Acm. Cal</c:v>
                </c:pt>
              </c:strCache>
            </c:strRef>
          </c:tx>
          <c:spPr>
            <a:ln w="28575" cap="rnd">
              <a:solidFill>
                <a:schemeClr val="accent3"/>
              </a:solidFill>
              <a:round/>
            </a:ln>
            <a:effectLst/>
          </c:spPr>
          <c:marker>
            <c:symbol val="none"/>
          </c:marker>
          <c:cat>
            <c:strRef>
              <c:f>'Graf 2020'!$B$31:$J$31</c:f>
              <c:strCache>
                <c:ptCount val="9"/>
                <c:pt idx="0">
                  <c:v>ABR</c:v>
                </c:pt>
                <c:pt idx="1">
                  <c:v>MAI</c:v>
                </c:pt>
                <c:pt idx="2">
                  <c:v>JUN</c:v>
                </c:pt>
                <c:pt idx="3">
                  <c:v>JUL</c:v>
                </c:pt>
                <c:pt idx="4">
                  <c:v>AGO</c:v>
                </c:pt>
                <c:pt idx="5">
                  <c:v>SET</c:v>
                </c:pt>
                <c:pt idx="6">
                  <c:v>OUT</c:v>
                </c:pt>
                <c:pt idx="7">
                  <c:v>NOV</c:v>
                </c:pt>
                <c:pt idx="8">
                  <c:v>DEZ</c:v>
                </c:pt>
              </c:strCache>
            </c:strRef>
          </c:cat>
          <c:val>
            <c:numRef>
              <c:f>'Graf 2020'!$B$34:$J$34</c:f>
              <c:numCache>
                <c:formatCode>General</c:formatCode>
                <c:ptCount val="9"/>
                <c:pt idx="0">
                  <c:v>500</c:v>
                </c:pt>
                <c:pt idx="1">
                  <c:v>500</c:v>
                </c:pt>
                <c:pt idx="2">
                  <c:v>500</c:v>
                </c:pt>
                <c:pt idx="3">
                  <c:v>500</c:v>
                </c:pt>
                <c:pt idx="4">
                  <c:v>500</c:v>
                </c:pt>
                <c:pt idx="5">
                  <c:v>500</c:v>
                </c:pt>
                <c:pt idx="6">
                  <c:v>500</c:v>
                </c:pt>
                <c:pt idx="7">
                  <c:v>500</c:v>
                </c:pt>
              </c:numCache>
            </c:numRef>
          </c:val>
          <c:smooth val="0"/>
          <c:extLst>
            <c:ext xmlns:c16="http://schemas.microsoft.com/office/drawing/2014/chart" uri="{C3380CC4-5D6E-409C-BE32-E72D297353CC}">
              <c16:uniqueId val="{00000002-1E31-4917-80E0-B7E491E5C031}"/>
            </c:ext>
          </c:extLst>
        </c:ser>
        <c:dLbls>
          <c:showLegendKey val="0"/>
          <c:showVal val="0"/>
          <c:showCatName val="0"/>
          <c:showSerName val="0"/>
          <c:showPercent val="0"/>
          <c:showBubbleSize val="0"/>
        </c:dLbls>
        <c:marker val="1"/>
        <c:smooth val="0"/>
        <c:axId val="173131264"/>
        <c:axId val="173132800"/>
      </c:lineChart>
      <c:catAx>
        <c:axId val="17313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3132800"/>
        <c:crosses val="autoZero"/>
        <c:auto val="1"/>
        <c:lblAlgn val="ctr"/>
        <c:lblOffset val="100"/>
        <c:noMultiLvlLbl val="0"/>
      </c:catAx>
      <c:valAx>
        <c:axId val="17313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313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Soda Cáustica (g/t cana)</a:t>
            </a:r>
          </a:p>
        </c:rich>
      </c:tx>
      <c:overlay val="0"/>
      <c:spPr>
        <a:noFill/>
        <a:ln>
          <a:noFill/>
        </a:ln>
        <a:effectLst/>
      </c:spPr>
    </c:title>
    <c:autoTitleDeleted val="0"/>
    <c:plotArea>
      <c:layout/>
      <c:barChart>
        <c:barDir val="col"/>
        <c:grouping val="clustered"/>
        <c:varyColors val="0"/>
        <c:ser>
          <c:idx val="0"/>
          <c:order val="0"/>
          <c:tx>
            <c:strRef>
              <c:f>'Graf 2020'!$A$36</c:f>
              <c:strCache>
                <c:ptCount val="1"/>
                <c:pt idx="0">
                  <c:v>Soda</c:v>
                </c:pt>
              </c:strCache>
            </c:strRef>
          </c:tx>
          <c:spPr>
            <a:solidFill>
              <a:schemeClr val="accent1"/>
            </a:solidFill>
            <a:ln>
              <a:noFill/>
            </a:ln>
            <a:effectLst/>
          </c:spPr>
          <c:invertIfNegative val="0"/>
          <c:cat>
            <c:strRef>
              <c:f>'Graf 2020'!$B$35:$J$35</c:f>
              <c:strCache>
                <c:ptCount val="9"/>
                <c:pt idx="0">
                  <c:v>ABR</c:v>
                </c:pt>
                <c:pt idx="1">
                  <c:v>MAI</c:v>
                </c:pt>
                <c:pt idx="2">
                  <c:v>JUN</c:v>
                </c:pt>
                <c:pt idx="3">
                  <c:v>JUL</c:v>
                </c:pt>
                <c:pt idx="4">
                  <c:v>AGO</c:v>
                </c:pt>
                <c:pt idx="5">
                  <c:v>SET</c:v>
                </c:pt>
                <c:pt idx="6">
                  <c:v>OUT</c:v>
                </c:pt>
                <c:pt idx="7">
                  <c:v>NOV</c:v>
                </c:pt>
                <c:pt idx="8">
                  <c:v>DEZ</c:v>
                </c:pt>
              </c:strCache>
            </c:strRef>
          </c:cat>
          <c:val>
            <c:numRef>
              <c:f>'Graf 2020'!$B$36:$J$36</c:f>
              <c:numCache>
                <c:formatCode>0</c:formatCode>
                <c:ptCount val="9"/>
                <c:pt idx="0" formatCode="General">
                  <c:v>0</c:v>
                </c:pt>
                <c:pt idx="1">
                  <c:v>95.33</c:v>
                </c:pt>
                <c:pt idx="2">
                  <c:v>15.52</c:v>
                </c:pt>
                <c:pt idx="3">
                  <c:v>51.96</c:v>
                </c:pt>
                <c:pt idx="4">
                  <c:v>70.8</c:v>
                </c:pt>
                <c:pt idx="5" formatCode="General">
                  <c:v>43</c:v>
                </c:pt>
                <c:pt idx="6" formatCode="General">
                  <c:v>43</c:v>
                </c:pt>
                <c:pt idx="7" formatCode="General">
                  <c:v>580</c:v>
                </c:pt>
              </c:numCache>
            </c:numRef>
          </c:val>
          <c:extLst>
            <c:ext xmlns:c16="http://schemas.microsoft.com/office/drawing/2014/chart" uri="{C3380CC4-5D6E-409C-BE32-E72D297353CC}">
              <c16:uniqueId val="{00000000-C6F9-467F-B50E-6BBB31C70EEA}"/>
            </c:ext>
          </c:extLst>
        </c:ser>
        <c:dLbls>
          <c:showLegendKey val="0"/>
          <c:showVal val="0"/>
          <c:showCatName val="0"/>
          <c:showSerName val="0"/>
          <c:showPercent val="0"/>
          <c:showBubbleSize val="0"/>
        </c:dLbls>
        <c:gapWidth val="219"/>
        <c:overlap val="-27"/>
        <c:axId val="173182336"/>
        <c:axId val="173204608"/>
      </c:barChart>
      <c:lineChart>
        <c:grouping val="standard"/>
        <c:varyColors val="0"/>
        <c:ser>
          <c:idx val="1"/>
          <c:order val="1"/>
          <c:tx>
            <c:strRef>
              <c:f>'Graf 2020'!$A$37</c:f>
              <c:strCache>
                <c:ptCount val="1"/>
                <c:pt idx="0">
                  <c:v>Acum. Soda</c:v>
                </c:pt>
              </c:strCache>
            </c:strRef>
          </c:tx>
          <c:spPr>
            <a:ln w="28575" cap="rnd">
              <a:solidFill>
                <a:schemeClr val="accent2"/>
              </a:solidFill>
              <a:round/>
            </a:ln>
            <a:effectLst/>
          </c:spPr>
          <c:marker>
            <c:symbol val="none"/>
          </c:marker>
          <c:cat>
            <c:strRef>
              <c:f>'Graf 2020'!$B$35:$J$35</c:f>
              <c:strCache>
                <c:ptCount val="9"/>
                <c:pt idx="0">
                  <c:v>ABR</c:v>
                </c:pt>
                <c:pt idx="1">
                  <c:v>MAI</c:v>
                </c:pt>
                <c:pt idx="2">
                  <c:v>JUN</c:v>
                </c:pt>
                <c:pt idx="3">
                  <c:v>JUL</c:v>
                </c:pt>
                <c:pt idx="4">
                  <c:v>AGO</c:v>
                </c:pt>
                <c:pt idx="5">
                  <c:v>SET</c:v>
                </c:pt>
                <c:pt idx="6">
                  <c:v>OUT</c:v>
                </c:pt>
                <c:pt idx="7">
                  <c:v>NOV</c:v>
                </c:pt>
                <c:pt idx="8">
                  <c:v>DEZ</c:v>
                </c:pt>
              </c:strCache>
            </c:strRef>
          </c:cat>
          <c:val>
            <c:numRef>
              <c:f>'Graf 2020'!$B$37:$J$37</c:f>
              <c:numCache>
                <c:formatCode>General</c:formatCode>
                <c:ptCount val="9"/>
                <c:pt idx="0">
                  <c:v>0</c:v>
                </c:pt>
                <c:pt idx="1">
                  <c:v>81</c:v>
                </c:pt>
                <c:pt idx="2">
                  <c:v>55</c:v>
                </c:pt>
                <c:pt idx="3">
                  <c:v>54</c:v>
                </c:pt>
                <c:pt idx="4">
                  <c:v>58</c:v>
                </c:pt>
                <c:pt idx="5">
                  <c:v>55</c:v>
                </c:pt>
                <c:pt idx="6">
                  <c:v>53</c:v>
                </c:pt>
                <c:pt idx="7">
                  <c:v>57</c:v>
                </c:pt>
              </c:numCache>
            </c:numRef>
          </c:val>
          <c:smooth val="0"/>
          <c:extLst>
            <c:ext xmlns:c16="http://schemas.microsoft.com/office/drawing/2014/chart" uri="{C3380CC4-5D6E-409C-BE32-E72D297353CC}">
              <c16:uniqueId val="{00000001-C6F9-467F-B50E-6BBB31C70EEA}"/>
            </c:ext>
          </c:extLst>
        </c:ser>
        <c:ser>
          <c:idx val="2"/>
          <c:order val="2"/>
          <c:tx>
            <c:strRef>
              <c:f>'Graf 2020'!$A$38</c:f>
              <c:strCache>
                <c:ptCount val="1"/>
                <c:pt idx="0">
                  <c:v>Meta Acum. Soda</c:v>
                </c:pt>
              </c:strCache>
            </c:strRef>
          </c:tx>
          <c:spPr>
            <a:ln w="28575" cap="rnd">
              <a:solidFill>
                <a:schemeClr val="accent3"/>
              </a:solidFill>
              <a:round/>
            </a:ln>
            <a:effectLst/>
          </c:spPr>
          <c:marker>
            <c:symbol val="none"/>
          </c:marker>
          <c:cat>
            <c:strRef>
              <c:f>'Graf 2020'!$B$35:$J$35</c:f>
              <c:strCache>
                <c:ptCount val="9"/>
                <c:pt idx="0">
                  <c:v>ABR</c:v>
                </c:pt>
                <c:pt idx="1">
                  <c:v>MAI</c:v>
                </c:pt>
                <c:pt idx="2">
                  <c:v>JUN</c:v>
                </c:pt>
                <c:pt idx="3">
                  <c:v>JUL</c:v>
                </c:pt>
                <c:pt idx="4">
                  <c:v>AGO</c:v>
                </c:pt>
                <c:pt idx="5">
                  <c:v>SET</c:v>
                </c:pt>
                <c:pt idx="6">
                  <c:v>OUT</c:v>
                </c:pt>
                <c:pt idx="7">
                  <c:v>NOV</c:v>
                </c:pt>
                <c:pt idx="8">
                  <c:v>DEZ</c:v>
                </c:pt>
              </c:strCache>
            </c:strRef>
          </c:cat>
          <c:val>
            <c:numRef>
              <c:f>'Graf 2020'!$B$38:$J$38</c:f>
              <c:numCache>
                <c:formatCode>General</c:formatCode>
                <c:ptCount val="9"/>
                <c:pt idx="0">
                  <c:v>90</c:v>
                </c:pt>
                <c:pt idx="1">
                  <c:v>90</c:v>
                </c:pt>
                <c:pt idx="2">
                  <c:v>90</c:v>
                </c:pt>
                <c:pt idx="3">
                  <c:v>90</c:v>
                </c:pt>
                <c:pt idx="4">
                  <c:v>90</c:v>
                </c:pt>
                <c:pt idx="5">
                  <c:v>90</c:v>
                </c:pt>
                <c:pt idx="6">
                  <c:v>90</c:v>
                </c:pt>
                <c:pt idx="7">
                  <c:v>90</c:v>
                </c:pt>
              </c:numCache>
            </c:numRef>
          </c:val>
          <c:smooth val="0"/>
          <c:extLst>
            <c:ext xmlns:c16="http://schemas.microsoft.com/office/drawing/2014/chart" uri="{C3380CC4-5D6E-409C-BE32-E72D297353CC}">
              <c16:uniqueId val="{00000002-C6F9-467F-B50E-6BBB31C70EEA}"/>
            </c:ext>
          </c:extLst>
        </c:ser>
        <c:dLbls>
          <c:showLegendKey val="0"/>
          <c:showVal val="0"/>
          <c:showCatName val="0"/>
          <c:showSerName val="0"/>
          <c:showPercent val="0"/>
          <c:showBubbleSize val="0"/>
        </c:dLbls>
        <c:marker val="1"/>
        <c:smooth val="0"/>
        <c:axId val="173182336"/>
        <c:axId val="173204608"/>
      </c:lineChart>
      <c:catAx>
        <c:axId val="1731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3204608"/>
        <c:crosses val="autoZero"/>
        <c:auto val="1"/>
        <c:lblAlgn val="ctr"/>
        <c:lblOffset val="100"/>
        <c:noMultiLvlLbl val="0"/>
      </c:catAx>
      <c:valAx>
        <c:axId val="17320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31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Antiespumante (g/L)</a:t>
            </a:r>
          </a:p>
        </c:rich>
      </c:tx>
      <c:overlay val="0"/>
      <c:spPr>
        <a:noFill/>
        <a:ln>
          <a:noFill/>
        </a:ln>
        <a:effectLst/>
      </c:spPr>
    </c:title>
    <c:autoTitleDeleted val="0"/>
    <c:plotArea>
      <c:layout/>
      <c:barChart>
        <c:barDir val="col"/>
        <c:grouping val="clustered"/>
        <c:varyColors val="0"/>
        <c:ser>
          <c:idx val="0"/>
          <c:order val="0"/>
          <c:tx>
            <c:strRef>
              <c:f>'Graf 2019'!$A$8</c:f>
              <c:strCache>
                <c:ptCount val="1"/>
                <c:pt idx="0">
                  <c:v>Antiespumante</c:v>
                </c:pt>
              </c:strCache>
            </c:strRef>
          </c:tx>
          <c:spPr>
            <a:solidFill>
              <a:schemeClr val="accent1"/>
            </a:solidFill>
            <a:ln>
              <a:noFill/>
            </a:ln>
            <a:effectLst/>
          </c:spPr>
          <c:invertIfNegative val="0"/>
          <c:cat>
            <c:strRef>
              <c:f>'Graf 2019'!$B$7:$J$7</c:f>
              <c:strCache>
                <c:ptCount val="9"/>
                <c:pt idx="0">
                  <c:v>ABR</c:v>
                </c:pt>
                <c:pt idx="1">
                  <c:v>MAI</c:v>
                </c:pt>
                <c:pt idx="2">
                  <c:v>JUN</c:v>
                </c:pt>
                <c:pt idx="3">
                  <c:v>JUL</c:v>
                </c:pt>
                <c:pt idx="4">
                  <c:v>AGO</c:v>
                </c:pt>
                <c:pt idx="5">
                  <c:v>SET</c:v>
                </c:pt>
                <c:pt idx="6">
                  <c:v>OUT</c:v>
                </c:pt>
                <c:pt idx="7">
                  <c:v>NOV</c:v>
                </c:pt>
                <c:pt idx="8">
                  <c:v>DEZ</c:v>
                </c:pt>
              </c:strCache>
            </c:strRef>
          </c:cat>
          <c:val>
            <c:numRef>
              <c:f>'Graf 2019'!$B$8:$J$8</c:f>
              <c:numCache>
                <c:formatCode>General</c:formatCode>
                <c:ptCount val="9"/>
                <c:pt idx="1">
                  <c:v>0.28999999999999998</c:v>
                </c:pt>
                <c:pt idx="2">
                  <c:v>0.28999999999999998</c:v>
                </c:pt>
                <c:pt idx="3">
                  <c:v>0.22</c:v>
                </c:pt>
                <c:pt idx="4">
                  <c:v>0.14000000000000001</c:v>
                </c:pt>
                <c:pt idx="5" formatCode="0.00">
                  <c:v>0.2</c:v>
                </c:pt>
                <c:pt idx="6">
                  <c:v>0.11</c:v>
                </c:pt>
                <c:pt idx="7">
                  <c:v>0.1</c:v>
                </c:pt>
                <c:pt idx="8">
                  <c:v>0.05</c:v>
                </c:pt>
              </c:numCache>
            </c:numRef>
          </c:val>
          <c:extLst>
            <c:ext xmlns:c16="http://schemas.microsoft.com/office/drawing/2014/chart" uri="{C3380CC4-5D6E-409C-BE32-E72D297353CC}">
              <c16:uniqueId val="{00000000-8B52-4924-A57C-0F4471C08F1F}"/>
            </c:ext>
          </c:extLst>
        </c:ser>
        <c:dLbls>
          <c:showLegendKey val="0"/>
          <c:showVal val="0"/>
          <c:showCatName val="0"/>
          <c:showSerName val="0"/>
          <c:showPercent val="0"/>
          <c:showBubbleSize val="0"/>
        </c:dLbls>
        <c:gapWidth val="219"/>
        <c:overlap val="-27"/>
        <c:axId val="167761024"/>
        <c:axId val="167762560"/>
      </c:barChart>
      <c:lineChart>
        <c:grouping val="standard"/>
        <c:varyColors val="0"/>
        <c:ser>
          <c:idx val="1"/>
          <c:order val="1"/>
          <c:tx>
            <c:strRef>
              <c:f>'Graf 2019'!$A$9</c:f>
              <c:strCache>
                <c:ptCount val="1"/>
                <c:pt idx="0">
                  <c:v>Acumulado Antiespumante</c:v>
                </c:pt>
              </c:strCache>
            </c:strRef>
          </c:tx>
          <c:spPr>
            <a:ln w="28575" cap="rnd">
              <a:solidFill>
                <a:schemeClr val="accent2"/>
              </a:solidFill>
              <a:round/>
            </a:ln>
            <a:effectLst/>
          </c:spPr>
          <c:marker>
            <c:symbol val="none"/>
          </c:marker>
          <c:cat>
            <c:strRef>
              <c:f>'Graf 2019'!$B$7:$J$7</c:f>
              <c:strCache>
                <c:ptCount val="9"/>
                <c:pt idx="0">
                  <c:v>ABR</c:v>
                </c:pt>
                <c:pt idx="1">
                  <c:v>MAI</c:v>
                </c:pt>
                <c:pt idx="2">
                  <c:v>JUN</c:v>
                </c:pt>
                <c:pt idx="3">
                  <c:v>JUL</c:v>
                </c:pt>
                <c:pt idx="4">
                  <c:v>AGO</c:v>
                </c:pt>
                <c:pt idx="5">
                  <c:v>SET</c:v>
                </c:pt>
                <c:pt idx="6">
                  <c:v>OUT</c:v>
                </c:pt>
                <c:pt idx="7">
                  <c:v>NOV</c:v>
                </c:pt>
                <c:pt idx="8">
                  <c:v>DEZ</c:v>
                </c:pt>
              </c:strCache>
            </c:strRef>
          </c:cat>
          <c:val>
            <c:numRef>
              <c:f>'Graf 2019'!$B$9:$J$9</c:f>
              <c:numCache>
                <c:formatCode>General</c:formatCode>
                <c:ptCount val="9"/>
                <c:pt idx="1">
                  <c:v>0.28999999999999998</c:v>
                </c:pt>
                <c:pt idx="2">
                  <c:v>0.28999999999999998</c:v>
                </c:pt>
                <c:pt idx="3">
                  <c:v>0.26</c:v>
                </c:pt>
                <c:pt idx="4">
                  <c:v>0.23</c:v>
                </c:pt>
                <c:pt idx="5">
                  <c:v>0.22</c:v>
                </c:pt>
                <c:pt idx="6">
                  <c:v>0.2</c:v>
                </c:pt>
                <c:pt idx="7">
                  <c:v>0.19</c:v>
                </c:pt>
                <c:pt idx="8">
                  <c:v>0.19</c:v>
                </c:pt>
              </c:numCache>
            </c:numRef>
          </c:val>
          <c:smooth val="0"/>
          <c:extLst>
            <c:ext xmlns:c16="http://schemas.microsoft.com/office/drawing/2014/chart" uri="{C3380CC4-5D6E-409C-BE32-E72D297353CC}">
              <c16:uniqueId val="{00000001-8B52-4924-A57C-0F4471C08F1F}"/>
            </c:ext>
          </c:extLst>
        </c:ser>
        <c:ser>
          <c:idx val="2"/>
          <c:order val="2"/>
          <c:tx>
            <c:strRef>
              <c:f>'Graf 2019'!$A$10</c:f>
              <c:strCache>
                <c:ptCount val="1"/>
                <c:pt idx="0">
                  <c:v>Meta Acumulado Antiespumante</c:v>
                </c:pt>
              </c:strCache>
            </c:strRef>
          </c:tx>
          <c:spPr>
            <a:ln w="28575" cap="rnd">
              <a:solidFill>
                <a:schemeClr val="accent3"/>
              </a:solidFill>
              <a:round/>
            </a:ln>
            <a:effectLst/>
          </c:spPr>
          <c:marker>
            <c:symbol val="none"/>
          </c:marker>
          <c:cat>
            <c:strRef>
              <c:f>'Graf 2019'!$B$7:$J$7</c:f>
              <c:strCache>
                <c:ptCount val="9"/>
                <c:pt idx="0">
                  <c:v>ABR</c:v>
                </c:pt>
                <c:pt idx="1">
                  <c:v>MAI</c:v>
                </c:pt>
                <c:pt idx="2">
                  <c:v>JUN</c:v>
                </c:pt>
                <c:pt idx="3">
                  <c:v>JUL</c:v>
                </c:pt>
                <c:pt idx="4">
                  <c:v>AGO</c:v>
                </c:pt>
                <c:pt idx="5">
                  <c:v>SET</c:v>
                </c:pt>
                <c:pt idx="6">
                  <c:v>OUT</c:v>
                </c:pt>
                <c:pt idx="7">
                  <c:v>NOV</c:v>
                </c:pt>
                <c:pt idx="8">
                  <c:v>DEZ</c:v>
                </c:pt>
              </c:strCache>
            </c:strRef>
          </c:cat>
          <c:val>
            <c:numRef>
              <c:f>'Graf 2019'!$B$10:$J$10</c:f>
              <c:numCache>
                <c:formatCode>0.00</c:formatCode>
                <c:ptCount val="9"/>
                <c:pt idx="1">
                  <c:v>0.2</c:v>
                </c:pt>
                <c:pt idx="2">
                  <c:v>0.2</c:v>
                </c:pt>
                <c:pt idx="3">
                  <c:v>0.2</c:v>
                </c:pt>
                <c:pt idx="4">
                  <c:v>0.2</c:v>
                </c:pt>
                <c:pt idx="5">
                  <c:v>0.2</c:v>
                </c:pt>
                <c:pt idx="6">
                  <c:v>0.2</c:v>
                </c:pt>
                <c:pt idx="7">
                  <c:v>0.2</c:v>
                </c:pt>
                <c:pt idx="8">
                  <c:v>0.2</c:v>
                </c:pt>
              </c:numCache>
            </c:numRef>
          </c:val>
          <c:smooth val="0"/>
          <c:extLst>
            <c:ext xmlns:c16="http://schemas.microsoft.com/office/drawing/2014/chart" uri="{C3380CC4-5D6E-409C-BE32-E72D297353CC}">
              <c16:uniqueId val="{00000002-8B52-4924-A57C-0F4471C08F1F}"/>
            </c:ext>
          </c:extLst>
        </c:ser>
        <c:dLbls>
          <c:showLegendKey val="0"/>
          <c:showVal val="0"/>
          <c:showCatName val="0"/>
          <c:showSerName val="0"/>
          <c:showPercent val="0"/>
          <c:showBubbleSize val="0"/>
        </c:dLbls>
        <c:marker val="1"/>
        <c:smooth val="0"/>
        <c:axId val="167761024"/>
        <c:axId val="167762560"/>
      </c:lineChart>
      <c:catAx>
        <c:axId val="16776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7762560"/>
        <c:crosses val="autoZero"/>
        <c:auto val="1"/>
        <c:lblAlgn val="ctr"/>
        <c:lblOffset val="100"/>
        <c:noMultiLvlLbl val="0"/>
      </c:catAx>
      <c:valAx>
        <c:axId val="16776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776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Dispersante (g/L)</a:t>
            </a:r>
          </a:p>
        </c:rich>
      </c:tx>
      <c:overlay val="0"/>
      <c:spPr>
        <a:noFill/>
        <a:ln>
          <a:noFill/>
        </a:ln>
        <a:effectLst/>
      </c:spPr>
    </c:title>
    <c:autoTitleDeleted val="0"/>
    <c:plotArea>
      <c:layout/>
      <c:barChart>
        <c:barDir val="col"/>
        <c:grouping val="clustered"/>
        <c:varyColors val="0"/>
        <c:ser>
          <c:idx val="0"/>
          <c:order val="0"/>
          <c:tx>
            <c:strRef>
              <c:f>'Graf 2019'!$A$12</c:f>
              <c:strCache>
                <c:ptCount val="1"/>
                <c:pt idx="0">
                  <c:v>Dispersante</c:v>
                </c:pt>
              </c:strCache>
            </c:strRef>
          </c:tx>
          <c:spPr>
            <a:solidFill>
              <a:schemeClr val="accent1"/>
            </a:solidFill>
            <a:ln>
              <a:noFill/>
            </a:ln>
            <a:effectLst/>
          </c:spPr>
          <c:invertIfNegative val="0"/>
          <c:cat>
            <c:strRef>
              <c:f>'Graf 2019'!$B$11:$J$11</c:f>
              <c:strCache>
                <c:ptCount val="9"/>
                <c:pt idx="0">
                  <c:v>ABR</c:v>
                </c:pt>
                <c:pt idx="1">
                  <c:v>MAI</c:v>
                </c:pt>
                <c:pt idx="2">
                  <c:v>JUN</c:v>
                </c:pt>
                <c:pt idx="3">
                  <c:v>JUL</c:v>
                </c:pt>
                <c:pt idx="4">
                  <c:v>AGO</c:v>
                </c:pt>
                <c:pt idx="5">
                  <c:v>SET</c:v>
                </c:pt>
                <c:pt idx="6">
                  <c:v>OUT</c:v>
                </c:pt>
                <c:pt idx="7">
                  <c:v>NOV</c:v>
                </c:pt>
                <c:pt idx="8">
                  <c:v>DEZ</c:v>
                </c:pt>
              </c:strCache>
            </c:strRef>
          </c:cat>
          <c:val>
            <c:numRef>
              <c:f>'Graf 2019'!$B$12:$J$12</c:f>
              <c:numCache>
                <c:formatCode>General</c:formatCode>
                <c:ptCount val="9"/>
                <c:pt idx="1">
                  <c:v>0.14000000000000001</c:v>
                </c:pt>
                <c:pt idx="2">
                  <c:v>0.11</c:v>
                </c:pt>
                <c:pt idx="3">
                  <c:v>0.14000000000000001</c:v>
                </c:pt>
                <c:pt idx="4">
                  <c:v>0.11</c:v>
                </c:pt>
                <c:pt idx="5">
                  <c:v>7.0000000000000007E-2</c:v>
                </c:pt>
                <c:pt idx="6">
                  <c:v>0.08</c:v>
                </c:pt>
                <c:pt idx="7">
                  <c:v>7.0000000000000007E-2</c:v>
                </c:pt>
                <c:pt idx="8">
                  <c:v>0.11</c:v>
                </c:pt>
              </c:numCache>
            </c:numRef>
          </c:val>
          <c:extLst>
            <c:ext xmlns:c16="http://schemas.microsoft.com/office/drawing/2014/chart" uri="{C3380CC4-5D6E-409C-BE32-E72D297353CC}">
              <c16:uniqueId val="{00000000-83DF-495C-B8BD-410DC6ADE797}"/>
            </c:ext>
          </c:extLst>
        </c:ser>
        <c:dLbls>
          <c:showLegendKey val="0"/>
          <c:showVal val="0"/>
          <c:showCatName val="0"/>
          <c:showSerName val="0"/>
          <c:showPercent val="0"/>
          <c:showBubbleSize val="0"/>
        </c:dLbls>
        <c:gapWidth val="219"/>
        <c:overlap val="-27"/>
        <c:axId val="169896576"/>
        <c:axId val="169931136"/>
      </c:barChart>
      <c:lineChart>
        <c:grouping val="standard"/>
        <c:varyColors val="0"/>
        <c:ser>
          <c:idx val="1"/>
          <c:order val="1"/>
          <c:tx>
            <c:strRef>
              <c:f>'Graf 2019'!$A$13</c:f>
              <c:strCache>
                <c:ptCount val="1"/>
                <c:pt idx="0">
                  <c:v>Acumulado Dispersante</c:v>
                </c:pt>
              </c:strCache>
            </c:strRef>
          </c:tx>
          <c:spPr>
            <a:ln w="28575" cap="rnd">
              <a:solidFill>
                <a:schemeClr val="accent2"/>
              </a:solidFill>
              <a:round/>
            </a:ln>
            <a:effectLst/>
          </c:spPr>
          <c:marker>
            <c:symbol val="none"/>
          </c:marker>
          <c:cat>
            <c:strRef>
              <c:f>'Graf 2019'!$B$11:$J$11</c:f>
              <c:strCache>
                <c:ptCount val="9"/>
                <c:pt idx="0">
                  <c:v>ABR</c:v>
                </c:pt>
                <c:pt idx="1">
                  <c:v>MAI</c:v>
                </c:pt>
                <c:pt idx="2">
                  <c:v>JUN</c:v>
                </c:pt>
                <c:pt idx="3">
                  <c:v>JUL</c:v>
                </c:pt>
                <c:pt idx="4">
                  <c:v>AGO</c:v>
                </c:pt>
                <c:pt idx="5">
                  <c:v>SET</c:v>
                </c:pt>
                <c:pt idx="6">
                  <c:v>OUT</c:v>
                </c:pt>
                <c:pt idx="7">
                  <c:v>NOV</c:v>
                </c:pt>
                <c:pt idx="8">
                  <c:v>DEZ</c:v>
                </c:pt>
              </c:strCache>
            </c:strRef>
          </c:cat>
          <c:val>
            <c:numRef>
              <c:f>'Graf 2019'!$B$13:$J$13</c:f>
              <c:numCache>
                <c:formatCode>General</c:formatCode>
                <c:ptCount val="9"/>
                <c:pt idx="1">
                  <c:v>0.14000000000000001</c:v>
                </c:pt>
                <c:pt idx="2">
                  <c:v>0.12</c:v>
                </c:pt>
                <c:pt idx="3">
                  <c:v>0.13</c:v>
                </c:pt>
                <c:pt idx="4">
                  <c:v>0.13</c:v>
                </c:pt>
                <c:pt idx="5">
                  <c:v>0.12</c:v>
                </c:pt>
                <c:pt idx="6">
                  <c:v>0.11</c:v>
                </c:pt>
                <c:pt idx="7">
                  <c:v>0.11</c:v>
                </c:pt>
                <c:pt idx="8">
                  <c:v>0.11</c:v>
                </c:pt>
              </c:numCache>
            </c:numRef>
          </c:val>
          <c:smooth val="0"/>
          <c:extLst>
            <c:ext xmlns:c16="http://schemas.microsoft.com/office/drawing/2014/chart" uri="{C3380CC4-5D6E-409C-BE32-E72D297353CC}">
              <c16:uniqueId val="{00000001-83DF-495C-B8BD-410DC6ADE797}"/>
            </c:ext>
          </c:extLst>
        </c:ser>
        <c:ser>
          <c:idx val="2"/>
          <c:order val="2"/>
          <c:tx>
            <c:strRef>
              <c:f>'Graf 2019'!$A$14</c:f>
              <c:strCache>
                <c:ptCount val="1"/>
                <c:pt idx="0">
                  <c:v>Meta Acumulado Antiespumante</c:v>
                </c:pt>
              </c:strCache>
            </c:strRef>
          </c:tx>
          <c:spPr>
            <a:ln w="28575" cap="rnd">
              <a:solidFill>
                <a:schemeClr val="accent3"/>
              </a:solidFill>
              <a:round/>
            </a:ln>
            <a:effectLst/>
          </c:spPr>
          <c:marker>
            <c:symbol val="none"/>
          </c:marker>
          <c:cat>
            <c:strRef>
              <c:f>'Graf 2019'!$B$11:$J$11</c:f>
              <c:strCache>
                <c:ptCount val="9"/>
                <c:pt idx="0">
                  <c:v>ABR</c:v>
                </c:pt>
                <c:pt idx="1">
                  <c:v>MAI</c:v>
                </c:pt>
                <c:pt idx="2">
                  <c:v>JUN</c:v>
                </c:pt>
                <c:pt idx="3">
                  <c:v>JUL</c:v>
                </c:pt>
                <c:pt idx="4">
                  <c:v>AGO</c:v>
                </c:pt>
                <c:pt idx="5">
                  <c:v>SET</c:v>
                </c:pt>
                <c:pt idx="6">
                  <c:v>OUT</c:v>
                </c:pt>
                <c:pt idx="7">
                  <c:v>NOV</c:v>
                </c:pt>
                <c:pt idx="8">
                  <c:v>DEZ</c:v>
                </c:pt>
              </c:strCache>
            </c:strRef>
          </c:cat>
          <c:val>
            <c:numRef>
              <c:f>'Graf 2019'!$B$14:$J$14</c:f>
              <c:numCache>
                <c:formatCode>0.00</c:formatCode>
                <c:ptCount val="9"/>
                <c:pt idx="1">
                  <c:v>0.1</c:v>
                </c:pt>
                <c:pt idx="2">
                  <c:v>0.1</c:v>
                </c:pt>
                <c:pt idx="3">
                  <c:v>0.1</c:v>
                </c:pt>
                <c:pt idx="4">
                  <c:v>0.1</c:v>
                </c:pt>
                <c:pt idx="5">
                  <c:v>0.1</c:v>
                </c:pt>
                <c:pt idx="6">
                  <c:v>0.1</c:v>
                </c:pt>
                <c:pt idx="7">
                  <c:v>0.1</c:v>
                </c:pt>
                <c:pt idx="8">
                  <c:v>0.1</c:v>
                </c:pt>
              </c:numCache>
            </c:numRef>
          </c:val>
          <c:smooth val="0"/>
          <c:extLst>
            <c:ext xmlns:c16="http://schemas.microsoft.com/office/drawing/2014/chart" uri="{C3380CC4-5D6E-409C-BE32-E72D297353CC}">
              <c16:uniqueId val="{00000002-83DF-495C-B8BD-410DC6ADE797}"/>
            </c:ext>
          </c:extLst>
        </c:ser>
        <c:dLbls>
          <c:showLegendKey val="0"/>
          <c:showVal val="0"/>
          <c:showCatName val="0"/>
          <c:showSerName val="0"/>
          <c:showPercent val="0"/>
          <c:showBubbleSize val="0"/>
        </c:dLbls>
        <c:marker val="1"/>
        <c:smooth val="0"/>
        <c:axId val="169896576"/>
        <c:axId val="169931136"/>
      </c:lineChart>
      <c:catAx>
        <c:axId val="16989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9931136"/>
        <c:crosses val="autoZero"/>
        <c:auto val="1"/>
        <c:lblAlgn val="ctr"/>
        <c:lblOffset val="100"/>
        <c:noMultiLvlLbl val="0"/>
      </c:catAx>
      <c:valAx>
        <c:axId val="16993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9896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Ácido</a:t>
            </a:r>
            <a:r>
              <a:rPr lang="pt-BR" baseline="0"/>
              <a:t> Sulfúrico (g/L)</a:t>
            </a:r>
            <a:endParaRPr lang="pt-BR"/>
          </a:p>
        </c:rich>
      </c:tx>
      <c:overlay val="0"/>
      <c:spPr>
        <a:noFill/>
        <a:ln>
          <a:noFill/>
        </a:ln>
        <a:effectLst/>
      </c:spPr>
    </c:title>
    <c:autoTitleDeleted val="0"/>
    <c:plotArea>
      <c:layout/>
      <c:barChart>
        <c:barDir val="col"/>
        <c:grouping val="clustered"/>
        <c:varyColors val="0"/>
        <c:ser>
          <c:idx val="0"/>
          <c:order val="0"/>
          <c:tx>
            <c:strRef>
              <c:f>'Graf 2019'!$A$2</c:f>
              <c:strCache>
                <c:ptCount val="1"/>
                <c:pt idx="0">
                  <c:v>Ecoácido Equiv.</c:v>
                </c:pt>
              </c:strCache>
            </c:strRef>
          </c:tx>
          <c:spPr>
            <a:solidFill>
              <a:schemeClr val="accent1"/>
            </a:solidFill>
            <a:ln>
              <a:noFill/>
            </a:ln>
            <a:effectLst/>
          </c:spPr>
          <c:invertIfNegative val="0"/>
          <c:cat>
            <c:strRef>
              <c:f>'Graf 2019'!$B$1:$J$1</c:f>
              <c:strCache>
                <c:ptCount val="9"/>
                <c:pt idx="0">
                  <c:v>ABR</c:v>
                </c:pt>
                <c:pt idx="1">
                  <c:v>MAI</c:v>
                </c:pt>
                <c:pt idx="2">
                  <c:v>JUN</c:v>
                </c:pt>
                <c:pt idx="3">
                  <c:v>JUL</c:v>
                </c:pt>
                <c:pt idx="4">
                  <c:v>AGO</c:v>
                </c:pt>
                <c:pt idx="5">
                  <c:v>SET</c:v>
                </c:pt>
                <c:pt idx="6">
                  <c:v>OUT</c:v>
                </c:pt>
                <c:pt idx="7">
                  <c:v>NOV</c:v>
                </c:pt>
                <c:pt idx="8">
                  <c:v>DEZ</c:v>
                </c:pt>
              </c:strCache>
            </c:strRef>
          </c:cat>
          <c:val>
            <c:numRef>
              <c:f>'Graf 2019'!$B$2:$J$2</c:f>
              <c:numCache>
                <c:formatCode>0.00</c:formatCode>
                <c:ptCount val="9"/>
                <c:pt idx="1">
                  <c:v>2.35</c:v>
                </c:pt>
                <c:pt idx="2">
                  <c:v>3.79</c:v>
                </c:pt>
                <c:pt idx="3">
                  <c:v>3.52</c:v>
                </c:pt>
                <c:pt idx="4">
                  <c:v>2.86</c:v>
                </c:pt>
                <c:pt idx="5">
                  <c:v>3.9</c:v>
                </c:pt>
                <c:pt idx="6">
                  <c:v>4.25</c:v>
                </c:pt>
                <c:pt idx="7">
                  <c:v>5.63</c:v>
                </c:pt>
                <c:pt idx="8">
                  <c:v>2.41</c:v>
                </c:pt>
              </c:numCache>
            </c:numRef>
          </c:val>
          <c:extLst>
            <c:ext xmlns:c16="http://schemas.microsoft.com/office/drawing/2014/chart" uri="{C3380CC4-5D6E-409C-BE32-E72D297353CC}">
              <c16:uniqueId val="{00000000-4D58-4FFB-832E-DF5D0C9D9F6A}"/>
            </c:ext>
          </c:extLst>
        </c:ser>
        <c:ser>
          <c:idx val="1"/>
          <c:order val="1"/>
          <c:tx>
            <c:strRef>
              <c:f>'Graf 2019'!$A$3</c:f>
              <c:strCache>
                <c:ptCount val="1"/>
                <c:pt idx="0">
                  <c:v>Ácido Sulfúrico Total</c:v>
                </c:pt>
              </c:strCache>
            </c:strRef>
          </c:tx>
          <c:spPr>
            <a:solidFill>
              <a:schemeClr val="accent2"/>
            </a:solidFill>
            <a:ln>
              <a:noFill/>
            </a:ln>
            <a:effectLst/>
          </c:spPr>
          <c:invertIfNegative val="0"/>
          <c:cat>
            <c:strRef>
              <c:f>'Graf 2019'!$B$1:$J$1</c:f>
              <c:strCache>
                <c:ptCount val="9"/>
                <c:pt idx="0">
                  <c:v>ABR</c:v>
                </c:pt>
                <c:pt idx="1">
                  <c:v>MAI</c:v>
                </c:pt>
                <c:pt idx="2">
                  <c:v>JUN</c:v>
                </c:pt>
                <c:pt idx="3">
                  <c:v>JUL</c:v>
                </c:pt>
                <c:pt idx="4">
                  <c:v>AGO</c:v>
                </c:pt>
                <c:pt idx="5">
                  <c:v>SET</c:v>
                </c:pt>
                <c:pt idx="6">
                  <c:v>OUT</c:v>
                </c:pt>
                <c:pt idx="7">
                  <c:v>NOV</c:v>
                </c:pt>
                <c:pt idx="8">
                  <c:v>DEZ</c:v>
                </c:pt>
              </c:strCache>
            </c:strRef>
          </c:cat>
          <c:val>
            <c:numRef>
              <c:f>'Graf 2019'!$B$3:$J$3</c:f>
              <c:numCache>
                <c:formatCode>General</c:formatCode>
                <c:ptCount val="9"/>
                <c:pt idx="1">
                  <c:v>4.01</c:v>
                </c:pt>
                <c:pt idx="2">
                  <c:v>4.91</c:v>
                </c:pt>
                <c:pt idx="3">
                  <c:v>5.05</c:v>
                </c:pt>
                <c:pt idx="4">
                  <c:v>7.7200000000000006</c:v>
                </c:pt>
                <c:pt idx="5">
                  <c:v>8.39</c:v>
                </c:pt>
                <c:pt idx="6">
                  <c:v>7.82</c:v>
                </c:pt>
                <c:pt idx="7">
                  <c:v>7.77</c:v>
                </c:pt>
                <c:pt idx="8">
                  <c:v>8.11</c:v>
                </c:pt>
              </c:numCache>
            </c:numRef>
          </c:val>
          <c:extLst>
            <c:ext xmlns:c16="http://schemas.microsoft.com/office/drawing/2014/chart" uri="{C3380CC4-5D6E-409C-BE32-E72D297353CC}">
              <c16:uniqueId val="{00000001-4D58-4FFB-832E-DF5D0C9D9F6A}"/>
            </c:ext>
          </c:extLst>
        </c:ser>
        <c:ser>
          <c:idx val="2"/>
          <c:order val="2"/>
          <c:tx>
            <c:strRef>
              <c:f>'Graf 2019'!$A$4</c:f>
              <c:strCache>
                <c:ptCount val="1"/>
                <c:pt idx="0">
                  <c:v>Ácido Sulfúrico 98 %</c:v>
                </c:pt>
              </c:strCache>
            </c:strRef>
          </c:tx>
          <c:spPr>
            <a:solidFill>
              <a:schemeClr val="accent3"/>
            </a:solidFill>
            <a:ln>
              <a:noFill/>
            </a:ln>
            <a:effectLst/>
          </c:spPr>
          <c:invertIfNegative val="0"/>
          <c:cat>
            <c:strRef>
              <c:f>'Graf 2019'!$B$1:$J$1</c:f>
              <c:strCache>
                <c:ptCount val="9"/>
                <c:pt idx="0">
                  <c:v>ABR</c:v>
                </c:pt>
                <c:pt idx="1">
                  <c:v>MAI</c:v>
                </c:pt>
                <c:pt idx="2">
                  <c:v>JUN</c:v>
                </c:pt>
                <c:pt idx="3">
                  <c:v>JUL</c:v>
                </c:pt>
                <c:pt idx="4">
                  <c:v>AGO</c:v>
                </c:pt>
                <c:pt idx="5">
                  <c:v>SET</c:v>
                </c:pt>
                <c:pt idx="6">
                  <c:v>OUT</c:v>
                </c:pt>
                <c:pt idx="7">
                  <c:v>NOV</c:v>
                </c:pt>
                <c:pt idx="8">
                  <c:v>DEZ</c:v>
                </c:pt>
              </c:strCache>
            </c:strRef>
          </c:cat>
          <c:val>
            <c:numRef>
              <c:f>'Graf 2019'!$B$4:$J$4</c:f>
              <c:numCache>
                <c:formatCode>General</c:formatCode>
                <c:ptCount val="9"/>
                <c:pt idx="1">
                  <c:v>1.66</c:v>
                </c:pt>
                <c:pt idx="2">
                  <c:v>1.1200000000000001</c:v>
                </c:pt>
                <c:pt idx="3">
                  <c:v>1.53</c:v>
                </c:pt>
                <c:pt idx="4">
                  <c:v>4.8600000000000003</c:v>
                </c:pt>
                <c:pt idx="5">
                  <c:v>4.49</c:v>
                </c:pt>
                <c:pt idx="6" formatCode="0.00">
                  <c:v>3.57</c:v>
                </c:pt>
                <c:pt idx="7" formatCode="0.00">
                  <c:v>2.14</c:v>
                </c:pt>
                <c:pt idx="8" formatCode="0.00">
                  <c:v>5.7</c:v>
                </c:pt>
              </c:numCache>
            </c:numRef>
          </c:val>
          <c:extLst>
            <c:ext xmlns:c16="http://schemas.microsoft.com/office/drawing/2014/chart" uri="{C3380CC4-5D6E-409C-BE32-E72D297353CC}">
              <c16:uniqueId val="{00000002-4D58-4FFB-832E-DF5D0C9D9F6A}"/>
            </c:ext>
          </c:extLst>
        </c:ser>
        <c:dLbls>
          <c:showLegendKey val="0"/>
          <c:showVal val="0"/>
          <c:showCatName val="0"/>
          <c:showSerName val="0"/>
          <c:showPercent val="0"/>
          <c:showBubbleSize val="0"/>
        </c:dLbls>
        <c:gapWidth val="219"/>
        <c:overlap val="-27"/>
        <c:axId val="169983360"/>
        <c:axId val="170001536"/>
      </c:barChart>
      <c:lineChart>
        <c:grouping val="standard"/>
        <c:varyColors val="0"/>
        <c:ser>
          <c:idx val="3"/>
          <c:order val="3"/>
          <c:tx>
            <c:strRef>
              <c:f>'Graf 2019'!$A$5</c:f>
              <c:strCache>
                <c:ptCount val="1"/>
                <c:pt idx="0">
                  <c:v>Acumulado Ácido Sulfúrico Total</c:v>
                </c:pt>
              </c:strCache>
            </c:strRef>
          </c:tx>
          <c:spPr>
            <a:ln w="28575" cap="rnd">
              <a:solidFill>
                <a:schemeClr val="accent4"/>
              </a:solidFill>
              <a:round/>
            </a:ln>
            <a:effectLst/>
          </c:spPr>
          <c:marker>
            <c:symbol val="none"/>
          </c:marker>
          <c:cat>
            <c:strRef>
              <c:f>'Graf 2019'!$B$1:$J$1</c:f>
              <c:strCache>
                <c:ptCount val="9"/>
                <c:pt idx="0">
                  <c:v>ABR</c:v>
                </c:pt>
                <c:pt idx="1">
                  <c:v>MAI</c:v>
                </c:pt>
                <c:pt idx="2">
                  <c:v>JUN</c:v>
                </c:pt>
                <c:pt idx="3">
                  <c:v>JUL</c:v>
                </c:pt>
                <c:pt idx="4">
                  <c:v>AGO</c:v>
                </c:pt>
                <c:pt idx="5">
                  <c:v>SET</c:v>
                </c:pt>
                <c:pt idx="6">
                  <c:v>OUT</c:v>
                </c:pt>
                <c:pt idx="7">
                  <c:v>NOV</c:v>
                </c:pt>
                <c:pt idx="8">
                  <c:v>DEZ</c:v>
                </c:pt>
              </c:strCache>
            </c:strRef>
          </c:cat>
          <c:val>
            <c:numRef>
              <c:f>'Graf 2019'!$B$5:$J$5</c:f>
              <c:numCache>
                <c:formatCode>General</c:formatCode>
                <c:ptCount val="9"/>
                <c:pt idx="1">
                  <c:v>4.01</c:v>
                </c:pt>
                <c:pt idx="2">
                  <c:v>4.54</c:v>
                </c:pt>
                <c:pt idx="3">
                  <c:v>4.7300000000000004</c:v>
                </c:pt>
                <c:pt idx="4">
                  <c:v>5.62</c:v>
                </c:pt>
                <c:pt idx="5">
                  <c:v>6.16</c:v>
                </c:pt>
                <c:pt idx="6">
                  <c:v>6.47</c:v>
                </c:pt>
                <c:pt idx="7" formatCode="0.00">
                  <c:v>6.6</c:v>
                </c:pt>
                <c:pt idx="8">
                  <c:v>6.63</c:v>
                </c:pt>
              </c:numCache>
            </c:numRef>
          </c:val>
          <c:smooth val="0"/>
          <c:extLst>
            <c:ext xmlns:c16="http://schemas.microsoft.com/office/drawing/2014/chart" uri="{C3380CC4-5D6E-409C-BE32-E72D297353CC}">
              <c16:uniqueId val="{00000003-4D58-4FFB-832E-DF5D0C9D9F6A}"/>
            </c:ext>
          </c:extLst>
        </c:ser>
        <c:ser>
          <c:idx val="4"/>
          <c:order val="4"/>
          <c:tx>
            <c:strRef>
              <c:f>'Graf 2019'!$A$6</c:f>
              <c:strCache>
                <c:ptCount val="1"/>
                <c:pt idx="0">
                  <c:v>Meta</c:v>
                </c:pt>
              </c:strCache>
            </c:strRef>
          </c:tx>
          <c:spPr>
            <a:ln w="28575" cap="rnd">
              <a:solidFill>
                <a:schemeClr val="accent5"/>
              </a:solidFill>
              <a:round/>
            </a:ln>
            <a:effectLst/>
          </c:spPr>
          <c:marker>
            <c:symbol val="none"/>
          </c:marker>
          <c:cat>
            <c:strRef>
              <c:f>'Graf 2019'!$B$1:$J$1</c:f>
              <c:strCache>
                <c:ptCount val="9"/>
                <c:pt idx="0">
                  <c:v>ABR</c:v>
                </c:pt>
                <c:pt idx="1">
                  <c:v>MAI</c:v>
                </c:pt>
                <c:pt idx="2">
                  <c:v>JUN</c:v>
                </c:pt>
                <c:pt idx="3">
                  <c:v>JUL</c:v>
                </c:pt>
                <c:pt idx="4">
                  <c:v>AGO</c:v>
                </c:pt>
                <c:pt idx="5">
                  <c:v>SET</c:v>
                </c:pt>
                <c:pt idx="6">
                  <c:v>OUT</c:v>
                </c:pt>
                <c:pt idx="7">
                  <c:v>NOV</c:v>
                </c:pt>
                <c:pt idx="8">
                  <c:v>DEZ</c:v>
                </c:pt>
              </c:strCache>
            </c:strRef>
          </c:cat>
          <c:val>
            <c:numRef>
              <c:f>'Graf 2019'!$B$6:$J$6</c:f>
              <c:numCache>
                <c:formatCode>0.00</c:formatCode>
                <c:ptCount val="9"/>
                <c:pt idx="1">
                  <c:v>4</c:v>
                </c:pt>
                <c:pt idx="2">
                  <c:v>4</c:v>
                </c:pt>
                <c:pt idx="3">
                  <c:v>4</c:v>
                </c:pt>
                <c:pt idx="4">
                  <c:v>4</c:v>
                </c:pt>
                <c:pt idx="5">
                  <c:v>4</c:v>
                </c:pt>
                <c:pt idx="6">
                  <c:v>4</c:v>
                </c:pt>
                <c:pt idx="7">
                  <c:v>4</c:v>
                </c:pt>
                <c:pt idx="8">
                  <c:v>4</c:v>
                </c:pt>
              </c:numCache>
            </c:numRef>
          </c:val>
          <c:smooth val="0"/>
          <c:extLst>
            <c:ext xmlns:c16="http://schemas.microsoft.com/office/drawing/2014/chart" uri="{C3380CC4-5D6E-409C-BE32-E72D297353CC}">
              <c16:uniqueId val="{00000004-4D58-4FFB-832E-DF5D0C9D9F6A}"/>
            </c:ext>
          </c:extLst>
        </c:ser>
        <c:dLbls>
          <c:showLegendKey val="0"/>
          <c:showVal val="0"/>
          <c:showCatName val="0"/>
          <c:showSerName val="0"/>
          <c:showPercent val="0"/>
          <c:showBubbleSize val="0"/>
        </c:dLbls>
        <c:marker val="1"/>
        <c:smooth val="0"/>
        <c:axId val="169983360"/>
        <c:axId val="170001536"/>
      </c:lineChart>
      <c:catAx>
        <c:axId val="16998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001536"/>
        <c:crosses val="autoZero"/>
        <c:auto val="1"/>
        <c:lblAlgn val="ctr"/>
        <c:lblOffset val="100"/>
        <c:noMultiLvlLbl val="0"/>
      </c:catAx>
      <c:valAx>
        <c:axId val="17000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9983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Polímero</a:t>
            </a:r>
            <a:r>
              <a:rPr lang="pt-BR" baseline="0"/>
              <a:t> Catiônico (g/t cana)</a:t>
            </a:r>
            <a:endParaRPr lang="pt-BR"/>
          </a:p>
        </c:rich>
      </c:tx>
      <c:overlay val="0"/>
      <c:spPr>
        <a:noFill/>
        <a:ln>
          <a:noFill/>
        </a:ln>
        <a:effectLst/>
      </c:spPr>
    </c:title>
    <c:autoTitleDeleted val="0"/>
    <c:plotArea>
      <c:layout/>
      <c:barChart>
        <c:barDir val="col"/>
        <c:grouping val="clustered"/>
        <c:varyColors val="0"/>
        <c:ser>
          <c:idx val="0"/>
          <c:order val="0"/>
          <c:tx>
            <c:strRef>
              <c:f>'Graf 2019'!$A$16</c:f>
              <c:strCache>
                <c:ptCount val="1"/>
                <c:pt idx="0">
                  <c:v>Polímero Catiônico</c:v>
                </c:pt>
              </c:strCache>
            </c:strRef>
          </c:tx>
          <c:spPr>
            <a:solidFill>
              <a:schemeClr val="accent1"/>
            </a:solidFill>
            <a:ln>
              <a:noFill/>
            </a:ln>
            <a:effectLst/>
          </c:spPr>
          <c:invertIfNegative val="0"/>
          <c:cat>
            <c:strRef>
              <c:f>'Graf 2019'!$B$15:$J$15</c:f>
              <c:strCache>
                <c:ptCount val="9"/>
                <c:pt idx="0">
                  <c:v>ABR</c:v>
                </c:pt>
                <c:pt idx="1">
                  <c:v>MAI</c:v>
                </c:pt>
                <c:pt idx="2">
                  <c:v>JUN</c:v>
                </c:pt>
                <c:pt idx="3">
                  <c:v>JUL</c:v>
                </c:pt>
                <c:pt idx="4">
                  <c:v>AGO</c:v>
                </c:pt>
                <c:pt idx="5">
                  <c:v>SET</c:v>
                </c:pt>
                <c:pt idx="6">
                  <c:v>OUT</c:v>
                </c:pt>
                <c:pt idx="7">
                  <c:v>NOV</c:v>
                </c:pt>
                <c:pt idx="8">
                  <c:v>DEZ</c:v>
                </c:pt>
              </c:strCache>
            </c:strRef>
          </c:cat>
          <c:val>
            <c:numRef>
              <c:f>'Graf 2019'!$B$16:$J$16</c:f>
              <c:numCache>
                <c:formatCode>General</c:formatCode>
                <c:ptCount val="9"/>
                <c:pt idx="0">
                  <c:v>8.24</c:v>
                </c:pt>
                <c:pt idx="1">
                  <c:v>9.83</c:v>
                </c:pt>
                <c:pt idx="2">
                  <c:v>6.5</c:v>
                </c:pt>
                <c:pt idx="3">
                  <c:v>6.51</c:v>
                </c:pt>
                <c:pt idx="4">
                  <c:v>7.72</c:v>
                </c:pt>
                <c:pt idx="5">
                  <c:v>10.69</c:v>
                </c:pt>
                <c:pt idx="6">
                  <c:v>10.61</c:v>
                </c:pt>
                <c:pt idx="7">
                  <c:v>13.17</c:v>
                </c:pt>
                <c:pt idx="8">
                  <c:v>13.5</c:v>
                </c:pt>
              </c:numCache>
            </c:numRef>
          </c:val>
          <c:extLst>
            <c:ext xmlns:c16="http://schemas.microsoft.com/office/drawing/2014/chart" uri="{C3380CC4-5D6E-409C-BE32-E72D297353CC}">
              <c16:uniqueId val="{00000000-924D-4686-A23E-14AA4D5DDD3F}"/>
            </c:ext>
          </c:extLst>
        </c:ser>
        <c:dLbls>
          <c:showLegendKey val="0"/>
          <c:showVal val="0"/>
          <c:showCatName val="0"/>
          <c:showSerName val="0"/>
          <c:showPercent val="0"/>
          <c:showBubbleSize val="0"/>
        </c:dLbls>
        <c:gapWidth val="219"/>
        <c:overlap val="-27"/>
        <c:axId val="170050688"/>
        <c:axId val="170052224"/>
      </c:barChart>
      <c:lineChart>
        <c:grouping val="standard"/>
        <c:varyColors val="0"/>
        <c:ser>
          <c:idx val="1"/>
          <c:order val="1"/>
          <c:tx>
            <c:strRef>
              <c:f>'Graf 2019'!$A$17</c:f>
              <c:strCache>
                <c:ptCount val="1"/>
                <c:pt idx="0">
                  <c:v>Acum. Polímero Catiônico</c:v>
                </c:pt>
              </c:strCache>
            </c:strRef>
          </c:tx>
          <c:spPr>
            <a:ln w="28575" cap="rnd">
              <a:solidFill>
                <a:schemeClr val="accent2"/>
              </a:solidFill>
              <a:round/>
            </a:ln>
            <a:effectLst/>
          </c:spPr>
          <c:marker>
            <c:symbol val="none"/>
          </c:marker>
          <c:cat>
            <c:strRef>
              <c:f>'Graf 2019'!$B$15:$J$15</c:f>
              <c:strCache>
                <c:ptCount val="9"/>
                <c:pt idx="0">
                  <c:v>ABR</c:v>
                </c:pt>
                <c:pt idx="1">
                  <c:v>MAI</c:v>
                </c:pt>
                <c:pt idx="2">
                  <c:v>JUN</c:v>
                </c:pt>
                <c:pt idx="3">
                  <c:v>JUL</c:v>
                </c:pt>
                <c:pt idx="4">
                  <c:v>AGO</c:v>
                </c:pt>
                <c:pt idx="5">
                  <c:v>SET</c:v>
                </c:pt>
                <c:pt idx="6">
                  <c:v>OUT</c:v>
                </c:pt>
                <c:pt idx="7">
                  <c:v>NOV</c:v>
                </c:pt>
                <c:pt idx="8">
                  <c:v>DEZ</c:v>
                </c:pt>
              </c:strCache>
            </c:strRef>
          </c:cat>
          <c:val>
            <c:numRef>
              <c:f>'Graf 2019'!$B$17:$J$17</c:f>
              <c:numCache>
                <c:formatCode>General</c:formatCode>
                <c:ptCount val="9"/>
                <c:pt idx="0">
                  <c:v>8.24</c:v>
                </c:pt>
                <c:pt idx="1">
                  <c:v>9.7799999999999994</c:v>
                </c:pt>
                <c:pt idx="2">
                  <c:v>7.99</c:v>
                </c:pt>
                <c:pt idx="3">
                  <c:v>7.47</c:v>
                </c:pt>
                <c:pt idx="4">
                  <c:v>7.54</c:v>
                </c:pt>
                <c:pt idx="5">
                  <c:v>8.09</c:v>
                </c:pt>
                <c:pt idx="6">
                  <c:v>8.52</c:v>
                </c:pt>
                <c:pt idx="7">
                  <c:v>8.9700000000000006</c:v>
                </c:pt>
                <c:pt idx="8">
                  <c:v>9.0500000000000007</c:v>
                </c:pt>
              </c:numCache>
            </c:numRef>
          </c:val>
          <c:smooth val="0"/>
          <c:extLst>
            <c:ext xmlns:c16="http://schemas.microsoft.com/office/drawing/2014/chart" uri="{C3380CC4-5D6E-409C-BE32-E72D297353CC}">
              <c16:uniqueId val="{00000001-924D-4686-A23E-14AA4D5DDD3F}"/>
            </c:ext>
          </c:extLst>
        </c:ser>
        <c:ser>
          <c:idx val="2"/>
          <c:order val="2"/>
          <c:tx>
            <c:strRef>
              <c:f>'Graf 2019'!$A$18</c:f>
              <c:strCache>
                <c:ptCount val="1"/>
                <c:pt idx="0">
                  <c:v>Meta Acum. Polímero Catiônico</c:v>
                </c:pt>
              </c:strCache>
            </c:strRef>
          </c:tx>
          <c:spPr>
            <a:ln w="28575" cap="rnd">
              <a:solidFill>
                <a:schemeClr val="accent3"/>
              </a:solidFill>
              <a:round/>
            </a:ln>
            <a:effectLst/>
          </c:spPr>
          <c:marker>
            <c:symbol val="none"/>
          </c:marker>
          <c:cat>
            <c:strRef>
              <c:f>'Graf 2019'!$B$15:$J$15</c:f>
              <c:strCache>
                <c:ptCount val="9"/>
                <c:pt idx="0">
                  <c:v>ABR</c:v>
                </c:pt>
                <c:pt idx="1">
                  <c:v>MAI</c:v>
                </c:pt>
                <c:pt idx="2">
                  <c:v>JUN</c:v>
                </c:pt>
                <c:pt idx="3">
                  <c:v>JUL</c:v>
                </c:pt>
                <c:pt idx="4">
                  <c:v>AGO</c:v>
                </c:pt>
                <c:pt idx="5">
                  <c:v>SET</c:v>
                </c:pt>
                <c:pt idx="6">
                  <c:v>OUT</c:v>
                </c:pt>
                <c:pt idx="7">
                  <c:v>NOV</c:v>
                </c:pt>
                <c:pt idx="8">
                  <c:v>DEZ</c:v>
                </c:pt>
              </c:strCache>
            </c:strRef>
          </c:cat>
          <c:val>
            <c:numRef>
              <c:f>'Graf 2019'!$B$18:$J$18</c:f>
              <c:numCache>
                <c:formatCode>0.00</c:formatCode>
                <c:ptCount val="9"/>
                <c:pt idx="0">
                  <c:v>9.5</c:v>
                </c:pt>
                <c:pt idx="1">
                  <c:v>9.5</c:v>
                </c:pt>
                <c:pt idx="2">
                  <c:v>9.5</c:v>
                </c:pt>
                <c:pt idx="3">
                  <c:v>9.5</c:v>
                </c:pt>
                <c:pt idx="4">
                  <c:v>9.5</c:v>
                </c:pt>
                <c:pt idx="5">
                  <c:v>9.5</c:v>
                </c:pt>
                <c:pt idx="6">
                  <c:v>9.5</c:v>
                </c:pt>
                <c:pt idx="7">
                  <c:v>9.5</c:v>
                </c:pt>
                <c:pt idx="8">
                  <c:v>9.5</c:v>
                </c:pt>
              </c:numCache>
            </c:numRef>
          </c:val>
          <c:smooth val="0"/>
          <c:extLst>
            <c:ext xmlns:c16="http://schemas.microsoft.com/office/drawing/2014/chart" uri="{C3380CC4-5D6E-409C-BE32-E72D297353CC}">
              <c16:uniqueId val="{00000002-924D-4686-A23E-14AA4D5DDD3F}"/>
            </c:ext>
          </c:extLst>
        </c:ser>
        <c:dLbls>
          <c:showLegendKey val="0"/>
          <c:showVal val="0"/>
          <c:showCatName val="0"/>
          <c:showSerName val="0"/>
          <c:showPercent val="0"/>
          <c:showBubbleSize val="0"/>
        </c:dLbls>
        <c:marker val="1"/>
        <c:smooth val="0"/>
        <c:axId val="170050688"/>
        <c:axId val="170052224"/>
      </c:lineChart>
      <c:catAx>
        <c:axId val="17005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052224"/>
        <c:crosses val="autoZero"/>
        <c:auto val="1"/>
        <c:lblAlgn val="ctr"/>
        <c:lblOffset val="100"/>
        <c:noMultiLvlLbl val="0"/>
      </c:catAx>
      <c:valAx>
        <c:axId val="17005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05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Polímero</a:t>
            </a:r>
            <a:r>
              <a:rPr lang="pt-BR" baseline="0"/>
              <a:t> Aniônico (g/t cana)</a:t>
            </a:r>
            <a:endParaRPr lang="pt-BR"/>
          </a:p>
        </c:rich>
      </c:tx>
      <c:overlay val="0"/>
      <c:spPr>
        <a:noFill/>
        <a:ln>
          <a:noFill/>
        </a:ln>
        <a:effectLst/>
      </c:spPr>
    </c:title>
    <c:autoTitleDeleted val="0"/>
    <c:plotArea>
      <c:layout/>
      <c:barChart>
        <c:barDir val="col"/>
        <c:grouping val="clustered"/>
        <c:varyColors val="0"/>
        <c:ser>
          <c:idx val="0"/>
          <c:order val="0"/>
          <c:tx>
            <c:strRef>
              <c:f>'Graf 2019'!$A$20</c:f>
              <c:strCache>
                <c:ptCount val="1"/>
                <c:pt idx="0">
                  <c:v>Polímero Aniônico</c:v>
                </c:pt>
              </c:strCache>
            </c:strRef>
          </c:tx>
          <c:spPr>
            <a:solidFill>
              <a:schemeClr val="accent1"/>
            </a:solidFill>
            <a:ln>
              <a:noFill/>
            </a:ln>
            <a:effectLst/>
          </c:spPr>
          <c:invertIfNegative val="0"/>
          <c:cat>
            <c:strRef>
              <c:f>'Graf 2019'!$B$19:$J$19</c:f>
              <c:strCache>
                <c:ptCount val="9"/>
                <c:pt idx="0">
                  <c:v>ABR</c:v>
                </c:pt>
                <c:pt idx="1">
                  <c:v>MAI</c:v>
                </c:pt>
                <c:pt idx="2">
                  <c:v>JUN</c:v>
                </c:pt>
                <c:pt idx="3">
                  <c:v>JUL</c:v>
                </c:pt>
                <c:pt idx="4">
                  <c:v>AGO</c:v>
                </c:pt>
                <c:pt idx="5">
                  <c:v>SET</c:v>
                </c:pt>
                <c:pt idx="6">
                  <c:v>OUT</c:v>
                </c:pt>
                <c:pt idx="7">
                  <c:v>NOV</c:v>
                </c:pt>
                <c:pt idx="8">
                  <c:v>DEZ</c:v>
                </c:pt>
              </c:strCache>
            </c:strRef>
          </c:cat>
          <c:val>
            <c:numRef>
              <c:f>'Graf 2019'!$B$20:$J$20</c:f>
              <c:numCache>
                <c:formatCode>General</c:formatCode>
                <c:ptCount val="9"/>
                <c:pt idx="0">
                  <c:v>1.94</c:v>
                </c:pt>
                <c:pt idx="1">
                  <c:v>2.78</c:v>
                </c:pt>
                <c:pt idx="2">
                  <c:v>2.33</c:v>
                </c:pt>
                <c:pt idx="3">
                  <c:v>2.31</c:v>
                </c:pt>
                <c:pt idx="4">
                  <c:v>2.57</c:v>
                </c:pt>
                <c:pt idx="5">
                  <c:v>3.01</c:v>
                </c:pt>
                <c:pt idx="6">
                  <c:v>2.88</c:v>
                </c:pt>
                <c:pt idx="7">
                  <c:v>3.02</c:v>
                </c:pt>
                <c:pt idx="8">
                  <c:v>3.01</c:v>
                </c:pt>
              </c:numCache>
            </c:numRef>
          </c:val>
          <c:extLst>
            <c:ext xmlns:c16="http://schemas.microsoft.com/office/drawing/2014/chart" uri="{C3380CC4-5D6E-409C-BE32-E72D297353CC}">
              <c16:uniqueId val="{00000000-282A-40BE-B0C4-562F1BF3AEDA}"/>
            </c:ext>
          </c:extLst>
        </c:ser>
        <c:dLbls>
          <c:showLegendKey val="0"/>
          <c:showVal val="0"/>
          <c:showCatName val="0"/>
          <c:showSerName val="0"/>
          <c:showPercent val="0"/>
          <c:showBubbleSize val="0"/>
        </c:dLbls>
        <c:gapWidth val="219"/>
        <c:overlap val="-27"/>
        <c:axId val="170113664"/>
        <c:axId val="170127744"/>
      </c:barChart>
      <c:lineChart>
        <c:grouping val="standard"/>
        <c:varyColors val="0"/>
        <c:ser>
          <c:idx val="1"/>
          <c:order val="1"/>
          <c:tx>
            <c:strRef>
              <c:f>'Graf 2019'!$A$21</c:f>
              <c:strCache>
                <c:ptCount val="1"/>
                <c:pt idx="0">
                  <c:v>Acum. Polímero Aniônico</c:v>
                </c:pt>
              </c:strCache>
            </c:strRef>
          </c:tx>
          <c:spPr>
            <a:ln w="28575" cap="rnd">
              <a:solidFill>
                <a:schemeClr val="accent2"/>
              </a:solidFill>
              <a:round/>
            </a:ln>
            <a:effectLst/>
          </c:spPr>
          <c:marker>
            <c:symbol val="none"/>
          </c:marker>
          <c:cat>
            <c:strRef>
              <c:f>'Graf 2019'!$B$19:$J$19</c:f>
              <c:strCache>
                <c:ptCount val="9"/>
                <c:pt idx="0">
                  <c:v>ABR</c:v>
                </c:pt>
                <c:pt idx="1">
                  <c:v>MAI</c:v>
                </c:pt>
                <c:pt idx="2">
                  <c:v>JUN</c:v>
                </c:pt>
                <c:pt idx="3">
                  <c:v>JUL</c:v>
                </c:pt>
                <c:pt idx="4">
                  <c:v>AGO</c:v>
                </c:pt>
                <c:pt idx="5">
                  <c:v>SET</c:v>
                </c:pt>
                <c:pt idx="6">
                  <c:v>OUT</c:v>
                </c:pt>
                <c:pt idx="7">
                  <c:v>NOV</c:v>
                </c:pt>
                <c:pt idx="8">
                  <c:v>DEZ</c:v>
                </c:pt>
              </c:strCache>
            </c:strRef>
          </c:cat>
          <c:val>
            <c:numRef>
              <c:f>'Graf 2019'!$B$21:$J$21</c:f>
              <c:numCache>
                <c:formatCode>General</c:formatCode>
                <c:ptCount val="9"/>
                <c:pt idx="0">
                  <c:v>1.94</c:v>
                </c:pt>
                <c:pt idx="1">
                  <c:v>2.76</c:v>
                </c:pt>
                <c:pt idx="2">
                  <c:v>2.5299999999999998</c:v>
                </c:pt>
                <c:pt idx="3">
                  <c:v>2.4500000000000002</c:v>
                </c:pt>
                <c:pt idx="4">
                  <c:v>2.4700000000000002</c:v>
                </c:pt>
                <c:pt idx="5">
                  <c:v>2.56</c:v>
                </c:pt>
                <c:pt idx="6">
                  <c:v>2.61</c:v>
                </c:pt>
                <c:pt idx="7">
                  <c:v>2.65</c:v>
                </c:pt>
                <c:pt idx="8">
                  <c:v>2.66</c:v>
                </c:pt>
              </c:numCache>
            </c:numRef>
          </c:val>
          <c:smooth val="0"/>
          <c:extLst>
            <c:ext xmlns:c16="http://schemas.microsoft.com/office/drawing/2014/chart" uri="{C3380CC4-5D6E-409C-BE32-E72D297353CC}">
              <c16:uniqueId val="{00000001-282A-40BE-B0C4-562F1BF3AEDA}"/>
            </c:ext>
          </c:extLst>
        </c:ser>
        <c:ser>
          <c:idx val="2"/>
          <c:order val="2"/>
          <c:tx>
            <c:strRef>
              <c:f>'Graf 2019'!$A$22</c:f>
              <c:strCache>
                <c:ptCount val="1"/>
                <c:pt idx="0">
                  <c:v>Meta Acum. Polímero Aniônico</c:v>
                </c:pt>
              </c:strCache>
            </c:strRef>
          </c:tx>
          <c:spPr>
            <a:ln w="28575" cap="rnd">
              <a:solidFill>
                <a:schemeClr val="accent3"/>
              </a:solidFill>
              <a:round/>
            </a:ln>
            <a:effectLst/>
          </c:spPr>
          <c:marker>
            <c:symbol val="none"/>
          </c:marker>
          <c:cat>
            <c:strRef>
              <c:f>'Graf 2019'!$B$19:$J$19</c:f>
              <c:strCache>
                <c:ptCount val="9"/>
                <c:pt idx="0">
                  <c:v>ABR</c:v>
                </c:pt>
                <c:pt idx="1">
                  <c:v>MAI</c:v>
                </c:pt>
                <c:pt idx="2">
                  <c:v>JUN</c:v>
                </c:pt>
                <c:pt idx="3">
                  <c:v>JUL</c:v>
                </c:pt>
                <c:pt idx="4">
                  <c:v>AGO</c:v>
                </c:pt>
                <c:pt idx="5">
                  <c:v>SET</c:v>
                </c:pt>
                <c:pt idx="6">
                  <c:v>OUT</c:v>
                </c:pt>
                <c:pt idx="7">
                  <c:v>NOV</c:v>
                </c:pt>
                <c:pt idx="8">
                  <c:v>DEZ</c:v>
                </c:pt>
              </c:strCache>
            </c:strRef>
          </c:cat>
          <c:val>
            <c:numRef>
              <c:f>'Graf 2019'!$B$22:$J$22</c:f>
              <c:numCache>
                <c:formatCode>0.00</c:formatCode>
                <c:ptCount val="9"/>
                <c:pt idx="0">
                  <c:v>3</c:v>
                </c:pt>
                <c:pt idx="1">
                  <c:v>3</c:v>
                </c:pt>
                <c:pt idx="2">
                  <c:v>3</c:v>
                </c:pt>
                <c:pt idx="3">
                  <c:v>3</c:v>
                </c:pt>
                <c:pt idx="4">
                  <c:v>3</c:v>
                </c:pt>
                <c:pt idx="5">
                  <c:v>3</c:v>
                </c:pt>
                <c:pt idx="6">
                  <c:v>3</c:v>
                </c:pt>
                <c:pt idx="7">
                  <c:v>3</c:v>
                </c:pt>
                <c:pt idx="8">
                  <c:v>3</c:v>
                </c:pt>
              </c:numCache>
            </c:numRef>
          </c:val>
          <c:smooth val="0"/>
          <c:extLst>
            <c:ext xmlns:c16="http://schemas.microsoft.com/office/drawing/2014/chart" uri="{C3380CC4-5D6E-409C-BE32-E72D297353CC}">
              <c16:uniqueId val="{00000002-282A-40BE-B0C4-562F1BF3AEDA}"/>
            </c:ext>
          </c:extLst>
        </c:ser>
        <c:dLbls>
          <c:showLegendKey val="0"/>
          <c:showVal val="0"/>
          <c:showCatName val="0"/>
          <c:showSerName val="0"/>
          <c:showPercent val="0"/>
          <c:showBubbleSize val="0"/>
        </c:dLbls>
        <c:marker val="1"/>
        <c:smooth val="0"/>
        <c:axId val="170113664"/>
        <c:axId val="170127744"/>
      </c:lineChart>
      <c:catAx>
        <c:axId val="1701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127744"/>
        <c:crosses val="autoZero"/>
        <c:auto val="1"/>
        <c:lblAlgn val="ctr"/>
        <c:lblOffset val="100"/>
        <c:noMultiLvlLbl val="0"/>
      </c:catAx>
      <c:valAx>
        <c:axId val="17012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113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Dióxido de Cloro (g/L)</a:t>
            </a:r>
          </a:p>
        </c:rich>
      </c:tx>
      <c:overlay val="0"/>
      <c:spPr>
        <a:noFill/>
        <a:ln>
          <a:noFill/>
        </a:ln>
        <a:effectLst/>
      </c:spPr>
    </c:title>
    <c:autoTitleDeleted val="0"/>
    <c:plotArea>
      <c:layout/>
      <c:barChart>
        <c:barDir val="col"/>
        <c:grouping val="clustered"/>
        <c:varyColors val="0"/>
        <c:ser>
          <c:idx val="0"/>
          <c:order val="0"/>
          <c:tx>
            <c:strRef>
              <c:f>'Graf 2019'!$A$24</c:f>
              <c:strCache>
                <c:ptCount val="1"/>
                <c:pt idx="0">
                  <c:v>Dióxido de Cloro</c:v>
                </c:pt>
              </c:strCache>
            </c:strRef>
          </c:tx>
          <c:spPr>
            <a:solidFill>
              <a:schemeClr val="accent1"/>
            </a:solidFill>
            <a:ln>
              <a:noFill/>
            </a:ln>
            <a:effectLst/>
          </c:spPr>
          <c:invertIfNegative val="0"/>
          <c:cat>
            <c:strRef>
              <c:f>'Graf 2019'!$B$23:$J$23</c:f>
              <c:strCache>
                <c:ptCount val="9"/>
                <c:pt idx="0">
                  <c:v>ABR</c:v>
                </c:pt>
                <c:pt idx="1">
                  <c:v>MAI</c:v>
                </c:pt>
                <c:pt idx="2">
                  <c:v>JUN</c:v>
                </c:pt>
                <c:pt idx="3">
                  <c:v>JUL</c:v>
                </c:pt>
                <c:pt idx="4">
                  <c:v>AGO</c:v>
                </c:pt>
                <c:pt idx="5">
                  <c:v>SET</c:v>
                </c:pt>
                <c:pt idx="6">
                  <c:v>OUT</c:v>
                </c:pt>
                <c:pt idx="7">
                  <c:v>NOV</c:v>
                </c:pt>
                <c:pt idx="8">
                  <c:v>DEZ</c:v>
                </c:pt>
              </c:strCache>
            </c:strRef>
          </c:cat>
          <c:val>
            <c:numRef>
              <c:f>'Graf 2019'!$B$24:$J$24</c:f>
              <c:numCache>
                <c:formatCode>General</c:formatCode>
                <c:ptCount val="9"/>
                <c:pt idx="1">
                  <c:v>0.21</c:v>
                </c:pt>
                <c:pt idx="2">
                  <c:v>0.23</c:v>
                </c:pt>
                <c:pt idx="3">
                  <c:v>0.35</c:v>
                </c:pt>
                <c:pt idx="4">
                  <c:v>0.37</c:v>
                </c:pt>
                <c:pt idx="5">
                  <c:v>0.28000000000000003</c:v>
                </c:pt>
                <c:pt idx="6" formatCode="0.00">
                  <c:v>0.3</c:v>
                </c:pt>
                <c:pt idx="7" formatCode="0.00">
                  <c:v>0.23</c:v>
                </c:pt>
                <c:pt idx="8" formatCode="0.00">
                  <c:v>0.25</c:v>
                </c:pt>
              </c:numCache>
            </c:numRef>
          </c:val>
          <c:extLst>
            <c:ext xmlns:c16="http://schemas.microsoft.com/office/drawing/2014/chart" uri="{C3380CC4-5D6E-409C-BE32-E72D297353CC}">
              <c16:uniqueId val="{00000000-71A1-45E2-B068-20C737518E3C}"/>
            </c:ext>
          </c:extLst>
        </c:ser>
        <c:dLbls>
          <c:showLegendKey val="0"/>
          <c:showVal val="0"/>
          <c:showCatName val="0"/>
          <c:showSerName val="0"/>
          <c:showPercent val="0"/>
          <c:showBubbleSize val="0"/>
        </c:dLbls>
        <c:gapWidth val="219"/>
        <c:overlap val="-27"/>
        <c:axId val="170332544"/>
        <c:axId val="170334080"/>
      </c:barChart>
      <c:lineChart>
        <c:grouping val="standard"/>
        <c:varyColors val="0"/>
        <c:ser>
          <c:idx val="1"/>
          <c:order val="1"/>
          <c:tx>
            <c:strRef>
              <c:f>'Graf 2019'!$A$25</c:f>
              <c:strCache>
                <c:ptCount val="1"/>
                <c:pt idx="0">
                  <c:v>Acum. Dióxido de Cloro</c:v>
                </c:pt>
              </c:strCache>
            </c:strRef>
          </c:tx>
          <c:spPr>
            <a:ln w="28575" cap="rnd">
              <a:solidFill>
                <a:schemeClr val="accent2"/>
              </a:solidFill>
              <a:round/>
            </a:ln>
            <a:effectLst/>
          </c:spPr>
          <c:marker>
            <c:symbol val="none"/>
          </c:marker>
          <c:cat>
            <c:strRef>
              <c:f>'Graf 2019'!$B$23:$J$23</c:f>
              <c:strCache>
                <c:ptCount val="9"/>
                <c:pt idx="0">
                  <c:v>ABR</c:v>
                </c:pt>
                <c:pt idx="1">
                  <c:v>MAI</c:v>
                </c:pt>
                <c:pt idx="2">
                  <c:v>JUN</c:v>
                </c:pt>
                <c:pt idx="3">
                  <c:v>JUL</c:v>
                </c:pt>
                <c:pt idx="4">
                  <c:v>AGO</c:v>
                </c:pt>
                <c:pt idx="5">
                  <c:v>SET</c:v>
                </c:pt>
                <c:pt idx="6">
                  <c:v>OUT</c:v>
                </c:pt>
                <c:pt idx="7">
                  <c:v>NOV</c:v>
                </c:pt>
                <c:pt idx="8">
                  <c:v>DEZ</c:v>
                </c:pt>
              </c:strCache>
            </c:strRef>
          </c:cat>
          <c:val>
            <c:numRef>
              <c:f>'Graf 2019'!$B$25:$J$25</c:f>
              <c:numCache>
                <c:formatCode>General</c:formatCode>
                <c:ptCount val="9"/>
                <c:pt idx="1">
                  <c:v>0.21</c:v>
                </c:pt>
                <c:pt idx="2">
                  <c:v>0.23</c:v>
                </c:pt>
                <c:pt idx="3">
                  <c:v>0.27</c:v>
                </c:pt>
                <c:pt idx="4" formatCode="0.00">
                  <c:v>0.3</c:v>
                </c:pt>
                <c:pt idx="5" formatCode="0.00">
                  <c:v>0.3</c:v>
                </c:pt>
                <c:pt idx="6" formatCode="0.00">
                  <c:v>0.3</c:v>
                </c:pt>
                <c:pt idx="7" formatCode="0.00">
                  <c:v>0.28999999999999998</c:v>
                </c:pt>
                <c:pt idx="8" formatCode="0.00">
                  <c:v>0.28999999999999998</c:v>
                </c:pt>
              </c:numCache>
            </c:numRef>
          </c:val>
          <c:smooth val="0"/>
          <c:extLst>
            <c:ext xmlns:c16="http://schemas.microsoft.com/office/drawing/2014/chart" uri="{C3380CC4-5D6E-409C-BE32-E72D297353CC}">
              <c16:uniqueId val="{00000001-71A1-45E2-B068-20C737518E3C}"/>
            </c:ext>
          </c:extLst>
        </c:ser>
        <c:ser>
          <c:idx val="2"/>
          <c:order val="2"/>
          <c:tx>
            <c:strRef>
              <c:f>'Graf 2019'!$A$26</c:f>
              <c:strCache>
                <c:ptCount val="1"/>
                <c:pt idx="0">
                  <c:v>Meta Acum. Dióxido de Cloro</c:v>
                </c:pt>
              </c:strCache>
            </c:strRef>
          </c:tx>
          <c:spPr>
            <a:ln w="28575" cap="rnd">
              <a:solidFill>
                <a:schemeClr val="accent3"/>
              </a:solidFill>
              <a:round/>
            </a:ln>
            <a:effectLst/>
          </c:spPr>
          <c:marker>
            <c:symbol val="none"/>
          </c:marker>
          <c:cat>
            <c:strRef>
              <c:f>'Graf 2019'!$B$23:$J$23</c:f>
              <c:strCache>
                <c:ptCount val="9"/>
                <c:pt idx="0">
                  <c:v>ABR</c:v>
                </c:pt>
                <c:pt idx="1">
                  <c:v>MAI</c:v>
                </c:pt>
                <c:pt idx="2">
                  <c:v>JUN</c:v>
                </c:pt>
                <c:pt idx="3">
                  <c:v>JUL</c:v>
                </c:pt>
                <c:pt idx="4">
                  <c:v>AGO</c:v>
                </c:pt>
                <c:pt idx="5">
                  <c:v>SET</c:v>
                </c:pt>
                <c:pt idx="6">
                  <c:v>OUT</c:v>
                </c:pt>
                <c:pt idx="7">
                  <c:v>NOV</c:v>
                </c:pt>
                <c:pt idx="8">
                  <c:v>DEZ</c:v>
                </c:pt>
              </c:strCache>
            </c:strRef>
          </c:cat>
          <c:val>
            <c:numRef>
              <c:f>'Graf 2019'!$B$26:$J$26</c:f>
              <c:numCache>
                <c:formatCode>0.00</c:formatCode>
                <c:ptCount val="9"/>
                <c:pt idx="1">
                  <c:v>0.2</c:v>
                </c:pt>
                <c:pt idx="2">
                  <c:v>0.2</c:v>
                </c:pt>
                <c:pt idx="3">
                  <c:v>0.2</c:v>
                </c:pt>
                <c:pt idx="4">
                  <c:v>0.2</c:v>
                </c:pt>
                <c:pt idx="5">
                  <c:v>0.2</c:v>
                </c:pt>
                <c:pt idx="6">
                  <c:v>0.2</c:v>
                </c:pt>
                <c:pt idx="7">
                  <c:v>0.2</c:v>
                </c:pt>
                <c:pt idx="8">
                  <c:v>0.2</c:v>
                </c:pt>
              </c:numCache>
            </c:numRef>
          </c:val>
          <c:smooth val="0"/>
          <c:extLst>
            <c:ext xmlns:c16="http://schemas.microsoft.com/office/drawing/2014/chart" uri="{C3380CC4-5D6E-409C-BE32-E72D297353CC}">
              <c16:uniqueId val="{00000002-71A1-45E2-B068-20C737518E3C}"/>
            </c:ext>
          </c:extLst>
        </c:ser>
        <c:dLbls>
          <c:showLegendKey val="0"/>
          <c:showVal val="0"/>
          <c:showCatName val="0"/>
          <c:showSerName val="0"/>
          <c:showPercent val="0"/>
          <c:showBubbleSize val="0"/>
        </c:dLbls>
        <c:marker val="1"/>
        <c:smooth val="0"/>
        <c:axId val="170332544"/>
        <c:axId val="170334080"/>
      </c:lineChart>
      <c:catAx>
        <c:axId val="1703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334080"/>
        <c:crosses val="autoZero"/>
        <c:auto val="1"/>
        <c:lblAlgn val="ctr"/>
        <c:lblOffset val="100"/>
        <c:noMultiLvlLbl val="0"/>
      </c:catAx>
      <c:valAx>
        <c:axId val="17033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332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Nutriente (g/L)</a:t>
            </a:r>
          </a:p>
        </c:rich>
      </c:tx>
      <c:overlay val="0"/>
      <c:spPr>
        <a:noFill/>
        <a:ln>
          <a:noFill/>
        </a:ln>
        <a:effectLst/>
      </c:spPr>
    </c:title>
    <c:autoTitleDeleted val="0"/>
    <c:plotArea>
      <c:layout/>
      <c:barChart>
        <c:barDir val="col"/>
        <c:grouping val="clustered"/>
        <c:varyColors val="0"/>
        <c:ser>
          <c:idx val="0"/>
          <c:order val="0"/>
          <c:tx>
            <c:strRef>
              <c:f>'Graf 2019'!$A$28</c:f>
              <c:strCache>
                <c:ptCount val="1"/>
                <c:pt idx="0">
                  <c:v>Nutriente</c:v>
                </c:pt>
              </c:strCache>
            </c:strRef>
          </c:tx>
          <c:spPr>
            <a:solidFill>
              <a:schemeClr val="accent1"/>
            </a:solidFill>
            <a:ln>
              <a:noFill/>
            </a:ln>
            <a:effectLst/>
          </c:spPr>
          <c:invertIfNegative val="0"/>
          <c:cat>
            <c:strRef>
              <c:f>'Graf 2019'!$B$27:$J$27</c:f>
              <c:strCache>
                <c:ptCount val="9"/>
                <c:pt idx="0">
                  <c:v>ABR</c:v>
                </c:pt>
                <c:pt idx="1">
                  <c:v>MAI</c:v>
                </c:pt>
                <c:pt idx="2">
                  <c:v>JUN</c:v>
                </c:pt>
                <c:pt idx="3">
                  <c:v>JUL</c:v>
                </c:pt>
                <c:pt idx="4">
                  <c:v>AGO</c:v>
                </c:pt>
                <c:pt idx="5">
                  <c:v>SET</c:v>
                </c:pt>
                <c:pt idx="6">
                  <c:v>OUT</c:v>
                </c:pt>
                <c:pt idx="7">
                  <c:v>NOV</c:v>
                </c:pt>
                <c:pt idx="8">
                  <c:v>DEZ</c:v>
                </c:pt>
              </c:strCache>
            </c:strRef>
          </c:cat>
          <c:val>
            <c:numRef>
              <c:f>'Graf 2019'!$B$28:$J$28</c:f>
              <c:numCache>
                <c:formatCode>General</c:formatCode>
                <c:ptCount val="9"/>
                <c:pt idx="1">
                  <c:v>0.39</c:v>
                </c:pt>
                <c:pt idx="2">
                  <c:v>0.04</c:v>
                </c:pt>
                <c:pt idx="3">
                  <c:v>0.18</c:v>
                </c:pt>
                <c:pt idx="4">
                  <c:v>0</c:v>
                </c:pt>
                <c:pt idx="5">
                  <c:v>0.17</c:v>
                </c:pt>
                <c:pt idx="6">
                  <c:v>0.02</c:v>
                </c:pt>
                <c:pt idx="7">
                  <c:v>0.06</c:v>
                </c:pt>
                <c:pt idx="8">
                  <c:v>0</c:v>
                </c:pt>
              </c:numCache>
            </c:numRef>
          </c:val>
          <c:extLst>
            <c:ext xmlns:c16="http://schemas.microsoft.com/office/drawing/2014/chart" uri="{C3380CC4-5D6E-409C-BE32-E72D297353CC}">
              <c16:uniqueId val="{00000000-81BB-42C9-BEF6-B2292AEF4025}"/>
            </c:ext>
          </c:extLst>
        </c:ser>
        <c:dLbls>
          <c:showLegendKey val="0"/>
          <c:showVal val="0"/>
          <c:showCatName val="0"/>
          <c:showSerName val="0"/>
          <c:showPercent val="0"/>
          <c:showBubbleSize val="0"/>
        </c:dLbls>
        <c:gapWidth val="219"/>
        <c:overlap val="-27"/>
        <c:axId val="170379136"/>
        <c:axId val="170380672"/>
      </c:barChart>
      <c:lineChart>
        <c:grouping val="standard"/>
        <c:varyColors val="0"/>
        <c:ser>
          <c:idx val="1"/>
          <c:order val="1"/>
          <c:tx>
            <c:strRef>
              <c:f>'Graf 2019'!$A$29</c:f>
              <c:strCache>
                <c:ptCount val="1"/>
                <c:pt idx="0">
                  <c:v>Acum. Nutriente</c:v>
                </c:pt>
              </c:strCache>
            </c:strRef>
          </c:tx>
          <c:spPr>
            <a:ln w="28575" cap="rnd">
              <a:solidFill>
                <a:schemeClr val="accent2"/>
              </a:solidFill>
              <a:round/>
            </a:ln>
            <a:effectLst/>
          </c:spPr>
          <c:marker>
            <c:symbol val="none"/>
          </c:marker>
          <c:cat>
            <c:strRef>
              <c:f>'Graf 2019'!$B$27:$J$27</c:f>
              <c:strCache>
                <c:ptCount val="9"/>
                <c:pt idx="0">
                  <c:v>ABR</c:v>
                </c:pt>
                <c:pt idx="1">
                  <c:v>MAI</c:v>
                </c:pt>
                <c:pt idx="2">
                  <c:v>JUN</c:v>
                </c:pt>
                <c:pt idx="3">
                  <c:v>JUL</c:v>
                </c:pt>
                <c:pt idx="4">
                  <c:v>AGO</c:v>
                </c:pt>
                <c:pt idx="5">
                  <c:v>SET</c:v>
                </c:pt>
                <c:pt idx="6">
                  <c:v>OUT</c:v>
                </c:pt>
                <c:pt idx="7">
                  <c:v>NOV</c:v>
                </c:pt>
                <c:pt idx="8">
                  <c:v>DEZ</c:v>
                </c:pt>
              </c:strCache>
            </c:strRef>
          </c:cat>
          <c:val>
            <c:numRef>
              <c:f>'Graf 2019'!$B$29:$J$29</c:f>
              <c:numCache>
                <c:formatCode>General</c:formatCode>
                <c:ptCount val="9"/>
                <c:pt idx="1">
                  <c:v>0.39</c:v>
                </c:pt>
                <c:pt idx="2">
                  <c:v>0.19</c:v>
                </c:pt>
                <c:pt idx="3">
                  <c:v>0.18</c:v>
                </c:pt>
                <c:pt idx="4">
                  <c:v>0.13</c:v>
                </c:pt>
                <c:pt idx="5">
                  <c:v>0.14000000000000001</c:v>
                </c:pt>
                <c:pt idx="6">
                  <c:v>0.12</c:v>
                </c:pt>
                <c:pt idx="7">
                  <c:v>0.11</c:v>
                </c:pt>
                <c:pt idx="8">
                  <c:v>0.11</c:v>
                </c:pt>
              </c:numCache>
            </c:numRef>
          </c:val>
          <c:smooth val="0"/>
          <c:extLst>
            <c:ext xmlns:c16="http://schemas.microsoft.com/office/drawing/2014/chart" uri="{C3380CC4-5D6E-409C-BE32-E72D297353CC}">
              <c16:uniqueId val="{00000001-81BB-42C9-BEF6-B2292AEF4025}"/>
            </c:ext>
          </c:extLst>
        </c:ser>
        <c:ser>
          <c:idx val="2"/>
          <c:order val="2"/>
          <c:tx>
            <c:strRef>
              <c:f>'Graf 2019'!$A$30</c:f>
              <c:strCache>
                <c:ptCount val="1"/>
                <c:pt idx="0">
                  <c:v>Meta Acum. Nutriente</c:v>
                </c:pt>
              </c:strCache>
            </c:strRef>
          </c:tx>
          <c:spPr>
            <a:ln w="28575" cap="rnd">
              <a:solidFill>
                <a:schemeClr val="accent3"/>
              </a:solidFill>
              <a:round/>
            </a:ln>
            <a:effectLst/>
          </c:spPr>
          <c:marker>
            <c:symbol val="none"/>
          </c:marker>
          <c:cat>
            <c:strRef>
              <c:f>'Graf 2019'!$B$27:$J$27</c:f>
              <c:strCache>
                <c:ptCount val="9"/>
                <c:pt idx="0">
                  <c:v>ABR</c:v>
                </c:pt>
                <c:pt idx="1">
                  <c:v>MAI</c:v>
                </c:pt>
                <c:pt idx="2">
                  <c:v>JUN</c:v>
                </c:pt>
                <c:pt idx="3">
                  <c:v>JUL</c:v>
                </c:pt>
                <c:pt idx="4">
                  <c:v>AGO</c:v>
                </c:pt>
                <c:pt idx="5">
                  <c:v>SET</c:v>
                </c:pt>
                <c:pt idx="6">
                  <c:v>OUT</c:v>
                </c:pt>
                <c:pt idx="7">
                  <c:v>NOV</c:v>
                </c:pt>
                <c:pt idx="8">
                  <c:v>DEZ</c:v>
                </c:pt>
              </c:strCache>
            </c:strRef>
          </c:cat>
          <c:val>
            <c:numRef>
              <c:f>'Graf 2019'!$B$30:$J$30</c:f>
              <c:numCache>
                <c:formatCode>General</c:formatCode>
                <c:ptCount val="9"/>
                <c:pt idx="1">
                  <c:v>0.15</c:v>
                </c:pt>
                <c:pt idx="2">
                  <c:v>0.15</c:v>
                </c:pt>
                <c:pt idx="3">
                  <c:v>0.15</c:v>
                </c:pt>
                <c:pt idx="4">
                  <c:v>0.15</c:v>
                </c:pt>
                <c:pt idx="5">
                  <c:v>0.15</c:v>
                </c:pt>
                <c:pt idx="6">
                  <c:v>0.15</c:v>
                </c:pt>
                <c:pt idx="7">
                  <c:v>0.15</c:v>
                </c:pt>
                <c:pt idx="8">
                  <c:v>0.15</c:v>
                </c:pt>
              </c:numCache>
            </c:numRef>
          </c:val>
          <c:smooth val="0"/>
          <c:extLst>
            <c:ext xmlns:c16="http://schemas.microsoft.com/office/drawing/2014/chart" uri="{C3380CC4-5D6E-409C-BE32-E72D297353CC}">
              <c16:uniqueId val="{00000002-81BB-42C9-BEF6-B2292AEF4025}"/>
            </c:ext>
          </c:extLst>
        </c:ser>
        <c:dLbls>
          <c:showLegendKey val="0"/>
          <c:showVal val="0"/>
          <c:showCatName val="0"/>
          <c:showSerName val="0"/>
          <c:showPercent val="0"/>
          <c:showBubbleSize val="0"/>
        </c:dLbls>
        <c:marker val="1"/>
        <c:smooth val="0"/>
        <c:axId val="170379136"/>
        <c:axId val="170380672"/>
      </c:lineChart>
      <c:catAx>
        <c:axId val="17037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380672"/>
        <c:crosses val="autoZero"/>
        <c:auto val="1"/>
        <c:lblAlgn val="ctr"/>
        <c:lblOffset val="100"/>
        <c:noMultiLvlLbl val="0"/>
      </c:catAx>
      <c:valAx>
        <c:axId val="17038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379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Cal (g/t cana)</a:t>
            </a:r>
          </a:p>
        </c:rich>
      </c:tx>
      <c:overlay val="0"/>
      <c:spPr>
        <a:noFill/>
        <a:ln>
          <a:noFill/>
        </a:ln>
        <a:effectLst/>
      </c:spPr>
    </c:title>
    <c:autoTitleDeleted val="0"/>
    <c:plotArea>
      <c:layout/>
      <c:barChart>
        <c:barDir val="col"/>
        <c:grouping val="clustered"/>
        <c:varyColors val="0"/>
        <c:ser>
          <c:idx val="0"/>
          <c:order val="0"/>
          <c:tx>
            <c:strRef>
              <c:f>'Graf 2019'!$A$32</c:f>
              <c:strCache>
                <c:ptCount val="1"/>
                <c:pt idx="0">
                  <c:v>Cal</c:v>
                </c:pt>
              </c:strCache>
            </c:strRef>
          </c:tx>
          <c:spPr>
            <a:solidFill>
              <a:schemeClr val="accent1"/>
            </a:solidFill>
            <a:ln>
              <a:noFill/>
            </a:ln>
            <a:effectLst/>
          </c:spPr>
          <c:invertIfNegative val="0"/>
          <c:cat>
            <c:strRef>
              <c:f>'Graf 2019'!$B$31:$J$31</c:f>
              <c:strCache>
                <c:ptCount val="9"/>
                <c:pt idx="0">
                  <c:v>ABR</c:v>
                </c:pt>
                <c:pt idx="1">
                  <c:v>MAI</c:v>
                </c:pt>
                <c:pt idx="2">
                  <c:v>JUN</c:v>
                </c:pt>
                <c:pt idx="3">
                  <c:v>JUL</c:v>
                </c:pt>
                <c:pt idx="4">
                  <c:v>AGO</c:v>
                </c:pt>
                <c:pt idx="5">
                  <c:v>SET</c:v>
                </c:pt>
                <c:pt idx="6">
                  <c:v>OUT</c:v>
                </c:pt>
                <c:pt idx="7">
                  <c:v>NOV</c:v>
                </c:pt>
                <c:pt idx="8">
                  <c:v>DEZ</c:v>
                </c:pt>
              </c:strCache>
            </c:strRef>
          </c:cat>
          <c:val>
            <c:numRef>
              <c:f>'Graf 2019'!$B$32:$J$32</c:f>
              <c:numCache>
                <c:formatCode>General</c:formatCode>
                <c:ptCount val="9"/>
                <c:pt idx="1">
                  <c:v>692</c:v>
                </c:pt>
                <c:pt idx="2">
                  <c:v>354</c:v>
                </c:pt>
                <c:pt idx="3">
                  <c:v>388</c:v>
                </c:pt>
                <c:pt idx="4">
                  <c:v>469</c:v>
                </c:pt>
                <c:pt idx="5">
                  <c:v>428</c:v>
                </c:pt>
                <c:pt idx="6">
                  <c:v>416</c:v>
                </c:pt>
                <c:pt idx="7">
                  <c:v>374</c:v>
                </c:pt>
                <c:pt idx="8">
                  <c:v>0</c:v>
                </c:pt>
              </c:numCache>
            </c:numRef>
          </c:val>
          <c:extLst>
            <c:ext xmlns:c16="http://schemas.microsoft.com/office/drawing/2014/chart" uri="{C3380CC4-5D6E-409C-BE32-E72D297353CC}">
              <c16:uniqueId val="{00000000-835C-4275-8667-FED2A2691479}"/>
            </c:ext>
          </c:extLst>
        </c:ser>
        <c:dLbls>
          <c:showLegendKey val="0"/>
          <c:showVal val="0"/>
          <c:showCatName val="0"/>
          <c:showSerName val="0"/>
          <c:showPercent val="0"/>
          <c:showBubbleSize val="0"/>
        </c:dLbls>
        <c:gapWidth val="219"/>
        <c:overlap val="-27"/>
        <c:axId val="170634624"/>
        <c:axId val="170787968"/>
      </c:barChart>
      <c:lineChart>
        <c:grouping val="standard"/>
        <c:varyColors val="0"/>
        <c:ser>
          <c:idx val="1"/>
          <c:order val="1"/>
          <c:tx>
            <c:strRef>
              <c:f>'Graf 2019'!$A$33</c:f>
              <c:strCache>
                <c:ptCount val="1"/>
                <c:pt idx="0">
                  <c:v>Acum. Cal</c:v>
                </c:pt>
              </c:strCache>
            </c:strRef>
          </c:tx>
          <c:spPr>
            <a:ln w="28575" cap="rnd">
              <a:solidFill>
                <a:schemeClr val="accent2"/>
              </a:solidFill>
              <a:round/>
            </a:ln>
            <a:effectLst/>
          </c:spPr>
          <c:marker>
            <c:symbol val="none"/>
          </c:marker>
          <c:cat>
            <c:strRef>
              <c:f>'Graf 2019'!$B$31:$J$31</c:f>
              <c:strCache>
                <c:ptCount val="9"/>
                <c:pt idx="0">
                  <c:v>ABR</c:v>
                </c:pt>
                <c:pt idx="1">
                  <c:v>MAI</c:v>
                </c:pt>
                <c:pt idx="2">
                  <c:v>JUN</c:v>
                </c:pt>
                <c:pt idx="3">
                  <c:v>JUL</c:v>
                </c:pt>
                <c:pt idx="4">
                  <c:v>AGO</c:v>
                </c:pt>
                <c:pt idx="5">
                  <c:v>SET</c:v>
                </c:pt>
                <c:pt idx="6">
                  <c:v>OUT</c:v>
                </c:pt>
                <c:pt idx="7">
                  <c:v>NOV</c:v>
                </c:pt>
                <c:pt idx="8">
                  <c:v>DEZ</c:v>
                </c:pt>
              </c:strCache>
            </c:strRef>
          </c:cat>
          <c:val>
            <c:numRef>
              <c:f>'Graf 2019'!$B$33:$J$33</c:f>
              <c:numCache>
                <c:formatCode>General</c:formatCode>
                <c:ptCount val="9"/>
                <c:pt idx="1">
                  <c:v>671</c:v>
                </c:pt>
                <c:pt idx="2">
                  <c:v>498</c:v>
                </c:pt>
                <c:pt idx="3">
                  <c:v>459</c:v>
                </c:pt>
                <c:pt idx="4">
                  <c:v>462</c:v>
                </c:pt>
                <c:pt idx="5">
                  <c:v>456</c:v>
                </c:pt>
                <c:pt idx="6">
                  <c:v>449</c:v>
                </c:pt>
                <c:pt idx="7">
                  <c:v>442</c:v>
                </c:pt>
                <c:pt idx="8">
                  <c:v>434</c:v>
                </c:pt>
              </c:numCache>
            </c:numRef>
          </c:val>
          <c:smooth val="0"/>
          <c:extLst>
            <c:ext xmlns:c16="http://schemas.microsoft.com/office/drawing/2014/chart" uri="{C3380CC4-5D6E-409C-BE32-E72D297353CC}">
              <c16:uniqueId val="{00000001-835C-4275-8667-FED2A2691479}"/>
            </c:ext>
          </c:extLst>
        </c:ser>
        <c:ser>
          <c:idx val="2"/>
          <c:order val="2"/>
          <c:tx>
            <c:strRef>
              <c:f>'Graf 2019'!$A$34</c:f>
              <c:strCache>
                <c:ptCount val="1"/>
                <c:pt idx="0">
                  <c:v>Meta Acm. Cal</c:v>
                </c:pt>
              </c:strCache>
            </c:strRef>
          </c:tx>
          <c:spPr>
            <a:ln w="28575" cap="rnd">
              <a:solidFill>
                <a:schemeClr val="accent3"/>
              </a:solidFill>
              <a:round/>
            </a:ln>
            <a:effectLst/>
          </c:spPr>
          <c:marker>
            <c:symbol val="none"/>
          </c:marker>
          <c:cat>
            <c:strRef>
              <c:f>'Graf 2019'!$B$31:$J$31</c:f>
              <c:strCache>
                <c:ptCount val="9"/>
                <c:pt idx="0">
                  <c:v>ABR</c:v>
                </c:pt>
                <c:pt idx="1">
                  <c:v>MAI</c:v>
                </c:pt>
                <c:pt idx="2">
                  <c:v>JUN</c:v>
                </c:pt>
                <c:pt idx="3">
                  <c:v>JUL</c:v>
                </c:pt>
                <c:pt idx="4">
                  <c:v>AGO</c:v>
                </c:pt>
                <c:pt idx="5">
                  <c:v>SET</c:v>
                </c:pt>
                <c:pt idx="6">
                  <c:v>OUT</c:v>
                </c:pt>
                <c:pt idx="7">
                  <c:v>NOV</c:v>
                </c:pt>
                <c:pt idx="8">
                  <c:v>DEZ</c:v>
                </c:pt>
              </c:strCache>
            </c:strRef>
          </c:cat>
          <c:val>
            <c:numRef>
              <c:f>'Graf 2019'!$B$34:$J$34</c:f>
              <c:numCache>
                <c:formatCode>General</c:formatCode>
                <c:ptCount val="9"/>
                <c:pt idx="1">
                  <c:v>550</c:v>
                </c:pt>
                <c:pt idx="2">
                  <c:v>550</c:v>
                </c:pt>
                <c:pt idx="3">
                  <c:v>550</c:v>
                </c:pt>
                <c:pt idx="4">
                  <c:v>550</c:v>
                </c:pt>
                <c:pt idx="5">
                  <c:v>550</c:v>
                </c:pt>
                <c:pt idx="6">
                  <c:v>550</c:v>
                </c:pt>
                <c:pt idx="7">
                  <c:v>550</c:v>
                </c:pt>
                <c:pt idx="8">
                  <c:v>550</c:v>
                </c:pt>
              </c:numCache>
            </c:numRef>
          </c:val>
          <c:smooth val="0"/>
          <c:extLst>
            <c:ext xmlns:c16="http://schemas.microsoft.com/office/drawing/2014/chart" uri="{C3380CC4-5D6E-409C-BE32-E72D297353CC}">
              <c16:uniqueId val="{00000002-835C-4275-8667-FED2A2691479}"/>
            </c:ext>
          </c:extLst>
        </c:ser>
        <c:dLbls>
          <c:showLegendKey val="0"/>
          <c:showVal val="0"/>
          <c:showCatName val="0"/>
          <c:showSerName val="0"/>
          <c:showPercent val="0"/>
          <c:showBubbleSize val="0"/>
        </c:dLbls>
        <c:marker val="1"/>
        <c:smooth val="0"/>
        <c:axId val="170634624"/>
        <c:axId val="170787968"/>
      </c:lineChart>
      <c:catAx>
        <c:axId val="17063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787968"/>
        <c:crosses val="autoZero"/>
        <c:auto val="1"/>
        <c:lblAlgn val="ctr"/>
        <c:lblOffset val="100"/>
        <c:noMultiLvlLbl val="0"/>
      </c:catAx>
      <c:valAx>
        <c:axId val="1707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634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Soda Cáustica (g/t cana)</a:t>
            </a:r>
          </a:p>
        </c:rich>
      </c:tx>
      <c:overlay val="0"/>
      <c:spPr>
        <a:noFill/>
        <a:ln>
          <a:noFill/>
        </a:ln>
        <a:effectLst/>
      </c:spPr>
    </c:title>
    <c:autoTitleDeleted val="0"/>
    <c:plotArea>
      <c:layout/>
      <c:barChart>
        <c:barDir val="col"/>
        <c:grouping val="clustered"/>
        <c:varyColors val="0"/>
        <c:ser>
          <c:idx val="0"/>
          <c:order val="0"/>
          <c:tx>
            <c:strRef>
              <c:f>'Graf 2019'!$A$36</c:f>
              <c:strCache>
                <c:ptCount val="1"/>
                <c:pt idx="0">
                  <c:v>Soda</c:v>
                </c:pt>
              </c:strCache>
            </c:strRef>
          </c:tx>
          <c:spPr>
            <a:solidFill>
              <a:schemeClr val="accent1"/>
            </a:solidFill>
            <a:ln>
              <a:noFill/>
            </a:ln>
            <a:effectLst/>
          </c:spPr>
          <c:invertIfNegative val="0"/>
          <c:cat>
            <c:strRef>
              <c:f>'Graf 2019'!$B$35:$J$35</c:f>
              <c:strCache>
                <c:ptCount val="9"/>
                <c:pt idx="0">
                  <c:v>ABR</c:v>
                </c:pt>
                <c:pt idx="1">
                  <c:v>MAI</c:v>
                </c:pt>
                <c:pt idx="2">
                  <c:v>JUN</c:v>
                </c:pt>
                <c:pt idx="3">
                  <c:v>JUL</c:v>
                </c:pt>
                <c:pt idx="4">
                  <c:v>AGO</c:v>
                </c:pt>
                <c:pt idx="5">
                  <c:v>SET</c:v>
                </c:pt>
                <c:pt idx="6">
                  <c:v>OUT</c:v>
                </c:pt>
                <c:pt idx="7">
                  <c:v>NOV</c:v>
                </c:pt>
                <c:pt idx="8">
                  <c:v>DEZ</c:v>
                </c:pt>
              </c:strCache>
            </c:strRef>
          </c:cat>
          <c:val>
            <c:numRef>
              <c:f>'Graf 2019'!$B$36:$J$36</c:f>
              <c:numCache>
                <c:formatCode>General</c:formatCode>
                <c:ptCount val="9"/>
                <c:pt idx="1">
                  <c:v>180</c:v>
                </c:pt>
                <c:pt idx="2">
                  <c:v>71</c:v>
                </c:pt>
                <c:pt idx="3">
                  <c:v>32</c:v>
                </c:pt>
                <c:pt idx="4">
                  <c:v>57</c:v>
                </c:pt>
                <c:pt idx="5">
                  <c:v>104</c:v>
                </c:pt>
                <c:pt idx="6">
                  <c:v>82</c:v>
                </c:pt>
                <c:pt idx="7">
                  <c:v>26.46</c:v>
                </c:pt>
                <c:pt idx="8">
                  <c:v>0</c:v>
                </c:pt>
              </c:numCache>
            </c:numRef>
          </c:val>
          <c:extLst>
            <c:ext xmlns:c16="http://schemas.microsoft.com/office/drawing/2014/chart" uri="{C3380CC4-5D6E-409C-BE32-E72D297353CC}">
              <c16:uniqueId val="{00000000-5095-4386-8C70-463501A05961}"/>
            </c:ext>
          </c:extLst>
        </c:ser>
        <c:dLbls>
          <c:showLegendKey val="0"/>
          <c:showVal val="0"/>
          <c:showCatName val="0"/>
          <c:showSerName val="0"/>
          <c:showPercent val="0"/>
          <c:showBubbleSize val="0"/>
        </c:dLbls>
        <c:gapWidth val="219"/>
        <c:overlap val="-27"/>
        <c:axId val="170849792"/>
        <c:axId val="170851328"/>
      </c:barChart>
      <c:lineChart>
        <c:grouping val="standard"/>
        <c:varyColors val="0"/>
        <c:ser>
          <c:idx val="1"/>
          <c:order val="1"/>
          <c:tx>
            <c:strRef>
              <c:f>'Graf 2019'!$A$37</c:f>
              <c:strCache>
                <c:ptCount val="1"/>
                <c:pt idx="0">
                  <c:v>Acum. Soda</c:v>
                </c:pt>
              </c:strCache>
            </c:strRef>
          </c:tx>
          <c:spPr>
            <a:ln w="28575" cap="rnd">
              <a:solidFill>
                <a:schemeClr val="accent2"/>
              </a:solidFill>
              <a:round/>
            </a:ln>
            <a:effectLst/>
          </c:spPr>
          <c:marker>
            <c:symbol val="none"/>
          </c:marker>
          <c:cat>
            <c:strRef>
              <c:f>'Graf 2019'!$B$35:$J$35</c:f>
              <c:strCache>
                <c:ptCount val="9"/>
                <c:pt idx="0">
                  <c:v>ABR</c:v>
                </c:pt>
                <c:pt idx="1">
                  <c:v>MAI</c:v>
                </c:pt>
                <c:pt idx="2">
                  <c:v>JUN</c:v>
                </c:pt>
                <c:pt idx="3">
                  <c:v>JUL</c:v>
                </c:pt>
                <c:pt idx="4">
                  <c:v>AGO</c:v>
                </c:pt>
                <c:pt idx="5">
                  <c:v>SET</c:v>
                </c:pt>
                <c:pt idx="6">
                  <c:v>OUT</c:v>
                </c:pt>
                <c:pt idx="7">
                  <c:v>NOV</c:v>
                </c:pt>
                <c:pt idx="8">
                  <c:v>DEZ</c:v>
                </c:pt>
              </c:strCache>
            </c:strRef>
          </c:cat>
          <c:val>
            <c:numRef>
              <c:f>'Graf 2019'!$B$37:$J$37</c:f>
              <c:numCache>
                <c:formatCode>General</c:formatCode>
                <c:ptCount val="9"/>
                <c:pt idx="1">
                  <c:v>174</c:v>
                </c:pt>
                <c:pt idx="2">
                  <c:v>118</c:v>
                </c:pt>
                <c:pt idx="3">
                  <c:v>87</c:v>
                </c:pt>
                <c:pt idx="4">
                  <c:v>79</c:v>
                </c:pt>
                <c:pt idx="5">
                  <c:v>83</c:v>
                </c:pt>
                <c:pt idx="6">
                  <c:v>83</c:v>
                </c:pt>
                <c:pt idx="7">
                  <c:v>78</c:v>
                </c:pt>
                <c:pt idx="8">
                  <c:v>76</c:v>
                </c:pt>
              </c:numCache>
            </c:numRef>
          </c:val>
          <c:smooth val="0"/>
          <c:extLst>
            <c:ext xmlns:c16="http://schemas.microsoft.com/office/drawing/2014/chart" uri="{C3380CC4-5D6E-409C-BE32-E72D297353CC}">
              <c16:uniqueId val="{00000001-5095-4386-8C70-463501A05961}"/>
            </c:ext>
          </c:extLst>
        </c:ser>
        <c:ser>
          <c:idx val="2"/>
          <c:order val="2"/>
          <c:tx>
            <c:strRef>
              <c:f>'Graf 2019'!$A$38</c:f>
              <c:strCache>
                <c:ptCount val="1"/>
                <c:pt idx="0">
                  <c:v>Meta Acum. Soda</c:v>
                </c:pt>
              </c:strCache>
            </c:strRef>
          </c:tx>
          <c:spPr>
            <a:ln w="28575" cap="rnd">
              <a:solidFill>
                <a:schemeClr val="accent3"/>
              </a:solidFill>
              <a:round/>
            </a:ln>
            <a:effectLst/>
          </c:spPr>
          <c:marker>
            <c:symbol val="none"/>
          </c:marker>
          <c:cat>
            <c:strRef>
              <c:f>'Graf 2019'!$B$35:$J$35</c:f>
              <c:strCache>
                <c:ptCount val="9"/>
                <c:pt idx="0">
                  <c:v>ABR</c:v>
                </c:pt>
                <c:pt idx="1">
                  <c:v>MAI</c:v>
                </c:pt>
                <c:pt idx="2">
                  <c:v>JUN</c:v>
                </c:pt>
                <c:pt idx="3">
                  <c:v>JUL</c:v>
                </c:pt>
                <c:pt idx="4">
                  <c:v>AGO</c:v>
                </c:pt>
                <c:pt idx="5">
                  <c:v>SET</c:v>
                </c:pt>
                <c:pt idx="6">
                  <c:v>OUT</c:v>
                </c:pt>
                <c:pt idx="7">
                  <c:v>NOV</c:v>
                </c:pt>
                <c:pt idx="8">
                  <c:v>DEZ</c:v>
                </c:pt>
              </c:strCache>
            </c:strRef>
          </c:cat>
          <c:val>
            <c:numRef>
              <c:f>'Graf 2019'!$B$38:$J$38</c:f>
              <c:numCache>
                <c:formatCode>General</c:formatCode>
                <c:ptCount val="9"/>
                <c:pt idx="1">
                  <c:v>100</c:v>
                </c:pt>
                <c:pt idx="2">
                  <c:v>100</c:v>
                </c:pt>
                <c:pt idx="3">
                  <c:v>100</c:v>
                </c:pt>
                <c:pt idx="4">
                  <c:v>100</c:v>
                </c:pt>
                <c:pt idx="5">
                  <c:v>100</c:v>
                </c:pt>
                <c:pt idx="6">
                  <c:v>100</c:v>
                </c:pt>
                <c:pt idx="7">
                  <c:v>100</c:v>
                </c:pt>
                <c:pt idx="8">
                  <c:v>100</c:v>
                </c:pt>
              </c:numCache>
            </c:numRef>
          </c:val>
          <c:smooth val="0"/>
          <c:extLst>
            <c:ext xmlns:c16="http://schemas.microsoft.com/office/drawing/2014/chart" uri="{C3380CC4-5D6E-409C-BE32-E72D297353CC}">
              <c16:uniqueId val="{00000002-5095-4386-8C70-463501A05961}"/>
            </c:ext>
          </c:extLst>
        </c:ser>
        <c:dLbls>
          <c:showLegendKey val="0"/>
          <c:showVal val="0"/>
          <c:showCatName val="0"/>
          <c:showSerName val="0"/>
          <c:showPercent val="0"/>
          <c:showBubbleSize val="0"/>
        </c:dLbls>
        <c:marker val="1"/>
        <c:smooth val="0"/>
        <c:axId val="170849792"/>
        <c:axId val="170851328"/>
      </c:lineChart>
      <c:catAx>
        <c:axId val="17084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851328"/>
        <c:crosses val="autoZero"/>
        <c:auto val="1"/>
        <c:lblAlgn val="ctr"/>
        <c:lblOffset val="100"/>
        <c:noMultiLvlLbl val="0"/>
      </c:catAx>
      <c:valAx>
        <c:axId val="17085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084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652" footer="0.3149606200000065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3" Type="http://schemas.openxmlformats.org/officeDocument/2006/relationships/chart" Target="../charts/chart29.xml"/><Relationship Id="rId7" Type="http://schemas.openxmlformats.org/officeDocument/2006/relationships/chart" Target="../charts/chart33.xml"/><Relationship Id="rId12" Type="http://schemas.openxmlformats.org/officeDocument/2006/relationships/chart" Target="../charts/chart38.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11" Type="http://schemas.openxmlformats.org/officeDocument/2006/relationships/chart" Target="../charts/chart37.xml"/><Relationship Id="rId5" Type="http://schemas.openxmlformats.org/officeDocument/2006/relationships/chart" Target="../charts/chart31.xml"/><Relationship Id="rId10" Type="http://schemas.openxmlformats.org/officeDocument/2006/relationships/chart" Target="../charts/chart36.xml"/><Relationship Id="rId4" Type="http://schemas.openxmlformats.org/officeDocument/2006/relationships/chart" Target="../charts/chart30.xml"/><Relationship Id="rId9" Type="http://schemas.openxmlformats.org/officeDocument/2006/relationships/chart" Target="../charts/chart3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7.xml"/><Relationship Id="rId13" Type="http://schemas.openxmlformats.org/officeDocument/2006/relationships/chart" Target="../charts/chart52.xml"/><Relationship Id="rId18" Type="http://schemas.openxmlformats.org/officeDocument/2006/relationships/image" Target="../media/image2.png"/><Relationship Id="rId3" Type="http://schemas.openxmlformats.org/officeDocument/2006/relationships/chart" Target="../charts/chart42.xml"/><Relationship Id="rId7" Type="http://schemas.openxmlformats.org/officeDocument/2006/relationships/chart" Target="../charts/chart46.xml"/><Relationship Id="rId12" Type="http://schemas.openxmlformats.org/officeDocument/2006/relationships/chart" Target="../charts/chart51.xml"/><Relationship Id="rId17" Type="http://schemas.openxmlformats.org/officeDocument/2006/relationships/chart" Target="../charts/chart56.xml"/><Relationship Id="rId2" Type="http://schemas.openxmlformats.org/officeDocument/2006/relationships/chart" Target="../charts/chart41.xml"/><Relationship Id="rId16" Type="http://schemas.openxmlformats.org/officeDocument/2006/relationships/chart" Target="../charts/chart55.xml"/><Relationship Id="rId1" Type="http://schemas.openxmlformats.org/officeDocument/2006/relationships/chart" Target="../charts/chart40.xml"/><Relationship Id="rId6" Type="http://schemas.openxmlformats.org/officeDocument/2006/relationships/chart" Target="../charts/chart45.xml"/><Relationship Id="rId11" Type="http://schemas.openxmlformats.org/officeDocument/2006/relationships/chart" Target="../charts/chart50.xml"/><Relationship Id="rId5" Type="http://schemas.openxmlformats.org/officeDocument/2006/relationships/chart" Target="../charts/chart44.xml"/><Relationship Id="rId15" Type="http://schemas.openxmlformats.org/officeDocument/2006/relationships/chart" Target="../charts/chart54.xml"/><Relationship Id="rId10" Type="http://schemas.openxmlformats.org/officeDocument/2006/relationships/chart" Target="../charts/chart49.xml"/><Relationship Id="rId4" Type="http://schemas.openxmlformats.org/officeDocument/2006/relationships/chart" Target="../charts/chart43.xml"/><Relationship Id="rId9" Type="http://schemas.openxmlformats.org/officeDocument/2006/relationships/chart" Target="../charts/chart48.xml"/><Relationship Id="rId14" Type="http://schemas.openxmlformats.org/officeDocument/2006/relationships/chart" Target="../charts/chart5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3.xml"/><Relationship Id="rId3" Type="http://schemas.openxmlformats.org/officeDocument/2006/relationships/chart" Target="../charts/chart58.xml"/><Relationship Id="rId7" Type="http://schemas.openxmlformats.org/officeDocument/2006/relationships/chart" Target="../charts/chart62.xml"/><Relationship Id="rId12" Type="http://schemas.openxmlformats.org/officeDocument/2006/relationships/chart" Target="../charts/chart67.xml"/><Relationship Id="rId2" Type="http://schemas.openxmlformats.org/officeDocument/2006/relationships/chart" Target="../charts/chart57.xml"/><Relationship Id="rId1" Type="http://schemas.openxmlformats.org/officeDocument/2006/relationships/image" Target="../media/image2.png"/><Relationship Id="rId6" Type="http://schemas.openxmlformats.org/officeDocument/2006/relationships/chart" Target="../charts/chart61.xml"/><Relationship Id="rId11" Type="http://schemas.openxmlformats.org/officeDocument/2006/relationships/chart" Target="../charts/chart66.xml"/><Relationship Id="rId5" Type="http://schemas.openxmlformats.org/officeDocument/2006/relationships/chart" Target="../charts/chart60.xml"/><Relationship Id="rId10" Type="http://schemas.openxmlformats.org/officeDocument/2006/relationships/chart" Target="../charts/chart65.xml"/><Relationship Id="rId4" Type="http://schemas.openxmlformats.org/officeDocument/2006/relationships/chart" Target="../charts/chart59.xml"/><Relationship Id="rId9" Type="http://schemas.openxmlformats.org/officeDocument/2006/relationships/chart" Target="../charts/chart6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5" Type="http://schemas.openxmlformats.org/officeDocument/2006/relationships/chart" Target="../charts/chart73.xml"/><Relationship Id="rId4" Type="http://schemas.openxmlformats.org/officeDocument/2006/relationships/chart" Target="../charts/chart72.xml"/><Relationship Id="rId9" Type="http://schemas.openxmlformats.org/officeDocument/2006/relationships/chart" Target="../charts/chart7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4" Type="http://schemas.openxmlformats.org/officeDocument/2006/relationships/chart" Target="../charts/chart81.xml"/><Relationship Id="rId9" Type="http://schemas.openxmlformats.org/officeDocument/2006/relationships/chart" Target="../charts/chart86.xml"/></Relationships>
</file>

<file path=xl/drawings/drawing1.xml><?xml version="1.0" encoding="utf-8"?>
<xdr:wsDr xmlns:xdr="http://schemas.openxmlformats.org/drawingml/2006/spreadsheetDrawing" xmlns:a="http://schemas.openxmlformats.org/drawingml/2006/main">
  <xdr:twoCellAnchor editAs="oneCell">
    <xdr:from>
      <xdr:col>0</xdr:col>
      <xdr:colOff>219076</xdr:colOff>
      <xdr:row>0</xdr:row>
      <xdr:rowOff>1</xdr:rowOff>
    </xdr:from>
    <xdr:to>
      <xdr:col>1</xdr:col>
      <xdr:colOff>704850</xdr:colOff>
      <xdr:row>0</xdr:row>
      <xdr:rowOff>1095375</xdr:rowOff>
    </xdr:to>
    <xdr:pic>
      <xdr:nvPicPr>
        <xdr:cNvPr id="3" name="Imagem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076" y="1"/>
          <a:ext cx="1095374" cy="10953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2</xdr:row>
      <xdr:rowOff>142875</xdr:rowOff>
    </xdr:from>
    <xdr:to>
      <xdr:col>0</xdr:col>
      <xdr:colOff>952502</xdr:colOff>
      <xdr:row>2</xdr:row>
      <xdr:rowOff>1095376</xdr:rowOff>
    </xdr:to>
    <xdr:pic>
      <xdr:nvPicPr>
        <xdr:cNvPr id="3" name="Imagem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547688"/>
          <a:ext cx="952501" cy="952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47625</xdr:rowOff>
    </xdr:from>
    <xdr:to>
      <xdr:col>1</xdr:col>
      <xdr:colOff>542925</xdr:colOff>
      <xdr:row>1</xdr:row>
      <xdr:rowOff>548855</xdr:rowOff>
    </xdr:to>
    <xdr:pic>
      <xdr:nvPicPr>
        <xdr:cNvPr id="15" name="Imagem 14" descr="logoURP.png">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cstate="print"/>
        <a:srcRect l="12889" t="18222" r="14222" b="16444"/>
        <a:stretch>
          <a:fillRect/>
        </a:stretch>
      </xdr:blipFill>
      <xdr:spPr>
        <a:xfrm>
          <a:off x="171450" y="47625"/>
          <a:ext cx="1085850" cy="1091780"/>
        </a:xfrm>
        <a:prstGeom prst="rect">
          <a:avLst/>
        </a:prstGeom>
      </xdr:spPr>
    </xdr:pic>
    <xdr:clientData/>
  </xdr:twoCellAnchor>
  <xdr:twoCellAnchor>
    <xdr:from>
      <xdr:col>15</xdr:col>
      <xdr:colOff>0</xdr:colOff>
      <xdr:row>22</xdr:row>
      <xdr:rowOff>0</xdr:rowOff>
    </xdr:from>
    <xdr:to>
      <xdr:col>23</xdr:col>
      <xdr:colOff>266701</xdr:colOff>
      <xdr:row>41</xdr:row>
      <xdr:rowOff>66675</xdr:rowOff>
    </xdr:to>
    <xdr:graphicFrame macro="">
      <xdr:nvGraphicFramePr>
        <xdr:cNvPr id="21" name="Gráfico 20">
          <a:extLst>
            <a:ext uri="{FF2B5EF4-FFF2-40B4-BE49-F238E27FC236}">
              <a16:creationId xmlns:a16="http://schemas.microsoft.com/office/drawing/2014/main" id="{00000000-0008-0000-0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55</xdr:row>
      <xdr:rowOff>0</xdr:rowOff>
    </xdr:from>
    <xdr:to>
      <xdr:col>6</xdr:col>
      <xdr:colOff>454071</xdr:colOff>
      <xdr:row>69</xdr:row>
      <xdr:rowOff>76200</xdr:rowOff>
    </xdr:to>
    <xdr:graphicFrame macro="">
      <xdr:nvGraphicFramePr>
        <xdr:cNvPr id="5" name="Gráfico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838200</xdr:colOff>
      <xdr:row>55</xdr:row>
      <xdr:rowOff>9525</xdr:rowOff>
    </xdr:from>
    <xdr:to>
      <xdr:col>13</xdr:col>
      <xdr:colOff>1082721</xdr:colOff>
      <xdr:row>69</xdr:row>
      <xdr:rowOff>85725</xdr:rowOff>
    </xdr:to>
    <xdr:graphicFrame macro="">
      <xdr:nvGraphicFramePr>
        <xdr:cNvPr id="6" name="Gráfico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71</xdr:row>
      <xdr:rowOff>0</xdr:rowOff>
    </xdr:from>
    <xdr:to>
      <xdr:col>6</xdr:col>
      <xdr:colOff>454071</xdr:colOff>
      <xdr:row>85</xdr:row>
      <xdr:rowOff>76200</xdr:rowOff>
    </xdr:to>
    <xdr:graphicFrame macro="">
      <xdr:nvGraphicFramePr>
        <xdr:cNvPr id="7" name="Gráfico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847725</xdr:colOff>
      <xdr:row>71</xdr:row>
      <xdr:rowOff>9525</xdr:rowOff>
    </xdr:from>
    <xdr:to>
      <xdr:col>13</xdr:col>
      <xdr:colOff>1092246</xdr:colOff>
      <xdr:row>85</xdr:row>
      <xdr:rowOff>85725</xdr:rowOff>
    </xdr:to>
    <xdr:graphicFrame macro="">
      <xdr:nvGraphicFramePr>
        <xdr:cNvPr id="9" name="Gráfico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87</xdr:row>
      <xdr:rowOff>0</xdr:rowOff>
    </xdr:from>
    <xdr:to>
      <xdr:col>13</xdr:col>
      <xdr:colOff>1101771</xdr:colOff>
      <xdr:row>101</xdr:row>
      <xdr:rowOff>76200</xdr:rowOff>
    </xdr:to>
    <xdr:graphicFrame macro="">
      <xdr:nvGraphicFramePr>
        <xdr:cNvPr id="10" name="Gráfico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19050</xdr:colOff>
      <xdr:row>87</xdr:row>
      <xdr:rowOff>0</xdr:rowOff>
    </xdr:from>
    <xdr:to>
      <xdr:col>6</xdr:col>
      <xdr:colOff>473121</xdr:colOff>
      <xdr:row>101</xdr:row>
      <xdr:rowOff>76200</xdr:rowOff>
    </xdr:to>
    <xdr:graphicFrame macro="">
      <xdr:nvGraphicFramePr>
        <xdr:cNvPr id="11" name="Gráfico 10">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104</xdr:row>
      <xdr:rowOff>0</xdr:rowOff>
    </xdr:from>
    <xdr:to>
      <xdr:col>13</xdr:col>
      <xdr:colOff>1101771</xdr:colOff>
      <xdr:row>118</xdr:row>
      <xdr:rowOff>76200</xdr:rowOff>
    </xdr:to>
    <xdr:graphicFrame macro="">
      <xdr:nvGraphicFramePr>
        <xdr:cNvPr id="12" name="Gráfico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104</xdr:row>
      <xdr:rowOff>0</xdr:rowOff>
    </xdr:from>
    <xdr:to>
      <xdr:col>6</xdr:col>
      <xdr:colOff>454071</xdr:colOff>
      <xdr:row>118</xdr:row>
      <xdr:rowOff>76200</xdr:rowOff>
    </xdr:to>
    <xdr:graphicFrame macro="">
      <xdr:nvGraphicFramePr>
        <xdr:cNvPr id="13" name="Gráfico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120</xdr:row>
      <xdr:rowOff>0</xdr:rowOff>
    </xdr:from>
    <xdr:to>
      <xdr:col>13</xdr:col>
      <xdr:colOff>1101771</xdr:colOff>
      <xdr:row>134</xdr:row>
      <xdr:rowOff>76200</xdr:rowOff>
    </xdr:to>
    <xdr:graphicFrame macro="">
      <xdr:nvGraphicFramePr>
        <xdr:cNvPr id="14" name="Gráfico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120</xdr:row>
      <xdr:rowOff>0</xdr:rowOff>
    </xdr:from>
    <xdr:to>
      <xdr:col>6</xdr:col>
      <xdr:colOff>454071</xdr:colOff>
      <xdr:row>134</xdr:row>
      <xdr:rowOff>76200</xdr:rowOff>
    </xdr:to>
    <xdr:graphicFrame macro="">
      <xdr:nvGraphicFramePr>
        <xdr:cNvPr id="17" name="Gráfico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136</xdr:row>
      <xdr:rowOff>0</xdr:rowOff>
    </xdr:from>
    <xdr:to>
      <xdr:col>13</xdr:col>
      <xdr:colOff>1101771</xdr:colOff>
      <xdr:row>150</xdr:row>
      <xdr:rowOff>76200</xdr:rowOff>
    </xdr:to>
    <xdr:graphicFrame macro="">
      <xdr:nvGraphicFramePr>
        <xdr:cNvPr id="18" name="Gráfico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xdr:colOff>
      <xdr:row>135</xdr:row>
      <xdr:rowOff>180975</xdr:rowOff>
    </xdr:from>
    <xdr:to>
      <xdr:col>6</xdr:col>
      <xdr:colOff>473121</xdr:colOff>
      <xdr:row>150</xdr:row>
      <xdr:rowOff>66675</xdr:rowOff>
    </xdr:to>
    <xdr:graphicFrame macro="">
      <xdr:nvGraphicFramePr>
        <xdr:cNvPr id="19" name="Gráfico 18">
          <a:extLst>
            <a:ext uri="{FF2B5EF4-FFF2-40B4-BE49-F238E27FC236}">
              <a16:creationId xmlns:a16="http://schemas.microsoft.com/office/drawing/2014/main" id="{00000000-0008-0000-06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68557</xdr:colOff>
      <xdr:row>16</xdr:row>
      <xdr:rowOff>954</xdr:rowOff>
    </xdr:from>
    <xdr:to>
      <xdr:col>6</xdr:col>
      <xdr:colOff>522628</xdr:colOff>
      <xdr:row>30</xdr:row>
      <xdr:rowOff>77154</xdr:rowOff>
    </xdr:to>
    <xdr:graphicFrame macro="">
      <xdr:nvGraphicFramePr>
        <xdr:cNvPr id="2" name="Gráfico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621450</xdr:colOff>
      <xdr:row>15</xdr:row>
      <xdr:rowOff>191882</xdr:rowOff>
    </xdr:from>
    <xdr:to>
      <xdr:col>13</xdr:col>
      <xdr:colOff>437300</xdr:colOff>
      <xdr:row>30</xdr:row>
      <xdr:rowOff>70276</xdr:rowOff>
    </xdr:to>
    <xdr:graphicFrame macro="">
      <xdr:nvGraphicFramePr>
        <xdr:cNvPr id="3" name="Gráfico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520798</xdr:colOff>
      <xdr:row>16</xdr:row>
      <xdr:rowOff>1156</xdr:rowOff>
    </xdr:from>
    <xdr:to>
      <xdr:col>20</xdr:col>
      <xdr:colOff>362049</xdr:colOff>
      <xdr:row>30</xdr:row>
      <xdr:rowOff>75141</xdr:rowOff>
    </xdr:to>
    <xdr:graphicFrame macro="">
      <xdr:nvGraphicFramePr>
        <xdr:cNvPr id="4" name="Gráfico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621026</xdr:colOff>
      <xdr:row>30</xdr:row>
      <xdr:rowOff>191880</xdr:rowOff>
    </xdr:from>
    <xdr:to>
      <xdr:col>13</xdr:col>
      <xdr:colOff>441109</xdr:colOff>
      <xdr:row>45</xdr:row>
      <xdr:rowOff>70274</xdr:rowOff>
    </xdr:to>
    <xdr:graphicFrame macro="">
      <xdr:nvGraphicFramePr>
        <xdr:cNvPr id="5" name="Gráfico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550563</xdr:colOff>
      <xdr:row>30</xdr:row>
      <xdr:rowOff>190540</xdr:rowOff>
    </xdr:from>
    <xdr:to>
      <xdr:col>20</xdr:col>
      <xdr:colOff>381230</xdr:colOff>
      <xdr:row>45</xdr:row>
      <xdr:rowOff>77399</xdr:rowOff>
    </xdr:to>
    <xdr:graphicFrame macro="">
      <xdr:nvGraphicFramePr>
        <xdr:cNvPr id="6" name="Gráfico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96633</xdr:colOff>
      <xdr:row>31</xdr:row>
      <xdr:rowOff>5926</xdr:rowOff>
    </xdr:from>
    <xdr:to>
      <xdr:col>6</xdr:col>
      <xdr:colOff>520898</xdr:colOff>
      <xdr:row>45</xdr:row>
      <xdr:rowOff>118329</xdr:rowOff>
    </xdr:to>
    <xdr:graphicFrame macro="">
      <xdr:nvGraphicFramePr>
        <xdr:cNvPr id="7" name="Gráfico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456923</xdr:colOff>
      <xdr:row>16</xdr:row>
      <xdr:rowOff>3123</xdr:rowOff>
    </xdr:from>
    <xdr:to>
      <xdr:col>27</xdr:col>
      <xdr:colOff>278084</xdr:colOff>
      <xdr:row>30</xdr:row>
      <xdr:rowOff>76453</xdr:rowOff>
    </xdr:to>
    <xdr:graphicFrame macro="">
      <xdr:nvGraphicFramePr>
        <xdr:cNvPr id="8" name="Gráfico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476698</xdr:colOff>
      <xdr:row>31</xdr:row>
      <xdr:rowOff>4959</xdr:rowOff>
    </xdr:from>
    <xdr:to>
      <xdr:col>27</xdr:col>
      <xdr:colOff>287547</xdr:colOff>
      <xdr:row>45</xdr:row>
      <xdr:rowOff>91336</xdr:rowOff>
    </xdr:to>
    <xdr:graphicFrame macro="">
      <xdr:nvGraphicFramePr>
        <xdr:cNvPr id="9" name="Gráfico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373810</xdr:colOff>
      <xdr:row>16</xdr:row>
      <xdr:rowOff>3233</xdr:rowOff>
    </xdr:from>
    <xdr:to>
      <xdr:col>34</xdr:col>
      <xdr:colOff>143772</xdr:colOff>
      <xdr:row>30</xdr:row>
      <xdr:rowOff>53915</xdr:rowOff>
    </xdr:to>
    <xdr:graphicFrame macro="">
      <xdr:nvGraphicFramePr>
        <xdr:cNvPr id="10" name="Gráfico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391782</xdr:colOff>
      <xdr:row>31</xdr:row>
      <xdr:rowOff>3233</xdr:rowOff>
    </xdr:from>
    <xdr:to>
      <xdr:col>34</xdr:col>
      <xdr:colOff>125802</xdr:colOff>
      <xdr:row>45</xdr:row>
      <xdr:rowOff>71886</xdr:rowOff>
    </xdr:to>
    <xdr:graphicFrame macro="">
      <xdr:nvGraphicFramePr>
        <xdr:cNvPr id="11" name="Gráfico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265981</xdr:colOff>
      <xdr:row>16</xdr:row>
      <xdr:rowOff>21205</xdr:rowOff>
    </xdr:from>
    <xdr:to>
      <xdr:col>41</xdr:col>
      <xdr:colOff>179717</xdr:colOff>
      <xdr:row>30</xdr:row>
      <xdr:rowOff>71887</xdr:rowOff>
    </xdr:to>
    <xdr:graphicFrame macro="">
      <xdr:nvGraphicFramePr>
        <xdr:cNvPr id="12" name="Gráfico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34</xdr:col>
      <xdr:colOff>301925</xdr:colOff>
      <xdr:row>30</xdr:row>
      <xdr:rowOff>182950</xdr:rowOff>
    </xdr:from>
    <xdr:to>
      <xdr:col>41</xdr:col>
      <xdr:colOff>197688</xdr:colOff>
      <xdr:row>45</xdr:row>
      <xdr:rowOff>35942</xdr:rowOff>
    </xdr:to>
    <xdr:graphicFrame macro="">
      <xdr:nvGraphicFramePr>
        <xdr:cNvPr id="13" name="Gráfico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319895</xdr:colOff>
      <xdr:row>16</xdr:row>
      <xdr:rowOff>21204</xdr:rowOff>
    </xdr:from>
    <xdr:to>
      <xdr:col>48</xdr:col>
      <xdr:colOff>125802</xdr:colOff>
      <xdr:row>30</xdr:row>
      <xdr:rowOff>89858</xdr:rowOff>
    </xdr:to>
    <xdr:graphicFrame macro="">
      <xdr:nvGraphicFramePr>
        <xdr:cNvPr id="14" name="Gráfico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68557</xdr:colOff>
      <xdr:row>16</xdr:row>
      <xdr:rowOff>954</xdr:rowOff>
    </xdr:from>
    <xdr:to>
      <xdr:col>6</xdr:col>
      <xdr:colOff>522628</xdr:colOff>
      <xdr:row>30</xdr:row>
      <xdr:rowOff>77154</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621450</xdr:colOff>
      <xdr:row>15</xdr:row>
      <xdr:rowOff>191882</xdr:rowOff>
    </xdr:from>
    <xdr:to>
      <xdr:col>13</xdr:col>
      <xdr:colOff>437300</xdr:colOff>
      <xdr:row>30</xdr:row>
      <xdr:rowOff>70276</xdr:rowOff>
    </xdr:to>
    <xdr:graphicFrame macro="">
      <xdr:nvGraphicFramePr>
        <xdr:cNvPr id="7" name="Gráfico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520798</xdr:colOff>
      <xdr:row>16</xdr:row>
      <xdr:rowOff>1156</xdr:rowOff>
    </xdr:from>
    <xdr:to>
      <xdr:col>20</xdr:col>
      <xdr:colOff>362049</xdr:colOff>
      <xdr:row>30</xdr:row>
      <xdr:rowOff>75141</xdr:rowOff>
    </xdr:to>
    <xdr:graphicFrame macro="">
      <xdr:nvGraphicFramePr>
        <xdr:cNvPr id="9" name="Gráfico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621026</xdr:colOff>
      <xdr:row>30</xdr:row>
      <xdr:rowOff>191880</xdr:rowOff>
    </xdr:from>
    <xdr:to>
      <xdr:col>13</xdr:col>
      <xdr:colOff>441109</xdr:colOff>
      <xdr:row>45</xdr:row>
      <xdr:rowOff>70274</xdr:rowOff>
    </xdr:to>
    <xdr:graphicFrame macro="">
      <xdr:nvGraphicFramePr>
        <xdr:cNvPr id="10" name="Gráfico 9">
          <a:extLst>
            <a:ext uri="{FF2B5EF4-FFF2-40B4-BE49-F238E27FC236}">
              <a16:creationId xmlns:a16="http://schemas.microsoft.com/office/drawing/2014/main" id="{00000000-0008-0000-08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550563</xdr:colOff>
      <xdr:row>30</xdr:row>
      <xdr:rowOff>190540</xdr:rowOff>
    </xdr:from>
    <xdr:to>
      <xdr:col>20</xdr:col>
      <xdr:colOff>381230</xdr:colOff>
      <xdr:row>45</xdr:row>
      <xdr:rowOff>77399</xdr:rowOff>
    </xdr:to>
    <xdr:graphicFrame macro="">
      <xdr:nvGraphicFramePr>
        <xdr:cNvPr id="11" name="Gráfico 10">
          <a:extLst>
            <a:ext uri="{FF2B5EF4-FFF2-40B4-BE49-F238E27FC236}">
              <a16:creationId xmlns:a16="http://schemas.microsoft.com/office/drawing/2014/main" id="{00000000-0008-0000-08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96633</xdr:colOff>
      <xdr:row>31</xdr:row>
      <xdr:rowOff>5926</xdr:rowOff>
    </xdr:from>
    <xdr:to>
      <xdr:col>6</xdr:col>
      <xdr:colOff>520898</xdr:colOff>
      <xdr:row>45</xdr:row>
      <xdr:rowOff>118329</xdr:rowOff>
    </xdr:to>
    <xdr:graphicFrame macro="">
      <xdr:nvGraphicFramePr>
        <xdr:cNvPr id="12" name="Gráfico 11">
          <a:extLst>
            <a:ext uri="{FF2B5EF4-FFF2-40B4-BE49-F238E27FC236}">
              <a16:creationId xmlns:a16="http://schemas.microsoft.com/office/drawing/2014/main" id="{00000000-0008-0000-0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456923</xdr:colOff>
      <xdr:row>16</xdr:row>
      <xdr:rowOff>3123</xdr:rowOff>
    </xdr:from>
    <xdr:to>
      <xdr:col>27</xdr:col>
      <xdr:colOff>278084</xdr:colOff>
      <xdr:row>30</xdr:row>
      <xdr:rowOff>76453</xdr:rowOff>
    </xdr:to>
    <xdr:graphicFrame macro="">
      <xdr:nvGraphicFramePr>
        <xdr:cNvPr id="2" name="Gráfico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476698</xdr:colOff>
      <xdr:row>31</xdr:row>
      <xdr:rowOff>4959</xdr:rowOff>
    </xdr:from>
    <xdr:to>
      <xdr:col>27</xdr:col>
      <xdr:colOff>287547</xdr:colOff>
      <xdr:row>45</xdr:row>
      <xdr:rowOff>91336</xdr:rowOff>
    </xdr:to>
    <xdr:graphicFrame macro="">
      <xdr:nvGraphicFramePr>
        <xdr:cNvPr id="3" name="Gráfico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373810</xdr:colOff>
      <xdr:row>16</xdr:row>
      <xdr:rowOff>3233</xdr:rowOff>
    </xdr:from>
    <xdr:to>
      <xdr:col>34</xdr:col>
      <xdr:colOff>143772</xdr:colOff>
      <xdr:row>30</xdr:row>
      <xdr:rowOff>53915</xdr:rowOff>
    </xdr:to>
    <xdr:graphicFrame macro="">
      <xdr:nvGraphicFramePr>
        <xdr:cNvPr id="4" name="Gráfico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391782</xdr:colOff>
      <xdr:row>31</xdr:row>
      <xdr:rowOff>3233</xdr:rowOff>
    </xdr:from>
    <xdr:to>
      <xdr:col>34</xdr:col>
      <xdr:colOff>125802</xdr:colOff>
      <xdr:row>45</xdr:row>
      <xdr:rowOff>71886</xdr:rowOff>
    </xdr:to>
    <xdr:graphicFrame macro="">
      <xdr:nvGraphicFramePr>
        <xdr:cNvPr id="5" name="Gráfico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265981</xdr:colOff>
      <xdr:row>16</xdr:row>
      <xdr:rowOff>21205</xdr:rowOff>
    </xdr:from>
    <xdr:to>
      <xdr:col>41</xdr:col>
      <xdr:colOff>179717</xdr:colOff>
      <xdr:row>30</xdr:row>
      <xdr:rowOff>71887</xdr:rowOff>
    </xdr:to>
    <xdr:graphicFrame macro="">
      <xdr:nvGraphicFramePr>
        <xdr:cNvPr id="8" name="Gráfico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34</xdr:col>
      <xdr:colOff>301925</xdr:colOff>
      <xdr:row>30</xdr:row>
      <xdr:rowOff>182950</xdr:rowOff>
    </xdr:from>
    <xdr:to>
      <xdr:col>41</xdr:col>
      <xdr:colOff>197688</xdr:colOff>
      <xdr:row>45</xdr:row>
      <xdr:rowOff>35942</xdr:rowOff>
    </xdr:to>
    <xdr:graphicFrame macro="">
      <xdr:nvGraphicFramePr>
        <xdr:cNvPr id="13" name="Gráfico 12">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319895</xdr:colOff>
      <xdr:row>16</xdr:row>
      <xdr:rowOff>21204</xdr:rowOff>
    </xdr:from>
    <xdr:to>
      <xdr:col>48</xdr:col>
      <xdr:colOff>125802</xdr:colOff>
      <xdr:row>30</xdr:row>
      <xdr:rowOff>89858</xdr:rowOff>
    </xdr:to>
    <xdr:graphicFrame macro="">
      <xdr:nvGraphicFramePr>
        <xdr:cNvPr id="14" name="Gráfico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44</xdr:row>
      <xdr:rowOff>0</xdr:rowOff>
    </xdr:from>
    <xdr:to>
      <xdr:col>12</xdr:col>
      <xdr:colOff>777875</xdr:colOff>
      <xdr:row>60</xdr:row>
      <xdr:rowOff>114300</xdr:rowOff>
    </xdr:to>
    <xdr:graphicFrame macro="">
      <xdr:nvGraphicFramePr>
        <xdr:cNvPr id="3" name="Gráfico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61</xdr:row>
      <xdr:rowOff>0</xdr:rowOff>
    </xdr:from>
    <xdr:to>
      <xdr:col>12</xdr:col>
      <xdr:colOff>777875</xdr:colOff>
      <xdr:row>77</xdr:row>
      <xdr:rowOff>114300</xdr:rowOff>
    </xdr:to>
    <xdr:graphicFrame macro="">
      <xdr:nvGraphicFramePr>
        <xdr:cNvPr id="4" name="Gráfico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78</xdr:row>
      <xdr:rowOff>0</xdr:rowOff>
    </xdr:from>
    <xdr:to>
      <xdr:col>12</xdr:col>
      <xdr:colOff>777875</xdr:colOff>
      <xdr:row>94</xdr:row>
      <xdr:rowOff>114300</xdr:rowOff>
    </xdr:to>
    <xdr:graphicFrame macro="">
      <xdr:nvGraphicFramePr>
        <xdr:cNvPr id="5" name="Gráfico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95</xdr:row>
      <xdr:rowOff>0</xdr:rowOff>
    </xdr:from>
    <xdr:to>
      <xdr:col>12</xdr:col>
      <xdr:colOff>777875</xdr:colOff>
      <xdr:row>111</xdr:row>
      <xdr:rowOff>114300</xdr:rowOff>
    </xdr:to>
    <xdr:graphicFrame macro="">
      <xdr:nvGraphicFramePr>
        <xdr:cNvPr id="6" name="Gráfico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112</xdr:row>
      <xdr:rowOff>0</xdr:rowOff>
    </xdr:from>
    <xdr:to>
      <xdr:col>12</xdr:col>
      <xdr:colOff>777875</xdr:colOff>
      <xdr:row>128</xdr:row>
      <xdr:rowOff>114300</xdr:rowOff>
    </xdr:to>
    <xdr:graphicFrame macro="">
      <xdr:nvGraphicFramePr>
        <xdr:cNvPr id="7" name="Gráfico 6">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129</xdr:row>
      <xdr:rowOff>0</xdr:rowOff>
    </xdr:from>
    <xdr:to>
      <xdr:col>12</xdr:col>
      <xdr:colOff>777875</xdr:colOff>
      <xdr:row>145</xdr:row>
      <xdr:rowOff>114300</xdr:rowOff>
    </xdr:to>
    <xdr:graphicFrame macro="">
      <xdr:nvGraphicFramePr>
        <xdr:cNvPr id="8" name="Gráfico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146</xdr:row>
      <xdr:rowOff>0</xdr:rowOff>
    </xdr:from>
    <xdr:to>
      <xdr:col>12</xdr:col>
      <xdr:colOff>777875</xdr:colOff>
      <xdr:row>162</xdr:row>
      <xdr:rowOff>114300</xdr:rowOff>
    </xdr:to>
    <xdr:graphicFrame macro="">
      <xdr:nvGraphicFramePr>
        <xdr:cNvPr id="9" name="Gráfico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163</xdr:row>
      <xdr:rowOff>0</xdr:rowOff>
    </xdr:from>
    <xdr:to>
      <xdr:col>12</xdr:col>
      <xdr:colOff>777875</xdr:colOff>
      <xdr:row>179</xdr:row>
      <xdr:rowOff>114300</xdr:rowOff>
    </xdr:to>
    <xdr:graphicFrame macro="">
      <xdr:nvGraphicFramePr>
        <xdr:cNvPr id="10" name="Gráfico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0</xdr:colOff>
      <xdr:row>197</xdr:row>
      <xdr:rowOff>0</xdr:rowOff>
    </xdr:from>
    <xdr:to>
      <xdr:col>12</xdr:col>
      <xdr:colOff>777875</xdr:colOff>
      <xdr:row>213</xdr:row>
      <xdr:rowOff>114300</xdr:rowOff>
    </xdr:to>
    <xdr:graphicFrame macro="">
      <xdr:nvGraphicFramePr>
        <xdr:cNvPr id="11" name="Gráfico 10">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0</xdr:colOff>
      <xdr:row>214</xdr:row>
      <xdr:rowOff>0</xdr:rowOff>
    </xdr:from>
    <xdr:to>
      <xdr:col>12</xdr:col>
      <xdr:colOff>777875</xdr:colOff>
      <xdr:row>230</xdr:row>
      <xdr:rowOff>114300</xdr:rowOff>
    </xdr:to>
    <xdr:graphicFrame macro="">
      <xdr:nvGraphicFramePr>
        <xdr:cNvPr id="12" name="Gráfico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0</xdr:colOff>
      <xdr:row>231</xdr:row>
      <xdr:rowOff>0</xdr:rowOff>
    </xdr:from>
    <xdr:to>
      <xdr:col>12</xdr:col>
      <xdr:colOff>777875</xdr:colOff>
      <xdr:row>247</xdr:row>
      <xdr:rowOff>114300</xdr:rowOff>
    </xdr:to>
    <xdr:graphicFrame macro="">
      <xdr:nvGraphicFramePr>
        <xdr:cNvPr id="13" name="Gráfico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0</xdr:colOff>
      <xdr:row>248</xdr:row>
      <xdr:rowOff>0</xdr:rowOff>
    </xdr:from>
    <xdr:to>
      <xdr:col>12</xdr:col>
      <xdr:colOff>777875</xdr:colOff>
      <xdr:row>264</xdr:row>
      <xdr:rowOff>114300</xdr:rowOff>
    </xdr:to>
    <xdr:graphicFrame macro="">
      <xdr:nvGraphicFramePr>
        <xdr:cNvPr id="14" name="Gráfico 13">
          <a:extLst>
            <a:ext uri="{FF2B5EF4-FFF2-40B4-BE49-F238E27FC236}">
              <a16:creationId xmlns:a16="http://schemas.microsoft.com/office/drawing/2014/main" id="{00000000-0008-0000-09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180</xdr:row>
      <xdr:rowOff>0</xdr:rowOff>
    </xdr:from>
    <xdr:to>
      <xdr:col>12</xdr:col>
      <xdr:colOff>771525</xdr:colOff>
      <xdr:row>196</xdr:row>
      <xdr:rowOff>123825</xdr:rowOff>
    </xdr:to>
    <xdr:graphicFrame macro="">
      <xdr:nvGraphicFramePr>
        <xdr:cNvPr id="15" name="Gráfico 14">
          <a:extLst>
            <a:ext uri="{FF2B5EF4-FFF2-40B4-BE49-F238E27FC236}">
              <a16:creationId xmlns:a16="http://schemas.microsoft.com/office/drawing/2014/main"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0</xdr:colOff>
      <xdr:row>265</xdr:row>
      <xdr:rowOff>0</xdr:rowOff>
    </xdr:from>
    <xdr:to>
      <xdr:col>12</xdr:col>
      <xdr:colOff>771525</xdr:colOff>
      <xdr:row>281</xdr:row>
      <xdr:rowOff>123825</xdr:rowOff>
    </xdr:to>
    <xdr:graphicFrame macro="">
      <xdr:nvGraphicFramePr>
        <xdr:cNvPr id="16" name="Gráfico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0</xdr:colOff>
      <xdr:row>282</xdr:row>
      <xdr:rowOff>0</xdr:rowOff>
    </xdr:from>
    <xdr:to>
      <xdr:col>12</xdr:col>
      <xdr:colOff>777875</xdr:colOff>
      <xdr:row>298</xdr:row>
      <xdr:rowOff>114300</xdr:rowOff>
    </xdr:to>
    <xdr:graphicFrame macro="">
      <xdr:nvGraphicFramePr>
        <xdr:cNvPr id="17" name="Gráfico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0</xdr:colOff>
      <xdr:row>299</xdr:row>
      <xdr:rowOff>0</xdr:rowOff>
    </xdr:from>
    <xdr:to>
      <xdr:col>12</xdr:col>
      <xdr:colOff>777875</xdr:colOff>
      <xdr:row>315</xdr:row>
      <xdr:rowOff>114300</xdr:rowOff>
    </xdr:to>
    <xdr:graphicFrame macro="">
      <xdr:nvGraphicFramePr>
        <xdr:cNvPr id="18" name="Gráfico 17">
          <a:extLst>
            <a:ext uri="{FF2B5EF4-FFF2-40B4-BE49-F238E27FC236}">
              <a16:creationId xmlns:a16="http://schemas.microsoft.com/office/drawing/2014/main" id="{00000000-0008-0000-0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0</xdr:colOff>
      <xdr:row>316</xdr:row>
      <xdr:rowOff>0</xdr:rowOff>
    </xdr:from>
    <xdr:to>
      <xdr:col>12</xdr:col>
      <xdr:colOff>777875</xdr:colOff>
      <xdr:row>332</xdr:row>
      <xdr:rowOff>114300</xdr:rowOff>
    </xdr:to>
    <xdr:graphicFrame macro="">
      <xdr:nvGraphicFramePr>
        <xdr:cNvPr id="19" name="Gráfico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523875</xdr:colOff>
      <xdr:row>0</xdr:row>
      <xdr:rowOff>123825</xdr:rowOff>
    </xdr:from>
    <xdr:to>
      <xdr:col>1</xdr:col>
      <xdr:colOff>1413795</xdr:colOff>
      <xdr:row>2</xdr:row>
      <xdr:rowOff>75945</xdr:rowOff>
    </xdr:to>
    <xdr:pic>
      <xdr:nvPicPr>
        <xdr:cNvPr id="20" name="Picture 2">
          <a:extLst>
            <a:ext uri="{FF2B5EF4-FFF2-40B4-BE49-F238E27FC236}">
              <a16:creationId xmlns:a16="http://schemas.microsoft.com/office/drawing/2014/main" id="{00000000-0008-0000-0900-000014000000}"/>
            </a:ext>
          </a:extLst>
        </xdr:cNvPr>
        <xdr:cNvPicPr/>
      </xdr:nvPicPr>
      <xdr:blipFill>
        <a:blip xmlns:r="http://schemas.openxmlformats.org/officeDocument/2006/relationships" r:embed="rId18"/>
        <a:stretch/>
      </xdr:blipFill>
      <xdr:spPr>
        <a:xfrm>
          <a:off x="523875" y="123825"/>
          <a:ext cx="1851945" cy="1314195"/>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427005</xdr:colOff>
      <xdr:row>0</xdr:row>
      <xdr:rowOff>114780</xdr:rowOff>
    </xdr:from>
    <xdr:to>
      <xdr:col>1</xdr:col>
      <xdr:colOff>1669350</xdr:colOff>
      <xdr:row>2</xdr:row>
      <xdr:rowOff>66900</xdr:rowOff>
    </xdr:to>
    <xdr:pic>
      <xdr:nvPicPr>
        <xdr:cNvPr id="34" name="Picture 2">
          <a:extLst>
            <a:ext uri="{FF2B5EF4-FFF2-40B4-BE49-F238E27FC236}">
              <a16:creationId xmlns:a16="http://schemas.microsoft.com/office/drawing/2014/main" id="{00000000-0008-0000-0A00-000022000000}"/>
            </a:ext>
          </a:extLst>
        </xdr:cNvPr>
        <xdr:cNvPicPr/>
      </xdr:nvPicPr>
      <xdr:blipFill>
        <a:blip xmlns:r="http://schemas.openxmlformats.org/officeDocument/2006/relationships" r:embed="rId1"/>
        <a:stretch/>
      </xdr:blipFill>
      <xdr:spPr>
        <a:xfrm>
          <a:off x="427005" y="114780"/>
          <a:ext cx="1851945" cy="1314195"/>
        </a:xfrm>
        <a:prstGeom prst="rect">
          <a:avLst/>
        </a:prstGeom>
        <a:ln>
          <a:noFill/>
        </a:ln>
      </xdr:spPr>
    </xdr:pic>
    <xdr:clientData/>
  </xdr:twoCellAnchor>
  <xdr:twoCellAnchor editAs="oneCell">
    <xdr:from>
      <xdr:col>12</xdr:col>
      <xdr:colOff>27000</xdr:colOff>
      <xdr:row>40</xdr:row>
      <xdr:rowOff>181800</xdr:rowOff>
    </xdr:from>
    <xdr:to>
      <xdr:col>18</xdr:col>
      <xdr:colOff>560025</xdr:colOff>
      <xdr:row>58</xdr:row>
      <xdr:rowOff>95400</xdr:rowOff>
    </xdr:to>
    <xdr:graphicFrame macro="">
      <xdr:nvGraphicFramePr>
        <xdr:cNvPr id="35" name="Gráfico 5">
          <a:extLst>
            <a:ext uri="{FF2B5EF4-FFF2-40B4-BE49-F238E27FC236}">
              <a16:creationId xmlns:a16="http://schemas.microsoft.com/office/drawing/2014/main" id="{00000000-0008-0000-0A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58</xdr:row>
      <xdr:rowOff>181440</xdr:rowOff>
    </xdr:from>
    <xdr:to>
      <xdr:col>18</xdr:col>
      <xdr:colOff>560025</xdr:colOff>
      <xdr:row>77</xdr:row>
      <xdr:rowOff>95400</xdr:rowOff>
    </xdr:to>
    <xdr:graphicFrame macro="">
      <xdr:nvGraphicFramePr>
        <xdr:cNvPr id="36" name="Gráfico 7">
          <a:extLst>
            <a:ext uri="{FF2B5EF4-FFF2-40B4-BE49-F238E27FC236}">
              <a16:creationId xmlns:a16="http://schemas.microsoft.com/office/drawing/2014/main" id="{00000000-0008-0000-0A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77</xdr:row>
      <xdr:rowOff>181440</xdr:rowOff>
    </xdr:from>
    <xdr:to>
      <xdr:col>18</xdr:col>
      <xdr:colOff>560025</xdr:colOff>
      <xdr:row>96</xdr:row>
      <xdr:rowOff>95400</xdr:rowOff>
    </xdr:to>
    <xdr:graphicFrame macro="">
      <xdr:nvGraphicFramePr>
        <xdr:cNvPr id="37" name="Gráfico 8">
          <a:extLst>
            <a:ext uri="{FF2B5EF4-FFF2-40B4-BE49-F238E27FC236}">
              <a16:creationId xmlns:a16="http://schemas.microsoft.com/office/drawing/2014/main" id="{00000000-0008-0000-0A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96</xdr:row>
      <xdr:rowOff>181440</xdr:rowOff>
    </xdr:from>
    <xdr:to>
      <xdr:col>18</xdr:col>
      <xdr:colOff>560025</xdr:colOff>
      <xdr:row>115</xdr:row>
      <xdr:rowOff>95400</xdr:rowOff>
    </xdr:to>
    <xdr:graphicFrame macro="">
      <xdr:nvGraphicFramePr>
        <xdr:cNvPr id="38" name="Gráfico 9">
          <a:extLst>
            <a:ext uri="{FF2B5EF4-FFF2-40B4-BE49-F238E27FC236}">
              <a16:creationId xmlns:a16="http://schemas.microsoft.com/office/drawing/2014/main" id="{00000000-0008-0000-0A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115</xdr:row>
      <xdr:rowOff>181440</xdr:rowOff>
    </xdr:from>
    <xdr:to>
      <xdr:col>18</xdr:col>
      <xdr:colOff>560025</xdr:colOff>
      <xdr:row>134</xdr:row>
      <xdr:rowOff>95400</xdr:rowOff>
    </xdr:to>
    <xdr:graphicFrame macro="">
      <xdr:nvGraphicFramePr>
        <xdr:cNvPr id="39" name="Gráfico 17">
          <a:extLst>
            <a:ext uri="{FF2B5EF4-FFF2-40B4-BE49-F238E27FC236}">
              <a16:creationId xmlns:a16="http://schemas.microsoft.com/office/drawing/2014/main" id="{00000000-0008-0000-0A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27000</xdr:colOff>
      <xdr:row>58</xdr:row>
      <xdr:rowOff>181440</xdr:rowOff>
    </xdr:from>
    <xdr:to>
      <xdr:col>26</xdr:col>
      <xdr:colOff>398235</xdr:colOff>
      <xdr:row>77</xdr:row>
      <xdr:rowOff>95400</xdr:rowOff>
    </xdr:to>
    <xdr:graphicFrame macro="">
      <xdr:nvGraphicFramePr>
        <xdr:cNvPr id="40" name="Gráfico 18">
          <a:extLst>
            <a:ext uri="{FF2B5EF4-FFF2-40B4-BE49-F238E27FC236}">
              <a16:creationId xmlns:a16="http://schemas.microsoft.com/office/drawing/2014/main" id="{00000000-0008-0000-0A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27000</xdr:colOff>
      <xdr:row>40</xdr:row>
      <xdr:rowOff>181800</xdr:rowOff>
    </xdr:from>
    <xdr:to>
      <xdr:col>26</xdr:col>
      <xdr:colOff>398235</xdr:colOff>
      <xdr:row>58</xdr:row>
      <xdr:rowOff>95400</xdr:rowOff>
    </xdr:to>
    <xdr:graphicFrame macro="">
      <xdr:nvGraphicFramePr>
        <xdr:cNvPr id="41" name="Gráfico 19">
          <a:extLst>
            <a:ext uri="{FF2B5EF4-FFF2-40B4-BE49-F238E27FC236}">
              <a16:creationId xmlns:a16="http://schemas.microsoft.com/office/drawing/2014/main" id="{00000000-0008-0000-0A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27000</xdr:colOff>
      <xdr:row>77</xdr:row>
      <xdr:rowOff>181440</xdr:rowOff>
    </xdr:from>
    <xdr:to>
      <xdr:col>26</xdr:col>
      <xdr:colOff>398235</xdr:colOff>
      <xdr:row>96</xdr:row>
      <xdr:rowOff>95400</xdr:rowOff>
    </xdr:to>
    <xdr:graphicFrame macro="">
      <xdr:nvGraphicFramePr>
        <xdr:cNvPr id="42" name="Gráfico 20">
          <a:extLst>
            <a:ext uri="{FF2B5EF4-FFF2-40B4-BE49-F238E27FC236}">
              <a16:creationId xmlns:a16="http://schemas.microsoft.com/office/drawing/2014/main" id="{00000000-0008-0000-0A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27000</xdr:colOff>
      <xdr:row>96</xdr:row>
      <xdr:rowOff>181440</xdr:rowOff>
    </xdr:from>
    <xdr:to>
      <xdr:col>26</xdr:col>
      <xdr:colOff>398235</xdr:colOff>
      <xdr:row>115</xdr:row>
      <xdr:rowOff>95400</xdr:rowOff>
    </xdr:to>
    <xdr:graphicFrame macro="">
      <xdr:nvGraphicFramePr>
        <xdr:cNvPr id="43" name="Gráfico 21">
          <a:extLst>
            <a:ext uri="{FF2B5EF4-FFF2-40B4-BE49-F238E27FC236}">
              <a16:creationId xmlns:a16="http://schemas.microsoft.com/office/drawing/2014/main" id="{00000000-0008-0000-0A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27000</xdr:colOff>
      <xdr:row>115</xdr:row>
      <xdr:rowOff>181440</xdr:rowOff>
    </xdr:from>
    <xdr:to>
      <xdr:col>26</xdr:col>
      <xdr:colOff>398235</xdr:colOff>
      <xdr:row>134</xdr:row>
      <xdr:rowOff>95400</xdr:rowOff>
    </xdr:to>
    <xdr:graphicFrame macro="">
      <xdr:nvGraphicFramePr>
        <xdr:cNvPr id="44" name="Gráfico 22">
          <a:extLst>
            <a:ext uri="{FF2B5EF4-FFF2-40B4-BE49-F238E27FC236}">
              <a16:creationId xmlns:a16="http://schemas.microsoft.com/office/drawing/2014/main" id="{00000000-0008-0000-0A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27000</xdr:colOff>
      <xdr:row>134</xdr:row>
      <xdr:rowOff>181440</xdr:rowOff>
    </xdr:from>
    <xdr:to>
      <xdr:col>18</xdr:col>
      <xdr:colOff>560025</xdr:colOff>
      <xdr:row>152</xdr:row>
      <xdr:rowOff>105120</xdr:rowOff>
    </xdr:to>
    <xdr:graphicFrame macro="">
      <xdr:nvGraphicFramePr>
        <xdr:cNvPr id="45" name="Gráfico 23">
          <a:extLst>
            <a:ext uri="{FF2B5EF4-FFF2-40B4-BE49-F238E27FC236}">
              <a16:creationId xmlns:a16="http://schemas.microsoft.com/office/drawing/2014/main" id="{00000000-0008-0000-0A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15</xdr:col>
      <xdr:colOff>388800</xdr:colOff>
      <xdr:row>140</xdr:row>
      <xdr:rowOff>86400</xdr:rowOff>
    </xdr:from>
    <xdr:to>
      <xdr:col>16</xdr:col>
      <xdr:colOff>83520</xdr:colOff>
      <xdr:row>142</xdr:row>
      <xdr:rowOff>9720</xdr:rowOff>
    </xdr:to>
    <xdr:sp macro="" textlink="">
      <xdr:nvSpPr>
        <xdr:cNvPr id="46" name="CustomShape 1">
          <a:extLst>
            <a:ext uri="{FF2B5EF4-FFF2-40B4-BE49-F238E27FC236}">
              <a16:creationId xmlns:a16="http://schemas.microsoft.com/office/drawing/2014/main" id="{00000000-0008-0000-0A00-00002E000000}"/>
            </a:ext>
          </a:extLst>
        </xdr:cNvPr>
        <xdr:cNvSpPr/>
      </xdr:nvSpPr>
      <xdr:spPr>
        <a:xfrm>
          <a:off x="15819300" y="28137525"/>
          <a:ext cx="656745" cy="304320"/>
        </a:xfrm>
        <a:prstGeom prst="rect">
          <a:avLst/>
        </a:prstGeom>
        <a:noFill/>
        <a:ln w="9360">
          <a:noFill/>
        </a:ln>
      </xdr:spPr>
      <xdr:style>
        <a:lnRef idx="0">
          <a:scrgbClr r="0" g="0" b="0"/>
        </a:lnRef>
        <a:fillRef idx="0">
          <a:scrgbClr r="0" g="0" b="0"/>
        </a:fillRef>
        <a:effectRef idx="0">
          <a:scrgbClr r="0" g="0" b="0"/>
        </a:effectRef>
        <a:fontRef idx="minor"/>
      </xdr:style>
      <xdr:txBody>
        <a:bodyPr lIns="90000" tIns="45000" rIns="90000" bIns="45000"/>
        <a:lstStyle/>
        <a:p>
          <a:pPr algn="ctr">
            <a:lnSpc>
              <a:spcPct val="100000"/>
            </a:lnSpc>
          </a:pPr>
          <a:r>
            <a:rPr lang="pt-BR" sz="1100" b="1" strike="noStrike" spc="-1">
              <a:solidFill>
                <a:srgbClr val="000000"/>
              </a:solidFill>
              <a:uFill>
                <a:solidFill>
                  <a:srgbClr val="FFFFFF"/>
                </a:solidFill>
              </a:uFill>
              <a:latin typeface="Calibri"/>
            </a:rPr>
            <a:t>R$5,58</a:t>
          </a:r>
          <a:endParaRPr lang="pt-BR" sz="1200" strike="noStrike" spc="-1">
            <a:solidFill>
              <a:srgbClr val="000000"/>
            </a:solidFill>
            <a:uFill>
              <a:solidFill>
                <a:srgbClr val="FFFFFF"/>
              </a:solidFill>
            </a:uFill>
            <a:latin typeface="Times New Roman"/>
          </a:endParaRPr>
        </a:p>
      </xdr:txBody>
    </xdr:sp>
    <xdr:clientData/>
  </xdr:twoCellAnchor>
  <xdr:twoCellAnchor editAs="oneCell">
    <xdr:from>
      <xdr:col>16</xdr:col>
      <xdr:colOff>455760</xdr:colOff>
      <xdr:row>137</xdr:row>
      <xdr:rowOff>76680</xdr:rowOff>
    </xdr:from>
    <xdr:to>
      <xdr:col>17</xdr:col>
      <xdr:colOff>502905</xdr:colOff>
      <xdr:row>138</xdr:row>
      <xdr:rowOff>190440</xdr:rowOff>
    </xdr:to>
    <xdr:sp macro="" textlink="">
      <xdr:nvSpPr>
        <xdr:cNvPr id="47" name="CustomShape 1">
          <a:extLst>
            <a:ext uri="{FF2B5EF4-FFF2-40B4-BE49-F238E27FC236}">
              <a16:creationId xmlns:a16="http://schemas.microsoft.com/office/drawing/2014/main" id="{00000000-0008-0000-0A00-00002F000000}"/>
            </a:ext>
          </a:extLst>
        </xdr:cNvPr>
        <xdr:cNvSpPr/>
      </xdr:nvSpPr>
      <xdr:spPr>
        <a:xfrm>
          <a:off x="16848285" y="27556305"/>
          <a:ext cx="656745" cy="304260"/>
        </a:xfrm>
        <a:prstGeom prst="rect">
          <a:avLst/>
        </a:prstGeom>
        <a:noFill/>
        <a:ln w="9360">
          <a:noFill/>
        </a:ln>
      </xdr:spPr>
      <xdr:style>
        <a:lnRef idx="0">
          <a:scrgbClr r="0" g="0" b="0"/>
        </a:lnRef>
        <a:fillRef idx="0">
          <a:scrgbClr r="0" g="0" b="0"/>
        </a:fillRef>
        <a:effectRef idx="0">
          <a:scrgbClr r="0" g="0" b="0"/>
        </a:effectRef>
        <a:fontRef idx="minor"/>
      </xdr:style>
      <xdr:txBody>
        <a:bodyPr lIns="90000" tIns="45000" rIns="90000" bIns="45000"/>
        <a:lstStyle/>
        <a:p>
          <a:pPr algn="ctr">
            <a:lnSpc>
              <a:spcPct val="100000"/>
            </a:lnSpc>
          </a:pPr>
          <a:r>
            <a:rPr lang="pt-BR" sz="1100" b="1" strike="noStrike" spc="-1">
              <a:solidFill>
                <a:srgbClr val="000000"/>
              </a:solidFill>
              <a:uFill>
                <a:solidFill>
                  <a:srgbClr val="FFFFFF"/>
                </a:solidFill>
              </a:uFill>
              <a:latin typeface="Calibri"/>
            </a:rPr>
            <a:t>R$7,94</a:t>
          </a:r>
          <a:endParaRPr lang="pt-BR" sz="1200" strike="noStrike" spc="-1">
            <a:solidFill>
              <a:srgbClr val="000000"/>
            </a:solidFill>
            <a:uFill>
              <a:solidFill>
                <a:srgbClr val="FFFFFF"/>
              </a:solidFill>
            </a:uFill>
            <a:latin typeface="Times New Roman"/>
          </a:endParaRPr>
        </a:p>
      </xdr:txBody>
    </xdr:sp>
    <xdr:clientData/>
  </xdr:twoCellAnchor>
  <xdr:twoCellAnchor editAs="oneCell">
    <xdr:from>
      <xdr:col>13</xdr:col>
      <xdr:colOff>264960</xdr:colOff>
      <xdr:row>139</xdr:row>
      <xdr:rowOff>95760</xdr:rowOff>
    </xdr:from>
    <xdr:to>
      <xdr:col>13</xdr:col>
      <xdr:colOff>941040</xdr:colOff>
      <xdr:row>141</xdr:row>
      <xdr:rowOff>19080</xdr:rowOff>
    </xdr:to>
    <xdr:sp macro="" textlink="">
      <xdr:nvSpPr>
        <xdr:cNvPr id="48" name="CustomShape 1">
          <a:extLst>
            <a:ext uri="{FF2B5EF4-FFF2-40B4-BE49-F238E27FC236}">
              <a16:creationId xmlns:a16="http://schemas.microsoft.com/office/drawing/2014/main" id="{00000000-0008-0000-0A00-000030000000}"/>
            </a:ext>
          </a:extLst>
        </xdr:cNvPr>
        <xdr:cNvSpPr/>
      </xdr:nvSpPr>
      <xdr:spPr>
        <a:xfrm>
          <a:off x="13771410" y="27956385"/>
          <a:ext cx="676080" cy="304320"/>
        </a:xfrm>
        <a:prstGeom prst="rect">
          <a:avLst/>
        </a:prstGeom>
        <a:noFill/>
        <a:ln w="9360">
          <a:noFill/>
        </a:ln>
      </xdr:spPr>
      <xdr:style>
        <a:lnRef idx="0">
          <a:scrgbClr r="0" g="0" b="0"/>
        </a:lnRef>
        <a:fillRef idx="0">
          <a:scrgbClr r="0" g="0" b="0"/>
        </a:fillRef>
        <a:effectRef idx="0">
          <a:scrgbClr r="0" g="0" b="0"/>
        </a:effectRef>
        <a:fontRef idx="minor"/>
      </xdr:style>
      <xdr:txBody>
        <a:bodyPr lIns="90000" tIns="45000" rIns="90000" bIns="45000"/>
        <a:lstStyle/>
        <a:p>
          <a:pPr algn="ctr">
            <a:lnSpc>
              <a:spcPct val="100000"/>
            </a:lnSpc>
          </a:pPr>
          <a:r>
            <a:rPr lang="pt-BR" sz="1100" b="1" strike="noStrike" spc="-1">
              <a:solidFill>
                <a:srgbClr val="000000"/>
              </a:solidFill>
              <a:uFill>
                <a:solidFill>
                  <a:srgbClr val="FFFFFF"/>
                </a:solidFill>
              </a:uFill>
              <a:latin typeface="Calibri"/>
            </a:rPr>
            <a:t>R$6,30</a:t>
          </a:r>
          <a:endParaRPr lang="pt-BR" sz="1200" strike="noStrike" spc="-1">
            <a:solidFill>
              <a:srgbClr val="000000"/>
            </a:solidFill>
            <a:uFill>
              <a:solidFill>
                <a:srgbClr val="FFFFFF"/>
              </a:solidFill>
            </a:uFill>
            <a:latin typeface="Times New Roman"/>
          </a:endParaRPr>
        </a:p>
      </xdr:txBody>
    </xdr:sp>
    <xdr:clientData/>
  </xdr:twoCellAnchor>
  <xdr:twoCellAnchor editAs="oneCell">
    <xdr:from>
      <xdr:col>14</xdr:col>
      <xdr:colOff>331920</xdr:colOff>
      <xdr:row>137</xdr:row>
      <xdr:rowOff>105480</xdr:rowOff>
    </xdr:from>
    <xdr:to>
      <xdr:col>14</xdr:col>
      <xdr:colOff>960375</xdr:colOff>
      <xdr:row>139</xdr:row>
      <xdr:rowOff>28800</xdr:rowOff>
    </xdr:to>
    <xdr:sp macro="" textlink="">
      <xdr:nvSpPr>
        <xdr:cNvPr id="49" name="CustomShape 1">
          <a:extLst>
            <a:ext uri="{FF2B5EF4-FFF2-40B4-BE49-F238E27FC236}">
              <a16:creationId xmlns:a16="http://schemas.microsoft.com/office/drawing/2014/main" id="{00000000-0008-0000-0A00-000031000000}"/>
            </a:ext>
          </a:extLst>
        </xdr:cNvPr>
        <xdr:cNvSpPr/>
      </xdr:nvSpPr>
      <xdr:spPr>
        <a:xfrm>
          <a:off x="14800395" y="27585105"/>
          <a:ext cx="628455" cy="304320"/>
        </a:xfrm>
        <a:prstGeom prst="rect">
          <a:avLst/>
        </a:prstGeom>
        <a:noFill/>
        <a:ln w="9360">
          <a:noFill/>
        </a:ln>
      </xdr:spPr>
      <xdr:style>
        <a:lnRef idx="0">
          <a:scrgbClr r="0" g="0" b="0"/>
        </a:lnRef>
        <a:fillRef idx="0">
          <a:scrgbClr r="0" g="0" b="0"/>
        </a:fillRef>
        <a:effectRef idx="0">
          <a:scrgbClr r="0" g="0" b="0"/>
        </a:effectRef>
        <a:fontRef idx="minor"/>
      </xdr:style>
      <xdr:txBody>
        <a:bodyPr lIns="90000" tIns="45000" rIns="90000" bIns="45000"/>
        <a:lstStyle/>
        <a:p>
          <a:pPr algn="ctr">
            <a:lnSpc>
              <a:spcPct val="100000"/>
            </a:lnSpc>
          </a:pPr>
          <a:r>
            <a:rPr lang="pt-BR" sz="1100" b="1" strike="noStrike" spc="-1">
              <a:solidFill>
                <a:srgbClr val="000000"/>
              </a:solidFill>
              <a:uFill>
                <a:solidFill>
                  <a:srgbClr val="FFFFFF"/>
                </a:solidFill>
              </a:uFill>
              <a:latin typeface="Calibri"/>
            </a:rPr>
            <a:t>R$7,87</a:t>
          </a:r>
          <a:endParaRPr lang="pt-BR" sz="1200" strike="noStrike" spc="-1">
            <a:solidFill>
              <a:srgbClr val="000000"/>
            </a:solidFill>
            <a:uFill>
              <a:solidFill>
                <a:srgbClr val="FFFFFF"/>
              </a:solidFill>
            </a:uFill>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392204</xdr:colOff>
      <xdr:row>9</xdr:row>
      <xdr:rowOff>100852</xdr:rowOff>
    </xdr:from>
    <xdr:to>
      <xdr:col>19</xdr:col>
      <xdr:colOff>437029</xdr:colOff>
      <xdr:row>31</xdr:row>
      <xdr:rowOff>44823</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18</xdr:col>
      <xdr:colOff>430945</xdr:colOff>
      <xdr:row>5</xdr:row>
      <xdr:rowOff>156489</xdr:rowOff>
    </xdr:from>
    <xdr:to>
      <xdr:col>26</xdr:col>
      <xdr:colOff>517945</xdr:colOff>
      <xdr:row>19</xdr:row>
      <xdr:rowOff>9489</xdr:rowOff>
    </xdr:to>
    <xdr:graphicFrame macro="">
      <xdr:nvGraphicFramePr>
        <xdr:cNvPr id="2" name="Gráfico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430429</xdr:colOff>
      <xdr:row>19</xdr:row>
      <xdr:rowOff>153284</xdr:rowOff>
    </xdr:from>
    <xdr:to>
      <xdr:col>26</xdr:col>
      <xdr:colOff>517429</xdr:colOff>
      <xdr:row>33</xdr:row>
      <xdr:rowOff>6284</xdr:rowOff>
    </xdr:to>
    <xdr:graphicFrame macro="">
      <xdr:nvGraphicFramePr>
        <xdr:cNvPr id="3" name="Gráfico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93219</xdr:colOff>
      <xdr:row>5</xdr:row>
      <xdr:rowOff>143625</xdr:rowOff>
    </xdr:from>
    <xdr:to>
      <xdr:col>18</xdr:col>
      <xdr:colOff>180219</xdr:colOff>
      <xdr:row>18</xdr:row>
      <xdr:rowOff>187125</xdr:rowOff>
    </xdr:to>
    <xdr:graphicFrame macro="">
      <xdr:nvGraphicFramePr>
        <xdr:cNvPr id="4" name="Gráfico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86846</xdr:colOff>
      <xdr:row>19</xdr:row>
      <xdr:rowOff>177614</xdr:rowOff>
    </xdr:from>
    <xdr:to>
      <xdr:col>18</xdr:col>
      <xdr:colOff>173846</xdr:colOff>
      <xdr:row>33</xdr:row>
      <xdr:rowOff>30614</xdr:rowOff>
    </xdr:to>
    <xdr:graphicFrame macro="">
      <xdr:nvGraphicFramePr>
        <xdr:cNvPr id="5" name="Gráfico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98051</xdr:colOff>
      <xdr:row>33</xdr:row>
      <xdr:rowOff>163606</xdr:rowOff>
    </xdr:from>
    <xdr:to>
      <xdr:col>18</xdr:col>
      <xdr:colOff>185051</xdr:colOff>
      <xdr:row>47</xdr:row>
      <xdr:rowOff>16606</xdr:rowOff>
    </xdr:to>
    <xdr:graphicFrame macro="">
      <xdr:nvGraphicFramePr>
        <xdr:cNvPr id="6" name="Gráfico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416018</xdr:colOff>
      <xdr:row>33</xdr:row>
      <xdr:rowOff>161084</xdr:rowOff>
    </xdr:from>
    <xdr:to>
      <xdr:col>26</xdr:col>
      <xdr:colOff>503018</xdr:colOff>
      <xdr:row>47</xdr:row>
      <xdr:rowOff>14084</xdr:rowOff>
    </xdr:to>
    <xdr:graphicFrame macro="">
      <xdr:nvGraphicFramePr>
        <xdr:cNvPr id="7" name="Gráfico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109255</xdr:colOff>
      <xdr:row>48</xdr:row>
      <xdr:rowOff>23813</xdr:rowOff>
    </xdr:from>
    <xdr:to>
      <xdr:col>18</xdr:col>
      <xdr:colOff>196255</xdr:colOff>
      <xdr:row>61</xdr:row>
      <xdr:rowOff>67313</xdr:rowOff>
    </xdr:to>
    <xdr:graphicFrame macro="">
      <xdr:nvGraphicFramePr>
        <xdr:cNvPr id="8" name="Gráfico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416018</xdr:colOff>
      <xdr:row>48</xdr:row>
      <xdr:rowOff>0</xdr:rowOff>
    </xdr:from>
    <xdr:to>
      <xdr:col>26</xdr:col>
      <xdr:colOff>503018</xdr:colOff>
      <xdr:row>61</xdr:row>
      <xdr:rowOff>43500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128243</xdr:colOff>
      <xdr:row>62</xdr:row>
      <xdr:rowOff>37041</xdr:rowOff>
    </xdr:from>
    <xdr:to>
      <xdr:col>18</xdr:col>
      <xdr:colOff>215243</xdr:colOff>
      <xdr:row>75</xdr:row>
      <xdr:rowOff>80541</xdr:rowOff>
    </xdr:to>
    <xdr:graphicFrame macro="">
      <xdr:nvGraphicFramePr>
        <xdr:cNvPr id="10" name="Gráfico 9">
          <a:extLst>
            <a:ext uri="{FF2B5EF4-FFF2-40B4-BE49-F238E27FC236}">
              <a16:creationId xmlns:a16="http://schemas.microsoft.com/office/drawing/2014/main" id="{00000000-0008-0000-0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192820</xdr:colOff>
      <xdr:row>1</xdr:row>
      <xdr:rowOff>13614</xdr:rowOff>
    </xdr:from>
    <xdr:to>
      <xdr:col>25</xdr:col>
      <xdr:colOff>465109</xdr:colOff>
      <xdr:row>16</xdr:row>
      <xdr:rowOff>151124</xdr:rowOff>
    </xdr:to>
    <xdr:graphicFrame macro="">
      <xdr:nvGraphicFramePr>
        <xdr:cNvPr id="10" name="Gráfico 9">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192304</xdr:colOff>
      <xdr:row>17</xdr:row>
      <xdr:rowOff>34222</xdr:rowOff>
    </xdr:from>
    <xdr:to>
      <xdr:col>25</xdr:col>
      <xdr:colOff>464593</xdr:colOff>
      <xdr:row>31</xdr:row>
      <xdr:rowOff>176112</xdr:rowOff>
    </xdr:to>
    <xdr:graphicFrame macro="">
      <xdr:nvGraphicFramePr>
        <xdr:cNvPr id="12" name="Gráfico 11">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140844</xdr:colOff>
      <xdr:row>1</xdr:row>
      <xdr:rowOff>24562</xdr:rowOff>
    </xdr:from>
    <xdr:to>
      <xdr:col>17</xdr:col>
      <xdr:colOff>571113</xdr:colOff>
      <xdr:row>16</xdr:row>
      <xdr:rowOff>142585</xdr:rowOff>
    </xdr:to>
    <xdr:graphicFrame macro="">
      <xdr:nvGraphicFramePr>
        <xdr:cNvPr id="13" name="Gráfico 12">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134471</xdr:colOff>
      <xdr:row>17</xdr:row>
      <xdr:rowOff>34739</xdr:rowOff>
    </xdr:from>
    <xdr:to>
      <xdr:col>17</xdr:col>
      <xdr:colOff>571500</xdr:colOff>
      <xdr:row>31</xdr:row>
      <xdr:rowOff>168089</xdr:rowOff>
    </xdr:to>
    <xdr:graphicFrame macro="">
      <xdr:nvGraphicFramePr>
        <xdr:cNvPr id="14" name="Gráfico 13">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145677</xdr:colOff>
      <xdr:row>32</xdr:row>
      <xdr:rowOff>68356</xdr:rowOff>
    </xdr:from>
    <xdr:to>
      <xdr:col>17</xdr:col>
      <xdr:colOff>593911</xdr:colOff>
      <xdr:row>46</xdr:row>
      <xdr:rowOff>179294</xdr:rowOff>
    </xdr:to>
    <xdr:graphicFrame macro="">
      <xdr:nvGraphicFramePr>
        <xdr:cNvPr id="15" name="Gráfico 14">
          <a:extLst>
            <a:ext uri="{FF2B5EF4-FFF2-40B4-BE49-F238E27FC236}">
              <a16:creationId xmlns:a16="http://schemas.microsoft.com/office/drawing/2014/main" id="{00000000-0008-0000-0D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201706</xdr:colOff>
      <xdr:row>32</xdr:row>
      <xdr:rowOff>89646</xdr:rowOff>
    </xdr:from>
    <xdr:to>
      <xdr:col>25</xdr:col>
      <xdr:colOff>470647</xdr:colOff>
      <xdr:row>46</xdr:row>
      <xdr:rowOff>144555</xdr:rowOff>
    </xdr:to>
    <xdr:graphicFrame macro="">
      <xdr:nvGraphicFramePr>
        <xdr:cNvPr id="2" name="Gráfico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156881</xdr:colOff>
      <xdr:row>47</xdr:row>
      <xdr:rowOff>123265</xdr:rowOff>
    </xdr:from>
    <xdr:to>
      <xdr:col>17</xdr:col>
      <xdr:colOff>593910</xdr:colOff>
      <xdr:row>62</xdr:row>
      <xdr:rowOff>66115</xdr:rowOff>
    </xdr:to>
    <xdr:graphicFrame macro="">
      <xdr:nvGraphicFramePr>
        <xdr:cNvPr id="3" name="Gráfico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201707</xdr:colOff>
      <xdr:row>47</xdr:row>
      <xdr:rowOff>101972</xdr:rowOff>
    </xdr:from>
    <xdr:to>
      <xdr:col>25</xdr:col>
      <xdr:colOff>481853</xdr:colOff>
      <xdr:row>62</xdr:row>
      <xdr:rowOff>89647</xdr:rowOff>
    </xdr:to>
    <xdr:graphicFrame macro="">
      <xdr:nvGraphicFramePr>
        <xdr:cNvPr id="4" name="Gráfico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35637</xdr:colOff>
      <xdr:row>47</xdr:row>
      <xdr:rowOff>112059</xdr:rowOff>
    </xdr:from>
    <xdr:to>
      <xdr:col>9</xdr:col>
      <xdr:colOff>593913</xdr:colOff>
      <xdr:row>62</xdr:row>
      <xdr:rowOff>66114</xdr:rowOff>
    </xdr:to>
    <xdr:graphicFrame macro="">
      <xdr:nvGraphicFramePr>
        <xdr:cNvPr id="5" name="Gráfico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ceania\PCM\PCM\Luiz%20Castilho\Especifica&#231;&#245;es%20de%20Equipamentos\Cubicagem%20Silo%20de%20C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uiz.castilho/Desktop/Luiz%20Castilho%20PC/Safras%20Anteriores/Safra%202017/Controle%20de%20Insumos%202017/Controle%20de%20Insumos%20Safra%20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uiz.castilho/Desktop/Luiz%20Castilho%20PC/Safras%20Anteriores/Safra%202016/Controle%20de%20Insumos%202016/Controle%20de%20Insumos%20Safra%2020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uiz.castilho/Desktop/Luiz%20Castilho%20PC/Safras%20Anteriores/Consumo%20de%20Insumos%20Safra%202014%20e%20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álculos"/>
      <sheetName val="Planilha"/>
    </sheetNames>
    <sheetDataSet>
      <sheetData sheetId="0">
        <row r="4">
          <cell r="E4">
            <v>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ompanhamento de Safra"/>
      <sheetName val="Cadastro de Insumos"/>
      <sheetName val="Estoque PRO"/>
      <sheetName val="Estoque ALM"/>
      <sheetName val="Previsão de Compra"/>
      <sheetName val="Solicitações de Compra"/>
      <sheetName val="Controle Diário"/>
      <sheetName val="Controle Semanal"/>
      <sheetName val="Orçado x Realizado"/>
      <sheetName val="Safra 2017"/>
    </sheetNames>
    <sheetDataSet>
      <sheetData sheetId="0">
        <row r="34">
          <cell r="C34">
            <v>1340602.3599999999</v>
          </cell>
          <cell r="D34">
            <v>77452430</v>
          </cell>
        </row>
      </sheetData>
      <sheetData sheetId="1"/>
      <sheetData sheetId="2"/>
      <sheetData sheetId="3"/>
      <sheetData sheetId="4"/>
      <sheetData sheetId="5"/>
      <sheetData sheetId="6"/>
      <sheetData sheetId="7"/>
      <sheetData sheetId="8"/>
      <sheetData sheetId="9">
        <row r="44">
          <cell r="C44" t="str">
            <v>Safra 2014</v>
          </cell>
          <cell r="D44" t="str">
            <v>Safra 2015</v>
          </cell>
          <cell r="E44" t="str">
            <v>Safra 2016</v>
          </cell>
          <cell r="F44" t="str">
            <v>Safra 2017</v>
          </cell>
        </row>
        <row r="45">
          <cell r="C45">
            <v>1841157.74</v>
          </cell>
          <cell r="D45">
            <v>2159482.9500000002</v>
          </cell>
          <cell r="E45">
            <v>1711781.0000000002</v>
          </cell>
          <cell r="F45">
            <v>1340602.3599999999</v>
          </cell>
        </row>
        <row r="46">
          <cell r="C46">
            <v>78029017</v>
          </cell>
          <cell r="D46">
            <v>99507339</v>
          </cell>
          <cell r="E46">
            <v>80870673</v>
          </cell>
          <cell r="F46">
            <v>77452430</v>
          </cell>
        </row>
        <row r="47">
          <cell r="C47">
            <v>2204655</v>
          </cell>
          <cell r="D47">
            <v>2254172</v>
          </cell>
          <cell r="E47">
            <v>1654009</v>
          </cell>
          <cell r="F47">
            <v>1108780</v>
          </cell>
        </row>
        <row r="48">
          <cell r="C48">
            <v>2443012.5500000003</v>
          </cell>
          <cell r="D48">
            <v>3830635.2849999997</v>
          </cell>
          <cell r="E48">
            <v>2627956.4130582684</v>
          </cell>
          <cell r="F48">
            <v>1865488.00712656</v>
          </cell>
        </row>
        <row r="49">
          <cell r="C49">
            <v>1.3268893245398954</v>
          </cell>
          <cell r="D49">
            <v>1.7738668809587033</v>
          </cell>
          <cell r="E49">
            <v>1.5352176552130605</v>
          </cell>
          <cell r="F49">
            <v>1.391529705442679</v>
          </cell>
        </row>
        <row r="62">
          <cell r="C62">
            <v>13.939301580590206</v>
          </cell>
          <cell r="D62">
            <v>11.086418460049464</v>
          </cell>
          <cell r="E62">
            <v>8.2054467383992211</v>
          </cell>
          <cell r="F62">
            <v>6.1299626293489631</v>
          </cell>
        </row>
        <row r="63">
          <cell r="C63">
            <v>0.41523014444741757</v>
          </cell>
          <cell r="D63">
            <v>0.60598545399751869</v>
          </cell>
          <cell r="E63">
            <v>0.32413653029056089</v>
          </cell>
          <cell r="F63">
            <v>0.25725756574324682</v>
          </cell>
        </row>
        <row r="64">
          <cell r="C64">
            <v>0.3588408655718423</v>
          </cell>
          <cell r="D64">
            <v>0.33253828644739458</v>
          </cell>
          <cell r="E64">
            <v>0.24166027605101367</v>
          </cell>
          <cell r="F64">
            <v>0.20137175194775514</v>
          </cell>
        </row>
        <row r="65">
          <cell r="C65">
            <v>0.16660468758692679</v>
          </cell>
          <cell r="D65">
            <v>0.19596544532258067</v>
          </cell>
          <cell r="E65">
            <v>7.7283887571950829E-2</v>
          </cell>
          <cell r="F65">
            <v>6.4555753770411076E-2</v>
          </cell>
        </row>
        <row r="66">
          <cell r="C66">
            <v>0.21722688112295455</v>
          </cell>
          <cell r="D66">
            <v>0.24118824039702239</v>
          </cell>
          <cell r="E66">
            <v>0.19736450072574516</v>
          </cell>
          <cell r="F66">
            <v>0.19123996496946577</v>
          </cell>
        </row>
        <row r="67">
          <cell r="C67">
            <v>99.106120043793752</v>
          </cell>
          <cell r="D67">
            <v>220.71394451157855</v>
          </cell>
          <cell r="E67">
            <v>182.27980010660781</v>
          </cell>
          <cell r="F67">
            <v>107.48569515279249</v>
          </cell>
        </row>
        <row r="68">
          <cell r="C68">
            <v>751.58687924262267</v>
          </cell>
          <cell r="D68">
            <v>634.92976409005678</v>
          </cell>
          <cell r="E68">
            <v>713.71413749772887</v>
          </cell>
          <cell r="F68">
            <v>547.0052212219415</v>
          </cell>
        </row>
        <row r="69">
          <cell r="C69">
            <v>2.1725460633264371</v>
          </cell>
          <cell r="D69">
            <v>2.0954089959358093</v>
          </cell>
          <cell r="E69">
            <v>2.7100429318937409</v>
          </cell>
          <cell r="F69">
            <v>3.5058867120001196</v>
          </cell>
        </row>
        <row r="70">
          <cell r="C70">
            <v>9.1246934659710366</v>
          </cell>
          <cell r="D70">
            <v>6.483033357591454</v>
          </cell>
          <cell r="E70">
            <v>6.6130435493792721</v>
          </cell>
          <cell r="F70">
            <v>9.8649684608939534</v>
          </cell>
        </row>
        <row r="71">
          <cell r="C71">
            <v>11.297239529297475</v>
          </cell>
          <cell r="D71">
            <v>8.5784423535272634</v>
          </cell>
          <cell r="E71">
            <v>9.3230864812730125</v>
          </cell>
          <cell r="F71">
            <v>13.370855172894073</v>
          </cell>
        </row>
        <row r="72">
          <cell r="C72">
            <v>0</v>
          </cell>
          <cell r="D72">
            <v>0</v>
          </cell>
          <cell r="E72">
            <v>17.937458121103106</v>
          </cell>
          <cell r="F72">
            <v>4.4756000578724926</v>
          </cell>
        </row>
        <row r="74">
          <cell r="C74">
            <v>2.6436289720271628</v>
          </cell>
          <cell r="D74">
            <v>4.0419196618251441</v>
          </cell>
          <cell r="E74">
            <v>2.2781115762819812</v>
          </cell>
          <cell r="F74">
            <v>1.8067284670281447</v>
          </cell>
        </row>
        <row r="75">
          <cell r="C75">
            <v>3.6601768288327916</v>
          </cell>
          <cell r="D75">
            <v>3.8300692575047153</v>
          </cell>
          <cell r="E75">
            <v>3.3026918836992554</v>
          </cell>
          <cell r="F75">
            <v>2.7931950079124688</v>
          </cell>
        </row>
        <row r="76">
          <cell r="C76">
            <v>6.3038058008599549</v>
          </cell>
          <cell r="D76">
            <v>7.8719889193298593</v>
          </cell>
          <cell r="E76">
            <v>5.5808034599812366</v>
          </cell>
          <cell r="F76">
            <v>4.5999234749406135</v>
          </cell>
        </row>
        <row r="77">
          <cell r="C77">
            <v>0.95149295549884982</v>
          </cell>
          <cell r="D77">
            <v>0.23272132721788485</v>
          </cell>
          <cell r="E77">
            <v>0.90009182988305858</v>
          </cell>
          <cell r="F77">
            <v>0.86810094144237937</v>
          </cell>
        </row>
        <row r="80">
          <cell r="A80" t="str">
            <v>Ácido Sulfúrico (26%)</v>
          </cell>
          <cell r="B80"/>
          <cell r="C80">
            <v>0.26011390708979515</v>
          </cell>
        </row>
        <row r="81">
          <cell r="A81" t="str">
            <v>Cal (16%)</v>
          </cell>
          <cell r="B81"/>
          <cell r="C81">
            <v>0.15837851345191892</v>
          </cell>
        </row>
        <row r="82">
          <cell r="A82" t="str">
            <v>Polímero (14%)</v>
          </cell>
          <cell r="B82"/>
          <cell r="C82">
            <v>0.14401511278746776</v>
          </cell>
        </row>
        <row r="83">
          <cell r="A83" t="str">
            <v>Soda Cáustica (13%)</v>
          </cell>
          <cell r="B83"/>
          <cell r="C83">
            <v>0.13138728338005576</v>
          </cell>
        </row>
        <row r="84">
          <cell r="A84" t="str">
            <v>Dispersante (12%)</v>
          </cell>
          <cell r="B84"/>
          <cell r="C84">
            <v>0.11596951575149572</v>
          </cell>
        </row>
        <row r="85">
          <cell r="A85" t="str">
            <v>Antiespumante (7,5%)</v>
          </cell>
          <cell r="B85"/>
          <cell r="C85">
            <v>7.5012816800173132E-2</v>
          </cell>
        </row>
        <row r="86">
          <cell r="A86" t="str">
            <v>Dióxido de Cloro (3,9%)</v>
          </cell>
          <cell r="B86"/>
          <cell r="C86">
            <v>3.8963713367399185E-2</v>
          </cell>
        </row>
        <row r="87">
          <cell r="A87" t="str">
            <v>Tratamento Torre de Resfriamento (3,6%)</v>
          </cell>
          <cell r="B87"/>
          <cell r="C87">
            <v>3.6042326266983331E-2</v>
          </cell>
        </row>
        <row r="88">
          <cell r="A88" t="str">
            <v>Clarificante (1,0%)</v>
          </cell>
          <cell r="B88"/>
          <cell r="C88">
            <v>9.9705813861810169E-3</v>
          </cell>
        </row>
        <row r="89">
          <cell r="A89" t="str">
            <v>Nutriente (0,4%)</v>
          </cell>
          <cell r="B89"/>
          <cell r="C89">
            <v>4.4894418875949475E-3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visão de Compra"/>
      <sheetName val="Solicitações de Compra"/>
      <sheetName val="Safra 2016"/>
      <sheetName val="Maio"/>
      <sheetName val="Junho"/>
      <sheetName val="Julho"/>
      <sheetName val="Agosto"/>
      <sheetName val="Setembro"/>
      <sheetName val="Outubro"/>
      <sheetName val="Controle Semanal"/>
      <sheetName val="Orçado"/>
    </sheetNames>
    <sheetDataSet>
      <sheetData sheetId="0"/>
      <sheetData sheetId="1"/>
      <sheetData sheetId="2">
        <row r="42">
          <cell r="H42" t="str">
            <v>Acumulado Safra 2014</v>
          </cell>
          <cell r="I42" t="str">
            <v>Acumulado Safra 2015</v>
          </cell>
          <cell r="J42" t="str">
            <v>Acumulado Safra 2016</v>
          </cell>
          <cell r="K42" t="str">
            <v>Orçado Safra 2016</v>
          </cell>
          <cell r="L42"/>
        </row>
        <row r="45">
          <cell r="H45">
            <v>2624385.35</v>
          </cell>
          <cell r="I45">
            <v>3961402.21</v>
          </cell>
          <cell r="J45">
            <v>2627956.4130582684</v>
          </cell>
          <cell r="K45">
            <v>2274546.9504740098</v>
          </cell>
        </row>
        <row r="46">
          <cell r="H46">
            <v>1.4253995151985186</v>
          </cell>
          <cell r="I46">
            <v>1.8344216193047505</v>
          </cell>
          <cell r="J46">
            <v>1.5352176552130605</v>
          </cell>
          <cell r="K46">
            <v>1.33058642725984</v>
          </cell>
        </row>
        <row r="52">
          <cell r="H52">
            <v>13.9393015805902</v>
          </cell>
          <cell r="I52">
            <v>11.086418460049501</v>
          </cell>
          <cell r="J52">
            <v>8.2054467383992211</v>
          </cell>
          <cell r="K52">
            <v>10</v>
          </cell>
        </row>
        <row r="53">
          <cell r="H53">
            <v>0.41523014444741801</v>
          </cell>
          <cell r="I53">
            <v>0.60598545399751902</v>
          </cell>
          <cell r="J53">
            <v>0.32413653029056089</v>
          </cell>
          <cell r="K53">
            <v>0.4</v>
          </cell>
        </row>
        <row r="54">
          <cell r="H54">
            <v>0.35884086557184203</v>
          </cell>
          <cell r="I54">
            <v>0.33253828644739503</v>
          </cell>
          <cell r="J54">
            <v>0.2416602760510137</v>
          </cell>
          <cell r="K54">
            <v>0.32</v>
          </cell>
        </row>
        <row r="55">
          <cell r="H55">
            <v>0.21722688112295499</v>
          </cell>
          <cell r="I55">
            <v>0.241188240397022</v>
          </cell>
          <cell r="J55">
            <v>0.19736450072574518</v>
          </cell>
          <cell r="K55">
            <v>0.13500000000000001</v>
          </cell>
        </row>
        <row r="56">
          <cell r="H56">
            <v>0.16660468758692701</v>
          </cell>
          <cell r="I56">
            <v>0.18390603330273</v>
          </cell>
          <cell r="J56">
            <v>7.7283887571950829E-2</v>
          </cell>
          <cell r="K56">
            <v>0.1</v>
          </cell>
        </row>
        <row r="57">
          <cell r="H57">
            <v>2.6436289720271602</v>
          </cell>
          <cell r="I57">
            <v>4.0419196618251396</v>
          </cell>
          <cell r="J57">
            <v>2.2781115762819812</v>
          </cell>
          <cell r="K57">
            <v>3.2</v>
          </cell>
        </row>
        <row r="58">
          <cell r="H58">
            <v>3.6601768288327898</v>
          </cell>
          <cell r="I58">
            <v>3.8300692575047202</v>
          </cell>
          <cell r="J58">
            <v>3.3026918836992554</v>
          </cell>
          <cell r="K58">
            <v>4.7359999999999998</v>
          </cell>
        </row>
        <row r="61">
          <cell r="H61">
            <v>99.106120043793794</v>
          </cell>
          <cell r="I61">
            <v>220.713944511579</v>
          </cell>
          <cell r="J61">
            <v>182.27980010660781</v>
          </cell>
          <cell r="K61">
            <v>127.59</v>
          </cell>
        </row>
        <row r="62">
          <cell r="H62">
            <v>751.58687924262301</v>
          </cell>
          <cell r="I62">
            <v>634.92976409005701</v>
          </cell>
          <cell r="J62">
            <v>713.71413749772887</v>
          </cell>
          <cell r="K62">
            <v>550</v>
          </cell>
        </row>
        <row r="65">
          <cell r="H65">
            <v>11.29723952929748</v>
          </cell>
          <cell r="I65">
            <v>8.5784423535272598</v>
          </cell>
          <cell r="J65">
            <v>9.3230864812730125</v>
          </cell>
          <cell r="K65">
            <v>8</v>
          </cell>
        </row>
      </sheetData>
      <sheetData sheetId="3"/>
      <sheetData sheetId="4"/>
      <sheetData sheetId="5"/>
      <sheetData sheetId="6"/>
      <sheetData sheetId="7"/>
      <sheetData sheetId="8">
        <row r="5">
          <cell r="AF5">
            <v>0</v>
          </cell>
        </row>
        <row r="6">
          <cell r="AF6">
            <v>1764</v>
          </cell>
        </row>
        <row r="7">
          <cell r="AF7">
            <v>1456.77083838874</v>
          </cell>
        </row>
        <row r="9">
          <cell r="AF9">
            <v>352</v>
          </cell>
        </row>
        <row r="10">
          <cell r="AF10">
            <v>406.86065151745402</v>
          </cell>
        </row>
        <row r="15">
          <cell r="AF15">
            <v>890</v>
          </cell>
        </row>
        <row r="18">
          <cell r="AF18">
            <v>29486.5686937108</v>
          </cell>
        </row>
        <row r="21">
          <cell r="AF21">
            <v>20000</v>
          </cell>
        </row>
        <row r="22">
          <cell r="AF22">
            <v>100</v>
          </cell>
        </row>
        <row r="23">
          <cell r="AF23">
            <v>50</v>
          </cell>
        </row>
        <row r="24">
          <cell r="AF24">
            <v>5295</v>
          </cell>
        </row>
      </sheetData>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çamento atualizado"/>
    </sheetNames>
    <sheetDataSet>
      <sheetData sheetId="0">
        <row r="6">
          <cell r="N6" t="str">
            <v>Valor Gasto Total</v>
          </cell>
          <cell r="O6">
            <v>2799500.2600000007</v>
          </cell>
          <cell r="P6">
            <v>4147091.8699999996</v>
          </cell>
          <cell r="Q6">
            <v>3645576.9600119456</v>
          </cell>
        </row>
        <row r="8">
          <cell r="N8" t="str">
            <v>R$/TC Total</v>
          </cell>
          <cell r="O8">
            <v>1.5205108172860848</v>
          </cell>
          <cell r="P8">
            <v>1.92040963787188</v>
          </cell>
          <cell r="Q8">
            <v>1.5850334608747589</v>
          </cell>
        </row>
      </sheetData>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46"/>
  <sheetViews>
    <sheetView showGridLines="0" workbookViewId="0">
      <selection activeCell="B2" sqref="B2:B3"/>
    </sheetView>
  </sheetViews>
  <sheetFormatPr defaultRowHeight="15"/>
  <cols>
    <col min="2" max="2" width="34.28515625" bestFit="1" customWidth="1"/>
    <col min="3" max="10" width="10.28515625" customWidth="1"/>
    <col min="11" max="11" width="19.28515625" style="1" customWidth="1"/>
    <col min="12" max="14" width="10.28515625" customWidth="1"/>
    <col min="15" max="15" width="8.42578125" bestFit="1" customWidth="1"/>
  </cols>
  <sheetData>
    <row r="1" spans="1:23" ht="87" customHeight="1">
      <c r="A1" s="1023" t="s">
        <v>0</v>
      </c>
      <c r="B1" s="1023"/>
      <c r="C1" s="1023"/>
      <c r="D1" s="1023"/>
      <c r="E1" s="1023"/>
      <c r="F1" s="1023"/>
      <c r="G1" s="1023"/>
      <c r="H1" s="1023"/>
      <c r="I1" s="1023"/>
      <c r="J1" s="1023"/>
      <c r="Q1" s="2"/>
      <c r="R1" s="2"/>
      <c r="S1" s="2"/>
      <c r="T1" s="2"/>
      <c r="U1" s="2"/>
      <c r="V1" s="2"/>
      <c r="W1" s="2"/>
    </row>
    <row r="2" spans="1:23" ht="30" customHeight="1">
      <c r="A2" s="1024" t="s">
        <v>1</v>
      </c>
      <c r="B2" s="1024" t="s">
        <v>2</v>
      </c>
      <c r="C2" s="1025" t="s">
        <v>3</v>
      </c>
      <c r="D2" s="1025"/>
      <c r="E2" s="1025"/>
      <c r="F2" s="1025"/>
      <c r="G2" s="1025"/>
      <c r="H2" s="1026" t="s">
        <v>4</v>
      </c>
      <c r="I2" s="1026" t="s">
        <v>5</v>
      </c>
      <c r="J2" s="1026" t="s">
        <v>6</v>
      </c>
    </row>
    <row r="3" spans="1:23" ht="45">
      <c r="A3" s="1024"/>
      <c r="B3" s="1024"/>
      <c r="C3" s="3" t="s">
        <v>7</v>
      </c>
      <c r="D3" s="3" t="s">
        <v>8</v>
      </c>
      <c r="E3" s="3" t="s">
        <v>32</v>
      </c>
      <c r="F3" s="3" t="s">
        <v>9</v>
      </c>
      <c r="G3" s="3" t="s">
        <v>10</v>
      </c>
      <c r="H3" s="1027"/>
      <c r="I3" s="1027"/>
      <c r="J3" s="1027"/>
    </row>
    <row r="4" spans="1:23" ht="30" customHeight="1">
      <c r="A4" s="4" t="s">
        <v>33</v>
      </c>
      <c r="B4" s="5"/>
      <c r="C4" s="6"/>
      <c r="D4" s="6"/>
      <c r="E4" s="6"/>
      <c r="F4" s="6"/>
      <c r="G4" s="6"/>
      <c r="H4" s="6"/>
      <c r="I4" s="6"/>
      <c r="J4" s="7"/>
      <c r="K4" s="8" t="s">
        <v>11</v>
      </c>
    </row>
    <row r="5" spans="1:23">
      <c r="A5" s="9">
        <v>56484001</v>
      </c>
      <c r="B5" s="10" t="s">
        <v>12</v>
      </c>
      <c r="C5" s="11">
        <v>0</v>
      </c>
      <c r="D5" s="12">
        <v>40</v>
      </c>
      <c r="E5" s="13" t="s">
        <v>13</v>
      </c>
      <c r="F5" s="13" t="s">
        <v>13</v>
      </c>
      <c r="G5" s="13" t="s">
        <v>13</v>
      </c>
      <c r="H5" s="14">
        <f>((D5/100-C19)*SQRT(C19^2-(D5/100-C19)^2)+C19^2*(ASIN((D5/100-C19)/C19)+PI()/2))*C20*1000+C5</f>
        <v>4520.4004908802253</v>
      </c>
      <c r="I5" s="15">
        <v>1.82</v>
      </c>
      <c r="J5" s="14">
        <f t="shared" ref="J5:J11" si="0">H5*I5</f>
        <v>8227.1288934020104</v>
      </c>
      <c r="K5" s="16">
        <f>62620.2353906501-J5</f>
        <v>54393.106497248089</v>
      </c>
      <c r="M5" s="17"/>
    </row>
    <row r="6" spans="1:23">
      <c r="A6" s="9">
        <v>56480004</v>
      </c>
      <c r="B6" s="10" t="s">
        <v>14</v>
      </c>
      <c r="C6" s="11">
        <v>0</v>
      </c>
      <c r="D6" s="12">
        <v>97</v>
      </c>
      <c r="E6" s="12"/>
      <c r="F6" s="13" t="s">
        <v>13</v>
      </c>
      <c r="G6" s="13" t="s">
        <v>13</v>
      </c>
      <c r="H6" s="14">
        <f>((D6/100-$C$25)*SQRT($C$25^2-(D6/100-$C$25)^2)+$C$25^2*(ASIN((D6/100-$C$25)/$C$25)+PI()/2))*$C$26*1000+C6+E6</f>
        <v>1557.0653039851968</v>
      </c>
      <c r="I6" s="15">
        <v>0.9</v>
      </c>
      <c r="J6" s="14">
        <f t="shared" si="0"/>
        <v>1401.3587735866772</v>
      </c>
      <c r="M6" s="17"/>
    </row>
    <row r="7" spans="1:23" hidden="1">
      <c r="A7" s="9">
        <v>56480007</v>
      </c>
      <c r="B7" s="10" t="s">
        <v>15</v>
      </c>
      <c r="C7" s="11">
        <v>0</v>
      </c>
      <c r="D7" s="12">
        <v>0</v>
      </c>
      <c r="E7" s="12">
        <v>0</v>
      </c>
      <c r="F7" s="13" t="s">
        <v>13</v>
      </c>
      <c r="G7" s="13" t="s">
        <v>13</v>
      </c>
      <c r="H7" s="14">
        <f>((D7/100-$C$25)*SQRT($C$25^2-(D7/100-$C$25)^2)+$C$25^2*(ASIN((D7/100-$C$25)/$C$25)+PI()/2))*$C$26*1000+C7+E7*1000</f>
        <v>0</v>
      </c>
      <c r="I7" s="15">
        <v>0.9</v>
      </c>
      <c r="J7" s="14">
        <f t="shared" si="0"/>
        <v>0</v>
      </c>
      <c r="K7" s="18"/>
      <c r="L7" s="17"/>
    </row>
    <row r="8" spans="1:23" hidden="1">
      <c r="A8" s="9">
        <v>56480008</v>
      </c>
      <c r="B8" s="10" t="s">
        <v>16</v>
      </c>
      <c r="C8" s="11">
        <v>0</v>
      </c>
      <c r="D8" s="12">
        <v>0</v>
      </c>
      <c r="E8" s="12">
        <v>0</v>
      </c>
      <c r="F8" s="13" t="s">
        <v>13</v>
      </c>
      <c r="G8" s="13" t="s">
        <v>13</v>
      </c>
      <c r="H8" s="14">
        <f>((D8/100-$C$25)*SQRT($C$25^2-(D8/100-$C$25)^2)+$C$25^2*(ASIN((D8/100-$C$25)/$C$25)+PI()/2))*$C$26*1000+C8+E8*1000</f>
        <v>0</v>
      </c>
      <c r="I8" s="15">
        <v>0.9</v>
      </c>
      <c r="J8" s="14">
        <f t="shared" si="0"/>
        <v>0</v>
      </c>
      <c r="K8" s="18"/>
      <c r="L8" s="17"/>
    </row>
    <row r="9" spans="1:23">
      <c r="A9" s="9">
        <v>56482007</v>
      </c>
      <c r="B9" s="10" t="s">
        <v>17</v>
      </c>
      <c r="C9" s="11">
        <v>0</v>
      </c>
      <c r="D9" s="12">
        <v>51</v>
      </c>
      <c r="E9" s="12"/>
      <c r="F9" s="13" t="s">
        <v>13</v>
      </c>
      <c r="G9" s="13" t="s">
        <v>13</v>
      </c>
      <c r="H9" s="14">
        <f>((D9/100-$C$25)*SQRT($C$25^2-(D9/100-$C$25)^2)+$C$25^2*(ASIN((D9/100-$C$25)/$C$25)+PI()/2))*$C$26*1000+C9+E9</f>
        <v>805.39682998410342</v>
      </c>
      <c r="I9" s="15">
        <v>1</v>
      </c>
      <c r="J9" s="14">
        <f t="shared" si="0"/>
        <v>805.39682998410342</v>
      </c>
      <c r="K9" s="18"/>
    </row>
    <row r="10" spans="1:23" hidden="1">
      <c r="A10" s="9">
        <v>56482010</v>
      </c>
      <c r="B10" s="10" t="s">
        <v>18</v>
      </c>
      <c r="C10" s="11">
        <v>0</v>
      </c>
      <c r="D10" s="12">
        <v>0</v>
      </c>
      <c r="E10" s="12">
        <v>0</v>
      </c>
      <c r="F10" s="13" t="s">
        <v>13</v>
      </c>
      <c r="G10" s="13" t="s">
        <v>13</v>
      </c>
      <c r="H10" s="14">
        <f>((D10/100-$C$25)*SQRT($C$25^2-(D10/100-$C$25)^2)+$C$25^2*(ASIN((D10/100-$C$25)/$C$25)+PI()/2))*$C$26*1000+C10+E10*1000</f>
        <v>0</v>
      </c>
      <c r="I10" s="15">
        <v>1</v>
      </c>
      <c r="J10" s="14">
        <f t="shared" si="0"/>
        <v>0</v>
      </c>
      <c r="K10" s="18"/>
      <c r="T10" s="19"/>
      <c r="U10" s="20"/>
      <c r="V10" s="19"/>
    </row>
    <row r="11" spans="1:23" hidden="1">
      <c r="A11" s="9">
        <v>56482011</v>
      </c>
      <c r="B11" s="10" t="s">
        <v>19</v>
      </c>
      <c r="C11" s="11">
        <v>0</v>
      </c>
      <c r="D11" s="12">
        <v>0</v>
      </c>
      <c r="E11" s="12">
        <v>0</v>
      </c>
      <c r="F11" s="13" t="s">
        <v>13</v>
      </c>
      <c r="G11" s="13" t="s">
        <v>13</v>
      </c>
      <c r="H11" s="14">
        <f>((D11/100-$C$25)*SQRT($C$25^2-(D11/100-$C$25)^2)+$C$25^2*(ASIN((D11/100-$C$25)/$C$25)+PI()/2))*$C$26*1000+C11+E11*1000</f>
        <v>0</v>
      </c>
      <c r="I11" s="15">
        <v>1</v>
      </c>
      <c r="J11" s="14">
        <f t="shared" si="0"/>
        <v>0</v>
      </c>
      <c r="T11" s="19"/>
      <c r="U11" s="20"/>
      <c r="V11" s="19"/>
    </row>
    <row r="12" spans="1:23" ht="30" customHeight="1">
      <c r="A12" s="4" t="s">
        <v>34</v>
      </c>
      <c r="B12" s="5"/>
      <c r="C12" s="6"/>
      <c r="D12" s="6"/>
      <c r="E12" s="6"/>
      <c r="F12" s="6"/>
      <c r="G12" s="6"/>
      <c r="H12" s="6"/>
      <c r="I12" s="6"/>
      <c r="J12" s="7"/>
      <c r="K12" s="8" t="s">
        <v>11</v>
      </c>
      <c r="M12">
        <f>4.772*1.53</f>
        <v>7.3011600000000003</v>
      </c>
    </row>
    <row r="13" spans="1:23">
      <c r="A13" s="9">
        <v>56484009</v>
      </c>
      <c r="B13" s="10" t="s">
        <v>20</v>
      </c>
      <c r="C13" s="11">
        <v>0</v>
      </c>
      <c r="D13" s="12">
        <v>69</v>
      </c>
      <c r="E13" s="13" t="s">
        <v>13</v>
      </c>
      <c r="F13" s="13" t="s">
        <v>13</v>
      </c>
      <c r="G13" s="13" t="s">
        <v>13</v>
      </c>
      <c r="H13" s="14">
        <f>((D13/100-C19)*SQRT(C19^2-(D13/100-C19)^2)+C19^2*(ASIN((D13/100-C19)/C19)+PI()/2))*C20*1000+C13</f>
        <v>9543.4568835868558</v>
      </c>
      <c r="I13" s="15">
        <v>1.53</v>
      </c>
      <c r="J13" s="14">
        <f>H13*I13</f>
        <v>14601.48903188789</v>
      </c>
      <c r="K13" s="16">
        <f>52642.2857954366-J13</f>
        <v>38040.796763548708</v>
      </c>
      <c r="M13" s="612"/>
      <c r="N13" s="17"/>
    </row>
    <row r="14" spans="1:23" ht="30" customHeight="1">
      <c r="A14" s="4" t="s">
        <v>35</v>
      </c>
      <c r="B14" s="5"/>
      <c r="C14" s="6"/>
      <c r="D14" s="6"/>
      <c r="E14" s="6"/>
      <c r="F14" s="6"/>
      <c r="G14" s="6"/>
      <c r="H14" s="6"/>
      <c r="I14" s="6"/>
      <c r="J14" s="7"/>
      <c r="K14" s="22" t="s">
        <v>21</v>
      </c>
      <c r="L14" s="17"/>
      <c r="M14">
        <f>16715-7301</f>
        <v>9414</v>
      </c>
    </row>
    <row r="15" spans="1:23">
      <c r="A15" s="9">
        <v>56484003</v>
      </c>
      <c r="B15" s="10" t="s">
        <v>22</v>
      </c>
      <c r="C15" s="21" t="s">
        <v>13</v>
      </c>
      <c r="D15" s="12">
        <v>210</v>
      </c>
      <c r="E15" s="13" t="s">
        <v>13</v>
      </c>
      <c r="F15" s="12"/>
      <c r="G15" s="21">
        <f>SUMIF(E20:E131,D15,F20:F131)</f>
        <v>35795.247266541133</v>
      </c>
      <c r="H15" s="21" t="s">
        <v>13</v>
      </c>
      <c r="I15" s="23" t="s">
        <v>13</v>
      </c>
      <c r="J15" s="14">
        <f>F15*1000+G15</f>
        <v>35795.247266541133</v>
      </c>
      <c r="K15" s="16">
        <f>F20-G15</f>
        <v>19407.738396265268</v>
      </c>
    </row>
    <row r="16" spans="1:23" ht="15" customHeight="1"/>
    <row r="17" spans="1:6" ht="15" customHeight="1">
      <c r="A17" s="1012" t="s">
        <v>23</v>
      </c>
      <c r="B17" s="1012"/>
      <c r="C17" s="1012"/>
      <c r="E17" s="1013" t="s">
        <v>24</v>
      </c>
      <c r="F17" s="1014"/>
    </row>
    <row r="18" spans="1:6">
      <c r="A18" s="1015" t="s">
        <v>25</v>
      </c>
      <c r="B18" s="1015"/>
      <c r="C18" s="24">
        <v>1.6</v>
      </c>
      <c r="E18" s="1016" t="s">
        <v>26</v>
      </c>
      <c r="F18" s="1017" t="s">
        <v>27</v>
      </c>
    </row>
    <row r="19" spans="1:6">
      <c r="A19" s="1015" t="s">
        <v>28</v>
      </c>
      <c r="B19" s="1015"/>
      <c r="C19" s="24">
        <f>C18/2</f>
        <v>0.8</v>
      </c>
      <c r="E19" s="1016"/>
      <c r="F19" s="1017"/>
    </row>
    <row r="20" spans="1:6">
      <c r="A20" s="1015" t="s">
        <v>29</v>
      </c>
      <c r="B20" s="1015"/>
      <c r="C20" s="15">
        <v>11.5</v>
      </c>
      <c r="E20" s="25">
        <f>[1]Cálculos!E4*100</f>
        <v>0</v>
      </c>
      <c r="F20" s="26">
        <v>55202.985662806401</v>
      </c>
    </row>
    <row r="21" spans="1:6">
      <c r="A21" s="1015" t="s">
        <v>30</v>
      </c>
      <c r="B21" s="1015"/>
      <c r="C21" s="27">
        <f>PI()*C19^2*C20</f>
        <v>23.122121930420878</v>
      </c>
      <c r="E21" s="25">
        <v>10</v>
      </c>
      <c r="F21" s="26">
        <v>54278.807643936612</v>
      </c>
    </row>
    <row r="22" spans="1:6">
      <c r="E22" s="25">
        <v>20</v>
      </c>
      <c r="F22" s="26">
        <v>53354.629625066838</v>
      </c>
    </row>
    <row r="23" spans="1:6" ht="15" customHeight="1">
      <c r="A23" s="1020" t="s">
        <v>31</v>
      </c>
      <c r="B23" s="1021"/>
      <c r="C23" s="1022"/>
      <c r="E23" s="25">
        <v>30</v>
      </c>
      <c r="F23" s="26">
        <v>52430.451606197057</v>
      </c>
    </row>
    <row r="24" spans="1:6" ht="15" customHeight="1">
      <c r="A24" s="1018" t="s">
        <v>25</v>
      </c>
      <c r="B24" s="1019"/>
      <c r="C24" s="28">
        <v>1</v>
      </c>
      <c r="E24" s="25">
        <v>40</v>
      </c>
      <c r="F24" s="26">
        <v>51506.273587327283</v>
      </c>
    </row>
    <row r="25" spans="1:6">
      <c r="A25" s="1018" t="s">
        <v>28</v>
      </c>
      <c r="B25" s="1019"/>
      <c r="C25" s="15">
        <f>C24/2</f>
        <v>0.5</v>
      </c>
      <c r="D25" s="20"/>
      <c r="E25" s="25">
        <v>50</v>
      </c>
      <c r="F25" s="26">
        <v>50582.095568457516</v>
      </c>
    </row>
    <row r="26" spans="1:6">
      <c r="A26" s="1018" t="s">
        <v>29</v>
      </c>
      <c r="B26" s="1019"/>
      <c r="C26" s="15">
        <v>2</v>
      </c>
      <c r="D26" s="20"/>
      <c r="E26" s="25">
        <v>60</v>
      </c>
      <c r="F26" s="26">
        <v>49657.917549587743</v>
      </c>
    </row>
    <row r="27" spans="1:6">
      <c r="A27" s="1018" t="s">
        <v>30</v>
      </c>
      <c r="B27" s="1019"/>
      <c r="C27" s="27">
        <f>PI()*C25^2*C26</f>
        <v>1.5707963267948966</v>
      </c>
      <c r="D27" s="29"/>
      <c r="E27" s="25">
        <v>70</v>
      </c>
      <c r="F27" s="26">
        <v>48733.739530717961</v>
      </c>
    </row>
    <row r="28" spans="1:6">
      <c r="E28" s="25">
        <v>80</v>
      </c>
      <c r="F28" s="26">
        <v>47809.561511848195</v>
      </c>
    </row>
    <row r="29" spans="1:6">
      <c r="E29" s="25">
        <v>90</v>
      </c>
      <c r="F29" s="26">
        <v>46885.383492978406</v>
      </c>
    </row>
    <row r="30" spans="1:6">
      <c r="E30" s="25">
        <v>100</v>
      </c>
      <c r="F30" s="26">
        <v>45961.205474108639</v>
      </c>
    </row>
    <row r="31" spans="1:6">
      <c r="E31" s="25">
        <v>110</v>
      </c>
      <c r="F31" s="26">
        <v>45037.027455238873</v>
      </c>
    </row>
    <row r="32" spans="1:6">
      <c r="E32" s="25">
        <v>120</v>
      </c>
      <c r="F32" s="26">
        <v>44112.849436369099</v>
      </c>
    </row>
    <row r="33" spans="5:12">
      <c r="E33" s="25">
        <v>130</v>
      </c>
      <c r="F33" s="26">
        <v>43188.671417499325</v>
      </c>
    </row>
    <row r="34" spans="5:12">
      <c r="E34" s="25">
        <v>140</v>
      </c>
      <c r="F34" s="26">
        <v>42264.493398629544</v>
      </c>
    </row>
    <row r="35" spans="5:12">
      <c r="E35" s="25">
        <v>150</v>
      </c>
      <c r="F35" s="26">
        <v>41340.31537975977</v>
      </c>
    </row>
    <row r="36" spans="5:12">
      <c r="E36" s="25">
        <v>160</v>
      </c>
      <c r="F36" s="26">
        <v>40416.137360889996</v>
      </c>
    </row>
    <row r="37" spans="5:12">
      <c r="E37" s="25">
        <v>170</v>
      </c>
      <c r="F37" s="26">
        <v>39491.959342020222</v>
      </c>
    </row>
    <row r="38" spans="5:12">
      <c r="E38" s="25">
        <v>180</v>
      </c>
      <c r="F38" s="26">
        <v>38567.781323150448</v>
      </c>
    </row>
    <row r="39" spans="5:12">
      <c r="E39" s="25">
        <v>190</v>
      </c>
      <c r="F39" s="26">
        <v>37643.603304280674</v>
      </c>
    </row>
    <row r="40" spans="5:12">
      <c r="E40" s="25">
        <v>200</v>
      </c>
      <c r="F40" s="26">
        <v>36719.4252854109</v>
      </c>
    </row>
    <row r="41" spans="5:12">
      <c r="E41" s="25">
        <v>210</v>
      </c>
      <c r="F41" s="26">
        <v>35795.247266541133</v>
      </c>
    </row>
    <row r="42" spans="5:12">
      <c r="E42" s="25">
        <v>220</v>
      </c>
      <c r="F42" s="26">
        <v>34871.069247671352</v>
      </c>
    </row>
    <row r="43" spans="5:12">
      <c r="E43" s="25">
        <v>230</v>
      </c>
      <c r="F43" s="26">
        <v>33946.891228801585</v>
      </c>
    </row>
    <row r="44" spans="5:12">
      <c r="E44" s="25">
        <v>240</v>
      </c>
      <c r="F44" s="26">
        <v>33022.713209931811</v>
      </c>
    </row>
    <row r="45" spans="5:12">
      <c r="E45" s="25">
        <v>250</v>
      </c>
      <c r="F45" s="26">
        <v>32098.535191062034</v>
      </c>
    </row>
    <row r="46" spans="5:12">
      <c r="E46" s="25">
        <v>260</v>
      </c>
      <c r="F46" s="26">
        <v>31174.35717219226</v>
      </c>
      <c r="L46" s="17"/>
    </row>
    <row r="47" spans="5:12">
      <c r="E47" s="25">
        <v>270</v>
      </c>
      <c r="F47" s="26">
        <v>30250.179153322486</v>
      </c>
    </row>
    <row r="48" spans="5:12">
      <c r="E48" s="25">
        <v>280</v>
      </c>
      <c r="F48" s="26">
        <v>29326.001134452705</v>
      </c>
    </row>
    <row r="49" spans="1:23">
      <c r="E49" s="25">
        <v>290</v>
      </c>
      <c r="F49" s="26">
        <v>28401.823115582934</v>
      </c>
      <c r="L49" s="17"/>
    </row>
    <row r="50" spans="1:23">
      <c r="E50" s="25">
        <v>300</v>
      </c>
      <c r="F50" s="26">
        <v>27477.6450967132</v>
      </c>
    </row>
    <row r="51" spans="1:23" s="1" customFormat="1">
      <c r="A51"/>
      <c r="B51"/>
      <c r="C51"/>
      <c r="D51"/>
      <c r="E51" s="25">
        <v>310</v>
      </c>
      <c r="F51" s="26">
        <v>26553.467077843387</v>
      </c>
      <c r="G51"/>
      <c r="H51"/>
      <c r="I51"/>
      <c r="J51"/>
      <c r="L51"/>
      <c r="M51"/>
      <c r="N51"/>
      <c r="O51"/>
      <c r="P51"/>
      <c r="Q51"/>
      <c r="R51"/>
      <c r="S51"/>
      <c r="T51"/>
      <c r="U51"/>
      <c r="V51"/>
      <c r="W51"/>
    </row>
    <row r="52" spans="1:23" s="1" customFormat="1">
      <c r="A52"/>
      <c r="B52"/>
      <c r="C52"/>
      <c r="D52"/>
      <c r="E52" s="25">
        <v>320</v>
      </c>
      <c r="F52" s="26">
        <v>25629.289058973616</v>
      </c>
      <c r="G52"/>
      <c r="H52"/>
      <c r="I52"/>
      <c r="J52"/>
      <c r="L52"/>
      <c r="M52"/>
      <c r="N52"/>
      <c r="O52"/>
      <c r="P52"/>
      <c r="Q52"/>
      <c r="R52"/>
      <c r="S52"/>
      <c r="T52"/>
      <c r="U52"/>
      <c r="V52"/>
      <c r="W52"/>
    </row>
    <row r="53" spans="1:23" s="1" customFormat="1">
      <c r="A53"/>
      <c r="B53"/>
      <c r="C53"/>
      <c r="D53"/>
      <c r="E53" s="25">
        <v>330</v>
      </c>
      <c r="F53" s="26">
        <v>24705.111040103842</v>
      </c>
      <c r="G53"/>
      <c r="H53"/>
      <c r="I53"/>
      <c r="J53"/>
      <c r="L53"/>
      <c r="M53"/>
      <c r="N53"/>
      <c r="O53"/>
      <c r="P53"/>
      <c r="Q53"/>
      <c r="R53"/>
      <c r="S53"/>
      <c r="T53"/>
      <c r="U53"/>
      <c r="V53"/>
      <c r="W53"/>
    </row>
    <row r="54" spans="1:23" s="1" customFormat="1">
      <c r="A54"/>
      <c r="B54"/>
      <c r="C54"/>
      <c r="D54"/>
      <c r="E54" s="25">
        <v>340</v>
      </c>
      <c r="F54" s="26">
        <v>23780.933021234061</v>
      </c>
      <c r="G54"/>
      <c r="H54"/>
      <c r="I54"/>
      <c r="J54"/>
      <c r="L54"/>
      <c r="M54"/>
      <c r="N54"/>
      <c r="O54"/>
      <c r="P54"/>
      <c r="Q54"/>
      <c r="R54"/>
      <c r="S54"/>
      <c r="T54"/>
      <c r="U54"/>
      <c r="V54"/>
      <c r="W54"/>
    </row>
    <row r="55" spans="1:23" s="1" customFormat="1">
      <c r="A55"/>
      <c r="B55"/>
      <c r="C55"/>
      <c r="D55"/>
      <c r="E55" s="25">
        <v>350</v>
      </c>
      <c r="F55" s="26">
        <v>22856.755002364294</v>
      </c>
      <c r="G55"/>
      <c r="H55"/>
      <c r="I55"/>
      <c r="J55"/>
      <c r="L55"/>
      <c r="M55"/>
      <c r="N55"/>
      <c r="O55"/>
      <c r="P55"/>
      <c r="Q55"/>
      <c r="R55"/>
      <c r="S55"/>
      <c r="T55"/>
      <c r="U55"/>
      <c r="V55"/>
      <c r="W55"/>
    </row>
    <row r="56" spans="1:23" s="1" customFormat="1">
      <c r="A56"/>
      <c r="B56"/>
      <c r="C56"/>
      <c r="D56"/>
      <c r="E56" s="25">
        <v>360</v>
      </c>
      <c r="F56" s="26">
        <v>21932.57698349452</v>
      </c>
      <c r="G56"/>
      <c r="H56"/>
      <c r="I56"/>
      <c r="J56"/>
      <c r="L56"/>
      <c r="M56"/>
      <c r="N56"/>
      <c r="O56"/>
      <c r="P56"/>
      <c r="Q56"/>
      <c r="R56"/>
      <c r="S56"/>
      <c r="T56"/>
      <c r="U56"/>
      <c r="V56"/>
      <c r="W56"/>
    </row>
    <row r="57" spans="1:23" s="1" customFormat="1">
      <c r="A57"/>
      <c r="B57"/>
      <c r="C57"/>
      <c r="D57"/>
      <c r="E57" s="25">
        <v>370</v>
      </c>
      <c r="F57" s="26">
        <v>21008.398964624746</v>
      </c>
      <c r="G57"/>
      <c r="H57"/>
      <c r="I57"/>
      <c r="J57"/>
      <c r="L57"/>
      <c r="M57"/>
      <c r="N57"/>
      <c r="O57"/>
      <c r="P57"/>
      <c r="Q57"/>
      <c r="R57"/>
      <c r="S57"/>
      <c r="T57"/>
      <c r="U57"/>
      <c r="V57"/>
      <c r="W57"/>
    </row>
    <row r="58" spans="1:23" s="1" customFormat="1">
      <c r="A58"/>
      <c r="B58"/>
      <c r="C58"/>
      <c r="D58"/>
      <c r="E58" s="25">
        <v>380</v>
      </c>
      <c r="F58" s="26">
        <v>20084.220945754969</v>
      </c>
      <c r="G58"/>
      <c r="H58"/>
      <c r="I58"/>
      <c r="J58"/>
      <c r="L58"/>
      <c r="M58"/>
      <c r="N58"/>
      <c r="O58"/>
      <c r="P58"/>
      <c r="Q58"/>
      <c r="R58"/>
      <c r="S58"/>
      <c r="T58"/>
      <c r="U58"/>
      <c r="V58"/>
      <c r="W58"/>
    </row>
    <row r="59" spans="1:23" s="1" customFormat="1">
      <c r="A59"/>
      <c r="B59"/>
      <c r="C59"/>
      <c r="D59"/>
      <c r="E59" s="25">
        <v>390</v>
      </c>
      <c r="F59" s="26">
        <v>19160.042926885199</v>
      </c>
      <c r="G59"/>
      <c r="H59"/>
      <c r="I59"/>
      <c r="J59"/>
      <c r="L59"/>
      <c r="M59"/>
      <c r="N59"/>
      <c r="O59"/>
      <c r="P59"/>
      <c r="Q59"/>
      <c r="R59"/>
      <c r="S59"/>
      <c r="T59"/>
      <c r="U59"/>
      <c r="V59"/>
      <c r="W59"/>
    </row>
    <row r="60" spans="1:23" s="1" customFormat="1">
      <c r="A60"/>
      <c r="B60"/>
      <c r="C60"/>
      <c r="D60"/>
      <c r="E60" s="25">
        <v>400</v>
      </c>
      <c r="F60" s="26">
        <v>18235.864908015417</v>
      </c>
      <c r="G60"/>
      <c r="H60"/>
      <c r="I60"/>
      <c r="J60"/>
      <c r="L60"/>
      <c r="M60"/>
      <c r="N60"/>
      <c r="O60"/>
      <c r="P60"/>
      <c r="Q60"/>
      <c r="R60"/>
      <c r="S60"/>
      <c r="T60"/>
      <c r="U60"/>
      <c r="V60"/>
      <c r="W60"/>
    </row>
    <row r="61" spans="1:23" s="1" customFormat="1">
      <c r="A61"/>
      <c r="B61"/>
      <c r="C61"/>
      <c r="D61"/>
      <c r="E61" s="25">
        <v>410</v>
      </c>
      <c r="F61" s="26">
        <v>17311.68688914564</v>
      </c>
      <c r="G61"/>
      <c r="H61"/>
      <c r="I61"/>
      <c r="J61"/>
      <c r="L61"/>
      <c r="M61"/>
      <c r="N61"/>
      <c r="O61"/>
      <c r="P61"/>
      <c r="Q61"/>
      <c r="R61"/>
      <c r="S61"/>
      <c r="T61"/>
      <c r="U61"/>
      <c r="V61"/>
      <c r="W61"/>
    </row>
    <row r="62" spans="1:23" s="1" customFormat="1">
      <c r="A62"/>
      <c r="B62"/>
      <c r="C62"/>
      <c r="D62"/>
      <c r="E62" s="25">
        <v>420</v>
      </c>
      <c r="F62" s="26">
        <v>16387.508870275862</v>
      </c>
      <c r="G62"/>
      <c r="H62"/>
      <c r="I62"/>
      <c r="J62"/>
      <c r="L62"/>
      <c r="M62"/>
      <c r="N62"/>
      <c r="O62"/>
      <c r="P62"/>
      <c r="Q62"/>
      <c r="R62"/>
      <c r="S62"/>
      <c r="T62"/>
      <c r="U62"/>
      <c r="V62"/>
      <c r="W62"/>
    </row>
    <row r="63" spans="1:23" s="1" customFormat="1">
      <c r="A63"/>
      <c r="B63"/>
      <c r="C63"/>
      <c r="D63"/>
      <c r="E63" s="25">
        <v>430</v>
      </c>
      <c r="F63" s="26">
        <v>15463.330851406085</v>
      </c>
      <c r="G63"/>
      <c r="H63"/>
      <c r="I63"/>
      <c r="J63"/>
      <c r="L63"/>
      <c r="M63"/>
      <c r="N63"/>
      <c r="O63"/>
      <c r="P63"/>
      <c r="Q63"/>
      <c r="R63"/>
      <c r="S63"/>
      <c r="T63"/>
      <c r="U63"/>
      <c r="V63"/>
      <c r="W63"/>
    </row>
    <row r="64" spans="1:23" s="1" customFormat="1">
      <c r="A64"/>
      <c r="B64"/>
      <c r="C64"/>
      <c r="D64"/>
      <c r="E64" s="25">
        <v>440</v>
      </c>
      <c r="F64" s="26">
        <v>14539.152832536309</v>
      </c>
      <c r="G64"/>
      <c r="H64"/>
      <c r="I64"/>
      <c r="J64"/>
      <c r="L64"/>
      <c r="M64"/>
      <c r="N64"/>
      <c r="O64"/>
      <c r="P64"/>
      <c r="Q64"/>
      <c r="R64"/>
      <c r="S64"/>
      <c r="T64"/>
      <c r="U64"/>
      <c r="V64"/>
      <c r="W64"/>
    </row>
    <row r="65" spans="1:23" s="1" customFormat="1">
      <c r="A65"/>
      <c r="B65"/>
      <c r="C65"/>
      <c r="D65"/>
      <c r="E65" s="25">
        <v>450</v>
      </c>
      <c r="F65" s="26">
        <v>13614.974813666528</v>
      </c>
      <c r="G65"/>
      <c r="H65"/>
      <c r="I65"/>
      <c r="J65"/>
      <c r="L65"/>
      <c r="M65"/>
      <c r="N65"/>
      <c r="O65"/>
      <c r="P65"/>
      <c r="Q65"/>
      <c r="R65"/>
      <c r="S65"/>
      <c r="T65"/>
      <c r="U65"/>
      <c r="V65"/>
      <c r="W65"/>
    </row>
    <row r="66" spans="1:23" s="1" customFormat="1">
      <c r="A66"/>
      <c r="B66"/>
      <c r="C66"/>
      <c r="D66"/>
      <c r="E66" s="25">
        <v>460</v>
      </c>
      <c r="F66" s="26">
        <v>12690.79679479675</v>
      </c>
      <c r="G66"/>
      <c r="H66"/>
      <c r="I66"/>
      <c r="J66"/>
      <c r="L66"/>
      <c r="M66"/>
      <c r="N66"/>
      <c r="O66"/>
      <c r="P66"/>
      <c r="Q66"/>
      <c r="R66"/>
      <c r="S66"/>
      <c r="T66"/>
      <c r="U66"/>
      <c r="V66"/>
      <c r="W66"/>
    </row>
    <row r="67" spans="1:23" s="1" customFormat="1">
      <c r="A67"/>
      <c r="B67"/>
      <c r="C67"/>
      <c r="D67"/>
      <c r="E67" s="25">
        <v>470</v>
      </c>
      <c r="F67" s="26">
        <v>11766.618775926974</v>
      </c>
      <c r="G67"/>
      <c r="H67"/>
      <c r="I67"/>
      <c r="J67"/>
      <c r="L67"/>
      <c r="M67"/>
      <c r="N67"/>
      <c r="O67"/>
      <c r="P67"/>
      <c r="Q67"/>
      <c r="R67"/>
      <c r="S67"/>
      <c r="T67"/>
      <c r="U67"/>
      <c r="V67"/>
      <c r="W67"/>
    </row>
    <row r="68" spans="1:23" s="1" customFormat="1">
      <c r="A68"/>
      <c r="B68"/>
      <c r="C68"/>
      <c r="D68"/>
      <c r="E68" s="25">
        <v>480</v>
      </c>
      <c r="F68" s="26">
        <v>10842.440757057195</v>
      </c>
      <c r="G68"/>
      <c r="H68"/>
      <c r="I68"/>
      <c r="J68"/>
      <c r="L68"/>
      <c r="M68"/>
      <c r="N68"/>
      <c r="O68"/>
      <c r="P68"/>
      <c r="Q68"/>
      <c r="R68"/>
      <c r="S68"/>
      <c r="T68"/>
      <c r="U68"/>
      <c r="V68"/>
      <c r="W68"/>
    </row>
    <row r="69" spans="1:23" s="1" customFormat="1">
      <c r="A69"/>
      <c r="B69"/>
      <c r="C69"/>
      <c r="D69"/>
      <c r="E69" s="25">
        <v>485</v>
      </c>
      <c r="F69" s="26">
        <v>10380.351747622306</v>
      </c>
      <c r="G69"/>
      <c r="H69"/>
      <c r="I69"/>
      <c r="J69"/>
      <c r="L69"/>
      <c r="M69"/>
      <c r="N69"/>
      <c r="O69"/>
      <c r="P69"/>
      <c r="Q69"/>
      <c r="R69"/>
      <c r="S69"/>
      <c r="T69"/>
      <c r="U69"/>
      <c r="V69"/>
      <c r="W69"/>
    </row>
    <row r="70" spans="1:23" s="1" customFormat="1">
      <c r="A70"/>
      <c r="B70"/>
      <c r="C70"/>
      <c r="D70"/>
      <c r="E70" s="25">
        <v>490</v>
      </c>
      <c r="F70" s="26">
        <v>9327.1911698628246</v>
      </c>
      <c r="G70"/>
      <c r="H70"/>
      <c r="I70"/>
      <c r="J70"/>
      <c r="L70"/>
      <c r="M70"/>
      <c r="N70"/>
      <c r="O70"/>
      <c r="P70"/>
      <c r="Q70"/>
      <c r="R70"/>
      <c r="S70"/>
      <c r="T70"/>
      <c r="U70"/>
      <c r="V70"/>
      <c r="W70"/>
    </row>
    <row r="71" spans="1:23" s="1" customFormat="1">
      <c r="A71"/>
      <c r="B71"/>
      <c r="C71"/>
      <c r="D71"/>
      <c r="E71" s="25">
        <v>495</v>
      </c>
      <c r="F71" s="26">
        <v>8927.5712968812277</v>
      </c>
      <c r="G71"/>
      <c r="H71"/>
      <c r="I71"/>
      <c r="J71"/>
      <c r="L71"/>
      <c r="M71"/>
      <c r="N71"/>
      <c r="O71"/>
      <c r="P71"/>
      <c r="Q71"/>
      <c r="R71"/>
      <c r="S71"/>
      <c r="T71"/>
      <c r="U71"/>
      <c r="V71"/>
      <c r="W71"/>
    </row>
    <row r="72" spans="1:23" s="1" customFormat="1">
      <c r="A72"/>
      <c r="B72"/>
      <c r="C72"/>
      <c r="D72"/>
      <c r="E72" s="25">
        <v>500</v>
      </c>
      <c r="F72" s="26">
        <v>8539.503788325057</v>
      </c>
      <c r="G72"/>
      <c r="H72"/>
      <c r="I72"/>
      <c r="J72"/>
      <c r="L72"/>
      <c r="M72"/>
      <c r="N72"/>
      <c r="O72"/>
      <c r="P72"/>
      <c r="Q72"/>
      <c r="R72"/>
      <c r="S72"/>
      <c r="T72"/>
      <c r="U72"/>
      <c r="V72"/>
      <c r="W72"/>
    </row>
    <row r="73" spans="1:23" s="1" customFormat="1">
      <c r="A73"/>
      <c r="B73"/>
      <c r="C73"/>
      <c r="D73"/>
      <c r="E73" s="25">
        <v>505</v>
      </c>
      <c r="F73" s="26">
        <v>8162.8193970196317</v>
      </c>
      <c r="G73"/>
      <c r="H73"/>
      <c r="I73"/>
      <c r="J73"/>
      <c r="L73"/>
      <c r="M73"/>
      <c r="N73"/>
      <c r="O73"/>
      <c r="P73"/>
      <c r="Q73"/>
      <c r="R73"/>
      <c r="S73"/>
      <c r="T73"/>
      <c r="U73"/>
      <c r="V73"/>
      <c r="W73"/>
    </row>
    <row r="74" spans="1:23" s="1" customFormat="1">
      <c r="A74"/>
      <c r="B74"/>
      <c r="C74"/>
      <c r="D74"/>
      <c r="E74" s="25">
        <v>510</v>
      </c>
      <c r="F74" s="26">
        <v>7797.3488757902896</v>
      </c>
      <c r="G74"/>
      <c r="H74"/>
      <c r="I74"/>
      <c r="J74"/>
      <c r="L74"/>
      <c r="M74"/>
      <c r="N74"/>
      <c r="O74"/>
      <c r="P74"/>
      <c r="Q74"/>
      <c r="R74"/>
      <c r="S74"/>
      <c r="T74"/>
      <c r="U74"/>
      <c r="V74"/>
      <c r="W74"/>
    </row>
    <row r="75" spans="1:23" s="1" customFormat="1">
      <c r="A75"/>
      <c r="B75"/>
      <c r="C75"/>
      <c r="D75"/>
      <c r="E75" s="25">
        <v>515</v>
      </c>
      <c r="F75" s="26">
        <v>7442.92297746235</v>
      </c>
      <c r="G75"/>
      <c r="H75"/>
      <c r="I75"/>
      <c r="J75"/>
      <c r="L75"/>
      <c r="M75"/>
      <c r="N75"/>
      <c r="O75"/>
      <c r="P75"/>
      <c r="Q75"/>
      <c r="R75"/>
      <c r="S75"/>
      <c r="T75"/>
      <c r="U75"/>
      <c r="V75"/>
      <c r="W75"/>
    </row>
    <row r="76" spans="1:23" s="1" customFormat="1">
      <c r="A76"/>
      <c r="B76"/>
      <c r="C76"/>
      <c r="D76"/>
      <c r="E76" s="25">
        <v>520</v>
      </c>
      <c r="F76" s="26">
        <v>7099.3724548611426</v>
      </c>
      <c r="G76"/>
      <c r="H76"/>
      <c r="I76"/>
      <c r="J76"/>
      <c r="L76"/>
      <c r="M76"/>
      <c r="N76"/>
      <c r="O76"/>
      <c r="P76"/>
      <c r="Q76"/>
      <c r="R76"/>
      <c r="S76"/>
      <c r="T76"/>
      <c r="U76"/>
      <c r="V76"/>
      <c r="W76"/>
    </row>
    <row r="77" spans="1:23" s="1" customFormat="1">
      <c r="A77"/>
      <c r="B77"/>
      <c r="C77"/>
      <c r="D77"/>
      <c r="E77" s="25">
        <v>525</v>
      </c>
      <c r="F77" s="26">
        <v>6766.5280608119911</v>
      </c>
      <c r="G77"/>
      <c r="H77"/>
      <c r="I77"/>
      <c r="J77"/>
      <c r="L77"/>
      <c r="M77"/>
      <c r="N77"/>
      <c r="O77"/>
      <c r="P77"/>
      <c r="Q77"/>
      <c r="R77"/>
      <c r="S77"/>
      <c r="T77"/>
      <c r="U77"/>
      <c r="V77"/>
      <c r="W77"/>
    </row>
    <row r="78" spans="1:23" s="1" customFormat="1">
      <c r="A78"/>
      <c r="B78"/>
      <c r="C78"/>
      <c r="D78"/>
      <c r="E78" s="25">
        <v>530</v>
      </c>
      <c r="F78" s="26">
        <v>6444.2205481402198</v>
      </c>
      <c r="G78"/>
      <c r="H78"/>
      <c r="I78"/>
      <c r="J78"/>
      <c r="L78"/>
      <c r="M78"/>
      <c r="N78"/>
      <c r="O78"/>
      <c r="P78"/>
      <c r="Q78"/>
      <c r="R78"/>
      <c r="S78"/>
      <c r="T78"/>
      <c r="U78"/>
      <c r="V78"/>
      <c r="W78"/>
    </row>
    <row r="79" spans="1:23" s="1" customFormat="1">
      <c r="A79"/>
      <c r="B79"/>
      <c r="C79"/>
      <c r="D79"/>
      <c r="E79" s="25">
        <v>535</v>
      </c>
      <c r="F79" s="26">
        <v>6132.2806696711596</v>
      </c>
      <c r="G79"/>
      <c r="H79"/>
      <c r="I79"/>
      <c r="J79"/>
      <c r="L79"/>
      <c r="M79"/>
      <c r="N79"/>
      <c r="O79"/>
      <c r="P79"/>
      <c r="Q79"/>
      <c r="R79"/>
      <c r="S79"/>
      <c r="T79"/>
      <c r="U79"/>
      <c r="V79"/>
      <c r="W79"/>
    </row>
    <row r="80" spans="1:23" s="1" customFormat="1">
      <c r="A80"/>
      <c r="B80"/>
      <c r="C80"/>
      <c r="D80"/>
      <c r="E80" s="25">
        <v>540</v>
      </c>
      <c r="F80" s="26">
        <v>5830.5391782301322</v>
      </c>
      <c r="G80"/>
      <c r="H80"/>
      <c r="I80"/>
      <c r="J80"/>
      <c r="L80"/>
      <c r="M80"/>
      <c r="N80"/>
      <c r="O80"/>
      <c r="P80"/>
      <c r="Q80"/>
      <c r="R80"/>
      <c r="S80"/>
      <c r="T80"/>
      <c r="U80"/>
      <c r="V80"/>
      <c r="W80"/>
    </row>
    <row r="81" spans="1:23" s="1" customFormat="1">
      <c r="A81"/>
      <c r="B81"/>
      <c r="C81"/>
      <c r="D81"/>
      <c r="E81" s="25">
        <v>545</v>
      </c>
      <c r="F81" s="26">
        <v>5538.8268266424666</v>
      </c>
      <c r="G81"/>
      <c r="H81"/>
      <c r="I81"/>
      <c r="J81"/>
      <c r="L81"/>
      <c r="M81"/>
      <c r="N81"/>
      <c r="O81"/>
      <c r="P81"/>
      <c r="Q81"/>
      <c r="R81"/>
      <c r="S81"/>
      <c r="T81"/>
      <c r="U81"/>
      <c r="V81"/>
      <c r="W81"/>
    </row>
    <row r="82" spans="1:23" s="1" customFormat="1">
      <c r="A82"/>
      <c r="B82"/>
      <c r="C82"/>
      <c r="D82"/>
      <c r="E82" s="25">
        <v>550</v>
      </c>
      <c r="F82" s="26">
        <v>5256.9743677334864</v>
      </c>
      <c r="G82"/>
      <c r="H82"/>
      <c r="I82"/>
      <c r="J82"/>
      <c r="L82"/>
      <c r="M82"/>
      <c r="N82"/>
      <c r="O82"/>
      <c r="P82"/>
      <c r="Q82"/>
      <c r="R82"/>
      <c r="S82"/>
      <c r="T82"/>
      <c r="U82"/>
      <c r="V82"/>
      <c r="W82"/>
    </row>
    <row r="83" spans="1:23" s="1" customFormat="1">
      <c r="A83"/>
      <c r="B83"/>
      <c r="C83"/>
      <c r="D83"/>
      <c r="E83" s="25">
        <v>555</v>
      </c>
      <c r="F83" s="26">
        <v>4984.8125543285187</v>
      </c>
      <c r="G83"/>
      <c r="H83"/>
      <c r="I83"/>
      <c r="J83"/>
      <c r="L83"/>
      <c r="M83"/>
      <c r="N83"/>
      <c r="O83"/>
      <c r="P83"/>
      <c r="Q83"/>
      <c r="R83"/>
      <c r="S83"/>
      <c r="T83"/>
      <c r="U83"/>
      <c r="V83"/>
      <c r="W83"/>
    </row>
    <row r="84" spans="1:23" s="1" customFormat="1">
      <c r="A84"/>
      <c r="B84"/>
      <c r="C84"/>
      <c r="D84"/>
      <c r="E84" s="25">
        <v>560</v>
      </c>
      <c r="F84" s="26">
        <v>4722.1721392528925</v>
      </c>
      <c r="G84"/>
      <c r="H84"/>
      <c r="I84"/>
      <c r="J84"/>
      <c r="L84"/>
      <c r="M84"/>
      <c r="N84"/>
      <c r="O84"/>
      <c r="P84"/>
      <c r="Q84"/>
      <c r="R84"/>
      <c r="S84"/>
      <c r="T84"/>
      <c r="U84"/>
      <c r="V84"/>
      <c r="W84"/>
    </row>
    <row r="85" spans="1:23" s="1" customFormat="1">
      <c r="A85"/>
      <c r="B85"/>
      <c r="C85"/>
      <c r="D85"/>
      <c r="E85" s="25">
        <v>565</v>
      </c>
      <c r="F85" s="26">
        <v>4468.8838753319296</v>
      </c>
      <c r="G85"/>
      <c r="H85"/>
      <c r="I85"/>
      <c r="J85"/>
      <c r="L85"/>
      <c r="M85"/>
      <c r="N85"/>
      <c r="O85"/>
      <c r="P85"/>
      <c r="Q85"/>
      <c r="R85"/>
      <c r="S85"/>
      <c r="T85"/>
      <c r="U85"/>
      <c r="V85"/>
      <c r="W85"/>
    </row>
    <row r="86" spans="1:23" s="1" customFormat="1">
      <c r="A86"/>
      <c r="B86"/>
      <c r="C86"/>
      <c r="D86"/>
      <c r="E86" s="25">
        <v>570</v>
      </c>
      <c r="F86" s="26">
        <v>4224.7785153909563</v>
      </c>
      <c r="G86"/>
      <c r="H86"/>
      <c r="I86"/>
      <c r="J86"/>
      <c r="L86"/>
      <c r="M86"/>
      <c r="N86"/>
      <c r="O86"/>
      <c r="P86"/>
      <c r="Q86"/>
      <c r="R86"/>
      <c r="S86"/>
      <c r="T86"/>
      <c r="U86"/>
      <c r="V86"/>
      <c r="W86"/>
    </row>
    <row r="87" spans="1:23" s="1" customFormat="1">
      <c r="A87"/>
      <c r="B87"/>
      <c r="C87"/>
      <c r="D87"/>
      <c r="E87" s="25">
        <v>575</v>
      </c>
      <c r="F87" s="26">
        <v>3989.6868122553005</v>
      </c>
      <c r="G87"/>
      <c r="H87"/>
      <c r="I87"/>
      <c r="J87"/>
      <c r="L87"/>
      <c r="M87"/>
      <c r="N87"/>
      <c r="O87"/>
      <c r="P87"/>
      <c r="Q87"/>
      <c r="R87"/>
      <c r="S87"/>
      <c r="T87"/>
      <c r="U87"/>
      <c r="V87"/>
      <c r="W87"/>
    </row>
    <row r="88" spans="1:23" s="1" customFormat="1">
      <c r="A88"/>
      <c r="B88"/>
      <c r="C88"/>
      <c r="D88"/>
      <c r="E88" s="25">
        <v>580</v>
      </c>
      <c r="F88" s="26">
        <v>3763.4395187502887</v>
      </c>
      <c r="G88"/>
      <c r="H88"/>
      <c r="I88"/>
      <c r="J88"/>
      <c r="L88"/>
      <c r="M88"/>
      <c r="N88"/>
      <c r="O88"/>
      <c r="P88"/>
      <c r="Q88"/>
      <c r="R88"/>
      <c r="S88"/>
      <c r="T88"/>
      <c r="U88"/>
      <c r="V88"/>
      <c r="W88"/>
    </row>
    <row r="89" spans="1:23" s="1" customFormat="1">
      <c r="A89"/>
      <c r="B89"/>
      <c r="C89"/>
      <c r="D89"/>
      <c r="E89" s="25">
        <v>585</v>
      </c>
      <c r="F89" s="26">
        <v>3545.8673877012461</v>
      </c>
      <c r="G89"/>
      <c r="H89"/>
      <c r="I89"/>
      <c r="J89"/>
      <c r="L89"/>
      <c r="M89"/>
      <c r="N89"/>
      <c r="O89"/>
      <c r="P89"/>
      <c r="Q89"/>
      <c r="R89"/>
      <c r="S89"/>
      <c r="T89"/>
      <c r="U89"/>
      <c r="V89"/>
      <c r="W89"/>
    </row>
    <row r="90" spans="1:23" s="1" customFormat="1">
      <c r="A90"/>
      <c r="B90"/>
      <c r="C90"/>
      <c r="D90"/>
      <c r="E90" s="25">
        <v>590</v>
      </c>
      <c r="F90" s="26">
        <v>3336.8011719334972</v>
      </c>
      <c r="G90"/>
      <c r="H90"/>
      <c r="I90"/>
      <c r="J90"/>
      <c r="L90"/>
      <c r="M90"/>
      <c r="N90"/>
      <c r="O90"/>
      <c r="P90"/>
      <c r="Q90"/>
      <c r="R90"/>
      <c r="S90"/>
      <c r="T90"/>
      <c r="U90"/>
      <c r="V90"/>
      <c r="W90"/>
    </row>
    <row r="91" spans="1:23" s="1" customFormat="1">
      <c r="A91"/>
      <c r="B91"/>
      <c r="C91"/>
      <c r="D91"/>
      <c r="E91" s="25">
        <v>595</v>
      </c>
      <c r="F91" s="26">
        <v>3136.0716242723711</v>
      </c>
      <c r="G91"/>
      <c r="H91"/>
      <c r="I91"/>
      <c r="J91"/>
      <c r="L91"/>
      <c r="M91"/>
      <c r="N91"/>
      <c r="O91"/>
      <c r="P91"/>
      <c r="Q91"/>
      <c r="R91"/>
      <c r="S91"/>
      <c r="T91"/>
      <c r="U91"/>
      <c r="V91"/>
      <c r="W91"/>
    </row>
    <row r="92" spans="1:23" s="1" customFormat="1">
      <c r="A92"/>
      <c r="B92"/>
      <c r="C92"/>
      <c r="D92"/>
      <c r="E92" s="25">
        <v>600</v>
      </c>
      <c r="F92" s="26">
        <v>2943.5094975431921</v>
      </c>
      <c r="G92"/>
      <c r="H92"/>
      <c r="I92"/>
      <c r="J92"/>
      <c r="L92"/>
      <c r="M92"/>
      <c r="N92"/>
      <c r="O92"/>
      <c r="P92"/>
      <c r="Q92"/>
      <c r="R92"/>
      <c r="S92"/>
      <c r="T92"/>
      <c r="U92"/>
      <c r="V92"/>
      <c r="W92"/>
    </row>
    <row r="93" spans="1:23" s="1" customFormat="1">
      <c r="A93"/>
      <c r="B93"/>
      <c r="C93"/>
      <c r="D93"/>
      <c r="E93" s="25">
        <v>605</v>
      </c>
      <c r="F93" s="26">
        <v>2758.9455445712847</v>
      </c>
      <c r="G93"/>
      <c r="H93"/>
      <c r="I93"/>
      <c r="J93"/>
      <c r="L93"/>
      <c r="M93"/>
      <c r="N93"/>
      <c r="O93"/>
      <c r="P93"/>
      <c r="Q93"/>
      <c r="R93"/>
      <c r="S93"/>
      <c r="T93"/>
      <c r="U93"/>
      <c r="V93"/>
      <c r="W93"/>
    </row>
    <row r="94" spans="1:23" s="1" customFormat="1">
      <c r="A94"/>
      <c r="B94"/>
      <c r="C94"/>
      <c r="D94"/>
      <c r="E94" s="25">
        <v>610</v>
      </c>
      <c r="F94" s="26">
        <v>2582.2105181819779</v>
      </c>
      <c r="G94"/>
      <c r="H94"/>
      <c r="I94"/>
      <c r="J94"/>
      <c r="L94"/>
      <c r="M94"/>
      <c r="N94"/>
      <c r="O94"/>
      <c r="P94"/>
      <c r="Q94"/>
      <c r="R94"/>
      <c r="S94"/>
      <c r="T94"/>
      <c r="U94"/>
      <c r="V94"/>
      <c r="W94"/>
    </row>
    <row r="95" spans="1:23" s="1" customFormat="1">
      <c r="A95"/>
      <c r="B95"/>
      <c r="C95"/>
      <c r="D95"/>
      <c r="E95" s="25">
        <v>615</v>
      </c>
      <c r="F95" s="26">
        <v>2413.1351712005949</v>
      </c>
      <c r="G95"/>
      <c r="H95"/>
      <c r="I95"/>
      <c r="J95"/>
      <c r="L95"/>
      <c r="M95"/>
      <c r="N95"/>
      <c r="O95"/>
      <c r="P95"/>
      <c r="Q95"/>
      <c r="R95"/>
      <c r="S95"/>
      <c r="T95"/>
      <c r="U95"/>
      <c r="V95"/>
      <c r="W95"/>
    </row>
    <row r="96" spans="1:23" s="1" customFormat="1">
      <c r="A96"/>
      <c r="B96"/>
      <c r="C96"/>
      <c r="D96"/>
      <c r="E96" s="25">
        <v>620</v>
      </c>
      <c r="F96" s="26">
        <v>2251.5502564524663</v>
      </c>
      <c r="G96"/>
      <c r="H96"/>
      <c r="I96"/>
      <c r="J96"/>
      <c r="L96"/>
      <c r="M96"/>
      <c r="N96"/>
      <c r="O96"/>
      <c r="P96"/>
      <c r="Q96"/>
      <c r="R96"/>
      <c r="S96"/>
      <c r="T96"/>
      <c r="U96"/>
      <c r="V96"/>
      <c r="W96"/>
    </row>
    <row r="97" spans="1:23" s="1" customFormat="1">
      <c r="A97"/>
      <c r="B97"/>
      <c r="C97"/>
      <c r="D97"/>
      <c r="E97" s="25">
        <v>625</v>
      </c>
      <c r="F97" s="26">
        <v>2097.2865267629136</v>
      </c>
      <c r="G97"/>
      <c r="H97"/>
      <c r="I97"/>
      <c r="J97"/>
      <c r="L97"/>
      <c r="M97"/>
      <c r="N97"/>
      <c r="O97"/>
      <c r="P97"/>
      <c r="Q97"/>
      <c r="R97"/>
      <c r="S97"/>
      <c r="T97"/>
      <c r="U97"/>
      <c r="V97"/>
      <c r="W97"/>
    </row>
    <row r="98" spans="1:23" s="1" customFormat="1">
      <c r="A98"/>
      <c r="B98"/>
      <c r="C98"/>
      <c r="D98"/>
      <c r="E98" s="25">
        <v>630</v>
      </c>
      <c r="F98" s="26">
        <v>1950.1747349572663</v>
      </c>
      <c r="G98"/>
      <c r="H98"/>
      <c r="I98"/>
      <c r="J98"/>
      <c r="L98"/>
      <c r="M98"/>
      <c r="N98"/>
      <c r="O98"/>
      <c r="P98"/>
      <c r="Q98"/>
      <c r="R98"/>
      <c r="S98"/>
      <c r="T98"/>
      <c r="U98"/>
      <c r="V98"/>
      <c r="W98"/>
    </row>
    <row r="99" spans="1:23" s="1" customFormat="1">
      <c r="A99"/>
      <c r="B99"/>
      <c r="C99"/>
      <c r="D99"/>
      <c r="E99" s="25">
        <v>635</v>
      </c>
      <c r="F99" s="26">
        <v>1810.0456338608465</v>
      </c>
      <c r="G99"/>
      <c r="H99"/>
      <c r="I99"/>
      <c r="J99"/>
      <c r="L99"/>
      <c r="M99"/>
      <c r="N99"/>
      <c r="O99"/>
      <c r="P99"/>
      <c r="Q99"/>
      <c r="R99"/>
      <c r="S99"/>
      <c r="T99"/>
      <c r="U99"/>
      <c r="V99"/>
      <c r="W99"/>
    </row>
    <row r="100" spans="1:23" s="1" customFormat="1">
      <c r="A100"/>
      <c r="B100"/>
      <c r="C100"/>
      <c r="D100"/>
      <c r="E100" s="25">
        <v>640</v>
      </c>
      <c r="F100" s="26">
        <v>1676.7299762989849</v>
      </c>
      <c r="G100"/>
      <c r="H100"/>
      <c r="I100"/>
      <c r="J100"/>
      <c r="L100"/>
      <c r="M100"/>
      <c r="N100"/>
      <c r="O100"/>
      <c r="P100"/>
      <c r="Q100"/>
      <c r="R100"/>
      <c r="S100"/>
      <c r="T100"/>
      <c r="U100"/>
      <c r="V100"/>
      <c r="W100"/>
    </row>
    <row r="101" spans="1:23" s="1" customFormat="1">
      <c r="A101"/>
      <c r="B101"/>
      <c r="C101"/>
      <c r="D101"/>
      <c r="E101" s="25">
        <v>645</v>
      </c>
      <c r="F101" s="26">
        <v>1550.0585150970041</v>
      </c>
      <c r="G101"/>
      <c r="H101"/>
      <c r="I101"/>
      <c r="J101"/>
      <c r="L101"/>
      <c r="M101"/>
      <c r="N101"/>
      <c r="O101"/>
      <c r="P101"/>
      <c r="Q101"/>
      <c r="R101"/>
      <c r="S101"/>
      <c r="T101"/>
      <c r="U101"/>
      <c r="V101"/>
      <c r="W101"/>
    </row>
    <row r="102" spans="1:23" s="1" customFormat="1">
      <c r="A102"/>
      <c r="B102"/>
      <c r="C102"/>
      <c r="D102"/>
      <c r="E102" s="25">
        <v>650</v>
      </c>
      <c r="F102" s="26">
        <v>1429.8620030802315</v>
      </c>
      <c r="G102"/>
      <c r="H102"/>
      <c r="I102"/>
      <c r="J102"/>
      <c r="L102"/>
      <c r="M102"/>
      <c r="N102"/>
      <c r="O102"/>
      <c r="P102"/>
      <c r="Q102"/>
      <c r="R102"/>
      <c r="S102"/>
      <c r="T102"/>
      <c r="U102"/>
      <c r="V102"/>
      <c r="W102"/>
    </row>
    <row r="103" spans="1:23" s="1" customFormat="1">
      <c r="A103"/>
      <c r="B103"/>
      <c r="C103"/>
      <c r="D103"/>
      <c r="E103" s="25">
        <v>655</v>
      </c>
      <c r="F103" s="26">
        <v>1315.9711930739927</v>
      </c>
      <c r="G103"/>
      <c r="H103"/>
      <c r="I103"/>
      <c r="J103"/>
      <c r="L103"/>
      <c r="M103"/>
      <c r="N103"/>
      <c r="O103"/>
      <c r="P103"/>
      <c r="Q103"/>
      <c r="R103"/>
      <c r="S103"/>
      <c r="T103"/>
      <c r="U103"/>
      <c r="V103"/>
      <c r="W103"/>
    </row>
    <row r="104" spans="1:23" s="1" customFormat="1">
      <c r="A104"/>
      <c r="B104"/>
      <c r="C104"/>
      <c r="D104"/>
      <c r="E104" s="25">
        <v>660</v>
      </c>
      <c r="F104" s="26">
        <v>1208.2168379036152</v>
      </c>
      <c r="G104"/>
      <c r="H104"/>
      <c r="I104"/>
      <c r="J104"/>
      <c r="L104"/>
      <c r="M104"/>
      <c r="N104"/>
      <c r="O104"/>
      <c r="P104"/>
      <c r="Q104"/>
      <c r="R104"/>
      <c r="S104"/>
      <c r="T104"/>
      <c r="U104"/>
      <c r="V104"/>
      <c r="W104"/>
    </row>
    <row r="105" spans="1:23" s="1" customFormat="1">
      <c r="A105"/>
      <c r="B105"/>
      <c r="C105"/>
      <c r="D105"/>
      <c r="E105" s="25">
        <v>665</v>
      </c>
      <c r="F105" s="26">
        <v>1106.4296903944235</v>
      </c>
      <c r="G105"/>
      <c r="H105"/>
      <c r="I105"/>
      <c r="J105"/>
      <c r="L105"/>
      <c r="M105"/>
      <c r="N105"/>
      <c r="O105"/>
      <c r="P105"/>
      <c r="Q105"/>
      <c r="R105"/>
      <c r="S105"/>
      <c r="T105"/>
      <c r="U105"/>
      <c r="V105"/>
      <c r="W105"/>
    </row>
    <row r="106" spans="1:23" s="1" customFormat="1">
      <c r="A106"/>
      <c r="B106"/>
      <c r="C106"/>
      <c r="D106"/>
      <c r="E106" s="25">
        <v>670</v>
      </c>
      <c r="F106" s="26">
        <v>1010.4405033717438</v>
      </c>
      <c r="G106"/>
      <c r="H106"/>
      <c r="I106"/>
      <c r="J106"/>
      <c r="L106"/>
      <c r="M106"/>
      <c r="N106"/>
      <c r="O106"/>
      <c r="P106"/>
      <c r="Q106"/>
      <c r="R106"/>
      <c r="S106"/>
      <c r="T106"/>
      <c r="U106"/>
      <c r="V106"/>
      <c r="W106"/>
    </row>
    <row r="107" spans="1:23" s="1" customFormat="1">
      <c r="A107"/>
      <c r="B107"/>
      <c r="C107"/>
      <c r="D107"/>
      <c r="E107" s="25">
        <v>675</v>
      </c>
      <c r="F107" s="26">
        <v>920.08002966090248</v>
      </c>
      <c r="G107"/>
      <c r="H107"/>
      <c r="I107"/>
      <c r="J107"/>
      <c r="L107"/>
      <c r="M107"/>
      <c r="N107"/>
      <c r="O107"/>
      <c r="P107"/>
      <c r="Q107"/>
      <c r="R107"/>
      <c r="S107"/>
      <c r="T107"/>
      <c r="U107"/>
      <c r="V107"/>
      <c r="W107"/>
    </row>
    <row r="108" spans="1:23" s="1" customFormat="1">
      <c r="A108"/>
      <c r="B108"/>
      <c r="C108"/>
      <c r="D108"/>
      <c r="E108" s="25">
        <v>680</v>
      </c>
      <c r="F108" s="26">
        <v>835.17902208722614</v>
      </c>
      <c r="G108"/>
      <c r="H108"/>
      <c r="I108"/>
      <c r="J108"/>
      <c r="L108"/>
      <c r="M108"/>
      <c r="N108"/>
      <c r="O108"/>
      <c r="P108"/>
      <c r="Q108"/>
      <c r="R108"/>
      <c r="S108"/>
      <c r="T108"/>
      <c r="U108"/>
      <c r="V108"/>
      <c r="W108"/>
    </row>
    <row r="109" spans="1:23" s="1" customFormat="1">
      <c r="A109"/>
      <c r="B109"/>
      <c r="C109"/>
      <c r="D109"/>
      <c r="E109" s="25">
        <v>685</v>
      </c>
      <c r="F109" s="26">
        <v>755.56823347603961</v>
      </c>
      <c r="G109"/>
      <c r="H109"/>
      <c r="I109"/>
      <c r="J109"/>
      <c r="L109"/>
      <c r="M109"/>
      <c r="N109"/>
      <c r="O109"/>
      <c r="P109"/>
      <c r="Q109"/>
      <c r="R109"/>
      <c r="S109"/>
      <c r="T109"/>
      <c r="U109"/>
      <c r="V109"/>
      <c r="W109"/>
    </row>
    <row r="110" spans="1:23" s="1" customFormat="1">
      <c r="A110"/>
      <c r="B110"/>
      <c r="C110"/>
      <c r="D110"/>
      <c r="E110" s="25">
        <v>690</v>
      </c>
      <c r="F110" s="26">
        <v>681.07841665267028</v>
      </c>
      <c r="G110"/>
      <c r="H110"/>
      <c r="I110"/>
      <c r="J110"/>
      <c r="L110"/>
      <c r="M110"/>
      <c r="N110"/>
      <c r="O110"/>
      <c r="P110"/>
      <c r="Q110"/>
      <c r="R110"/>
      <c r="S110"/>
      <c r="T110"/>
      <c r="U110"/>
      <c r="V110"/>
      <c r="W110"/>
    </row>
    <row r="111" spans="1:23" s="1" customFormat="1">
      <c r="A111"/>
      <c r="B111"/>
      <c r="C111"/>
      <c r="D111"/>
      <c r="E111" s="25">
        <v>695</v>
      </c>
      <c r="F111" s="26">
        <v>611.54032444244308</v>
      </c>
      <c r="G111"/>
      <c r="H111"/>
      <c r="I111"/>
      <c r="J111"/>
      <c r="L111"/>
      <c r="M111"/>
      <c r="N111"/>
      <c r="O111"/>
      <c r="P111"/>
      <c r="Q111"/>
      <c r="R111"/>
      <c r="S111"/>
      <c r="T111"/>
      <c r="U111"/>
      <c r="V111"/>
      <c r="W111"/>
    </row>
    <row r="112" spans="1:23" s="1" customFormat="1">
      <c r="A112"/>
      <c r="B112"/>
      <c r="C112"/>
      <c r="D112"/>
      <c r="E112" s="25">
        <v>700</v>
      </c>
      <c r="F112" s="26">
        <v>546.78470967068529</v>
      </c>
      <c r="G112"/>
      <c r="H112"/>
      <c r="I112"/>
      <c r="J112"/>
      <c r="L112"/>
      <c r="M112"/>
      <c r="N112"/>
      <c r="O112"/>
      <c r="P112"/>
      <c r="Q112"/>
      <c r="R112"/>
      <c r="S112"/>
      <c r="T112"/>
      <c r="U112"/>
      <c r="V112"/>
      <c r="W112"/>
    </row>
    <row r="113" spans="1:23" s="1" customFormat="1">
      <c r="A113"/>
      <c r="B113"/>
      <c r="C113"/>
      <c r="D113"/>
      <c r="E113" s="25">
        <v>705</v>
      </c>
      <c r="F113" s="26">
        <v>486.64232516272153</v>
      </c>
      <c r="G113"/>
      <c r="H113"/>
      <c r="I113"/>
      <c r="J113"/>
      <c r="L113"/>
      <c r="M113"/>
      <c r="N113"/>
      <c r="O113"/>
      <c r="P113"/>
      <c r="Q113"/>
      <c r="R113"/>
      <c r="S113"/>
      <c r="T113"/>
      <c r="U113"/>
      <c r="V113"/>
      <c r="W113"/>
    </row>
    <row r="114" spans="1:23" s="1" customFormat="1">
      <c r="A114"/>
      <c r="B114"/>
      <c r="C114"/>
      <c r="D114"/>
      <c r="E114" s="25">
        <v>710</v>
      </c>
      <c r="F114" s="26">
        <v>430.94392374387894</v>
      </c>
      <c r="G114"/>
      <c r="H114"/>
      <c r="I114"/>
      <c r="J114"/>
      <c r="L114"/>
      <c r="M114"/>
      <c r="N114"/>
      <c r="O114"/>
      <c r="P114"/>
      <c r="Q114"/>
      <c r="R114"/>
      <c r="S114"/>
      <c r="T114"/>
      <c r="U114"/>
      <c r="V114"/>
      <c r="W114"/>
    </row>
    <row r="115" spans="1:23" s="1" customFormat="1">
      <c r="A115"/>
      <c r="B115"/>
      <c r="C115"/>
      <c r="D115"/>
      <c r="E115" s="25">
        <v>715</v>
      </c>
      <c r="F115" s="26">
        <v>379.52025823948327</v>
      </c>
      <c r="G115"/>
      <c r="H115"/>
      <c r="I115"/>
      <c r="J115"/>
      <c r="L115"/>
      <c r="M115"/>
      <c r="N115"/>
      <c r="O115"/>
      <c r="P115"/>
      <c r="Q115"/>
      <c r="R115"/>
      <c r="S115"/>
      <c r="T115"/>
      <c r="U115"/>
      <c r="V115"/>
      <c r="W115"/>
    </row>
    <row r="116" spans="1:23" s="1" customFormat="1">
      <c r="A116"/>
      <c r="B116"/>
      <c r="C116"/>
      <c r="D116"/>
      <c r="E116" s="25">
        <v>720</v>
      </c>
      <c r="F116" s="26">
        <v>332.20208147486045</v>
      </c>
      <c r="G116"/>
      <c r="H116"/>
      <c r="I116"/>
      <c r="J116"/>
      <c r="L116"/>
      <c r="M116"/>
      <c r="N116"/>
      <c r="O116"/>
      <c r="P116"/>
      <c r="Q116"/>
      <c r="R116"/>
      <c r="S116"/>
      <c r="T116"/>
      <c r="U116"/>
      <c r="V116"/>
      <c r="W116"/>
    </row>
    <row r="117" spans="1:23" s="1" customFormat="1">
      <c r="A117"/>
      <c r="B117"/>
      <c r="C117"/>
      <c r="D117"/>
      <c r="E117" s="25">
        <v>725</v>
      </c>
      <c r="F117" s="26">
        <v>288.82014627533675</v>
      </c>
      <c r="G117"/>
      <c r="H117"/>
      <c r="I117"/>
      <c r="J117"/>
      <c r="L117"/>
      <c r="M117"/>
      <c r="N117"/>
      <c r="O117"/>
      <c r="P117"/>
      <c r="Q117"/>
      <c r="R117"/>
      <c r="S117"/>
      <c r="T117"/>
      <c r="U117"/>
      <c r="V117"/>
      <c r="W117"/>
    </row>
    <row r="118" spans="1:23" s="1" customFormat="1">
      <c r="A118"/>
      <c r="B118"/>
      <c r="C118"/>
      <c r="D118"/>
      <c r="E118" s="25">
        <v>730</v>
      </c>
      <c r="F118" s="26">
        <v>249.20520546623834</v>
      </c>
      <c r="G118"/>
      <c r="H118"/>
      <c r="I118"/>
      <c r="J118"/>
      <c r="L118"/>
      <c r="M118"/>
      <c r="N118"/>
      <c r="O118"/>
      <c r="P118"/>
      <c r="Q118"/>
      <c r="R118"/>
      <c r="S118"/>
      <c r="T118"/>
      <c r="U118"/>
      <c r="V118"/>
      <c r="W118"/>
    </row>
    <row r="119" spans="1:23" s="1" customFormat="1">
      <c r="A119"/>
      <c r="B119"/>
      <c r="C119"/>
      <c r="D119"/>
      <c r="E119" s="25">
        <v>735</v>
      </c>
      <c r="F119" s="26">
        <v>213.18801187289085</v>
      </c>
      <c r="G119"/>
      <c r="H119"/>
      <c r="I119"/>
      <c r="J119"/>
      <c r="L119"/>
      <c r="M119"/>
      <c r="N119"/>
      <c r="O119"/>
      <c r="P119"/>
      <c r="Q119"/>
      <c r="R119"/>
      <c r="S119"/>
      <c r="T119"/>
      <c r="U119"/>
      <c r="V119"/>
      <c r="W119"/>
    </row>
    <row r="120" spans="1:23" s="1" customFormat="1">
      <c r="A120"/>
      <c r="B120"/>
      <c r="C120"/>
      <c r="D120"/>
      <c r="E120" s="25">
        <v>740</v>
      </c>
      <c r="F120" s="26">
        <v>180.59931832062074</v>
      </c>
      <c r="G120"/>
      <c r="H120"/>
      <c r="I120"/>
      <c r="J120"/>
      <c r="L120"/>
      <c r="M120"/>
      <c r="N120"/>
      <c r="O120"/>
      <c r="P120"/>
      <c r="Q120"/>
      <c r="R120"/>
      <c r="S120"/>
      <c r="T120"/>
      <c r="U120"/>
      <c r="V120"/>
      <c r="W120"/>
    </row>
    <row r="121" spans="1:23" s="1" customFormat="1">
      <c r="A121"/>
      <c r="B121"/>
      <c r="C121"/>
      <c r="D121"/>
      <c r="E121" s="25">
        <v>745</v>
      </c>
      <c r="F121" s="26">
        <v>151.2698776347539</v>
      </c>
      <c r="G121"/>
      <c r="H121"/>
      <c r="I121"/>
      <c r="J121"/>
      <c r="L121"/>
      <c r="M121"/>
      <c r="N121"/>
      <c r="O121"/>
      <c r="P121"/>
      <c r="Q121"/>
      <c r="R121"/>
      <c r="S121"/>
      <c r="T121"/>
      <c r="U121"/>
      <c r="V121"/>
      <c r="W121"/>
    </row>
    <row r="122" spans="1:23" s="1" customFormat="1">
      <c r="A122"/>
      <c r="B122"/>
      <c r="C122"/>
      <c r="D122"/>
      <c r="E122" s="25">
        <v>750</v>
      </c>
      <c r="F122" s="26">
        <v>125.03044264061641</v>
      </c>
      <c r="G122"/>
      <c r="H122"/>
      <c r="I122"/>
      <c r="J122"/>
      <c r="L122"/>
      <c r="M122"/>
      <c r="N122"/>
      <c r="O122"/>
      <c r="P122"/>
      <c r="Q122"/>
      <c r="R122"/>
      <c r="S122"/>
      <c r="T122"/>
      <c r="U122"/>
      <c r="V122"/>
      <c r="W122"/>
    </row>
    <row r="123" spans="1:23" s="1" customFormat="1">
      <c r="A123"/>
      <c r="B123"/>
      <c r="C123"/>
      <c r="D123"/>
      <c r="E123" s="25">
        <v>755</v>
      </c>
      <c r="F123" s="26">
        <v>101.71176616353441</v>
      </c>
      <c r="G123"/>
      <c r="H123"/>
      <c r="I123"/>
      <c r="J123"/>
      <c r="L123"/>
      <c r="M123"/>
      <c r="N123"/>
      <c r="O123"/>
      <c r="P123"/>
      <c r="Q123"/>
      <c r="R123"/>
      <c r="S123"/>
      <c r="T123"/>
      <c r="U123"/>
      <c r="V123"/>
      <c r="W123"/>
    </row>
    <row r="124" spans="1:23" s="1" customFormat="1">
      <c r="A124"/>
      <c r="B124"/>
      <c r="C124"/>
      <c r="D124"/>
      <c r="E124" s="25">
        <v>760</v>
      </c>
      <c r="F124" s="26">
        <v>81.14460102883389</v>
      </c>
      <c r="G124"/>
      <c r="H124"/>
      <c r="I124"/>
      <c r="J124"/>
      <c r="L124"/>
      <c r="M124"/>
      <c r="N124"/>
      <c r="O124"/>
      <c r="P124"/>
      <c r="Q124"/>
      <c r="R124"/>
      <c r="S124"/>
      <c r="T124"/>
      <c r="U124"/>
      <c r="V124"/>
      <c r="W124"/>
    </row>
    <row r="125" spans="1:23" s="1" customFormat="1">
      <c r="A125"/>
      <c r="B125"/>
      <c r="C125"/>
      <c r="D125"/>
      <c r="E125" s="25">
        <v>765</v>
      </c>
      <c r="F125" s="26">
        <v>63.159700061840923</v>
      </c>
      <c r="G125"/>
      <c r="H125"/>
      <c r="I125"/>
      <c r="J125"/>
      <c r="L125"/>
      <c r="M125"/>
      <c r="N125"/>
      <c r="O125"/>
      <c r="P125"/>
      <c r="Q125"/>
      <c r="R125"/>
      <c r="S125"/>
      <c r="T125"/>
      <c r="U125"/>
      <c r="V125"/>
      <c r="W125"/>
    </row>
    <row r="126" spans="1:23" s="1" customFormat="1">
      <c r="A126"/>
      <c r="B126"/>
      <c r="C126"/>
      <c r="D126"/>
      <c r="E126" s="25">
        <v>770</v>
      </c>
      <c r="F126" s="26">
        <v>47.587816087881606</v>
      </c>
      <c r="G126"/>
      <c r="H126"/>
      <c r="I126"/>
      <c r="J126"/>
      <c r="L126"/>
      <c r="M126"/>
      <c r="N126"/>
      <c r="O126"/>
      <c r="P126"/>
      <c r="Q126"/>
      <c r="R126"/>
      <c r="S126"/>
      <c r="T126"/>
      <c r="U126"/>
      <c r="V126"/>
      <c r="W126"/>
    </row>
    <row r="127" spans="1:23" s="1" customFormat="1">
      <c r="A127"/>
      <c r="B127"/>
      <c r="C127"/>
      <c r="D127"/>
      <c r="E127" s="25">
        <v>775</v>
      </c>
      <c r="F127" s="26">
        <v>34.259701932281949</v>
      </c>
      <c r="G127"/>
      <c r="H127"/>
      <c r="I127"/>
      <c r="J127"/>
      <c r="L127"/>
      <c r="M127"/>
      <c r="N127"/>
      <c r="O127"/>
      <c r="P127"/>
      <c r="Q127"/>
      <c r="R127"/>
      <c r="S127"/>
      <c r="T127"/>
      <c r="U127"/>
      <c r="V127"/>
      <c r="W127"/>
    </row>
    <row r="128" spans="1:23" s="1" customFormat="1">
      <c r="A128"/>
      <c r="B128"/>
      <c r="C128"/>
      <c r="D128"/>
      <c r="E128" s="25">
        <v>780</v>
      </c>
      <c r="F128" s="26">
        <v>23.00611042036806</v>
      </c>
      <c r="G128"/>
      <c r="H128"/>
      <c r="I128"/>
      <c r="J128"/>
      <c r="L128"/>
      <c r="M128"/>
      <c r="N128"/>
      <c r="O128"/>
      <c r="P128"/>
      <c r="Q128"/>
      <c r="R128"/>
      <c r="S128"/>
      <c r="T128"/>
      <c r="U128"/>
      <c r="V128"/>
      <c r="W128"/>
    </row>
    <row r="129" spans="1:23" s="1" customFormat="1">
      <c r="A129"/>
      <c r="B129"/>
      <c r="C129"/>
      <c r="D129"/>
      <c r="E129" s="25">
        <v>785</v>
      </c>
      <c r="F129" s="26">
        <v>13.657794377466001</v>
      </c>
      <c r="G129"/>
      <c r="H129"/>
      <c r="I129"/>
      <c r="J129"/>
      <c r="L129"/>
      <c r="M129"/>
      <c r="N129"/>
      <c r="O129"/>
      <c r="P129"/>
      <c r="Q129"/>
      <c r="R129"/>
      <c r="S129"/>
      <c r="T129"/>
      <c r="U129"/>
      <c r="V129"/>
      <c r="W129"/>
    </row>
    <row r="130" spans="1:23" s="1" customFormat="1">
      <c r="A130"/>
      <c r="B130"/>
      <c r="C130"/>
      <c r="D130"/>
      <c r="E130" s="25">
        <v>790</v>
      </c>
      <c r="F130" s="26">
        <v>6.0455066289018271</v>
      </c>
      <c r="G130"/>
      <c r="H130"/>
      <c r="I130"/>
      <c r="J130"/>
      <c r="L130"/>
      <c r="M130"/>
      <c r="N130"/>
      <c r="O130"/>
      <c r="P130"/>
      <c r="Q130"/>
      <c r="R130"/>
      <c r="S130"/>
      <c r="T130"/>
      <c r="U130"/>
      <c r="V130"/>
      <c r="W130"/>
    </row>
    <row r="131" spans="1:23" s="1" customFormat="1">
      <c r="A131"/>
      <c r="B131"/>
      <c r="C131"/>
      <c r="D131"/>
      <c r="E131" s="25">
        <v>795</v>
      </c>
      <c r="F131" s="26">
        <v>1.6134747012890169E-12</v>
      </c>
      <c r="G131"/>
      <c r="H131"/>
      <c r="I131"/>
      <c r="J131"/>
      <c r="L131"/>
      <c r="M131"/>
      <c r="N131"/>
      <c r="O131"/>
      <c r="P131"/>
      <c r="Q131"/>
      <c r="R131"/>
      <c r="S131"/>
      <c r="T131"/>
      <c r="U131"/>
      <c r="V131"/>
      <c r="W131"/>
    </row>
    <row r="132" spans="1:23" s="1" customFormat="1">
      <c r="A132"/>
      <c r="B132"/>
      <c r="C132"/>
      <c r="D132"/>
      <c r="E132"/>
      <c r="F132"/>
      <c r="G132"/>
      <c r="H132"/>
      <c r="I132"/>
      <c r="J132"/>
      <c r="L132"/>
      <c r="M132"/>
      <c r="N132"/>
      <c r="O132"/>
      <c r="P132"/>
      <c r="Q132"/>
      <c r="R132"/>
      <c r="S132"/>
      <c r="T132"/>
      <c r="U132"/>
      <c r="V132"/>
      <c r="W132"/>
    </row>
    <row r="133" spans="1:23" s="1" customFormat="1">
      <c r="A133"/>
      <c r="B133"/>
      <c r="C133"/>
      <c r="D133"/>
      <c r="E133"/>
      <c r="F133"/>
      <c r="G133"/>
      <c r="H133"/>
      <c r="I133"/>
      <c r="J133"/>
      <c r="L133"/>
      <c r="M133"/>
      <c r="N133"/>
      <c r="O133"/>
      <c r="P133"/>
      <c r="Q133"/>
      <c r="R133"/>
      <c r="S133"/>
      <c r="T133"/>
      <c r="U133"/>
      <c r="V133"/>
      <c r="W133"/>
    </row>
    <row r="134" spans="1:23" s="1" customFormat="1">
      <c r="A134"/>
      <c r="B134"/>
      <c r="C134"/>
      <c r="D134"/>
      <c r="E134"/>
      <c r="F134"/>
      <c r="G134"/>
      <c r="H134"/>
      <c r="I134"/>
      <c r="J134"/>
      <c r="L134"/>
      <c r="M134"/>
      <c r="N134"/>
      <c r="O134"/>
      <c r="P134"/>
      <c r="Q134"/>
      <c r="R134"/>
      <c r="S134"/>
      <c r="T134"/>
      <c r="U134"/>
      <c r="V134"/>
      <c r="W134"/>
    </row>
    <row r="135" spans="1:23" s="1" customFormat="1">
      <c r="A135"/>
      <c r="B135"/>
      <c r="C135"/>
      <c r="D135"/>
      <c r="E135"/>
      <c r="F135"/>
      <c r="G135"/>
      <c r="H135"/>
      <c r="I135"/>
      <c r="J135"/>
      <c r="L135"/>
      <c r="M135"/>
      <c r="N135"/>
      <c r="O135"/>
      <c r="P135"/>
      <c r="Q135"/>
      <c r="R135"/>
      <c r="S135"/>
      <c r="T135"/>
      <c r="U135"/>
      <c r="V135"/>
      <c r="W135"/>
    </row>
    <row r="136" spans="1:23" s="1" customFormat="1">
      <c r="A136"/>
      <c r="B136"/>
      <c r="C136"/>
      <c r="D136"/>
      <c r="E136"/>
      <c r="F136"/>
      <c r="G136"/>
      <c r="H136"/>
      <c r="I136"/>
      <c r="J136"/>
      <c r="L136"/>
      <c r="M136"/>
      <c r="N136"/>
      <c r="O136"/>
      <c r="P136"/>
      <c r="Q136"/>
      <c r="R136"/>
      <c r="S136"/>
      <c r="T136"/>
      <c r="U136"/>
      <c r="V136"/>
      <c r="W136"/>
    </row>
    <row r="137" spans="1:23" s="1" customFormat="1">
      <c r="A137"/>
      <c r="B137"/>
      <c r="C137"/>
      <c r="D137"/>
      <c r="E137"/>
      <c r="F137"/>
      <c r="G137"/>
      <c r="H137"/>
      <c r="I137"/>
      <c r="J137"/>
      <c r="L137"/>
      <c r="M137"/>
      <c r="N137"/>
      <c r="O137"/>
      <c r="P137"/>
      <c r="Q137"/>
      <c r="R137"/>
      <c r="S137"/>
      <c r="T137"/>
      <c r="U137"/>
      <c r="V137"/>
      <c r="W137"/>
    </row>
    <row r="138" spans="1:23" s="1" customFormat="1">
      <c r="A138"/>
      <c r="B138"/>
      <c r="C138"/>
      <c r="D138"/>
      <c r="E138"/>
      <c r="F138"/>
      <c r="G138"/>
      <c r="H138"/>
      <c r="I138"/>
      <c r="J138"/>
      <c r="L138"/>
      <c r="M138"/>
      <c r="N138"/>
      <c r="O138"/>
      <c r="P138"/>
      <c r="Q138"/>
      <c r="R138"/>
      <c r="S138"/>
      <c r="T138"/>
      <c r="U138"/>
      <c r="V138"/>
      <c r="W138"/>
    </row>
    <row r="139" spans="1:23" s="1" customFormat="1">
      <c r="A139"/>
      <c r="B139"/>
      <c r="C139"/>
      <c r="D139"/>
      <c r="E139"/>
      <c r="F139"/>
      <c r="G139"/>
      <c r="H139"/>
      <c r="I139"/>
      <c r="J139"/>
      <c r="L139"/>
      <c r="M139"/>
      <c r="N139"/>
      <c r="O139"/>
      <c r="P139"/>
      <c r="Q139"/>
      <c r="R139"/>
      <c r="S139"/>
      <c r="T139"/>
      <c r="U139"/>
      <c r="V139"/>
      <c r="W139"/>
    </row>
    <row r="140" spans="1:23" s="1" customFormat="1">
      <c r="A140"/>
      <c r="B140"/>
      <c r="C140"/>
      <c r="D140"/>
      <c r="E140"/>
      <c r="F140"/>
      <c r="G140"/>
      <c r="H140"/>
      <c r="I140"/>
      <c r="J140"/>
      <c r="L140"/>
      <c r="M140"/>
      <c r="N140"/>
      <c r="O140"/>
      <c r="P140"/>
      <c r="Q140"/>
      <c r="R140"/>
      <c r="S140"/>
      <c r="T140"/>
      <c r="U140"/>
      <c r="V140"/>
      <c r="W140"/>
    </row>
    <row r="141" spans="1:23" s="1" customFormat="1">
      <c r="A141"/>
      <c r="B141"/>
      <c r="C141"/>
      <c r="D141"/>
      <c r="E141"/>
      <c r="F141"/>
      <c r="G141"/>
      <c r="H141"/>
      <c r="I141"/>
      <c r="J141"/>
      <c r="L141"/>
      <c r="M141"/>
      <c r="N141"/>
      <c r="O141"/>
      <c r="P141"/>
      <c r="Q141"/>
      <c r="R141"/>
      <c r="S141"/>
      <c r="T141"/>
      <c r="U141"/>
      <c r="V141"/>
      <c r="W141"/>
    </row>
    <row r="142" spans="1:23" s="1" customFormat="1">
      <c r="A142"/>
      <c r="B142"/>
      <c r="C142"/>
      <c r="D142"/>
      <c r="E142"/>
      <c r="F142"/>
      <c r="G142"/>
      <c r="H142"/>
      <c r="I142"/>
      <c r="J142"/>
      <c r="L142"/>
      <c r="M142"/>
      <c r="N142"/>
      <c r="O142"/>
      <c r="P142"/>
      <c r="Q142"/>
      <c r="R142"/>
      <c r="S142"/>
      <c r="T142"/>
      <c r="U142"/>
      <c r="V142"/>
      <c r="W142"/>
    </row>
    <row r="143" spans="1:23" s="1" customFormat="1">
      <c r="A143"/>
      <c r="B143"/>
      <c r="C143"/>
      <c r="D143"/>
      <c r="E143"/>
      <c r="F143"/>
      <c r="G143"/>
      <c r="H143"/>
      <c r="I143"/>
      <c r="J143"/>
      <c r="L143"/>
      <c r="M143"/>
      <c r="N143"/>
      <c r="O143"/>
      <c r="P143"/>
      <c r="Q143"/>
      <c r="R143"/>
      <c r="S143"/>
      <c r="T143"/>
      <c r="U143"/>
      <c r="V143"/>
      <c r="W143"/>
    </row>
    <row r="144" spans="1:23" s="1" customFormat="1">
      <c r="A144"/>
      <c r="B144"/>
      <c r="C144"/>
      <c r="D144"/>
      <c r="E144"/>
      <c r="F144"/>
      <c r="G144"/>
      <c r="H144"/>
      <c r="I144"/>
      <c r="J144"/>
      <c r="L144"/>
      <c r="M144"/>
      <c r="N144"/>
      <c r="O144"/>
      <c r="P144"/>
      <c r="Q144"/>
      <c r="R144"/>
      <c r="S144"/>
      <c r="T144"/>
      <c r="U144"/>
      <c r="V144"/>
      <c r="W144"/>
    </row>
    <row r="145" spans="1:23" s="1" customFormat="1">
      <c r="A145"/>
      <c r="B145"/>
      <c r="C145"/>
      <c r="D145"/>
      <c r="E145"/>
      <c r="F145"/>
      <c r="G145"/>
      <c r="H145"/>
      <c r="I145"/>
      <c r="J145"/>
      <c r="L145"/>
      <c r="M145"/>
      <c r="N145"/>
      <c r="O145"/>
      <c r="P145"/>
      <c r="Q145"/>
      <c r="R145"/>
      <c r="S145"/>
      <c r="T145"/>
      <c r="U145"/>
      <c r="V145"/>
      <c r="W145"/>
    </row>
    <row r="146" spans="1:23" s="1" customFormat="1">
      <c r="A146"/>
      <c r="B146"/>
      <c r="C146"/>
      <c r="D146"/>
      <c r="E146"/>
      <c r="F146"/>
      <c r="G146"/>
      <c r="H146"/>
      <c r="I146"/>
      <c r="J146"/>
      <c r="L146"/>
      <c r="M146"/>
      <c r="N146"/>
      <c r="O146"/>
      <c r="P146"/>
      <c r="Q146"/>
      <c r="R146"/>
      <c r="S146"/>
      <c r="T146"/>
      <c r="U146"/>
      <c r="V146"/>
      <c r="W146"/>
    </row>
  </sheetData>
  <mergeCells count="20">
    <mergeCell ref="A1:J1"/>
    <mergeCell ref="A2:A3"/>
    <mergeCell ref="B2:B3"/>
    <mergeCell ref="C2:G2"/>
    <mergeCell ref="H2:H3"/>
    <mergeCell ref="I2:I3"/>
    <mergeCell ref="J2:J3"/>
    <mergeCell ref="A27:B27"/>
    <mergeCell ref="A20:B20"/>
    <mergeCell ref="A21:B21"/>
    <mergeCell ref="A23:C23"/>
    <mergeCell ref="A24:B24"/>
    <mergeCell ref="A25:B25"/>
    <mergeCell ref="A26:B26"/>
    <mergeCell ref="A17:C17"/>
    <mergeCell ref="E17:F17"/>
    <mergeCell ref="A18:B18"/>
    <mergeCell ref="E18:E19"/>
    <mergeCell ref="F18:F19"/>
    <mergeCell ref="A19:B19"/>
  </mergeCells>
  <conditionalFormatting sqref="D13 D5">
    <cfRule type="cellIs" dxfId="6" priority="3" operator="greaterThan">
      <formula>296</formula>
    </cfRule>
  </conditionalFormatting>
  <conditionalFormatting sqref="D6:D11">
    <cfRule type="cellIs" dxfId="5" priority="2" operator="greaterThan">
      <formula>100</formula>
    </cfRule>
  </conditionalFormatting>
  <conditionalFormatting sqref="D15">
    <cfRule type="cellIs" dxfId="4" priority="1" operator="greaterThan">
      <formula>825</formula>
    </cfRule>
  </conditionalFormatting>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J264"/>
  <sheetViews>
    <sheetView zoomScale="80" zoomScaleNormal="80" workbookViewId="0">
      <pane xSplit="1" ySplit="3" topLeftCell="B4" activePane="bottomRight" state="frozen"/>
      <selection pane="topRight" activeCell="B1" sqref="B1"/>
      <selection pane="bottomLeft" activeCell="A4" sqref="A4"/>
      <selection pane="bottomRight" activeCell="C8" sqref="C8"/>
    </sheetView>
  </sheetViews>
  <sheetFormatPr defaultRowHeight="15"/>
  <cols>
    <col min="1" max="1" width="14.5703125" customWidth="1"/>
    <col min="2" max="4" width="10.7109375" customWidth="1"/>
    <col min="5" max="5" width="12.42578125" bestFit="1" customWidth="1"/>
    <col min="6" max="11" width="9.7109375" customWidth="1"/>
    <col min="12" max="12" width="11.5703125" customWidth="1"/>
    <col min="13" max="23" width="9.7109375" customWidth="1"/>
    <col min="24" max="24" width="11.5703125" customWidth="1"/>
    <col min="25" max="35" width="9.7109375" customWidth="1"/>
    <col min="36" max="36" width="11.7109375" customWidth="1"/>
    <col min="37" max="42" width="9.7109375" customWidth="1"/>
    <col min="43" max="43" width="11.5703125" customWidth="1"/>
    <col min="44" max="60" width="9.7109375" customWidth="1"/>
    <col min="61" max="61" width="11.5703125" bestFit="1" customWidth="1"/>
    <col min="62" max="62" width="9.7109375" customWidth="1"/>
    <col min="63" max="63" width="11.5703125" bestFit="1" customWidth="1"/>
    <col min="64" max="74" width="9.7109375" customWidth="1"/>
    <col min="75" max="76" width="10.28515625" customWidth="1"/>
    <col min="77" max="81" width="9.7109375" customWidth="1"/>
    <col min="82" max="82" width="12.42578125" bestFit="1" customWidth="1"/>
    <col min="83" max="84" width="9.7109375" customWidth="1"/>
    <col min="85" max="93" width="9.28515625" customWidth="1"/>
    <col min="94" max="97" width="9.28515625" style="31" customWidth="1"/>
    <col min="98" max="150" width="9.28515625" customWidth="1"/>
    <col min="151" max="151" width="9.28515625" style="239" customWidth="1"/>
    <col min="152" max="167" width="9.28515625" customWidth="1"/>
    <col min="171" max="171" width="2.7109375" customWidth="1"/>
    <col min="172" max="210" width="0" hidden="1" customWidth="1"/>
  </cols>
  <sheetData>
    <row r="1" spans="1:218" ht="15.75" thickBot="1">
      <c r="A1" s="1097" t="s">
        <v>175</v>
      </c>
      <c r="B1" s="1103" t="s">
        <v>49</v>
      </c>
      <c r="C1" s="1104"/>
      <c r="D1" s="1107" t="s">
        <v>50</v>
      </c>
      <c r="E1" s="1108"/>
      <c r="F1" s="543"/>
      <c r="G1" s="544"/>
      <c r="H1" s="544"/>
      <c r="I1" s="546" t="s">
        <v>187</v>
      </c>
      <c r="J1" s="544"/>
      <c r="K1" s="544"/>
      <c r="L1" s="544"/>
      <c r="M1" s="536"/>
      <c r="N1" s="543"/>
      <c r="O1" s="544"/>
      <c r="P1" s="544"/>
      <c r="Q1" s="544"/>
      <c r="R1" s="544" t="s">
        <v>188</v>
      </c>
      <c r="S1" s="544"/>
      <c r="T1" s="544"/>
      <c r="U1" s="544"/>
      <c r="V1" s="544"/>
      <c r="W1" s="544"/>
      <c r="X1" s="544"/>
      <c r="Y1" s="536"/>
      <c r="Z1" s="543"/>
      <c r="AA1" s="544"/>
      <c r="AB1" s="544"/>
      <c r="AC1" s="544"/>
      <c r="AD1" s="545" t="s">
        <v>189</v>
      </c>
      <c r="AE1" s="544"/>
      <c r="AF1" s="544"/>
      <c r="AG1" s="544"/>
      <c r="AH1" s="544"/>
      <c r="AI1" s="544"/>
      <c r="AJ1" s="544"/>
      <c r="AK1" s="536"/>
      <c r="AL1" s="543"/>
      <c r="AM1" s="544"/>
      <c r="AN1" s="544"/>
      <c r="AO1" s="535" t="s">
        <v>190</v>
      </c>
      <c r="AP1" s="544"/>
      <c r="AQ1" s="544"/>
      <c r="AR1" s="536"/>
      <c r="AS1" s="543"/>
      <c r="AT1" s="544"/>
      <c r="AU1" s="544"/>
      <c r="AV1" s="535" t="s">
        <v>199</v>
      </c>
      <c r="AW1" s="544"/>
      <c r="AX1" s="544"/>
      <c r="AY1" s="544"/>
      <c r="AZ1" s="536"/>
      <c r="BA1" s="543"/>
      <c r="BB1" s="544"/>
      <c r="BC1" s="544"/>
      <c r="BD1" s="544"/>
      <c r="BE1" s="544"/>
      <c r="BF1" s="535" t="s">
        <v>200</v>
      </c>
      <c r="BG1" s="544"/>
      <c r="BH1" s="544"/>
      <c r="BI1" s="544"/>
      <c r="BJ1" s="544"/>
      <c r="BK1" s="536"/>
      <c r="BL1" s="543"/>
      <c r="BM1" s="544"/>
      <c r="BN1" s="544"/>
      <c r="BO1" s="535" t="s">
        <v>191</v>
      </c>
      <c r="BP1" s="544"/>
      <c r="BQ1" s="544"/>
      <c r="BR1" s="544"/>
      <c r="BS1" s="536"/>
      <c r="BT1" s="543"/>
      <c r="BU1" s="544"/>
      <c r="BV1" s="544"/>
      <c r="BW1" s="535" t="s">
        <v>192</v>
      </c>
      <c r="BX1" s="544"/>
      <c r="BY1" s="544"/>
      <c r="BZ1" s="544"/>
      <c r="CA1" s="536"/>
      <c r="CB1" s="543"/>
      <c r="CC1" s="544"/>
      <c r="CD1" s="544"/>
      <c r="CE1" s="535" t="s">
        <v>202</v>
      </c>
      <c r="CF1" s="544"/>
      <c r="CG1" s="544"/>
      <c r="CH1" s="544"/>
      <c r="CI1" s="536"/>
      <c r="CJ1" s="1114" t="s">
        <v>201</v>
      </c>
      <c r="CK1" s="1115"/>
      <c r="CL1" s="1115"/>
      <c r="CM1" s="1115"/>
      <c r="CN1" s="1116"/>
      <c r="CO1" s="1114" t="s">
        <v>176</v>
      </c>
      <c r="CP1" s="1115"/>
      <c r="CQ1" s="1115"/>
      <c r="CR1" s="1115"/>
      <c r="CS1" s="1115"/>
      <c r="CT1" s="1115"/>
      <c r="CU1" s="1115"/>
      <c r="CV1" s="1116"/>
      <c r="CW1" s="1114" t="s">
        <v>197</v>
      </c>
      <c r="CX1" s="1115"/>
      <c r="CY1" s="1115"/>
      <c r="CZ1" s="1115"/>
      <c r="DA1" s="1115"/>
      <c r="DB1" s="1115"/>
      <c r="DC1" s="1115"/>
      <c r="DD1" s="1116"/>
      <c r="DE1" s="543"/>
      <c r="DF1" s="544"/>
      <c r="DG1" s="544"/>
      <c r="DH1" s="535" t="s">
        <v>177</v>
      </c>
      <c r="DI1" s="544"/>
      <c r="DJ1" s="544"/>
      <c r="DK1" s="544"/>
      <c r="DL1" s="536"/>
      <c r="DM1" s="543"/>
      <c r="DN1" s="544"/>
      <c r="DO1" s="544"/>
      <c r="DP1" s="535" t="s">
        <v>193</v>
      </c>
      <c r="DQ1" s="544"/>
      <c r="DR1" s="544"/>
      <c r="DS1" s="544"/>
      <c r="DT1" s="536"/>
      <c r="DU1" s="544"/>
      <c r="DV1" s="544"/>
      <c r="DW1" s="544"/>
      <c r="DX1" s="535" t="s">
        <v>186</v>
      </c>
      <c r="DY1" s="544"/>
      <c r="DZ1" s="544"/>
      <c r="EA1" s="544"/>
      <c r="EB1" s="544"/>
      <c r="EC1" s="543"/>
      <c r="ED1" s="544"/>
      <c r="EE1" s="544"/>
      <c r="EF1" s="535" t="s">
        <v>178</v>
      </c>
      <c r="EG1" s="544"/>
      <c r="EH1" s="544"/>
      <c r="EI1" s="544"/>
      <c r="EJ1" s="536"/>
      <c r="EK1" s="567"/>
      <c r="EL1" s="545"/>
      <c r="EM1" s="535" t="s">
        <v>194</v>
      </c>
      <c r="EN1" s="545"/>
      <c r="EO1" s="568"/>
      <c r="EP1" s="567"/>
      <c r="EQ1" s="545"/>
      <c r="ER1" s="535" t="s">
        <v>179</v>
      </c>
      <c r="ES1" s="545"/>
      <c r="ET1" s="568"/>
      <c r="EU1" s="567"/>
      <c r="EV1" s="545"/>
      <c r="EW1" s="535" t="s">
        <v>180</v>
      </c>
      <c r="EX1" s="545"/>
      <c r="EY1" s="568"/>
      <c r="EZ1" s="567"/>
      <c r="FA1" s="545"/>
      <c r="FB1" s="535" t="s">
        <v>181</v>
      </c>
      <c r="FC1" s="545"/>
      <c r="FD1" s="568"/>
      <c r="FE1" s="567"/>
      <c r="FF1" s="545"/>
      <c r="FG1" s="535" t="s">
        <v>185</v>
      </c>
      <c r="FH1" s="545"/>
      <c r="FI1" s="568"/>
      <c r="FJ1" s="546"/>
      <c r="FK1" s="535"/>
      <c r="FL1" s="535" t="s">
        <v>195</v>
      </c>
      <c r="FM1" s="535"/>
      <c r="FN1" s="566"/>
      <c r="HC1" s="1028" t="s">
        <v>203</v>
      </c>
      <c r="HD1" s="1029"/>
      <c r="HE1" s="1029"/>
      <c r="HF1" s="1029"/>
      <c r="HG1" s="1029"/>
      <c r="HH1" s="1029"/>
      <c r="HI1" s="1029"/>
      <c r="HJ1" s="1030"/>
    </row>
    <row r="2" spans="1:218" s="522" customFormat="1" ht="15.75" thickBot="1">
      <c r="A2" s="1097"/>
      <c r="B2" s="1105"/>
      <c r="C2" s="1106"/>
      <c r="D2" s="1109"/>
      <c r="E2" s="1110"/>
      <c r="F2" s="523"/>
      <c r="G2" s="525"/>
      <c r="H2" s="525"/>
      <c r="I2" s="524" t="s">
        <v>59</v>
      </c>
      <c r="J2" s="525"/>
      <c r="K2" s="534" t="s">
        <v>182</v>
      </c>
      <c r="L2" s="535">
        <v>480</v>
      </c>
      <c r="M2" s="536" t="s">
        <v>183</v>
      </c>
      <c r="N2" s="526"/>
      <c r="O2" s="528"/>
      <c r="P2" s="528"/>
      <c r="Q2" s="528"/>
      <c r="R2" s="528"/>
      <c r="S2" s="527" t="s">
        <v>55</v>
      </c>
      <c r="T2" s="528"/>
      <c r="U2" s="528"/>
      <c r="V2" s="528"/>
      <c r="W2" s="534" t="s">
        <v>182</v>
      </c>
      <c r="X2" s="537">
        <v>10</v>
      </c>
      <c r="Y2" s="536" t="s">
        <v>183</v>
      </c>
      <c r="Z2" s="529"/>
      <c r="AA2" s="530"/>
      <c r="AB2" s="530"/>
      <c r="AC2" s="530"/>
      <c r="AD2" s="530"/>
      <c r="AE2" s="530" t="s">
        <v>60</v>
      </c>
      <c r="AF2" s="530"/>
      <c r="AG2" s="530"/>
      <c r="AH2" s="530"/>
      <c r="AI2" s="534" t="s">
        <v>182</v>
      </c>
      <c r="AJ2" s="537">
        <v>3</v>
      </c>
      <c r="AK2" s="536" t="s">
        <v>183</v>
      </c>
      <c r="AL2" s="531"/>
      <c r="AM2" s="532"/>
      <c r="AN2" s="532"/>
      <c r="AO2" s="533" t="s">
        <v>58</v>
      </c>
      <c r="AP2" s="534" t="s">
        <v>182</v>
      </c>
      <c r="AQ2" s="538">
        <v>80</v>
      </c>
      <c r="AR2" s="536" t="s">
        <v>183</v>
      </c>
      <c r="AS2" s="539"/>
      <c r="AT2" s="540"/>
      <c r="AU2" s="540"/>
      <c r="AV2" s="540" t="s">
        <v>41</v>
      </c>
      <c r="AW2" s="540"/>
      <c r="AX2" s="534" t="s">
        <v>182</v>
      </c>
      <c r="AY2" s="537">
        <v>1.5</v>
      </c>
      <c r="AZ2" s="536" t="s">
        <v>184</v>
      </c>
      <c r="BA2" s="541"/>
      <c r="BB2" s="542"/>
      <c r="BC2" s="542"/>
      <c r="BD2" s="542"/>
      <c r="BE2" s="542"/>
      <c r="BF2" s="542" t="s">
        <v>64</v>
      </c>
      <c r="BG2" s="542"/>
      <c r="BH2" s="542"/>
      <c r="BI2" s="534" t="s">
        <v>182</v>
      </c>
      <c r="BJ2" s="538">
        <v>30</v>
      </c>
      <c r="BK2" s="536" t="s">
        <v>184</v>
      </c>
      <c r="BL2" s="547"/>
      <c r="BM2" s="548"/>
      <c r="BN2" s="548"/>
      <c r="BO2" s="548" t="s">
        <v>44</v>
      </c>
      <c r="BP2" s="548"/>
      <c r="BQ2" s="534" t="s">
        <v>182</v>
      </c>
      <c r="BR2" s="537">
        <v>0.24</v>
      </c>
      <c r="BS2" s="536" t="s">
        <v>184</v>
      </c>
      <c r="BT2" s="549"/>
      <c r="BU2" s="550"/>
      <c r="BV2" s="550"/>
      <c r="BW2" s="550" t="s">
        <v>56</v>
      </c>
      <c r="BX2" s="550"/>
      <c r="BY2" s="534" t="s">
        <v>182</v>
      </c>
      <c r="BZ2" s="537">
        <v>0.12</v>
      </c>
      <c r="CA2" s="536" t="s">
        <v>184</v>
      </c>
      <c r="CB2" s="551"/>
      <c r="CC2" s="552"/>
      <c r="CD2" s="552"/>
      <c r="CE2" s="552" t="s">
        <v>93</v>
      </c>
      <c r="CF2" s="552"/>
      <c r="CG2" s="534" t="s">
        <v>182</v>
      </c>
      <c r="CH2" s="537">
        <v>0.8</v>
      </c>
      <c r="CI2" s="536" t="s">
        <v>184</v>
      </c>
      <c r="CJ2" s="650"/>
      <c r="CK2" s="650"/>
      <c r="CL2" s="655" t="s">
        <v>196</v>
      </c>
      <c r="CM2" s="650"/>
      <c r="CN2" s="650"/>
      <c r="CO2" s="553"/>
      <c r="CP2" s="554"/>
      <c r="CQ2" s="554"/>
      <c r="CR2" s="556" t="s">
        <v>171</v>
      </c>
      <c r="CS2" s="554"/>
      <c r="CT2" s="554"/>
      <c r="CU2" s="554"/>
      <c r="CV2" s="555"/>
      <c r="CW2" s="604"/>
      <c r="CX2" s="605"/>
      <c r="CY2" s="605"/>
      <c r="CZ2" s="565" t="s">
        <v>198</v>
      </c>
      <c r="DA2" s="605"/>
      <c r="DB2" s="605"/>
      <c r="DC2" s="605"/>
      <c r="DD2" s="606"/>
      <c r="DE2" s="541"/>
      <c r="DF2" s="542"/>
      <c r="DG2" s="542"/>
      <c r="DH2" s="558" t="s">
        <v>172</v>
      </c>
      <c r="DI2" s="542"/>
      <c r="DJ2" s="542"/>
      <c r="DK2" s="542"/>
      <c r="DL2" s="557"/>
      <c r="DM2" s="539"/>
      <c r="DN2" s="540"/>
      <c r="DO2" s="540"/>
      <c r="DP2" s="559" t="s">
        <v>157</v>
      </c>
      <c r="DQ2" s="540"/>
      <c r="DR2" s="534" t="s">
        <v>182</v>
      </c>
      <c r="DS2" s="537">
        <v>0.2</v>
      </c>
      <c r="DT2" s="536" t="s">
        <v>184</v>
      </c>
      <c r="DU2" s="598"/>
      <c r="DV2" s="599"/>
      <c r="DW2" s="599"/>
      <c r="DX2" s="600" t="s">
        <v>170</v>
      </c>
      <c r="DY2" s="599"/>
      <c r="DZ2" s="601"/>
      <c r="EA2" s="602"/>
      <c r="EB2" s="603"/>
      <c r="EC2" s="560"/>
      <c r="ED2" s="561"/>
      <c r="EE2" s="561"/>
      <c r="EF2" s="563" t="s">
        <v>169</v>
      </c>
      <c r="EG2" s="561"/>
      <c r="EH2" s="561"/>
      <c r="EI2" s="561"/>
      <c r="EJ2" s="562"/>
      <c r="EK2" s="569"/>
      <c r="EL2" s="564"/>
      <c r="EM2" s="565" t="s">
        <v>163</v>
      </c>
      <c r="EN2" s="564"/>
      <c r="EO2" s="570"/>
      <c r="EP2" s="571"/>
      <c r="EQ2" s="572"/>
      <c r="ER2" s="573" t="s">
        <v>167</v>
      </c>
      <c r="ES2" s="572"/>
      <c r="ET2" s="574"/>
      <c r="EU2" s="575"/>
      <c r="EV2" s="576"/>
      <c r="EW2" s="577" t="s">
        <v>164</v>
      </c>
      <c r="EX2" s="576"/>
      <c r="EY2" s="578"/>
      <c r="EZ2" s="579"/>
      <c r="FA2" s="580"/>
      <c r="FB2" s="581" t="s">
        <v>165</v>
      </c>
      <c r="FC2" s="580"/>
      <c r="FD2" s="582"/>
      <c r="FE2" s="583"/>
      <c r="FF2" s="584"/>
      <c r="FG2" s="585" t="s">
        <v>166</v>
      </c>
      <c r="FH2" s="584"/>
      <c r="FI2" s="586"/>
      <c r="FJ2" s="587"/>
      <c r="FK2" s="588"/>
      <c r="FL2" s="588" t="s">
        <v>168</v>
      </c>
      <c r="FM2" s="588"/>
      <c r="FN2" s="589"/>
      <c r="HC2" s="1028"/>
      <c r="HD2" s="1029"/>
      <c r="HE2" s="1029"/>
      <c r="HF2" s="1029"/>
      <c r="HG2" s="1029"/>
      <c r="HH2" s="1029"/>
      <c r="HI2" s="1029"/>
      <c r="HJ2" s="1030"/>
    </row>
    <row r="3" spans="1:218" ht="90" customHeight="1" thickBot="1">
      <c r="A3" s="1097"/>
      <c r="B3" s="776" t="s">
        <v>152</v>
      </c>
      <c r="C3" s="701" t="s">
        <v>153</v>
      </c>
      <c r="D3" s="793" t="s">
        <v>173</v>
      </c>
      <c r="E3" s="702" t="s">
        <v>174</v>
      </c>
      <c r="F3" s="794" t="s">
        <v>145</v>
      </c>
      <c r="G3" s="775" t="s">
        <v>146</v>
      </c>
      <c r="H3" s="703" t="s">
        <v>147</v>
      </c>
      <c r="I3" s="775" t="s">
        <v>148</v>
      </c>
      <c r="J3" s="703" t="s">
        <v>154</v>
      </c>
      <c r="K3" s="703" t="s">
        <v>149</v>
      </c>
      <c r="L3" s="704" t="s">
        <v>155</v>
      </c>
      <c r="M3" s="705" t="s">
        <v>156</v>
      </c>
      <c r="N3" s="777" t="s">
        <v>145</v>
      </c>
      <c r="O3" s="777" t="s">
        <v>146</v>
      </c>
      <c r="P3" s="706" t="s">
        <v>147</v>
      </c>
      <c r="Q3" s="706" t="s">
        <v>160</v>
      </c>
      <c r="R3" s="706" t="s">
        <v>161</v>
      </c>
      <c r="S3" s="706" t="s">
        <v>162</v>
      </c>
      <c r="T3" s="707" t="s">
        <v>52</v>
      </c>
      <c r="U3" s="798" t="s">
        <v>148</v>
      </c>
      <c r="V3" s="707" t="s">
        <v>154</v>
      </c>
      <c r="W3" s="707" t="s">
        <v>149</v>
      </c>
      <c r="X3" s="708" t="s">
        <v>155</v>
      </c>
      <c r="Y3" s="709" t="s">
        <v>156</v>
      </c>
      <c r="Z3" s="778" t="s">
        <v>145</v>
      </c>
      <c r="AA3" s="778" t="s">
        <v>146</v>
      </c>
      <c r="AB3" s="710" t="s">
        <v>147</v>
      </c>
      <c r="AC3" s="710" t="s">
        <v>160</v>
      </c>
      <c r="AD3" s="710" t="s">
        <v>161</v>
      </c>
      <c r="AE3" s="710" t="s">
        <v>162</v>
      </c>
      <c r="AF3" s="711" t="s">
        <v>52</v>
      </c>
      <c r="AG3" s="799" t="s">
        <v>148</v>
      </c>
      <c r="AH3" s="711" t="s">
        <v>154</v>
      </c>
      <c r="AI3" s="711" t="s">
        <v>149</v>
      </c>
      <c r="AJ3" s="712" t="s">
        <v>155</v>
      </c>
      <c r="AK3" s="713" t="s">
        <v>156</v>
      </c>
      <c r="AL3" s="795" t="s">
        <v>145</v>
      </c>
      <c r="AM3" s="779" t="s">
        <v>146</v>
      </c>
      <c r="AN3" s="714" t="s">
        <v>147</v>
      </c>
      <c r="AO3" s="779" t="s">
        <v>148</v>
      </c>
      <c r="AP3" s="714" t="s">
        <v>149</v>
      </c>
      <c r="AQ3" s="715" t="s">
        <v>155</v>
      </c>
      <c r="AR3" s="716" t="s">
        <v>156</v>
      </c>
      <c r="AS3" s="796" t="s">
        <v>145</v>
      </c>
      <c r="AT3" s="780" t="s">
        <v>146</v>
      </c>
      <c r="AU3" s="717" t="s">
        <v>147</v>
      </c>
      <c r="AV3" s="780" t="s">
        <v>148</v>
      </c>
      <c r="AW3" s="718" t="s">
        <v>144</v>
      </c>
      <c r="AX3" s="717" t="s">
        <v>149</v>
      </c>
      <c r="AY3" s="719" t="s">
        <v>150</v>
      </c>
      <c r="AZ3" s="720" t="s">
        <v>151</v>
      </c>
      <c r="BA3" s="797" t="s">
        <v>145</v>
      </c>
      <c r="BB3" s="781" t="s">
        <v>146</v>
      </c>
      <c r="BC3" s="721" t="s">
        <v>138</v>
      </c>
      <c r="BD3" s="721" t="s">
        <v>147</v>
      </c>
      <c r="BE3" s="781" t="s">
        <v>148</v>
      </c>
      <c r="BF3" s="722" t="s">
        <v>144</v>
      </c>
      <c r="BG3" s="721" t="s">
        <v>149</v>
      </c>
      <c r="BH3" s="723" t="s">
        <v>150</v>
      </c>
      <c r="BI3" s="723" t="s">
        <v>158</v>
      </c>
      <c r="BJ3" s="722" t="s">
        <v>151</v>
      </c>
      <c r="BK3" s="724" t="s">
        <v>159</v>
      </c>
      <c r="BL3" s="809" t="s">
        <v>145</v>
      </c>
      <c r="BM3" s="782" t="s">
        <v>146</v>
      </c>
      <c r="BN3" s="725" t="s">
        <v>147</v>
      </c>
      <c r="BO3" s="782" t="s">
        <v>148</v>
      </c>
      <c r="BP3" s="726" t="s">
        <v>144</v>
      </c>
      <c r="BQ3" s="725" t="s">
        <v>149</v>
      </c>
      <c r="BR3" s="726" t="s">
        <v>150</v>
      </c>
      <c r="BS3" s="727" t="s">
        <v>151</v>
      </c>
      <c r="BT3" s="762" t="s">
        <v>145</v>
      </c>
      <c r="BU3" s="783" t="s">
        <v>146</v>
      </c>
      <c r="BV3" s="728" t="s">
        <v>147</v>
      </c>
      <c r="BW3" s="783" t="s">
        <v>148</v>
      </c>
      <c r="BX3" s="729" t="s">
        <v>144</v>
      </c>
      <c r="BY3" s="728" t="s">
        <v>149</v>
      </c>
      <c r="BZ3" s="730" t="s">
        <v>150</v>
      </c>
      <c r="CA3" s="731" t="s">
        <v>151</v>
      </c>
      <c r="CB3" s="763" t="s">
        <v>145</v>
      </c>
      <c r="CC3" s="784" t="s">
        <v>146</v>
      </c>
      <c r="CD3" s="732" t="s">
        <v>147</v>
      </c>
      <c r="CE3" s="784" t="s">
        <v>148</v>
      </c>
      <c r="CF3" s="733" t="s">
        <v>144</v>
      </c>
      <c r="CG3" s="732" t="s">
        <v>149</v>
      </c>
      <c r="CH3" s="734" t="s">
        <v>150</v>
      </c>
      <c r="CI3" s="735" t="s">
        <v>151</v>
      </c>
      <c r="CJ3" s="736" t="s">
        <v>145</v>
      </c>
      <c r="CK3" s="785" t="s">
        <v>146</v>
      </c>
      <c r="CL3" s="737" t="s">
        <v>147</v>
      </c>
      <c r="CM3" s="785" t="s">
        <v>148</v>
      </c>
      <c r="CN3" s="737" t="s">
        <v>149</v>
      </c>
      <c r="CO3" s="764" t="s">
        <v>145</v>
      </c>
      <c r="CP3" s="786" t="s">
        <v>146</v>
      </c>
      <c r="CQ3" s="738" t="s">
        <v>147</v>
      </c>
      <c r="CR3" s="786" t="s">
        <v>148</v>
      </c>
      <c r="CS3" s="739" t="s">
        <v>144</v>
      </c>
      <c r="CT3" s="738" t="s">
        <v>149</v>
      </c>
      <c r="CU3" s="740" t="s">
        <v>150</v>
      </c>
      <c r="CV3" s="741" t="s">
        <v>151</v>
      </c>
      <c r="CW3" s="765" t="s">
        <v>145</v>
      </c>
      <c r="CX3" s="787" t="s">
        <v>146</v>
      </c>
      <c r="CY3" s="742" t="s">
        <v>147</v>
      </c>
      <c r="CZ3" s="787" t="s">
        <v>148</v>
      </c>
      <c r="DA3" s="743" t="s">
        <v>144</v>
      </c>
      <c r="DB3" s="742" t="s">
        <v>149</v>
      </c>
      <c r="DC3" s="744" t="s">
        <v>150</v>
      </c>
      <c r="DD3" s="745" t="s">
        <v>151</v>
      </c>
      <c r="DE3" s="766" t="s">
        <v>145</v>
      </c>
      <c r="DF3" s="781" t="s">
        <v>146</v>
      </c>
      <c r="DG3" s="721" t="s">
        <v>147</v>
      </c>
      <c r="DH3" s="781" t="s">
        <v>148</v>
      </c>
      <c r="DI3" s="722" t="s">
        <v>144</v>
      </c>
      <c r="DJ3" s="721" t="s">
        <v>149</v>
      </c>
      <c r="DK3" s="723" t="s">
        <v>150</v>
      </c>
      <c r="DL3" s="746" t="s">
        <v>151</v>
      </c>
      <c r="DM3" s="767" t="s">
        <v>145</v>
      </c>
      <c r="DN3" s="780" t="s">
        <v>146</v>
      </c>
      <c r="DO3" s="717" t="s">
        <v>147</v>
      </c>
      <c r="DP3" s="780" t="s">
        <v>148</v>
      </c>
      <c r="DQ3" s="718" t="s">
        <v>144</v>
      </c>
      <c r="DR3" s="717" t="s">
        <v>149</v>
      </c>
      <c r="DS3" s="719" t="s">
        <v>150</v>
      </c>
      <c r="DT3" s="747" t="s">
        <v>151</v>
      </c>
      <c r="DU3" s="768" t="s">
        <v>145</v>
      </c>
      <c r="DV3" s="788" t="s">
        <v>146</v>
      </c>
      <c r="DW3" s="748" t="s">
        <v>147</v>
      </c>
      <c r="DX3" s="788" t="s">
        <v>148</v>
      </c>
      <c r="DY3" s="749" t="s">
        <v>144</v>
      </c>
      <c r="DZ3" s="748" t="s">
        <v>149</v>
      </c>
      <c r="EA3" s="750" t="s">
        <v>150</v>
      </c>
      <c r="EB3" s="751" t="s">
        <v>151</v>
      </c>
      <c r="EC3" s="769" t="s">
        <v>145</v>
      </c>
      <c r="ED3" s="789" t="s">
        <v>146</v>
      </c>
      <c r="EE3" s="752" t="s">
        <v>147</v>
      </c>
      <c r="EF3" s="789" t="s">
        <v>148</v>
      </c>
      <c r="EG3" s="753" t="s">
        <v>144</v>
      </c>
      <c r="EH3" s="752" t="s">
        <v>149</v>
      </c>
      <c r="EI3" s="754" t="s">
        <v>150</v>
      </c>
      <c r="EJ3" s="755" t="s">
        <v>151</v>
      </c>
      <c r="EK3" s="765" t="s">
        <v>145</v>
      </c>
      <c r="EL3" s="787" t="s">
        <v>146</v>
      </c>
      <c r="EM3" s="742" t="s">
        <v>147</v>
      </c>
      <c r="EN3" s="787" t="s">
        <v>148</v>
      </c>
      <c r="EO3" s="742" t="s">
        <v>149</v>
      </c>
      <c r="EP3" s="770" t="s">
        <v>145</v>
      </c>
      <c r="EQ3" s="790" t="s">
        <v>146</v>
      </c>
      <c r="ER3" s="756" t="s">
        <v>147</v>
      </c>
      <c r="ES3" s="790" t="s">
        <v>148</v>
      </c>
      <c r="ET3" s="756" t="s">
        <v>149</v>
      </c>
      <c r="EU3" s="771" t="s">
        <v>145</v>
      </c>
      <c r="EV3" s="783" t="s">
        <v>146</v>
      </c>
      <c r="EW3" s="728" t="s">
        <v>147</v>
      </c>
      <c r="EX3" s="783" t="s">
        <v>148</v>
      </c>
      <c r="EY3" s="728" t="s">
        <v>149</v>
      </c>
      <c r="EZ3" s="772" t="s">
        <v>145</v>
      </c>
      <c r="FA3" s="791" t="s">
        <v>146</v>
      </c>
      <c r="FB3" s="757" t="s">
        <v>147</v>
      </c>
      <c r="FC3" s="791" t="s">
        <v>148</v>
      </c>
      <c r="FD3" s="757" t="s">
        <v>149</v>
      </c>
      <c r="FE3" s="773" t="s">
        <v>145</v>
      </c>
      <c r="FF3" s="792" t="s">
        <v>146</v>
      </c>
      <c r="FG3" s="758" t="s">
        <v>147</v>
      </c>
      <c r="FH3" s="792" t="s">
        <v>148</v>
      </c>
      <c r="FI3" s="758" t="s">
        <v>149</v>
      </c>
      <c r="FJ3" s="763" t="s">
        <v>145</v>
      </c>
      <c r="FK3" s="784" t="s">
        <v>146</v>
      </c>
      <c r="FL3" s="732" t="s">
        <v>147</v>
      </c>
      <c r="FM3" s="784" t="s">
        <v>148</v>
      </c>
      <c r="FN3" s="735" t="s">
        <v>149</v>
      </c>
      <c r="FO3" s="774"/>
      <c r="FP3" s="774"/>
      <c r="FQ3" s="774"/>
      <c r="FR3" s="774"/>
      <c r="FS3" s="774"/>
      <c r="FT3" s="774"/>
      <c r="FU3" s="774"/>
      <c r="FV3" s="774"/>
      <c r="FW3" s="774"/>
      <c r="FX3" s="774"/>
      <c r="FY3" s="774"/>
      <c r="FZ3" s="774"/>
      <c r="GA3" s="774"/>
      <c r="GB3" s="774"/>
      <c r="GC3" s="774"/>
      <c r="GD3" s="774"/>
      <c r="GE3" s="774"/>
      <c r="GF3" s="774"/>
      <c r="GG3" s="774"/>
      <c r="GH3" s="774"/>
      <c r="GI3" s="774"/>
      <c r="GJ3" s="774"/>
      <c r="GK3" s="774"/>
      <c r="GL3" s="774"/>
      <c r="GM3" s="774"/>
      <c r="GN3" s="774"/>
      <c r="GO3" s="774"/>
      <c r="GP3" s="774"/>
      <c r="GQ3" s="774"/>
      <c r="GR3" s="774"/>
      <c r="GS3" s="774"/>
      <c r="GT3" s="774"/>
      <c r="GU3" s="774"/>
      <c r="GV3" s="774"/>
      <c r="GW3" s="774"/>
      <c r="GX3" s="774"/>
      <c r="GY3" s="774"/>
      <c r="GZ3" s="774"/>
      <c r="HA3" s="774"/>
      <c r="HB3" s="774"/>
      <c r="HC3" s="761" t="s">
        <v>145</v>
      </c>
      <c r="HD3" s="782" t="s">
        <v>146</v>
      </c>
      <c r="HE3" s="725" t="s">
        <v>147</v>
      </c>
      <c r="HF3" s="782" t="s">
        <v>148</v>
      </c>
      <c r="HG3" s="726" t="s">
        <v>144</v>
      </c>
      <c r="HH3" s="725" t="s">
        <v>149</v>
      </c>
      <c r="HI3" s="759" t="s">
        <v>150</v>
      </c>
      <c r="HJ3" s="760" t="s">
        <v>151</v>
      </c>
    </row>
    <row r="4" spans="1:218" ht="15" customHeight="1">
      <c r="A4" s="30">
        <v>44667</v>
      </c>
      <c r="B4" s="391">
        <v>0</v>
      </c>
      <c r="C4" s="18">
        <f>B4</f>
        <v>0</v>
      </c>
      <c r="D4" s="376">
        <v>1796.76</v>
      </c>
      <c r="E4" s="416">
        <f>D4</f>
        <v>1796.76</v>
      </c>
      <c r="F4" s="398">
        <v>27767</v>
      </c>
      <c r="G4" s="37"/>
      <c r="H4" s="37">
        <f t="shared" ref="H4:H35" si="0">F5</f>
        <v>25700</v>
      </c>
      <c r="I4" s="37">
        <f t="shared" ref="I4:I35" si="1">F4+G4-H4</f>
        <v>2067</v>
      </c>
      <c r="J4" s="37">
        <f t="shared" ref="J4:J48" si="2">I4*1000/D4</f>
        <v>1150.4040606424899</v>
      </c>
      <c r="K4" s="37">
        <f>I4</f>
        <v>2067</v>
      </c>
      <c r="L4" s="37">
        <f t="shared" ref="L4:L35" si="3">K4*1000/E4</f>
        <v>1150.4040606424899</v>
      </c>
      <c r="M4" s="1100">
        <f>SUM(I4:I18)*1000/SUM(D4:D18)</f>
        <v>519.7992921146357</v>
      </c>
      <c r="N4" s="422">
        <v>50</v>
      </c>
      <c r="O4" s="423">
        <v>250</v>
      </c>
      <c r="P4" s="423">
        <f t="shared" ref="P4:P35" si="4">N5</f>
        <v>300</v>
      </c>
      <c r="Q4" s="423">
        <f t="shared" ref="Q4:Q35" si="5">N4+O4-P4</f>
        <v>0</v>
      </c>
      <c r="R4" s="423">
        <f>Q4</f>
        <v>0</v>
      </c>
      <c r="S4" s="489">
        <v>1.5</v>
      </c>
      <c r="T4" s="67">
        <v>24</v>
      </c>
      <c r="U4" s="68">
        <f>S4*T4*0.5</f>
        <v>18</v>
      </c>
      <c r="V4" s="68">
        <f t="shared" ref="V4:V48" si="6">U4*1000/D4</f>
        <v>10.018032458425166</v>
      </c>
      <c r="W4" s="423">
        <f>U4</f>
        <v>18</v>
      </c>
      <c r="X4" s="68">
        <f t="shared" ref="X4:X35" si="7">W4*1000/E4</f>
        <v>10.018032458425166</v>
      </c>
      <c r="Y4" s="1064">
        <f>SUM(U4:U18)*1000/SUM(D4:D18)</f>
        <v>10.232644729755783</v>
      </c>
      <c r="Z4" s="424">
        <v>50</v>
      </c>
      <c r="AA4" s="425">
        <v>150</v>
      </c>
      <c r="AB4" s="425">
        <f>Z5</f>
        <v>250</v>
      </c>
      <c r="AC4" s="425">
        <f>Z4+AA4-AB4</f>
        <v>-50</v>
      </c>
      <c r="AD4" s="425">
        <f>AC4</f>
        <v>-50</v>
      </c>
      <c r="AE4" s="490">
        <v>1.5</v>
      </c>
      <c r="AF4" s="71">
        <v>12</v>
      </c>
      <c r="AG4" s="72">
        <f>AE4*AF4*0.5</f>
        <v>9</v>
      </c>
      <c r="AH4" s="72">
        <f t="shared" ref="AH4:AH48" si="8">AG4*1000/D4</f>
        <v>5.009016229212583</v>
      </c>
      <c r="AI4" s="425">
        <f>AG4</f>
        <v>9</v>
      </c>
      <c r="AJ4" s="72">
        <f t="shared" ref="AJ4:AJ35" si="9">AI4*1000/E4</f>
        <v>5.009016229212583</v>
      </c>
      <c r="AK4" s="1065">
        <f>SUM(AG4:AG18)*1000/SUM(D4:D18)</f>
        <v>2.0418747215776487</v>
      </c>
      <c r="AL4" s="491">
        <v>32623</v>
      </c>
      <c r="AM4" s="491"/>
      <c r="AN4" s="492">
        <f>AL5</f>
        <v>32623</v>
      </c>
      <c r="AO4" s="492">
        <f>AL4+AM4-AN4</f>
        <v>0</v>
      </c>
      <c r="AP4" s="492">
        <f>AO4</f>
        <v>0</v>
      </c>
      <c r="AQ4" s="493">
        <f t="shared" ref="AQ4:AQ35" si="10">AP4*1000/E4</f>
        <v>0</v>
      </c>
      <c r="AR4" s="1086">
        <f>SUM(AO4:AO18)*1000/SUM(D4:D18)</f>
        <v>94.912932759755577</v>
      </c>
      <c r="AS4" s="410">
        <v>49235</v>
      </c>
      <c r="AT4" s="411"/>
      <c r="AU4" s="66">
        <f>AS5</f>
        <v>49235</v>
      </c>
      <c r="AV4" s="66">
        <f t="shared" ref="AV4:AV67" si="11">AS4+AT4-AU4</f>
        <v>0</v>
      </c>
      <c r="AW4" s="412"/>
      <c r="AX4" s="66">
        <f>AV4</f>
        <v>0</v>
      </c>
      <c r="AY4" s="412"/>
      <c r="AZ4" s="1094">
        <f>SUM(AV4:AV18)*1000/SUM(B4:B18)</f>
        <v>0</v>
      </c>
      <c r="BA4" s="419">
        <v>0</v>
      </c>
      <c r="BB4" s="418"/>
      <c r="BC4" s="407"/>
      <c r="BD4" s="419">
        <f>BA5</f>
        <v>0</v>
      </c>
      <c r="BE4" s="419">
        <f>BA4+BB4-BD4</f>
        <v>0</v>
      </c>
      <c r="BF4" s="407"/>
      <c r="BG4" s="419">
        <f>BE4</f>
        <v>0</v>
      </c>
      <c r="BH4" s="407"/>
      <c r="BI4" s="407">
        <f>BH4/(98/12)</f>
        <v>0</v>
      </c>
      <c r="BJ4" s="1052">
        <f>SUM(BE4:BE18)*1000/SUM(B4:B18)</f>
        <v>0</v>
      </c>
      <c r="BK4" s="1091">
        <f>BJ4/(98/12)</f>
        <v>0</v>
      </c>
      <c r="BL4" s="401">
        <v>1750</v>
      </c>
      <c r="BM4" s="404"/>
      <c r="BN4" s="52">
        <f>BL5</f>
        <v>1750</v>
      </c>
      <c r="BO4" s="52">
        <f t="shared" ref="BO4:BO67" si="12">BL4+BM4-BN4</f>
        <v>0</v>
      </c>
      <c r="BP4" s="406"/>
      <c r="BQ4" s="52">
        <f>BO4</f>
        <v>0</v>
      </c>
      <c r="BR4" s="406"/>
      <c r="BS4" s="1111">
        <f>SUM(BO4:BO18)*1000/SUM(B4:B18)</f>
        <v>0.49740952408514466</v>
      </c>
      <c r="BT4" s="409">
        <v>1387</v>
      </c>
      <c r="BU4" s="43"/>
      <c r="BV4" s="43">
        <f>BT5</f>
        <v>1387</v>
      </c>
      <c r="BW4" s="43">
        <f t="shared" ref="BW4:BW13" si="13">BT4+BU4-BV4</f>
        <v>0</v>
      </c>
      <c r="BX4" s="42"/>
      <c r="BY4" s="43">
        <f>BW4</f>
        <v>0</v>
      </c>
      <c r="BZ4" s="42"/>
      <c r="CA4" s="1057">
        <f>SUM(BW4:BW18)*1000/SUM(B4:B18)</f>
        <v>0.1368081732359803</v>
      </c>
      <c r="CB4" s="392">
        <v>0</v>
      </c>
      <c r="CC4" s="298">
        <v>8050</v>
      </c>
      <c r="CD4" s="298">
        <f>CB5</f>
        <v>8050</v>
      </c>
      <c r="CE4" s="298">
        <f t="shared" ref="CE4:CE67" si="14">CB4+CC4-CD4</f>
        <v>0</v>
      </c>
      <c r="CF4" s="297"/>
      <c r="CG4" s="298">
        <f>CE4</f>
        <v>0</v>
      </c>
      <c r="CH4" s="297"/>
      <c r="CI4" s="1060">
        <f>SUM(CE4:CE18)*1000/SUM(B4:B18)</f>
        <v>2.0208803474401416</v>
      </c>
      <c r="CJ4" s="651"/>
      <c r="CK4" s="651"/>
      <c r="CL4" s="651"/>
      <c r="CM4" s="651"/>
      <c r="CN4" s="651"/>
      <c r="CO4" s="464">
        <v>0</v>
      </c>
      <c r="CP4" s="465">
        <v>60</v>
      </c>
      <c r="CQ4" s="465">
        <f>CO5</f>
        <v>30</v>
      </c>
      <c r="CR4" s="465">
        <f t="shared" ref="CR4:CR67" si="15">CO4+CP4-CQ4</f>
        <v>30</v>
      </c>
      <c r="CS4" s="466"/>
      <c r="CT4" s="465">
        <f>CR4</f>
        <v>30</v>
      </c>
      <c r="CU4" s="486"/>
      <c r="CV4" s="1068">
        <f>SUM(CR4:CR18)*1000/SUM(B4:B18)</f>
        <v>1.9731948062881772E-2</v>
      </c>
      <c r="CW4" s="427">
        <v>5</v>
      </c>
      <c r="CX4" s="427"/>
      <c r="CY4" s="427">
        <f>CW5</f>
        <v>5</v>
      </c>
      <c r="CZ4" s="427">
        <f>CW4+CX4-CY4</f>
        <v>0</v>
      </c>
      <c r="DA4" s="607"/>
      <c r="DB4" s="607">
        <f>CZ4</f>
        <v>0</v>
      </c>
      <c r="DC4" s="607"/>
      <c r="DD4" s="1080">
        <f>SUM(CZ4:CZ18)*1000/SUM(B4:B18)</f>
        <v>0</v>
      </c>
      <c r="DE4" s="471">
        <v>11.2</v>
      </c>
      <c r="DF4" s="473"/>
      <c r="DG4" s="473">
        <f>DE5</f>
        <v>11.2</v>
      </c>
      <c r="DH4" s="473">
        <f t="shared" ref="DH4:DH67" si="16">DE4+DF4-DG4</f>
        <v>0</v>
      </c>
      <c r="DI4" s="227"/>
      <c r="DJ4" s="473">
        <f>DH4</f>
        <v>0</v>
      </c>
      <c r="DK4" s="227"/>
      <c r="DL4" s="1037">
        <f>SUM(DH4:DH18)*1000/SUM(B4:B18)</f>
        <v>9.2082424293448274E-4</v>
      </c>
      <c r="DM4" s="410">
        <v>0</v>
      </c>
      <c r="DN4" s="411">
        <v>1000</v>
      </c>
      <c r="DO4" s="66">
        <f>DM5</f>
        <v>1000</v>
      </c>
      <c r="DP4" s="66">
        <f t="shared" ref="DP4:DP67" si="17">DM4+DN4-DO4</f>
        <v>0</v>
      </c>
      <c r="DQ4" s="412"/>
      <c r="DR4" s="66">
        <f>DP4</f>
        <v>0</v>
      </c>
      <c r="DS4" s="412"/>
      <c r="DT4" s="1094">
        <f>SUM(DP4:DP18)*1000/SUM(B4:B18)</f>
        <v>0.32886580104802954</v>
      </c>
      <c r="DU4" s="596">
        <v>0</v>
      </c>
      <c r="DV4" s="596">
        <v>400</v>
      </c>
      <c r="DW4" s="596">
        <f>DU5</f>
        <v>400</v>
      </c>
      <c r="DX4" s="596">
        <f t="shared" ref="DX4:DX67" si="18">DU4+DV4-DW4</f>
        <v>0</v>
      </c>
      <c r="DY4" s="592"/>
      <c r="DZ4" s="596">
        <f>DX4</f>
        <v>0</v>
      </c>
      <c r="EA4" s="592"/>
      <c r="EB4" s="1031">
        <f>SUM(DX4:DX18)*1000/SUM(B4:B18)</f>
        <v>0</v>
      </c>
      <c r="EC4" s="448">
        <v>150</v>
      </c>
      <c r="ED4" s="449">
        <v>110</v>
      </c>
      <c r="EE4" s="449">
        <f>EC5</f>
        <v>260</v>
      </c>
      <c r="EF4" s="449">
        <f t="shared" ref="EF4:EF67" si="19">EC4+ED4-EE4</f>
        <v>0</v>
      </c>
      <c r="EG4" s="450"/>
      <c r="EH4" s="449">
        <f>EF4</f>
        <v>0</v>
      </c>
      <c r="EI4" s="450"/>
      <c r="EJ4" s="1034">
        <f>SUM(EF4:EF18)*1000/SUM(B4:B18)</f>
        <v>1.8087619057641623E-2</v>
      </c>
      <c r="EK4" s="426">
        <v>672</v>
      </c>
      <c r="EL4" s="427">
        <v>2400</v>
      </c>
      <c r="EM4" s="427">
        <f>EK5</f>
        <v>3072</v>
      </c>
      <c r="EN4" s="427">
        <f t="shared" ref="EN4:EN67" si="20">EK4+EL4-EM4</f>
        <v>0</v>
      </c>
      <c r="EO4" s="427">
        <f>EN4</f>
        <v>0</v>
      </c>
      <c r="EP4" s="456">
        <v>0</v>
      </c>
      <c r="EQ4" s="457">
        <v>70</v>
      </c>
      <c r="ER4" s="457">
        <f>EP5</f>
        <v>70</v>
      </c>
      <c r="ES4" s="457">
        <f t="shared" ref="ES4:ES67" si="21">EP4+EQ4-ER4</f>
        <v>0</v>
      </c>
      <c r="ET4" s="457">
        <f>ES4</f>
        <v>0</v>
      </c>
      <c r="EU4" s="409">
        <v>0</v>
      </c>
      <c r="EV4" s="43">
        <v>20</v>
      </c>
      <c r="EW4" s="43">
        <f>EU5</f>
        <v>20</v>
      </c>
      <c r="EX4" s="43">
        <f t="shared" ref="EX4:EX67" si="22">EU4+EV4-EW4</f>
        <v>0</v>
      </c>
      <c r="EY4" s="43">
        <f>EX4</f>
        <v>0</v>
      </c>
      <c r="EZ4" s="436">
        <v>0</v>
      </c>
      <c r="FA4" s="437">
        <v>40</v>
      </c>
      <c r="FB4" s="437">
        <f>EZ5</f>
        <v>40</v>
      </c>
      <c r="FC4" s="437">
        <f t="shared" ref="FC4:FC67" si="23">EZ4+FA4-FB4</f>
        <v>0</v>
      </c>
      <c r="FD4" s="437">
        <f>FC4</f>
        <v>0</v>
      </c>
      <c r="FE4" s="442">
        <v>0</v>
      </c>
      <c r="FF4" s="443">
        <v>200</v>
      </c>
      <c r="FG4" s="443">
        <f>FE5</f>
        <v>200</v>
      </c>
      <c r="FH4" s="443">
        <f t="shared" ref="FH4:FH67" si="24">FE4+FF4-FG4</f>
        <v>0</v>
      </c>
      <c r="FI4" s="443">
        <f>FH4</f>
        <v>0</v>
      </c>
      <c r="FJ4" s="392">
        <v>0</v>
      </c>
      <c r="FK4" s="298">
        <v>900</v>
      </c>
      <c r="FL4" s="298">
        <f>FJ5</f>
        <v>900</v>
      </c>
      <c r="FM4" s="298">
        <f t="shared" ref="FM4:FM67" si="25">FJ4+FK4-FL4</f>
        <v>0</v>
      </c>
      <c r="FN4" s="498">
        <f>FM4</f>
        <v>0</v>
      </c>
      <c r="HC4" s="402">
        <v>0</v>
      </c>
      <c r="HD4" s="52">
        <v>400</v>
      </c>
      <c r="HE4" s="52">
        <f>HC5</f>
        <v>400</v>
      </c>
      <c r="HF4" s="52">
        <f t="shared" ref="HF4:HF67" si="26">HC4+HD4-HE4</f>
        <v>0</v>
      </c>
      <c r="HG4" s="51"/>
      <c r="HH4" s="52">
        <f>HF4</f>
        <v>0</v>
      </c>
      <c r="HI4" s="51"/>
      <c r="HJ4" s="1046">
        <f>SUM(HF4:HF18)*1000/SUM(B4:B18)</f>
        <v>6.5773160209605913E-2</v>
      </c>
    </row>
    <row r="5" spans="1:218" ht="15" customHeight="1">
      <c r="A5" s="30">
        <v>44668</v>
      </c>
      <c r="B5" s="390">
        <v>0</v>
      </c>
      <c r="C5" s="18">
        <f t="shared" ref="C5:C36" si="27">C4+B5</f>
        <v>0</v>
      </c>
      <c r="D5" s="376">
        <v>1564.3</v>
      </c>
      <c r="E5" s="417">
        <f t="shared" ref="E5:E19" si="28">E4+D5</f>
        <v>3361.06</v>
      </c>
      <c r="F5" s="397">
        <v>25700</v>
      </c>
      <c r="G5" s="37"/>
      <c r="H5" s="37">
        <f t="shared" si="0"/>
        <v>23700</v>
      </c>
      <c r="I5" s="37">
        <f t="shared" si="1"/>
        <v>2000</v>
      </c>
      <c r="J5" s="37">
        <f t="shared" si="2"/>
        <v>1278.5271367384773</v>
      </c>
      <c r="K5" s="37">
        <f t="shared" ref="K5:K36" si="29">K4+I5</f>
        <v>4067</v>
      </c>
      <c r="L5" s="37">
        <f t="shared" si="3"/>
        <v>1210.0349294567786</v>
      </c>
      <c r="M5" s="1101"/>
      <c r="N5" s="422">
        <v>300</v>
      </c>
      <c r="O5" s="423"/>
      <c r="P5" s="423">
        <f t="shared" si="4"/>
        <v>300</v>
      </c>
      <c r="Q5" s="423">
        <f t="shared" si="5"/>
        <v>0</v>
      </c>
      <c r="R5" s="423">
        <f t="shared" ref="R5:R36" si="30">Q5+R4</f>
        <v>0</v>
      </c>
      <c r="S5" s="489">
        <v>2</v>
      </c>
      <c r="T5" s="67">
        <v>24</v>
      </c>
      <c r="U5" s="68">
        <f>S5*T5*0.5</f>
        <v>24</v>
      </c>
      <c r="V5" s="68">
        <f t="shared" si="6"/>
        <v>15.342325640861727</v>
      </c>
      <c r="W5" s="423">
        <f>U5+W4</f>
        <v>42</v>
      </c>
      <c r="X5" s="68">
        <f t="shared" si="7"/>
        <v>12.496057791292033</v>
      </c>
      <c r="Y5" s="1073"/>
      <c r="Z5" s="424">
        <v>250</v>
      </c>
      <c r="AA5" s="425"/>
      <c r="AB5" s="425">
        <f>Z6</f>
        <v>250</v>
      </c>
      <c r="AC5" s="425">
        <f>Z5+AA5-AB5</f>
        <v>0</v>
      </c>
      <c r="AD5" s="425">
        <f>AC5+AD4</f>
        <v>-50</v>
      </c>
      <c r="AE5" s="490">
        <v>1.5</v>
      </c>
      <c r="AF5" s="71">
        <v>12</v>
      </c>
      <c r="AG5" s="72">
        <f>AE5*AF5*0.5</f>
        <v>9</v>
      </c>
      <c r="AH5" s="72">
        <f t="shared" si="8"/>
        <v>5.7533721153231481</v>
      </c>
      <c r="AI5" s="425">
        <f>AG5+AI4</f>
        <v>18</v>
      </c>
      <c r="AJ5" s="72">
        <f t="shared" si="9"/>
        <v>5.3554533391251571</v>
      </c>
      <c r="AK5" s="1075"/>
      <c r="AL5" s="491">
        <v>32623</v>
      </c>
      <c r="AM5" s="491"/>
      <c r="AN5" s="492">
        <f t="shared" ref="AN5:AN17" si="31">AL6</f>
        <v>32623</v>
      </c>
      <c r="AO5" s="492">
        <f t="shared" ref="AO5:AO17" si="32">AL5+AM5-AN5</f>
        <v>0</v>
      </c>
      <c r="AP5" s="492">
        <f>AO5+AP4</f>
        <v>0</v>
      </c>
      <c r="AQ5" s="493">
        <f t="shared" si="10"/>
        <v>0</v>
      </c>
      <c r="AR5" s="1087"/>
      <c r="AS5" s="413">
        <v>49235</v>
      </c>
      <c r="AT5" s="66"/>
      <c r="AU5" s="66">
        <f>AS6</f>
        <v>49235</v>
      </c>
      <c r="AV5" s="66">
        <f t="shared" si="11"/>
        <v>0</v>
      </c>
      <c r="AW5" s="412"/>
      <c r="AX5" s="66">
        <f>AX4+AV5</f>
        <v>0</v>
      </c>
      <c r="AY5" s="412"/>
      <c r="AZ5" s="1095"/>
      <c r="BA5" s="419">
        <v>0</v>
      </c>
      <c r="BB5" s="418"/>
      <c r="BC5" s="407"/>
      <c r="BD5" s="419">
        <f t="shared" ref="BD5:BD68" si="33">BA6</f>
        <v>0</v>
      </c>
      <c r="BE5" s="419">
        <f t="shared" ref="BE5:BE68" si="34">BA5+BB5-BD5</f>
        <v>0</v>
      </c>
      <c r="BF5" s="407"/>
      <c r="BG5" s="419">
        <f>BG4+BE5</f>
        <v>0</v>
      </c>
      <c r="BH5" s="407"/>
      <c r="BI5" s="407">
        <f>BH5/(98/12)</f>
        <v>0</v>
      </c>
      <c r="BJ5" s="1089"/>
      <c r="BK5" s="1092"/>
      <c r="BL5" s="402">
        <v>1750</v>
      </c>
      <c r="BM5" s="52"/>
      <c r="BN5" s="52">
        <f>BL6</f>
        <v>1642</v>
      </c>
      <c r="BO5" s="52">
        <f t="shared" si="12"/>
        <v>108</v>
      </c>
      <c r="BP5" s="406"/>
      <c r="BQ5" s="52">
        <f>BQ4+BO5</f>
        <v>108</v>
      </c>
      <c r="BR5" s="406"/>
      <c r="BS5" s="1112"/>
      <c r="BT5" s="409">
        <v>1387</v>
      </c>
      <c r="BU5" s="43"/>
      <c r="BV5" s="43">
        <f>BT6</f>
        <v>1387</v>
      </c>
      <c r="BW5" s="43">
        <f t="shared" si="13"/>
        <v>0</v>
      </c>
      <c r="BX5" s="42"/>
      <c r="BY5" s="43">
        <f>BY4+BW5</f>
        <v>0</v>
      </c>
      <c r="BZ5" s="42"/>
      <c r="CA5" s="1058"/>
      <c r="CB5" s="392">
        <v>8050</v>
      </c>
      <c r="CC5" s="298"/>
      <c r="CD5" s="298">
        <f t="shared" ref="CD5:CD68" si="35">CB6</f>
        <v>5865</v>
      </c>
      <c r="CE5" s="298">
        <f t="shared" si="14"/>
        <v>2185</v>
      </c>
      <c r="CF5" s="297"/>
      <c r="CG5" s="298">
        <f>CE5+CG4</f>
        <v>2185</v>
      </c>
      <c r="CH5" s="297"/>
      <c r="CI5" s="1061"/>
      <c r="CJ5" s="651"/>
      <c r="CK5" s="651"/>
      <c r="CL5" s="651"/>
      <c r="CM5" s="651"/>
      <c r="CN5" s="651"/>
      <c r="CO5" s="464">
        <v>30</v>
      </c>
      <c r="CP5" s="465"/>
      <c r="CQ5" s="465">
        <f t="shared" ref="CQ5:CQ68" si="36">CO6</f>
        <v>0</v>
      </c>
      <c r="CR5" s="465">
        <f t="shared" si="15"/>
        <v>30</v>
      </c>
      <c r="CS5" s="466"/>
      <c r="CT5" s="465">
        <f>CR5+CT4</f>
        <v>60</v>
      </c>
      <c r="CU5" s="486"/>
      <c r="CV5" s="1069"/>
      <c r="CW5" s="427">
        <v>5</v>
      </c>
      <c r="CX5" s="427"/>
      <c r="CY5" s="427">
        <f>CW6</f>
        <v>5</v>
      </c>
      <c r="CZ5" s="427">
        <f>CW5+CX5-CY5</f>
        <v>0</v>
      </c>
      <c r="DA5" s="607"/>
      <c r="DB5" s="607">
        <f>CZ5+DB4</f>
        <v>0</v>
      </c>
      <c r="DC5" s="607"/>
      <c r="DD5" s="1081"/>
      <c r="DE5" s="471">
        <v>11.2</v>
      </c>
      <c r="DF5" s="473"/>
      <c r="DG5" s="473">
        <f t="shared" ref="DG5:DG68" si="37">DE6</f>
        <v>11.2</v>
      </c>
      <c r="DH5" s="473">
        <f t="shared" si="16"/>
        <v>0</v>
      </c>
      <c r="DI5" s="227"/>
      <c r="DJ5" s="473">
        <f>DH5+DJ4</f>
        <v>0</v>
      </c>
      <c r="DK5" s="227"/>
      <c r="DL5" s="1038"/>
      <c r="DM5" s="413">
        <v>1000</v>
      </c>
      <c r="DN5" s="66"/>
      <c r="DO5" s="66">
        <f>DM6</f>
        <v>1000</v>
      </c>
      <c r="DP5" s="66">
        <f t="shared" si="17"/>
        <v>0</v>
      </c>
      <c r="DQ5" s="412"/>
      <c r="DR5" s="66">
        <f>DR4+DP5</f>
        <v>0</v>
      </c>
      <c r="DS5" s="412"/>
      <c r="DT5" s="1095"/>
      <c r="DU5" s="596">
        <v>400</v>
      </c>
      <c r="DV5" s="596"/>
      <c r="DW5" s="596">
        <f t="shared" ref="DW5:DW68" si="38">DU6</f>
        <v>400</v>
      </c>
      <c r="DX5" s="596">
        <f t="shared" si="18"/>
        <v>0</v>
      </c>
      <c r="DY5" s="592"/>
      <c r="DZ5" s="596">
        <f>DZ4+DX5</f>
        <v>0</v>
      </c>
      <c r="EA5" s="592"/>
      <c r="EB5" s="1032"/>
      <c r="EC5" s="448">
        <v>260</v>
      </c>
      <c r="ED5" s="449"/>
      <c r="EE5" s="449">
        <f t="shared" ref="EE5:EE68" si="39">EC6</f>
        <v>260</v>
      </c>
      <c r="EF5" s="449">
        <f t="shared" si="19"/>
        <v>0</v>
      </c>
      <c r="EG5" s="450"/>
      <c r="EH5" s="449">
        <f>EF5+EH4</f>
        <v>0</v>
      </c>
      <c r="EI5" s="450"/>
      <c r="EJ5" s="1035"/>
      <c r="EK5" s="426">
        <v>3072</v>
      </c>
      <c r="EL5" s="427"/>
      <c r="EM5" s="427">
        <f t="shared" ref="EM5:EM68" si="40">EK6</f>
        <v>2700</v>
      </c>
      <c r="EN5" s="427">
        <f t="shared" si="20"/>
        <v>372</v>
      </c>
      <c r="EO5" s="427">
        <f t="shared" ref="EO5:EO68" si="41">EN5+EO4</f>
        <v>372</v>
      </c>
      <c r="EP5" s="456">
        <v>70</v>
      </c>
      <c r="EQ5" s="457"/>
      <c r="ER5" s="457">
        <f t="shared" ref="ER5:ER68" si="42">EP6</f>
        <v>70</v>
      </c>
      <c r="ES5" s="457">
        <f t="shared" si="21"/>
        <v>0</v>
      </c>
      <c r="ET5" s="457">
        <f t="shared" ref="ET5:ET68" si="43">ES5+ET4</f>
        <v>0</v>
      </c>
      <c r="EU5" s="409">
        <v>20</v>
      </c>
      <c r="EV5" s="43"/>
      <c r="EW5" s="43">
        <f t="shared" ref="EW5:EW68" si="44">EU6</f>
        <v>20</v>
      </c>
      <c r="EX5" s="43">
        <f t="shared" si="22"/>
        <v>0</v>
      </c>
      <c r="EY5" s="43">
        <f t="shared" ref="EY5:EY68" si="45">EX5+EY4</f>
        <v>0</v>
      </c>
      <c r="EZ5" s="436">
        <v>40</v>
      </c>
      <c r="FA5" s="437"/>
      <c r="FB5" s="437">
        <f t="shared" ref="FB5:FB68" si="46">EZ6</f>
        <v>40</v>
      </c>
      <c r="FC5" s="437">
        <f t="shared" si="23"/>
        <v>0</v>
      </c>
      <c r="FD5" s="437">
        <f t="shared" ref="FD5:FD68" si="47">FC5+FD4</f>
        <v>0</v>
      </c>
      <c r="FE5" s="442">
        <v>200</v>
      </c>
      <c r="FF5" s="443"/>
      <c r="FG5" s="443">
        <f t="shared" ref="FG5:FG68" si="48">FE6</f>
        <v>200</v>
      </c>
      <c r="FH5" s="443">
        <f t="shared" si="24"/>
        <v>0</v>
      </c>
      <c r="FI5" s="443">
        <f t="shared" ref="FI5:FI68" si="49">FH5+FI4</f>
        <v>0</v>
      </c>
      <c r="FJ5" s="392">
        <v>900</v>
      </c>
      <c r="FK5" s="298"/>
      <c r="FL5" s="298">
        <f t="shared" ref="FL5:FL68" si="50">FJ6</f>
        <v>900</v>
      </c>
      <c r="FM5" s="298">
        <f t="shared" si="25"/>
        <v>0</v>
      </c>
      <c r="FN5" s="498">
        <f t="shared" ref="FN5:FN68" si="51">FM5+FN4</f>
        <v>0</v>
      </c>
      <c r="HC5" s="402">
        <v>400</v>
      </c>
      <c r="HD5" s="52"/>
      <c r="HE5" s="52">
        <f t="shared" ref="HE5:HE68" si="52">HC6</f>
        <v>400</v>
      </c>
      <c r="HF5" s="52">
        <f t="shared" si="26"/>
        <v>0</v>
      </c>
      <c r="HG5" s="51"/>
      <c r="HH5" s="52">
        <f>HF5+HH4</f>
        <v>0</v>
      </c>
      <c r="HI5" s="51"/>
      <c r="HJ5" s="1047"/>
    </row>
    <row r="6" spans="1:218" ht="15" customHeight="1">
      <c r="A6" s="30">
        <v>44669</v>
      </c>
      <c r="B6" s="390">
        <v>64141</v>
      </c>
      <c r="C6" s="18">
        <f t="shared" si="27"/>
        <v>64141</v>
      </c>
      <c r="D6" s="376">
        <v>4243.68</v>
      </c>
      <c r="E6" s="417">
        <f t="shared" si="28"/>
        <v>7604.74</v>
      </c>
      <c r="F6" s="397">
        <v>23700</v>
      </c>
      <c r="G6" s="37"/>
      <c r="H6" s="37">
        <f t="shared" si="0"/>
        <v>22000</v>
      </c>
      <c r="I6" s="37">
        <f t="shared" si="1"/>
        <v>1700</v>
      </c>
      <c r="J6" s="37">
        <f t="shared" si="2"/>
        <v>400.59570938430795</v>
      </c>
      <c r="K6" s="37">
        <f t="shared" si="29"/>
        <v>5767</v>
      </c>
      <c r="L6" s="37">
        <f t="shared" si="3"/>
        <v>758.34282302879524</v>
      </c>
      <c r="M6" s="1101"/>
      <c r="N6" s="422">
        <v>300</v>
      </c>
      <c r="O6" s="423"/>
      <c r="P6" s="423">
        <f t="shared" si="4"/>
        <v>225</v>
      </c>
      <c r="Q6" s="423">
        <f t="shared" si="5"/>
        <v>75</v>
      </c>
      <c r="R6" s="423">
        <f t="shared" si="30"/>
        <v>75</v>
      </c>
      <c r="S6" s="489">
        <v>4.5</v>
      </c>
      <c r="T6" s="67">
        <v>24</v>
      </c>
      <c r="U6" s="68">
        <f t="shared" ref="U6:U69" si="53">S6*T6*0.5</f>
        <v>54</v>
      </c>
      <c r="V6" s="68">
        <f t="shared" si="6"/>
        <v>12.724804886325076</v>
      </c>
      <c r="W6" s="423">
        <f t="shared" ref="W6:W69" si="54">U6+W5</f>
        <v>96</v>
      </c>
      <c r="X6" s="68">
        <f t="shared" si="7"/>
        <v>12.623705741419167</v>
      </c>
      <c r="Y6" s="1073"/>
      <c r="Z6" s="424">
        <v>250</v>
      </c>
      <c r="AA6" s="425"/>
      <c r="AB6" s="425">
        <f t="shared" ref="AB6:AB69" si="55">Z7</f>
        <v>225</v>
      </c>
      <c r="AC6" s="425">
        <f t="shared" ref="AC6:AC69" si="56">Z6+AA6-AB6</f>
        <v>25</v>
      </c>
      <c r="AD6" s="425">
        <f t="shared" ref="AD6:AD69" si="57">AC6+AD5</f>
        <v>-25</v>
      </c>
      <c r="AE6" s="490">
        <v>2</v>
      </c>
      <c r="AF6" s="71">
        <v>12</v>
      </c>
      <c r="AG6" s="72">
        <f t="shared" ref="AG6:AG69" si="58">AE6*AF6*0.5</f>
        <v>12</v>
      </c>
      <c r="AH6" s="72">
        <f t="shared" si="8"/>
        <v>2.8277344191833502</v>
      </c>
      <c r="AI6" s="425">
        <f t="shared" ref="AI6:AI69" si="59">AG6+AI5</f>
        <v>30</v>
      </c>
      <c r="AJ6" s="72">
        <f t="shared" si="9"/>
        <v>3.9449080441934901</v>
      </c>
      <c r="AK6" s="1075"/>
      <c r="AL6" s="491">
        <v>32623</v>
      </c>
      <c r="AM6" s="491"/>
      <c r="AN6" s="492">
        <f t="shared" si="31"/>
        <v>32623</v>
      </c>
      <c r="AO6" s="492">
        <f t="shared" si="32"/>
        <v>0</v>
      </c>
      <c r="AP6" s="492">
        <f t="shared" ref="AP6:AP17" si="60">AO6+AP5</f>
        <v>0</v>
      </c>
      <c r="AQ6" s="493">
        <f t="shared" si="10"/>
        <v>0</v>
      </c>
      <c r="AR6" s="1087"/>
      <c r="AS6" s="413">
        <v>49235</v>
      </c>
      <c r="AT6" s="66"/>
      <c r="AU6" s="66">
        <f t="shared" ref="AU6:AU69" si="61">AS7</f>
        <v>49235</v>
      </c>
      <c r="AV6" s="66">
        <f t="shared" si="11"/>
        <v>0</v>
      </c>
      <c r="AW6" s="412">
        <f t="shared" ref="AW6:AW48" si="62">AV6*1000/B6</f>
        <v>0</v>
      </c>
      <c r="AX6" s="66">
        <f t="shared" ref="AX6:AX69" si="63">AX5+AV6</f>
        <v>0</v>
      </c>
      <c r="AY6" s="412">
        <f t="shared" ref="AY6:AY37" si="64">AX6*1000/C6</f>
        <v>0</v>
      </c>
      <c r="AZ6" s="1095"/>
      <c r="BA6" s="419">
        <v>0</v>
      </c>
      <c r="BB6" s="418"/>
      <c r="BC6" s="407"/>
      <c r="BD6" s="419">
        <f t="shared" si="33"/>
        <v>0</v>
      </c>
      <c r="BE6" s="419">
        <f t="shared" si="34"/>
        <v>0</v>
      </c>
      <c r="BF6" s="407">
        <f t="shared" ref="BF6:BF48" si="65">BE6*1000/B6</f>
        <v>0</v>
      </c>
      <c r="BG6" s="419">
        <f t="shared" ref="BG6:BG17" si="66">BG5+BE6</f>
        <v>0</v>
      </c>
      <c r="BH6" s="407">
        <f t="shared" ref="BH6:BH37" si="67">BG6*1000/C6</f>
        <v>0</v>
      </c>
      <c r="BI6" s="407">
        <f t="shared" ref="BI6:BI69" si="68">BH6/(98/12)</f>
        <v>0</v>
      </c>
      <c r="BJ6" s="1089"/>
      <c r="BK6" s="1092"/>
      <c r="BL6" s="402">
        <v>1642</v>
      </c>
      <c r="BM6" s="52"/>
      <c r="BN6" s="52">
        <f t="shared" ref="BN6:BN69" si="69">BL7</f>
        <v>1630</v>
      </c>
      <c r="BO6" s="52">
        <f t="shared" si="12"/>
        <v>12</v>
      </c>
      <c r="BP6" s="406">
        <f t="shared" ref="BP6:BP48" si="70">BO6*1000/B6</f>
        <v>0.18708782214184375</v>
      </c>
      <c r="BQ6" s="52">
        <f t="shared" ref="BQ6:BQ69" si="71">BQ5+BO6</f>
        <v>120</v>
      </c>
      <c r="BR6" s="406">
        <f t="shared" ref="BR6:BR37" si="72">BQ6*1000/C6</f>
        <v>1.8708782214184374</v>
      </c>
      <c r="BS6" s="1112"/>
      <c r="BT6" s="409">
        <v>1387</v>
      </c>
      <c r="BU6" s="43"/>
      <c r="BV6" s="43">
        <f t="shared" ref="BV6:BV13" si="73">BT7</f>
        <v>1360</v>
      </c>
      <c r="BW6" s="43">
        <f t="shared" si="13"/>
        <v>27</v>
      </c>
      <c r="BX6" s="42">
        <f t="shared" ref="BX6:BX48" si="74">BW6*1000/B6</f>
        <v>0.42094759981914842</v>
      </c>
      <c r="BY6" s="43">
        <f t="shared" ref="BY6:BY13" si="75">BY5+BW6</f>
        <v>27</v>
      </c>
      <c r="BZ6" s="42">
        <f t="shared" ref="BZ6:BZ37" si="76">BY6*1000/C6</f>
        <v>0.42094759981914842</v>
      </c>
      <c r="CA6" s="1058"/>
      <c r="CB6" s="392">
        <v>5865</v>
      </c>
      <c r="CC6" s="298"/>
      <c r="CD6" s="298">
        <f t="shared" si="35"/>
        <v>4657</v>
      </c>
      <c r="CE6" s="298">
        <f t="shared" si="14"/>
        <v>1208</v>
      </c>
      <c r="CF6" s="297">
        <f t="shared" ref="CF6:CF48" si="77">CE6*1000/B6</f>
        <v>18.833507428945605</v>
      </c>
      <c r="CG6" s="298">
        <f t="shared" ref="CG6:CG69" si="78">CE6+CG5</f>
        <v>3393</v>
      </c>
      <c r="CH6" s="297">
        <f t="shared" ref="CH6:CH37" si="79">CG6*1000/C6</f>
        <v>52.899081710606318</v>
      </c>
      <c r="CI6" s="1061"/>
      <c r="CJ6" s="651"/>
      <c r="CK6" s="651"/>
      <c r="CL6" s="651"/>
      <c r="CM6" s="651"/>
      <c r="CN6" s="651"/>
      <c r="CO6" s="464">
        <v>0</v>
      </c>
      <c r="CP6" s="465">
        <v>60</v>
      </c>
      <c r="CQ6" s="465">
        <f t="shared" si="36"/>
        <v>30</v>
      </c>
      <c r="CR6" s="465">
        <f t="shared" si="15"/>
        <v>30</v>
      </c>
      <c r="CS6" s="486">
        <f t="shared" ref="CS6:CS48" si="80">CR6*1000/B6</f>
        <v>0.46771955535460935</v>
      </c>
      <c r="CT6" s="465">
        <f t="shared" ref="CT6:CT69" si="81">CR6+CT5</f>
        <v>90</v>
      </c>
      <c r="CU6" s="486">
        <f t="shared" ref="CU6:CU37" si="82">CT6*1000/C6</f>
        <v>1.4031586660638282</v>
      </c>
      <c r="CV6" s="1069"/>
      <c r="CW6" s="427">
        <v>5</v>
      </c>
      <c r="CX6" s="427"/>
      <c r="CY6" s="427">
        <f t="shared" ref="CY6:CY69" si="83">CW7</f>
        <v>5</v>
      </c>
      <c r="CZ6" s="427">
        <f t="shared" ref="CZ6:CZ69" si="84">CW6+CX6-CY6</f>
        <v>0</v>
      </c>
      <c r="DA6" s="607">
        <f t="shared" ref="DA6:DA48" si="85">CZ6*1000/B6</f>
        <v>0</v>
      </c>
      <c r="DB6" s="607">
        <f t="shared" ref="DB6:DB69" si="86">CZ6+DB5</f>
        <v>0</v>
      </c>
      <c r="DC6" s="607">
        <f t="shared" ref="DC6:DC37" si="87">DB6*1000/C6</f>
        <v>0</v>
      </c>
      <c r="DD6" s="1081"/>
      <c r="DE6" s="471">
        <v>11.2</v>
      </c>
      <c r="DF6" s="473"/>
      <c r="DG6" s="473">
        <f t="shared" si="37"/>
        <v>11.2</v>
      </c>
      <c r="DH6" s="473">
        <f t="shared" si="16"/>
        <v>0</v>
      </c>
      <c r="DI6" s="227">
        <f t="shared" ref="DI6:DI48" si="88">DH6*1000/B6</f>
        <v>0</v>
      </c>
      <c r="DJ6" s="473">
        <f t="shared" ref="DJ6:DJ69" si="89">DH6+DJ5</f>
        <v>0</v>
      </c>
      <c r="DK6" s="227">
        <f t="shared" ref="DK6:DK37" si="90">DJ6*1000/C6</f>
        <v>0</v>
      </c>
      <c r="DL6" s="1038"/>
      <c r="DM6" s="413">
        <v>1000</v>
      </c>
      <c r="DN6" s="66"/>
      <c r="DO6" s="66">
        <f t="shared" ref="DO6:DO69" si="91">DM7</f>
        <v>1000</v>
      </c>
      <c r="DP6" s="66">
        <f t="shared" si="17"/>
        <v>0</v>
      </c>
      <c r="DQ6" s="412">
        <f t="shared" ref="DQ6:DQ48" si="92">DP6*1000/B6</f>
        <v>0</v>
      </c>
      <c r="DR6" s="66">
        <f t="shared" ref="DR6:DR69" si="93">DR5+DP6</f>
        <v>0</v>
      </c>
      <c r="DS6" s="412">
        <f t="shared" ref="DS6:DS37" si="94">DR6*1000/C6</f>
        <v>0</v>
      </c>
      <c r="DT6" s="1095"/>
      <c r="DU6" s="596">
        <v>400</v>
      </c>
      <c r="DV6" s="596"/>
      <c r="DW6" s="596">
        <f t="shared" si="38"/>
        <v>400</v>
      </c>
      <c r="DX6" s="596">
        <f t="shared" si="18"/>
        <v>0</v>
      </c>
      <c r="DY6" s="592">
        <f t="shared" ref="DY6:DY48" si="95">DX6*1000/B6</f>
        <v>0</v>
      </c>
      <c r="DZ6" s="596">
        <f t="shared" ref="DZ6:DZ69" si="96">DZ5+DX6</f>
        <v>0</v>
      </c>
      <c r="EA6" s="592">
        <f t="shared" ref="EA6:EA37" si="97">DZ6*1000/C6</f>
        <v>0</v>
      </c>
      <c r="EB6" s="1032"/>
      <c r="EC6" s="448">
        <v>260</v>
      </c>
      <c r="ED6" s="449"/>
      <c r="EE6" s="449">
        <f t="shared" si="39"/>
        <v>260</v>
      </c>
      <c r="EF6" s="449">
        <f t="shared" si="19"/>
        <v>0</v>
      </c>
      <c r="EG6" s="450">
        <f t="shared" ref="EG6:EG48" si="98">EF6*1000/B6</f>
        <v>0</v>
      </c>
      <c r="EH6" s="449">
        <f t="shared" ref="EH6:EH69" si="99">EF6+EH5</f>
        <v>0</v>
      </c>
      <c r="EI6" s="450">
        <f t="shared" ref="EI6:EI37" si="100">EH6*1000/C6</f>
        <v>0</v>
      </c>
      <c r="EJ6" s="1035"/>
      <c r="EK6" s="426">
        <v>2700</v>
      </c>
      <c r="EL6" s="427"/>
      <c r="EM6" s="427">
        <f t="shared" si="40"/>
        <v>2316</v>
      </c>
      <c r="EN6" s="427">
        <f t="shared" si="20"/>
        <v>384</v>
      </c>
      <c r="EO6" s="427">
        <f t="shared" si="41"/>
        <v>756</v>
      </c>
      <c r="EP6" s="456">
        <v>70</v>
      </c>
      <c r="EQ6" s="457"/>
      <c r="ER6" s="457">
        <f t="shared" si="42"/>
        <v>70</v>
      </c>
      <c r="ES6" s="457">
        <f t="shared" si="21"/>
        <v>0</v>
      </c>
      <c r="ET6" s="457">
        <f t="shared" si="43"/>
        <v>0</v>
      </c>
      <c r="EU6" s="409">
        <v>20</v>
      </c>
      <c r="EV6" s="43"/>
      <c r="EW6" s="43">
        <f t="shared" si="44"/>
        <v>20</v>
      </c>
      <c r="EX6" s="43">
        <f t="shared" si="22"/>
        <v>0</v>
      </c>
      <c r="EY6" s="43">
        <f t="shared" si="45"/>
        <v>0</v>
      </c>
      <c r="EZ6" s="436">
        <v>40</v>
      </c>
      <c r="FA6" s="437"/>
      <c r="FB6" s="437">
        <f t="shared" si="46"/>
        <v>40</v>
      </c>
      <c r="FC6" s="437">
        <f t="shared" si="23"/>
        <v>0</v>
      </c>
      <c r="FD6" s="437">
        <f t="shared" si="47"/>
        <v>0</v>
      </c>
      <c r="FE6" s="442">
        <v>200</v>
      </c>
      <c r="FF6" s="443"/>
      <c r="FG6" s="443">
        <f t="shared" si="48"/>
        <v>200</v>
      </c>
      <c r="FH6" s="443">
        <f t="shared" si="24"/>
        <v>0</v>
      </c>
      <c r="FI6" s="443">
        <f t="shared" si="49"/>
        <v>0</v>
      </c>
      <c r="FJ6" s="392">
        <v>900</v>
      </c>
      <c r="FK6" s="298"/>
      <c r="FL6" s="298">
        <f t="shared" si="50"/>
        <v>900</v>
      </c>
      <c r="FM6" s="298">
        <f t="shared" si="25"/>
        <v>0</v>
      </c>
      <c r="FN6" s="498">
        <f t="shared" si="51"/>
        <v>0</v>
      </c>
      <c r="HC6" s="402">
        <v>400</v>
      </c>
      <c r="HD6" s="52"/>
      <c r="HE6" s="52">
        <f t="shared" si="52"/>
        <v>400</v>
      </c>
      <c r="HF6" s="52">
        <f t="shared" si="26"/>
        <v>0</v>
      </c>
      <c r="HG6" s="51"/>
      <c r="HH6" s="52">
        <f t="shared" ref="HH6:HH69" si="101">HF6+HH5</f>
        <v>0</v>
      </c>
      <c r="HI6" s="51"/>
      <c r="HJ6" s="1047"/>
    </row>
    <row r="7" spans="1:218" ht="15" customHeight="1">
      <c r="A7" s="30">
        <v>44670</v>
      </c>
      <c r="B7" s="390">
        <v>322327</v>
      </c>
      <c r="C7" s="18">
        <f t="shared" si="27"/>
        <v>386468</v>
      </c>
      <c r="D7" s="376">
        <v>5496.14</v>
      </c>
      <c r="E7" s="417">
        <f t="shared" si="28"/>
        <v>13100.880000000001</v>
      </c>
      <c r="F7" s="397">
        <v>22000</v>
      </c>
      <c r="G7" s="37"/>
      <c r="H7" s="37">
        <f t="shared" si="0"/>
        <v>20000</v>
      </c>
      <c r="I7" s="37">
        <f t="shared" si="1"/>
        <v>2000</v>
      </c>
      <c r="J7" s="37">
        <f t="shared" si="2"/>
        <v>363.89174948236399</v>
      </c>
      <c r="K7" s="37">
        <f t="shared" si="29"/>
        <v>7767</v>
      </c>
      <c r="L7" s="37">
        <f t="shared" si="3"/>
        <v>592.86093758587208</v>
      </c>
      <c r="M7" s="1101"/>
      <c r="N7" s="422">
        <v>225</v>
      </c>
      <c r="O7" s="423"/>
      <c r="P7" s="423">
        <f t="shared" si="4"/>
        <v>175</v>
      </c>
      <c r="Q7" s="423">
        <f t="shared" si="5"/>
        <v>50</v>
      </c>
      <c r="R7" s="423">
        <f t="shared" si="30"/>
        <v>125</v>
      </c>
      <c r="S7" s="489">
        <v>4.95</v>
      </c>
      <c r="T7" s="67">
        <v>24</v>
      </c>
      <c r="U7" s="68">
        <f t="shared" si="53"/>
        <v>59.400000000000006</v>
      </c>
      <c r="V7" s="68">
        <f t="shared" si="6"/>
        <v>10.807584959626212</v>
      </c>
      <c r="W7" s="423">
        <f t="shared" si="54"/>
        <v>155.4</v>
      </c>
      <c r="X7" s="68">
        <f t="shared" si="7"/>
        <v>11.861798596735486</v>
      </c>
      <c r="Y7" s="1073"/>
      <c r="Z7" s="424">
        <v>225</v>
      </c>
      <c r="AA7" s="425"/>
      <c r="AB7" s="425">
        <f t="shared" si="55"/>
        <v>200</v>
      </c>
      <c r="AC7" s="425">
        <f t="shared" si="56"/>
        <v>25</v>
      </c>
      <c r="AD7" s="425">
        <f t="shared" si="57"/>
        <v>0</v>
      </c>
      <c r="AE7" s="490">
        <v>3.82</v>
      </c>
      <c r="AF7" s="71">
        <v>12</v>
      </c>
      <c r="AG7" s="72">
        <f t="shared" si="58"/>
        <v>22.919999999999998</v>
      </c>
      <c r="AH7" s="72">
        <f t="shared" si="8"/>
        <v>4.1701994490678906</v>
      </c>
      <c r="AI7" s="425">
        <f t="shared" si="59"/>
        <v>52.92</v>
      </c>
      <c r="AJ7" s="72">
        <f t="shared" si="9"/>
        <v>4.0394233059153279</v>
      </c>
      <c r="AK7" s="1075"/>
      <c r="AL7" s="491">
        <v>32623</v>
      </c>
      <c r="AM7" s="491"/>
      <c r="AN7" s="492">
        <f t="shared" si="31"/>
        <v>32623</v>
      </c>
      <c r="AO7" s="492">
        <f t="shared" si="32"/>
        <v>0</v>
      </c>
      <c r="AP7" s="492">
        <f t="shared" si="60"/>
        <v>0</v>
      </c>
      <c r="AQ7" s="493">
        <f t="shared" si="10"/>
        <v>0</v>
      </c>
      <c r="AR7" s="1087"/>
      <c r="AS7" s="413">
        <v>49235</v>
      </c>
      <c r="AT7" s="66"/>
      <c r="AU7" s="66">
        <f t="shared" si="61"/>
        <v>49235</v>
      </c>
      <c r="AV7" s="66">
        <f t="shared" si="11"/>
        <v>0</v>
      </c>
      <c r="AW7" s="412">
        <f t="shared" si="62"/>
        <v>0</v>
      </c>
      <c r="AX7" s="66">
        <f t="shared" si="63"/>
        <v>0</v>
      </c>
      <c r="AY7" s="412">
        <f t="shared" si="64"/>
        <v>0</v>
      </c>
      <c r="AZ7" s="1095"/>
      <c r="BA7" s="419">
        <v>0</v>
      </c>
      <c r="BB7" s="419">
        <v>18675</v>
      </c>
      <c r="BC7" s="407">
        <v>14.12</v>
      </c>
      <c r="BD7" s="419">
        <f t="shared" si="33"/>
        <v>18675</v>
      </c>
      <c r="BE7" s="419">
        <f t="shared" si="34"/>
        <v>0</v>
      </c>
      <c r="BF7" s="407">
        <f t="shared" si="65"/>
        <v>0</v>
      </c>
      <c r="BG7" s="419">
        <f t="shared" si="66"/>
        <v>0</v>
      </c>
      <c r="BH7" s="407">
        <f t="shared" si="67"/>
        <v>0</v>
      </c>
      <c r="BI7" s="407">
        <f t="shared" si="68"/>
        <v>0</v>
      </c>
      <c r="BJ7" s="1089"/>
      <c r="BK7" s="1092"/>
      <c r="BL7" s="402">
        <v>1630</v>
      </c>
      <c r="BM7" s="52"/>
      <c r="BN7" s="52">
        <f t="shared" si="69"/>
        <v>1545</v>
      </c>
      <c r="BO7" s="52">
        <f t="shared" si="12"/>
        <v>85</v>
      </c>
      <c r="BP7" s="406">
        <f t="shared" si="70"/>
        <v>0.26370735309173604</v>
      </c>
      <c r="BQ7" s="52">
        <f t="shared" si="71"/>
        <v>205</v>
      </c>
      <c r="BR7" s="406">
        <f t="shared" si="72"/>
        <v>0.53044495275158621</v>
      </c>
      <c r="BS7" s="1112"/>
      <c r="BT7" s="409">
        <v>1360</v>
      </c>
      <c r="BU7" s="43"/>
      <c r="BV7" s="43">
        <f t="shared" si="73"/>
        <v>1342</v>
      </c>
      <c r="BW7" s="43">
        <f t="shared" si="13"/>
        <v>18</v>
      </c>
      <c r="BX7" s="42">
        <f t="shared" si="74"/>
        <v>5.5843910066485279E-2</v>
      </c>
      <c r="BY7" s="43">
        <f t="shared" si="75"/>
        <v>45</v>
      </c>
      <c r="BZ7" s="42">
        <f t="shared" si="76"/>
        <v>0.11643913596986037</v>
      </c>
      <c r="CA7" s="1058"/>
      <c r="CB7" s="392">
        <v>4657</v>
      </c>
      <c r="CC7" s="298"/>
      <c r="CD7" s="298">
        <f t="shared" si="35"/>
        <v>3392</v>
      </c>
      <c r="CE7" s="298">
        <f t="shared" si="14"/>
        <v>1265</v>
      </c>
      <c r="CF7" s="297">
        <f t="shared" si="77"/>
        <v>3.9245859018946598</v>
      </c>
      <c r="CG7" s="298">
        <f t="shared" si="78"/>
        <v>4658</v>
      </c>
      <c r="CH7" s="297">
        <f t="shared" si="79"/>
        <v>12.052744341057991</v>
      </c>
      <c r="CI7" s="1061"/>
      <c r="CJ7" s="651"/>
      <c r="CK7" s="651"/>
      <c r="CL7" s="651"/>
      <c r="CM7" s="651"/>
      <c r="CN7" s="651"/>
      <c r="CO7" s="464">
        <v>30</v>
      </c>
      <c r="CP7" s="465"/>
      <c r="CQ7" s="465">
        <f t="shared" si="36"/>
        <v>0</v>
      </c>
      <c r="CR7" s="465">
        <f t="shared" si="15"/>
        <v>30</v>
      </c>
      <c r="CS7" s="486">
        <f t="shared" si="80"/>
        <v>9.307318344414213E-2</v>
      </c>
      <c r="CT7" s="465">
        <f t="shared" si="81"/>
        <v>120</v>
      </c>
      <c r="CU7" s="486">
        <f t="shared" si="82"/>
        <v>0.31050436258629432</v>
      </c>
      <c r="CV7" s="1069"/>
      <c r="CW7" s="427">
        <v>5</v>
      </c>
      <c r="CX7" s="427"/>
      <c r="CY7" s="427">
        <f t="shared" si="83"/>
        <v>5</v>
      </c>
      <c r="CZ7" s="427">
        <f t="shared" si="84"/>
        <v>0</v>
      </c>
      <c r="DA7" s="607">
        <f t="shared" si="85"/>
        <v>0</v>
      </c>
      <c r="DB7" s="607">
        <f t="shared" si="86"/>
        <v>0</v>
      </c>
      <c r="DC7" s="607">
        <f t="shared" si="87"/>
        <v>0</v>
      </c>
      <c r="DD7" s="1081"/>
      <c r="DE7" s="471">
        <v>11.2</v>
      </c>
      <c r="DF7" s="473"/>
      <c r="DG7" s="473">
        <f t="shared" si="37"/>
        <v>11.2</v>
      </c>
      <c r="DH7" s="473">
        <f t="shared" si="16"/>
        <v>0</v>
      </c>
      <c r="DI7" s="227">
        <f t="shared" si="88"/>
        <v>0</v>
      </c>
      <c r="DJ7" s="473">
        <f t="shared" si="89"/>
        <v>0</v>
      </c>
      <c r="DK7" s="227">
        <f t="shared" si="90"/>
        <v>0</v>
      </c>
      <c r="DL7" s="1038"/>
      <c r="DM7" s="413">
        <v>1000</v>
      </c>
      <c r="DN7" s="66"/>
      <c r="DO7" s="66">
        <f t="shared" si="91"/>
        <v>1000</v>
      </c>
      <c r="DP7" s="66">
        <f t="shared" si="17"/>
        <v>0</v>
      </c>
      <c r="DQ7" s="412">
        <f t="shared" si="92"/>
        <v>0</v>
      </c>
      <c r="DR7" s="66">
        <f t="shared" si="93"/>
        <v>0</v>
      </c>
      <c r="DS7" s="412">
        <f t="shared" si="94"/>
        <v>0</v>
      </c>
      <c r="DT7" s="1095"/>
      <c r="DU7" s="596">
        <v>400</v>
      </c>
      <c r="DV7" s="596"/>
      <c r="DW7" s="596">
        <f t="shared" si="38"/>
        <v>400</v>
      </c>
      <c r="DX7" s="596">
        <f t="shared" si="18"/>
        <v>0</v>
      </c>
      <c r="DY7" s="592">
        <f t="shared" si="95"/>
        <v>0</v>
      </c>
      <c r="DZ7" s="596">
        <f t="shared" si="96"/>
        <v>0</v>
      </c>
      <c r="EA7" s="592">
        <f t="shared" si="97"/>
        <v>0</v>
      </c>
      <c r="EB7" s="1032"/>
      <c r="EC7" s="448">
        <v>260</v>
      </c>
      <c r="ED7" s="449"/>
      <c r="EE7" s="449">
        <f t="shared" si="39"/>
        <v>260</v>
      </c>
      <c r="EF7" s="449">
        <f t="shared" si="19"/>
        <v>0</v>
      </c>
      <c r="EG7" s="450">
        <f t="shared" si="98"/>
        <v>0</v>
      </c>
      <c r="EH7" s="449">
        <f t="shared" si="99"/>
        <v>0</v>
      </c>
      <c r="EI7" s="450">
        <f t="shared" si="100"/>
        <v>0</v>
      </c>
      <c r="EJ7" s="1035"/>
      <c r="EK7" s="426">
        <v>2316</v>
      </c>
      <c r="EL7" s="427"/>
      <c r="EM7" s="427">
        <f t="shared" si="40"/>
        <v>2100</v>
      </c>
      <c r="EN7" s="427">
        <f t="shared" si="20"/>
        <v>216</v>
      </c>
      <c r="EO7" s="427">
        <f t="shared" si="41"/>
        <v>972</v>
      </c>
      <c r="EP7" s="456">
        <v>70</v>
      </c>
      <c r="EQ7" s="457"/>
      <c r="ER7" s="457">
        <f t="shared" si="42"/>
        <v>70</v>
      </c>
      <c r="ES7" s="457">
        <f t="shared" si="21"/>
        <v>0</v>
      </c>
      <c r="ET7" s="457">
        <f t="shared" si="43"/>
        <v>0</v>
      </c>
      <c r="EU7" s="409">
        <v>20</v>
      </c>
      <c r="EV7" s="43"/>
      <c r="EW7" s="43">
        <f t="shared" si="44"/>
        <v>20</v>
      </c>
      <c r="EX7" s="43">
        <f t="shared" si="22"/>
        <v>0</v>
      </c>
      <c r="EY7" s="43">
        <f t="shared" si="45"/>
        <v>0</v>
      </c>
      <c r="EZ7" s="436">
        <v>40</v>
      </c>
      <c r="FA7" s="437"/>
      <c r="FB7" s="437">
        <f t="shared" si="46"/>
        <v>40</v>
      </c>
      <c r="FC7" s="437">
        <f t="shared" si="23"/>
        <v>0</v>
      </c>
      <c r="FD7" s="437">
        <f t="shared" si="47"/>
        <v>0</v>
      </c>
      <c r="FE7" s="442">
        <v>200</v>
      </c>
      <c r="FF7" s="443"/>
      <c r="FG7" s="443">
        <f t="shared" si="48"/>
        <v>200</v>
      </c>
      <c r="FH7" s="443">
        <f t="shared" si="24"/>
        <v>0</v>
      </c>
      <c r="FI7" s="443">
        <f t="shared" si="49"/>
        <v>0</v>
      </c>
      <c r="FJ7" s="392">
        <v>900</v>
      </c>
      <c r="FK7" s="298"/>
      <c r="FL7" s="298">
        <f t="shared" si="50"/>
        <v>900</v>
      </c>
      <c r="FM7" s="298">
        <f t="shared" si="25"/>
        <v>0</v>
      </c>
      <c r="FN7" s="498">
        <f t="shared" si="51"/>
        <v>0</v>
      </c>
      <c r="HC7" s="402">
        <v>400</v>
      </c>
      <c r="HD7" s="52"/>
      <c r="HE7" s="52">
        <f t="shared" si="52"/>
        <v>400</v>
      </c>
      <c r="HF7" s="52">
        <f t="shared" si="26"/>
        <v>0</v>
      </c>
      <c r="HG7" s="51"/>
      <c r="HH7" s="52">
        <f t="shared" si="101"/>
        <v>0</v>
      </c>
      <c r="HI7" s="51"/>
      <c r="HJ7" s="1047"/>
    </row>
    <row r="8" spans="1:218" ht="15" customHeight="1">
      <c r="A8" s="30">
        <v>44671</v>
      </c>
      <c r="B8" s="390">
        <v>451737</v>
      </c>
      <c r="C8" s="18">
        <f t="shared" si="27"/>
        <v>838205</v>
      </c>
      <c r="D8" s="376">
        <v>7101.3</v>
      </c>
      <c r="E8" s="417">
        <f t="shared" si="28"/>
        <v>20202.18</v>
      </c>
      <c r="F8" s="397">
        <v>20000</v>
      </c>
      <c r="G8" s="37"/>
      <c r="H8" s="37">
        <f t="shared" si="0"/>
        <v>18252</v>
      </c>
      <c r="I8" s="37">
        <f t="shared" si="1"/>
        <v>1748</v>
      </c>
      <c r="J8" s="37">
        <f t="shared" si="2"/>
        <v>246.15211299339558</v>
      </c>
      <c r="K8" s="37">
        <f t="shared" si="29"/>
        <v>9515</v>
      </c>
      <c r="L8" s="37">
        <f t="shared" si="3"/>
        <v>470.98877447879386</v>
      </c>
      <c r="M8" s="1101"/>
      <c r="N8" s="422">
        <v>175</v>
      </c>
      <c r="O8" s="423"/>
      <c r="P8" s="423">
        <f t="shared" si="4"/>
        <v>100</v>
      </c>
      <c r="Q8" s="423">
        <f t="shared" si="5"/>
        <v>75</v>
      </c>
      <c r="R8" s="423">
        <f t="shared" si="30"/>
        <v>200</v>
      </c>
      <c r="S8" s="489">
        <v>5.62</v>
      </c>
      <c r="T8" s="67">
        <v>24</v>
      </c>
      <c r="U8" s="68">
        <f t="shared" si="53"/>
        <v>67.44</v>
      </c>
      <c r="V8" s="68">
        <f t="shared" si="6"/>
        <v>9.4968526889442781</v>
      </c>
      <c r="W8" s="423">
        <f t="shared" si="54"/>
        <v>222.84</v>
      </c>
      <c r="X8" s="68">
        <f t="shared" si="7"/>
        <v>11.030492748802358</v>
      </c>
      <c r="Y8" s="1073"/>
      <c r="Z8" s="424">
        <v>200</v>
      </c>
      <c r="AA8" s="425"/>
      <c r="AB8" s="425">
        <f t="shared" si="55"/>
        <v>200</v>
      </c>
      <c r="AC8" s="425">
        <f t="shared" si="56"/>
        <v>0</v>
      </c>
      <c r="AD8" s="425">
        <f t="shared" si="57"/>
        <v>0</v>
      </c>
      <c r="AE8" s="490">
        <v>3.3</v>
      </c>
      <c r="AF8" s="71">
        <v>12</v>
      </c>
      <c r="AG8" s="72">
        <f t="shared" si="58"/>
        <v>19.799999999999997</v>
      </c>
      <c r="AH8" s="72">
        <f t="shared" si="8"/>
        <v>2.7882218748679812</v>
      </c>
      <c r="AI8" s="425">
        <f t="shared" si="59"/>
        <v>72.72</v>
      </c>
      <c r="AJ8" s="72">
        <f t="shared" si="9"/>
        <v>3.5996115270728208</v>
      </c>
      <c r="AK8" s="1075"/>
      <c r="AL8" s="491">
        <v>32623</v>
      </c>
      <c r="AM8" s="491"/>
      <c r="AN8" s="492">
        <f t="shared" si="31"/>
        <v>32623</v>
      </c>
      <c r="AO8" s="492">
        <f t="shared" si="32"/>
        <v>0</v>
      </c>
      <c r="AP8" s="492">
        <f t="shared" si="60"/>
        <v>0</v>
      </c>
      <c r="AQ8" s="493">
        <f t="shared" si="10"/>
        <v>0</v>
      </c>
      <c r="AR8" s="1087"/>
      <c r="AS8" s="413">
        <v>49235</v>
      </c>
      <c r="AT8" s="66"/>
      <c r="AU8" s="66">
        <f t="shared" si="61"/>
        <v>49235</v>
      </c>
      <c r="AV8" s="66">
        <f t="shared" si="11"/>
        <v>0</v>
      </c>
      <c r="AW8" s="412">
        <f t="shared" si="62"/>
        <v>0</v>
      </c>
      <c r="AX8" s="66">
        <f t="shared" si="63"/>
        <v>0</v>
      </c>
      <c r="AY8" s="412">
        <f t="shared" si="64"/>
        <v>0</v>
      </c>
      <c r="AZ8" s="1095"/>
      <c r="BA8" s="419">
        <v>18675</v>
      </c>
      <c r="BB8" s="419"/>
      <c r="BC8" s="407"/>
      <c r="BD8" s="419">
        <f t="shared" si="33"/>
        <v>18675</v>
      </c>
      <c r="BE8" s="419">
        <f t="shared" si="34"/>
        <v>0</v>
      </c>
      <c r="BF8" s="407">
        <f t="shared" si="65"/>
        <v>0</v>
      </c>
      <c r="BG8" s="419">
        <f t="shared" si="66"/>
        <v>0</v>
      </c>
      <c r="BH8" s="407">
        <f t="shared" si="67"/>
        <v>0</v>
      </c>
      <c r="BI8" s="407">
        <f t="shared" si="68"/>
        <v>0</v>
      </c>
      <c r="BJ8" s="1089"/>
      <c r="BK8" s="1092"/>
      <c r="BL8" s="402">
        <v>1545</v>
      </c>
      <c r="BM8" s="52"/>
      <c r="BN8" s="52">
        <f t="shared" si="69"/>
        <v>1442</v>
      </c>
      <c r="BO8" s="52">
        <f t="shared" si="12"/>
        <v>103</v>
      </c>
      <c r="BP8" s="406">
        <f t="shared" si="70"/>
        <v>0.22800877501732203</v>
      </c>
      <c r="BQ8" s="52">
        <f t="shared" si="71"/>
        <v>308</v>
      </c>
      <c r="BR8" s="406">
        <f t="shared" si="72"/>
        <v>0.36745187633096915</v>
      </c>
      <c r="BS8" s="1112"/>
      <c r="BT8" s="409">
        <v>1342</v>
      </c>
      <c r="BU8" s="43"/>
      <c r="BV8" s="43">
        <f t="shared" si="73"/>
        <v>1298</v>
      </c>
      <c r="BW8" s="43">
        <f t="shared" si="13"/>
        <v>44</v>
      </c>
      <c r="BX8" s="42">
        <f t="shared" si="74"/>
        <v>9.7401806803516205E-2</v>
      </c>
      <c r="BY8" s="43">
        <f t="shared" si="75"/>
        <v>89</v>
      </c>
      <c r="BZ8" s="42">
        <f t="shared" si="76"/>
        <v>0.10617927595278005</v>
      </c>
      <c r="CA8" s="1058"/>
      <c r="CB8" s="392">
        <v>3392</v>
      </c>
      <c r="CC8" s="298">
        <v>3450</v>
      </c>
      <c r="CD8" s="298">
        <f t="shared" si="35"/>
        <v>4600</v>
      </c>
      <c r="CE8" s="298">
        <f t="shared" si="14"/>
        <v>2242</v>
      </c>
      <c r="CF8" s="297">
        <f t="shared" si="77"/>
        <v>4.9630647921246211</v>
      </c>
      <c r="CG8" s="298">
        <f t="shared" si="78"/>
        <v>6900</v>
      </c>
      <c r="CH8" s="297">
        <f t="shared" si="79"/>
        <v>8.2318764502717112</v>
      </c>
      <c r="CI8" s="1061"/>
      <c r="CJ8" s="651"/>
      <c r="CK8" s="651"/>
      <c r="CL8" s="651"/>
      <c r="CM8" s="651"/>
      <c r="CN8" s="651"/>
      <c r="CO8" s="464">
        <v>0</v>
      </c>
      <c r="CP8" s="465"/>
      <c r="CQ8" s="465">
        <f t="shared" si="36"/>
        <v>0</v>
      </c>
      <c r="CR8" s="465">
        <f t="shared" si="15"/>
        <v>0</v>
      </c>
      <c r="CS8" s="486">
        <f t="shared" si="80"/>
        <v>0</v>
      </c>
      <c r="CT8" s="465">
        <f t="shared" si="81"/>
        <v>120</v>
      </c>
      <c r="CU8" s="486">
        <f t="shared" si="82"/>
        <v>0.14316306870037759</v>
      </c>
      <c r="CV8" s="1069"/>
      <c r="CW8" s="427">
        <v>5</v>
      </c>
      <c r="CX8" s="427"/>
      <c r="CY8" s="427">
        <f t="shared" si="83"/>
        <v>5</v>
      </c>
      <c r="CZ8" s="427">
        <f t="shared" si="84"/>
        <v>0</v>
      </c>
      <c r="DA8" s="607">
        <f t="shared" si="85"/>
        <v>0</v>
      </c>
      <c r="DB8" s="607">
        <f t="shared" si="86"/>
        <v>0</v>
      </c>
      <c r="DC8" s="607">
        <f t="shared" si="87"/>
        <v>0</v>
      </c>
      <c r="DD8" s="1081"/>
      <c r="DE8" s="471">
        <v>11.2</v>
      </c>
      <c r="DF8" s="473"/>
      <c r="DG8" s="473">
        <f t="shared" si="37"/>
        <v>5.6</v>
      </c>
      <c r="DH8" s="473">
        <f t="shared" si="16"/>
        <v>5.6</v>
      </c>
      <c r="DI8" s="227">
        <f t="shared" si="88"/>
        <v>1.239659359317479E-2</v>
      </c>
      <c r="DJ8" s="473">
        <f t="shared" si="89"/>
        <v>5.6</v>
      </c>
      <c r="DK8" s="227">
        <f t="shared" si="90"/>
        <v>6.6809432060176213E-3</v>
      </c>
      <c r="DL8" s="1038"/>
      <c r="DM8" s="413">
        <v>1000</v>
      </c>
      <c r="DN8" s="66">
        <v>1000</v>
      </c>
      <c r="DO8" s="66">
        <f t="shared" si="91"/>
        <v>2000</v>
      </c>
      <c r="DP8" s="66">
        <f t="shared" si="17"/>
        <v>0</v>
      </c>
      <c r="DQ8" s="412">
        <f t="shared" si="92"/>
        <v>0</v>
      </c>
      <c r="DR8" s="66">
        <f t="shared" si="93"/>
        <v>0</v>
      </c>
      <c r="DS8" s="412">
        <f t="shared" si="94"/>
        <v>0</v>
      </c>
      <c r="DT8" s="1095"/>
      <c r="DU8" s="596">
        <v>400</v>
      </c>
      <c r="DV8" s="596"/>
      <c r="DW8" s="596">
        <f t="shared" si="38"/>
        <v>400</v>
      </c>
      <c r="DX8" s="596">
        <f t="shared" si="18"/>
        <v>0</v>
      </c>
      <c r="DY8" s="592">
        <f t="shared" si="95"/>
        <v>0</v>
      </c>
      <c r="DZ8" s="596">
        <f t="shared" si="96"/>
        <v>0</v>
      </c>
      <c r="EA8" s="592">
        <f t="shared" si="97"/>
        <v>0</v>
      </c>
      <c r="EB8" s="1032"/>
      <c r="EC8" s="448">
        <v>260</v>
      </c>
      <c r="ED8" s="449"/>
      <c r="EE8" s="449">
        <f t="shared" si="39"/>
        <v>205</v>
      </c>
      <c r="EF8" s="449">
        <f t="shared" si="19"/>
        <v>55</v>
      </c>
      <c r="EG8" s="450">
        <f t="shared" si="98"/>
        <v>0.12175225850439525</v>
      </c>
      <c r="EH8" s="449">
        <f t="shared" si="99"/>
        <v>55</v>
      </c>
      <c r="EI8" s="450">
        <f t="shared" si="100"/>
        <v>6.5616406487673057E-2</v>
      </c>
      <c r="EJ8" s="1035"/>
      <c r="EK8" s="426">
        <v>2100</v>
      </c>
      <c r="EL8" s="427"/>
      <c r="EM8" s="427">
        <f t="shared" si="40"/>
        <v>1890</v>
      </c>
      <c r="EN8" s="427">
        <f t="shared" si="20"/>
        <v>210</v>
      </c>
      <c r="EO8" s="427">
        <f t="shared" si="41"/>
        <v>1182</v>
      </c>
      <c r="EP8" s="456">
        <v>70</v>
      </c>
      <c r="EQ8" s="457"/>
      <c r="ER8" s="457">
        <f t="shared" si="42"/>
        <v>70</v>
      </c>
      <c r="ES8" s="457">
        <f t="shared" si="21"/>
        <v>0</v>
      </c>
      <c r="ET8" s="457">
        <f t="shared" si="43"/>
        <v>0</v>
      </c>
      <c r="EU8" s="409">
        <v>20</v>
      </c>
      <c r="EV8" s="43"/>
      <c r="EW8" s="43">
        <f t="shared" si="44"/>
        <v>20</v>
      </c>
      <c r="EX8" s="43">
        <f t="shared" si="22"/>
        <v>0</v>
      </c>
      <c r="EY8" s="43">
        <f t="shared" si="45"/>
        <v>0</v>
      </c>
      <c r="EZ8" s="436">
        <v>40</v>
      </c>
      <c r="FA8" s="437"/>
      <c r="FB8" s="437">
        <f t="shared" si="46"/>
        <v>40</v>
      </c>
      <c r="FC8" s="437">
        <f t="shared" si="23"/>
        <v>0</v>
      </c>
      <c r="FD8" s="437">
        <f t="shared" si="47"/>
        <v>0</v>
      </c>
      <c r="FE8" s="442">
        <v>200</v>
      </c>
      <c r="FF8" s="443"/>
      <c r="FG8" s="443">
        <f t="shared" si="48"/>
        <v>200</v>
      </c>
      <c r="FH8" s="443">
        <f t="shared" si="24"/>
        <v>0</v>
      </c>
      <c r="FI8" s="443">
        <f t="shared" si="49"/>
        <v>0</v>
      </c>
      <c r="FJ8" s="392">
        <v>900</v>
      </c>
      <c r="FK8" s="298"/>
      <c r="FL8" s="298">
        <f t="shared" si="50"/>
        <v>900</v>
      </c>
      <c r="FM8" s="298">
        <f t="shared" si="25"/>
        <v>0</v>
      </c>
      <c r="FN8" s="498">
        <f t="shared" si="51"/>
        <v>0</v>
      </c>
      <c r="HC8" s="402">
        <v>400</v>
      </c>
      <c r="HD8" s="52"/>
      <c r="HE8" s="52">
        <f t="shared" si="52"/>
        <v>400</v>
      </c>
      <c r="HF8" s="52">
        <f t="shared" si="26"/>
        <v>0</v>
      </c>
      <c r="HG8" s="51"/>
      <c r="HH8" s="52">
        <f t="shared" si="101"/>
        <v>0</v>
      </c>
      <c r="HI8" s="51"/>
      <c r="HJ8" s="1047"/>
    </row>
    <row r="9" spans="1:218" ht="15" customHeight="1">
      <c r="A9" s="30">
        <v>44672</v>
      </c>
      <c r="B9" s="390">
        <v>469283</v>
      </c>
      <c r="C9" s="18">
        <f t="shared" si="27"/>
        <v>1307488</v>
      </c>
      <c r="D9" s="376">
        <v>7121.46</v>
      </c>
      <c r="E9" s="417">
        <f t="shared" si="28"/>
        <v>27323.64</v>
      </c>
      <c r="F9" s="397">
        <v>18252</v>
      </c>
      <c r="G9" s="37"/>
      <c r="H9" s="37">
        <f t="shared" si="0"/>
        <v>13500</v>
      </c>
      <c r="I9" s="37">
        <f t="shared" si="1"/>
        <v>4752</v>
      </c>
      <c r="J9" s="37">
        <f t="shared" si="2"/>
        <v>667.27890067486157</v>
      </c>
      <c r="K9" s="37">
        <f t="shared" si="29"/>
        <v>14267</v>
      </c>
      <c r="L9" s="37">
        <f t="shared" si="3"/>
        <v>522.14858635233077</v>
      </c>
      <c r="M9" s="1101"/>
      <c r="N9" s="422">
        <v>100</v>
      </c>
      <c r="O9" s="423">
        <v>150</v>
      </c>
      <c r="P9" s="423">
        <f t="shared" si="4"/>
        <v>150</v>
      </c>
      <c r="Q9" s="423">
        <f t="shared" si="5"/>
        <v>100</v>
      </c>
      <c r="R9" s="423">
        <f t="shared" si="30"/>
        <v>300</v>
      </c>
      <c r="S9" s="489">
        <v>6.08</v>
      </c>
      <c r="T9" s="67">
        <v>24</v>
      </c>
      <c r="U9" s="68">
        <f t="shared" si="53"/>
        <v>72.960000000000008</v>
      </c>
      <c r="V9" s="68">
        <f t="shared" si="6"/>
        <v>10.245090192179696</v>
      </c>
      <c r="W9" s="423">
        <f t="shared" si="54"/>
        <v>295.8</v>
      </c>
      <c r="X9" s="68">
        <f t="shared" si="7"/>
        <v>10.825790414454296</v>
      </c>
      <c r="Y9" s="1073"/>
      <c r="Z9" s="424">
        <v>200</v>
      </c>
      <c r="AA9" s="425"/>
      <c r="AB9" s="425">
        <f t="shared" si="55"/>
        <v>200</v>
      </c>
      <c r="AC9" s="425">
        <f t="shared" si="56"/>
        <v>0</v>
      </c>
      <c r="AD9" s="425">
        <f t="shared" si="57"/>
        <v>0</v>
      </c>
      <c r="AE9" s="490">
        <v>2.3199999999999998</v>
      </c>
      <c r="AF9" s="71">
        <v>12</v>
      </c>
      <c r="AG9" s="72">
        <f t="shared" si="58"/>
        <v>13.919999999999998</v>
      </c>
      <c r="AH9" s="72">
        <f t="shared" si="8"/>
        <v>1.9546553656132308</v>
      </c>
      <c r="AI9" s="425">
        <f t="shared" si="59"/>
        <v>86.64</v>
      </c>
      <c r="AJ9" s="72">
        <f t="shared" si="9"/>
        <v>3.1708806000957415</v>
      </c>
      <c r="AK9" s="1075"/>
      <c r="AL9" s="491">
        <v>32623</v>
      </c>
      <c r="AM9" s="491"/>
      <c r="AN9" s="492">
        <f t="shared" si="31"/>
        <v>32623</v>
      </c>
      <c r="AO9" s="492">
        <f t="shared" si="32"/>
        <v>0</v>
      </c>
      <c r="AP9" s="492">
        <f t="shared" si="60"/>
        <v>0</v>
      </c>
      <c r="AQ9" s="493">
        <f t="shared" si="10"/>
        <v>0</v>
      </c>
      <c r="AR9" s="1087"/>
      <c r="AS9" s="413">
        <v>49235</v>
      </c>
      <c r="AT9" s="66"/>
      <c r="AU9" s="66">
        <f t="shared" si="61"/>
        <v>49235</v>
      </c>
      <c r="AV9" s="66">
        <f t="shared" si="11"/>
        <v>0</v>
      </c>
      <c r="AW9" s="412">
        <f t="shared" si="62"/>
        <v>0</v>
      </c>
      <c r="AX9" s="66">
        <f t="shared" si="63"/>
        <v>0</v>
      </c>
      <c r="AY9" s="412">
        <f t="shared" si="64"/>
        <v>0</v>
      </c>
      <c r="AZ9" s="1095"/>
      <c r="BA9" s="419">
        <v>18675</v>
      </c>
      <c r="BB9" s="419"/>
      <c r="BC9" s="407"/>
      <c r="BD9" s="419">
        <f t="shared" si="33"/>
        <v>18675</v>
      </c>
      <c r="BE9" s="419">
        <f t="shared" si="34"/>
        <v>0</v>
      </c>
      <c r="BF9" s="407">
        <f t="shared" si="65"/>
        <v>0</v>
      </c>
      <c r="BG9" s="419">
        <f t="shared" si="66"/>
        <v>0</v>
      </c>
      <c r="BH9" s="407">
        <f t="shared" si="67"/>
        <v>0</v>
      </c>
      <c r="BI9" s="407">
        <f t="shared" si="68"/>
        <v>0</v>
      </c>
      <c r="BJ9" s="1089"/>
      <c r="BK9" s="1092"/>
      <c r="BL9" s="402">
        <v>1442</v>
      </c>
      <c r="BM9" s="52"/>
      <c r="BN9" s="52">
        <f t="shared" si="69"/>
        <v>1340</v>
      </c>
      <c r="BO9" s="52">
        <f t="shared" si="12"/>
        <v>102</v>
      </c>
      <c r="BP9" s="406">
        <f t="shared" si="70"/>
        <v>0.21735285531331841</v>
      </c>
      <c r="BQ9" s="52">
        <f t="shared" si="71"/>
        <v>410</v>
      </c>
      <c r="BR9" s="406">
        <f t="shared" si="72"/>
        <v>0.31357840377884921</v>
      </c>
      <c r="BS9" s="1112"/>
      <c r="BT9" s="409">
        <v>1298</v>
      </c>
      <c r="BU9" s="43"/>
      <c r="BV9" s="43">
        <f t="shared" si="73"/>
        <v>1228</v>
      </c>
      <c r="BW9" s="43">
        <f t="shared" si="13"/>
        <v>70</v>
      </c>
      <c r="BX9" s="42">
        <f t="shared" si="74"/>
        <v>0.14916372423463028</v>
      </c>
      <c r="BY9" s="43">
        <f t="shared" si="75"/>
        <v>159</v>
      </c>
      <c r="BZ9" s="42">
        <f t="shared" si="76"/>
        <v>0.12160723463618786</v>
      </c>
      <c r="CA9" s="1058"/>
      <c r="CB9" s="392">
        <v>4600</v>
      </c>
      <c r="CC9" s="298"/>
      <c r="CD9" s="298">
        <f t="shared" si="35"/>
        <v>3277</v>
      </c>
      <c r="CE9" s="298">
        <f t="shared" si="14"/>
        <v>1323</v>
      </c>
      <c r="CF9" s="297">
        <f t="shared" si="77"/>
        <v>2.8191943880345121</v>
      </c>
      <c r="CG9" s="298">
        <f t="shared" si="78"/>
        <v>8223</v>
      </c>
      <c r="CH9" s="297">
        <f t="shared" si="79"/>
        <v>6.2891590592036026</v>
      </c>
      <c r="CI9" s="1061"/>
      <c r="CJ9" s="651"/>
      <c r="CK9" s="651"/>
      <c r="CL9" s="651"/>
      <c r="CM9" s="651"/>
      <c r="CN9" s="651"/>
      <c r="CO9" s="464">
        <v>0</v>
      </c>
      <c r="CP9" s="465"/>
      <c r="CQ9" s="465">
        <f t="shared" si="36"/>
        <v>0</v>
      </c>
      <c r="CR9" s="465">
        <f t="shared" si="15"/>
        <v>0</v>
      </c>
      <c r="CS9" s="486">
        <f t="shared" si="80"/>
        <v>0</v>
      </c>
      <c r="CT9" s="465">
        <f t="shared" si="81"/>
        <v>120</v>
      </c>
      <c r="CU9" s="486">
        <f t="shared" si="82"/>
        <v>9.1779045008443666E-2</v>
      </c>
      <c r="CV9" s="1069"/>
      <c r="CW9" s="427">
        <v>5</v>
      </c>
      <c r="CX9" s="427"/>
      <c r="CY9" s="427">
        <f t="shared" si="83"/>
        <v>5</v>
      </c>
      <c r="CZ9" s="427">
        <f t="shared" si="84"/>
        <v>0</v>
      </c>
      <c r="DA9" s="607">
        <f t="shared" si="85"/>
        <v>0</v>
      </c>
      <c r="DB9" s="607">
        <f t="shared" si="86"/>
        <v>0</v>
      </c>
      <c r="DC9" s="607">
        <f t="shared" si="87"/>
        <v>0</v>
      </c>
      <c r="DD9" s="1081"/>
      <c r="DE9" s="471">
        <v>5.6</v>
      </c>
      <c r="DF9" s="473"/>
      <c r="DG9" s="473">
        <f t="shared" si="37"/>
        <v>5.6</v>
      </c>
      <c r="DH9" s="473">
        <f t="shared" si="16"/>
        <v>0</v>
      </c>
      <c r="DI9" s="227">
        <f t="shared" si="88"/>
        <v>0</v>
      </c>
      <c r="DJ9" s="473">
        <f t="shared" si="89"/>
        <v>5.6</v>
      </c>
      <c r="DK9" s="227">
        <f t="shared" si="90"/>
        <v>4.2830221003940377E-3</v>
      </c>
      <c r="DL9" s="1038"/>
      <c r="DM9" s="413">
        <v>2000</v>
      </c>
      <c r="DN9" s="66"/>
      <c r="DO9" s="66">
        <f t="shared" si="91"/>
        <v>1700</v>
      </c>
      <c r="DP9" s="66">
        <f t="shared" si="17"/>
        <v>300</v>
      </c>
      <c r="DQ9" s="412">
        <f t="shared" si="92"/>
        <v>0.6392731038627012</v>
      </c>
      <c r="DR9" s="66">
        <f t="shared" si="93"/>
        <v>300</v>
      </c>
      <c r="DS9" s="412">
        <f t="shared" si="94"/>
        <v>0.22944761252110918</v>
      </c>
      <c r="DT9" s="1095"/>
      <c r="DU9" s="596">
        <v>400</v>
      </c>
      <c r="DV9" s="596"/>
      <c r="DW9" s="596">
        <f t="shared" si="38"/>
        <v>400</v>
      </c>
      <c r="DX9" s="596">
        <f t="shared" si="18"/>
        <v>0</v>
      </c>
      <c r="DY9" s="592">
        <f t="shared" si="95"/>
        <v>0</v>
      </c>
      <c r="DZ9" s="596">
        <f t="shared" si="96"/>
        <v>0</v>
      </c>
      <c r="EA9" s="592">
        <f t="shared" si="97"/>
        <v>0</v>
      </c>
      <c r="EB9" s="1032"/>
      <c r="EC9" s="448">
        <v>205</v>
      </c>
      <c r="ED9" s="449"/>
      <c r="EE9" s="449">
        <f t="shared" si="39"/>
        <v>205</v>
      </c>
      <c r="EF9" s="449">
        <f t="shared" si="19"/>
        <v>0</v>
      </c>
      <c r="EG9" s="450">
        <f t="shared" si="98"/>
        <v>0</v>
      </c>
      <c r="EH9" s="449">
        <f t="shared" si="99"/>
        <v>55</v>
      </c>
      <c r="EI9" s="450">
        <f t="shared" si="100"/>
        <v>4.2065395628870017E-2</v>
      </c>
      <c r="EJ9" s="1035"/>
      <c r="EK9" s="426">
        <v>1890</v>
      </c>
      <c r="EL9" s="427"/>
      <c r="EM9" s="427">
        <f t="shared" si="40"/>
        <v>1680</v>
      </c>
      <c r="EN9" s="427">
        <f t="shared" si="20"/>
        <v>210</v>
      </c>
      <c r="EO9" s="427">
        <f t="shared" si="41"/>
        <v>1392</v>
      </c>
      <c r="EP9" s="456">
        <v>70</v>
      </c>
      <c r="EQ9" s="457"/>
      <c r="ER9" s="457">
        <f t="shared" si="42"/>
        <v>70</v>
      </c>
      <c r="ES9" s="457">
        <f t="shared" si="21"/>
        <v>0</v>
      </c>
      <c r="ET9" s="457">
        <f t="shared" si="43"/>
        <v>0</v>
      </c>
      <c r="EU9" s="409">
        <v>20</v>
      </c>
      <c r="EV9" s="43">
        <v>20</v>
      </c>
      <c r="EW9" s="43">
        <f t="shared" si="44"/>
        <v>20</v>
      </c>
      <c r="EX9" s="43">
        <f t="shared" si="22"/>
        <v>20</v>
      </c>
      <c r="EY9" s="43">
        <f t="shared" si="45"/>
        <v>20</v>
      </c>
      <c r="EZ9" s="436">
        <v>40</v>
      </c>
      <c r="FA9" s="437"/>
      <c r="FB9" s="437">
        <f t="shared" si="46"/>
        <v>0</v>
      </c>
      <c r="FC9" s="437">
        <f t="shared" si="23"/>
        <v>40</v>
      </c>
      <c r="FD9" s="437">
        <f t="shared" si="47"/>
        <v>40</v>
      </c>
      <c r="FE9" s="442">
        <v>200</v>
      </c>
      <c r="FF9" s="443"/>
      <c r="FG9" s="443">
        <f t="shared" si="48"/>
        <v>200</v>
      </c>
      <c r="FH9" s="443">
        <f t="shared" si="24"/>
        <v>0</v>
      </c>
      <c r="FI9" s="443">
        <f t="shared" si="49"/>
        <v>0</v>
      </c>
      <c r="FJ9" s="392">
        <v>900</v>
      </c>
      <c r="FK9" s="298"/>
      <c r="FL9" s="298">
        <f t="shared" si="50"/>
        <v>630</v>
      </c>
      <c r="FM9" s="298">
        <f t="shared" si="25"/>
        <v>270</v>
      </c>
      <c r="FN9" s="498">
        <f t="shared" si="51"/>
        <v>270</v>
      </c>
      <c r="HC9" s="402">
        <v>400</v>
      </c>
      <c r="HD9" s="52"/>
      <c r="HE9" s="52">
        <f t="shared" si="52"/>
        <v>400</v>
      </c>
      <c r="HF9" s="52">
        <f t="shared" si="26"/>
        <v>0</v>
      </c>
      <c r="HG9" s="51"/>
      <c r="HH9" s="52">
        <f t="shared" si="101"/>
        <v>0</v>
      </c>
      <c r="HI9" s="51"/>
      <c r="HJ9" s="1047"/>
    </row>
    <row r="10" spans="1:218" ht="15" customHeight="1">
      <c r="A10" s="30">
        <v>44673</v>
      </c>
      <c r="B10" s="390">
        <v>511353</v>
      </c>
      <c r="C10" s="18">
        <f t="shared" si="27"/>
        <v>1818841</v>
      </c>
      <c r="D10" s="376">
        <v>3598.6</v>
      </c>
      <c r="E10" s="417">
        <f t="shared" si="28"/>
        <v>30922.239999999998</v>
      </c>
      <c r="F10" s="397">
        <v>13500</v>
      </c>
      <c r="G10" s="37"/>
      <c r="H10" s="37">
        <f t="shared" si="0"/>
        <v>11500</v>
      </c>
      <c r="I10" s="37">
        <f t="shared" si="1"/>
        <v>2000</v>
      </c>
      <c r="J10" s="37">
        <f t="shared" si="2"/>
        <v>555.77168899016283</v>
      </c>
      <c r="K10" s="37">
        <f t="shared" si="29"/>
        <v>16267</v>
      </c>
      <c r="L10" s="37">
        <f t="shared" si="3"/>
        <v>526.06150136600718</v>
      </c>
      <c r="M10" s="1101"/>
      <c r="N10" s="422">
        <v>150</v>
      </c>
      <c r="O10" s="423"/>
      <c r="P10" s="423">
        <f t="shared" si="4"/>
        <v>150</v>
      </c>
      <c r="Q10" s="423">
        <f t="shared" si="5"/>
        <v>0</v>
      </c>
      <c r="R10" s="423">
        <f t="shared" si="30"/>
        <v>300</v>
      </c>
      <c r="S10" s="489">
        <v>3.62</v>
      </c>
      <c r="T10" s="67">
        <v>24</v>
      </c>
      <c r="U10" s="68">
        <f t="shared" si="53"/>
        <v>43.44</v>
      </c>
      <c r="V10" s="68">
        <f t="shared" si="6"/>
        <v>12.071361084866338</v>
      </c>
      <c r="W10" s="423">
        <f t="shared" si="54"/>
        <v>339.24</v>
      </c>
      <c r="X10" s="68">
        <f t="shared" si="7"/>
        <v>10.970744680851064</v>
      </c>
      <c r="Y10" s="1073"/>
      <c r="Z10" s="424">
        <v>200</v>
      </c>
      <c r="AA10" s="425"/>
      <c r="AB10" s="425">
        <f t="shared" si="55"/>
        <v>150</v>
      </c>
      <c r="AC10" s="425">
        <f t="shared" si="56"/>
        <v>50</v>
      </c>
      <c r="AD10" s="425">
        <f t="shared" si="57"/>
        <v>50</v>
      </c>
      <c r="AE10" s="490">
        <v>1.1100000000000001</v>
      </c>
      <c r="AF10" s="71">
        <v>12</v>
      </c>
      <c r="AG10" s="72">
        <f t="shared" si="58"/>
        <v>6.66</v>
      </c>
      <c r="AH10" s="72">
        <f t="shared" si="8"/>
        <v>1.8507197243372424</v>
      </c>
      <c r="AI10" s="425">
        <f t="shared" si="59"/>
        <v>93.3</v>
      </c>
      <c r="AJ10" s="72">
        <f t="shared" si="9"/>
        <v>3.017245839887408</v>
      </c>
      <c r="AK10" s="1075"/>
      <c r="AL10" s="491">
        <v>32623</v>
      </c>
      <c r="AM10" s="491"/>
      <c r="AN10" s="492">
        <f t="shared" si="31"/>
        <v>32623</v>
      </c>
      <c r="AO10" s="492">
        <f t="shared" si="32"/>
        <v>0</v>
      </c>
      <c r="AP10" s="492">
        <f t="shared" si="60"/>
        <v>0</v>
      </c>
      <c r="AQ10" s="493">
        <f t="shared" si="10"/>
        <v>0</v>
      </c>
      <c r="AR10" s="1087"/>
      <c r="AS10" s="413">
        <v>49235</v>
      </c>
      <c r="AT10" s="66"/>
      <c r="AU10" s="66">
        <f t="shared" si="61"/>
        <v>49235</v>
      </c>
      <c r="AV10" s="66">
        <f t="shared" si="11"/>
        <v>0</v>
      </c>
      <c r="AW10" s="412">
        <f t="shared" si="62"/>
        <v>0</v>
      </c>
      <c r="AX10" s="66">
        <f t="shared" si="63"/>
        <v>0</v>
      </c>
      <c r="AY10" s="412">
        <f t="shared" si="64"/>
        <v>0</v>
      </c>
      <c r="AZ10" s="1095"/>
      <c r="BA10" s="419">
        <v>18675</v>
      </c>
      <c r="BB10" s="419"/>
      <c r="BC10" s="407"/>
      <c r="BD10" s="419">
        <f t="shared" si="33"/>
        <v>18675</v>
      </c>
      <c r="BE10" s="419">
        <f t="shared" si="34"/>
        <v>0</v>
      </c>
      <c r="BF10" s="407">
        <f t="shared" si="65"/>
        <v>0</v>
      </c>
      <c r="BG10" s="419">
        <f t="shared" si="66"/>
        <v>0</v>
      </c>
      <c r="BH10" s="407">
        <f t="shared" si="67"/>
        <v>0</v>
      </c>
      <c r="BI10" s="407">
        <f t="shared" si="68"/>
        <v>0</v>
      </c>
      <c r="BJ10" s="1089"/>
      <c r="BK10" s="1092"/>
      <c r="BL10" s="402">
        <v>1340</v>
      </c>
      <c r="BM10" s="52"/>
      <c r="BN10" s="52">
        <f t="shared" si="69"/>
        <v>1261</v>
      </c>
      <c r="BO10" s="52">
        <f t="shared" si="12"/>
        <v>79</v>
      </c>
      <c r="BP10" s="406">
        <f t="shared" si="70"/>
        <v>0.15449210232461724</v>
      </c>
      <c r="BQ10" s="52">
        <f t="shared" si="71"/>
        <v>489</v>
      </c>
      <c r="BR10" s="406">
        <f t="shared" si="72"/>
        <v>0.26885252751614902</v>
      </c>
      <c r="BS10" s="1112"/>
      <c r="BT10" s="409">
        <v>1228</v>
      </c>
      <c r="BU10" s="43"/>
      <c r="BV10" s="43">
        <f t="shared" si="73"/>
        <v>1211</v>
      </c>
      <c r="BW10" s="43">
        <f t="shared" si="13"/>
        <v>17</v>
      </c>
      <c r="BX10" s="42">
        <f t="shared" si="74"/>
        <v>3.3245135943272067E-2</v>
      </c>
      <c r="BY10" s="43">
        <f t="shared" si="75"/>
        <v>176</v>
      </c>
      <c r="BZ10" s="42">
        <f t="shared" si="76"/>
        <v>9.6764917879022957E-2</v>
      </c>
      <c r="CA10" s="1058"/>
      <c r="CB10" s="392">
        <v>3277</v>
      </c>
      <c r="CC10" s="298"/>
      <c r="CD10" s="298">
        <f t="shared" si="35"/>
        <v>2530</v>
      </c>
      <c r="CE10" s="298">
        <f t="shared" si="14"/>
        <v>747</v>
      </c>
      <c r="CF10" s="297">
        <f t="shared" si="77"/>
        <v>1.4608303852720137</v>
      </c>
      <c r="CG10" s="298">
        <f t="shared" si="78"/>
        <v>8970</v>
      </c>
      <c r="CH10" s="297">
        <f t="shared" si="79"/>
        <v>4.9317120078115675</v>
      </c>
      <c r="CI10" s="1061"/>
      <c r="CJ10" s="651"/>
      <c r="CK10" s="651"/>
      <c r="CL10" s="651"/>
      <c r="CM10" s="651"/>
      <c r="CN10" s="651"/>
      <c r="CO10" s="464">
        <v>0</v>
      </c>
      <c r="CP10" s="465"/>
      <c r="CQ10" s="465">
        <f t="shared" si="36"/>
        <v>0</v>
      </c>
      <c r="CR10" s="465">
        <f t="shared" si="15"/>
        <v>0</v>
      </c>
      <c r="CS10" s="486">
        <f t="shared" si="80"/>
        <v>0</v>
      </c>
      <c r="CT10" s="465">
        <f t="shared" si="81"/>
        <v>120</v>
      </c>
      <c r="CU10" s="486">
        <f t="shared" si="82"/>
        <v>6.5976080372061111E-2</v>
      </c>
      <c r="CV10" s="1069"/>
      <c r="CW10" s="427">
        <v>5</v>
      </c>
      <c r="CX10" s="427"/>
      <c r="CY10" s="427">
        <f t="shared" si="83"/>
        <v>5</v>
      </c>
      <c r="CZ10" s="427">
        <f t="shared" si="84"/>
        <v>0</v>
      </c>
      <c r="DA10" s="607">
        <f t="shared" si="85"/>
        <v>0</v>
      </c>
      <c r="DB10" s="607">
        <f t="shared" si="86"/>
        <v>0</v>
      </c>
      <c r="DC10" s="607">
        <f t="shared" si="87"/>
        <v>0</v>
      </c>
      <c r="DD10" s="1081"/>
      <c r="DE10" s="471">
        <v>5.6</v>
      </c>
      <c r="DF10" s="473"/>
      <c r="DG10" s="473">
        <f t="shared" si="37"/>
        <v>5.6</v>
      </c>
      <c r="DH10" s="473">
        <f t="shared" si="16"/>
        <v>0</v>
      </c>
      <c r="DI10" s="227">
        <f t="shared" si="88"/>
        <v>0</v>
      </c>
      <c r="DJ10" s="473">
        <f t="shared" si="89"/>
        <v>5.6</v>
      </c>
      <c r="DK10" s="227">
        <f t="shared" si="90"/>
        <v>3.078883750696185E-3</v>
      </c>
      <c r="DL10" s="1038"/>
      <c r="DM10" s="413">
        <v>1700</v>
      </c>
      <c r="DN10" s="66"/>
      <c r="DO10" s="66">
        <f t="shared" si="91"/>
        <v>1550</v>
      </c>
      <c r="DP10" s="66">
        <f t="shared" si="17"/>
        <v>150</v>
      </c>
      <c r="DQ10" s="412">
        <f t="shared" si="92"/>
        <v>0.29333943479357705</v>
      </c>
      <c r="DR10" s="66">
        <f t="shared" si="93"/>
        <v>450</v>
      </c>
      <c r="DS10" s="412">
        <f t="shared" si="94"/>
        <v>0.24741030139522915</v>
      </c>
      <c r="DT10" s="1095"/>
      <c r="DU10" s="596">
        <v>400</v>
      </c>
      <c r="DV10" s="596"/>
      <c r="DW10" s="596">
        <f t="shared" si="38"/>
        <v>400</v>
      </c>
      <c r="DX10" s="596">
        <f t="shared" si="18"/>
        <v>0</v>
      </c>
      <c r="DY10" s="592">
        <f t="shared" si="95"/>
        <v>0</v>
      </c>
      <c r="DZ10" s="596">
        <f t="shared" si="96"/>
        <v>0</v>
      </c>
      <c r="EA10" s="592">
        <f t="shared" si="97"/>
        <v>0</v>
      </c>
      <c r="EB10" s="1032"/>
      <c r="EC10" s="448">
        <v>205</v>
      </c>
      <c r="ED10" s="449"/>
      <c r="EE10" s="449">
        <f t="shared" si="39"/>
        <v>205</v>
      </c>
      <c r="EF10" s="449">
        <f t="shared" si="19"/>
        <v>0</v>
      </c>
      <c r="EG10" s="450">
        <f t="shared" si="98"/>
        <v>0</v>
      </c>
      <c r="EH10" s="449">
        <f t="shared" si="99"/>
        <v>55</v>
      </c>
      <c r="EI10" s="450">
        <f t="shared" si="100"/>
        <v>3.0239036837194675E-2</v>
      </c>
      <c r="EJ10" s="1035"/>
      <c r="EK10" s="426">
        <v>1680</v>
      </c>
      <c r="EL10" s="427"/>
      <c r="EM10" s="427">
        <f t="shared" si="40"/>
        <v>1260</v>
      </c>
      <c r="EN10" s="427">
        <f t="shared" si="20"/>
        <v>420</v>
      </c>
      <c r="EO10" s="427">
        <f t="shared" si="41"/>
        <v>1812</v>
      </c>
      <c r="EP10" s="456">
        <v>70</v>
      </c>
      <c r="EQ10" s="457"/>
      <c r="ER10" s="457">
        <f t="shared" si="42"/>
        <v>70</v>
      </c>
      <c r="ES10" s="457">
        <f t="shared" si="21"/>
        <v>0</v>
      </c>
      <c r="ET10" s="457">
        <f t="shared" si="43"/>
        <v>0</v>
      </c>
      <c r="EU10" s="409">
        <v>20</v>
      </c>
      <c r="EV10" s="43"/>
      <c r="EW10" s="43">
        <f t="shared" si="44"/>
        <v>20</v>
      </c>
      <c r="EX10" s="43">
        <f t="shared" si="22"/>
        <v>0</v>
      </c>
      <c r="EY10" s="43">
        <f t="shared" si="45"/>
        <v>20</v>
      </c>
      <c r="EZ10" s="436">
        <v>0</v>
      </c>
      <c r="FA10" s="437"/>
      <c r="FB10" s="437">
        <f t="shared" si="46"/>
        <v>0</v>
      </c>
      <c r="FC10" s="437">
        <f t="shared" si="23"/>
        <v>0</v>
      </c>
      <c r="FD10" s="437">
        <f t="shared" si="47"/>
        <v>40</v>
      </c>
      <c r="FE10" s="442">
        <v>200</v>
      </c>
      <c r="FF10" s="443"/>
      <c r="FG10" s="443">
        <f t="shared" si="48"/>
        <v>200</v>
      </c>
      <c r="FH10" s="443">
        <f t="shared" si="24"/>
        <v>0</v>
      </c>
      <c r="FI10" s="443">
        <f t="shared" si="49"/>
        <v>0</v>
      </c>
      <c r="FJ10" s="392">
        <v>630</v>
      </c>
      <c r="FK10" s="298"/>
      <c r="FL10" s="298">
        <f t="shared" si="50"/>
        <v>400</v>
      </c>
      <c r="FM10" s="298">
        <f t="shared" si="25"/>
        <v>230</v>
      </c>
      <c r="FN10" s="498">
        <f t="shared" si="51"/>
        <v>500</v>
      </c>
      <c r="HC10" s="402">
        <v>400</v>
      </c>
      <c r="HD10" s="52"/>
      <c r="HE10" s="52">
        <f t="shared" si="52"/>
        <v>400</v>
      </c>
      <c r="HF10" s="52">
        <f t="shared" si="26"/>
        <v>0</v>
      </c>
      <c r="HG10" s="51"/>
      <c r="HH10" s="52">
        <f t="shared" si="101"/>
        <v>0</v>
      </c>
      <c r="HI10" s="51"/>
      <c r="HJ10" s="1047"/>
    </row>
    <row r="11" spans="1:218" ht="15" customHeight="1">
      <c r="A11" s="30">
        <v>44674</v>
      </c>
      <c r="B11" s="390">
        <v>431903</v>
      </c>
      <c r="C11" s="18">
        <f t="shared" si="27"/>
        <v>2250744</v>
      </c>
      <c r="D11" s="376">
        <v>7755.2</v>
      </c>
      <c r="E11" s="417">
        <f t="shared" si="28"/>
        <v>38677.439999999995</v>
      </c>
      <c r="F11" s="397">
        <v>11500</v>
      </c>
      <c r="G11" s="37"/>
      <c r="H11" s="37">
        <f t="shared" si="0"/>
        <v>7000</v>
      </c>
      <c r="I11" s="37">
        <f t="shared" si="1"/>
        <v>4500</v>
      </c>
      <c r="J11" s="37">
        <f t="shared" si="2"/>
        <v>580.25582834743136</v>
      </c>
      <c r="K11" s="37">
        <f t="shared" si="29"/>
        <v>20767</v>
      </c>
      <c r="L11" s="37">
        <f t="shared" si="3"/>
        <v>536.92798696087436</v>
      </c>
      <c r="M11" s="1101"/>
      <c r="N11" s="422">
        <v>150</v>
      </c>
      <c r="O11" s="423"/>
      <c r="P11" s="423">
        <f t="shared" si="4"/>
        <v>50</v>
      </c>
      <c r="Q11" s="423">
        <f t="shared" si="5"/>
        <v>100</v>
      </c>
      <c r="R11" s="423">
        <f t="shared" si="30"/>
        <v>400</v>
      </c>
      <c r="S11" s="489">
        <v>6.22</v>
      </c>
      <c r="T11" s="67">
        <v>24</v>
      </c>
      <c r="U11" s="68">
        <f t="shared" si="53"/>
        <v>74.64</v>
      </c>
      <c r="V11" s="68">
        <f t="shared" si="6"/>
        <v>9.6245100061893964</v>
      </c>
      <c r="W11" s="423">
        <f t="shared" si="54"/>
        <v>413.88</v>
      </c>
      <c r="X11" s="68">
        <f t="shared" si="7"/>
        <v>10.700811635930405</v>
      </c>
      <c r="Y11" s="1073"/>
      <c r="Z11" s="424">
        <v>150</v>
      </c>
      <c r="AA11" s="425"/>
      <c r="AB11" s="425">
        <f t="shared" si="55"/>
        <v>150</v>
      </c>
      <c r="AC11" s="425">
        <f t="shared" si="56"/>
        <v>0</v>
      </c>
      <c r="AD11" s="425">
        <f t="shared" si="57"/>
        <v>50</v>
      </c>
      <c r="AE11" s="490">
        <v>2.37</v>
      </c>
      <c r="AF11" s="71">
        <v>12</v>
      </c>
      <c r="AG11" s="72">
        <f t="shared" si="58"/>
        <v>14.22</v>
      </c>
      <c r="AH11" s="72">
        <f t="shared" si="8"/>
        <v>1.8336084175778833</v>
      </c>
      <c r="AI11" s="425">
        <f t="shared" si="59"/>
        <v>107.52</v>
      </c>
      <c r="AJ11" s="72">
        <f t="shared" si="9"/>
        <v>2.779915113306362</v>
      </c>
      <c r="AK11" s="1075"/>
      <c r="AL11" s="491">
        <v>32623</v>
      </c>
      <c r="AM11" s="491"/>
      <c r="AN11" s="492">
        <f t="shared" si="31"/>
        <v>32623</v>
      </c>
      <c r="AO11" s="492">
        <f t="shared" si="32"/>
        <v>0</v>
      </c>
      <c r="AP11" s="492">
        <f t="shared" si="60"/>
        <v>0</v>
      </c>
      <c r="AQ11" s="493">
        <f t="shared" si="10"/>
        <v>0</v>
      </c>
      <c r="AR11" s="1087"/>
      <c r="AS11" s="413">
        <v>49235</v>
      </c>
      <c r="AT11" s="66"/>
      <c r="AU11" s="66">
        <f t="shared" si="61"/>
        <v>49235</v>
      </c>
      <c r="AV11" s="66">
        <f t="shared" si="11"/>
        <v>0</v>
      </c>
      <c r="AW11" s="412">
        <f t="shared" si="62"/>
        <v>0</v>
      </c>
      <c r="AX11" s="66">
        <f t="shared" si="63"/>
        <v>0</v>
      </c>
      <c r="AY11" s="412">
        <f t="shared" si="64"/>
        <v>0</v>
      </c>
      <c r="AZ11" s="1095"/>
      <c r="BA11" s="419">
        <v>18675</v>
      </c>
      <c r="BB11" s="419">
        <v>26820</v>
      </c>
      <c r="BC11" s="407">
        <v>11.7</v>
      </c>
      <c r="BD11" s="419">
        <f t="shared" si="33"/>
        <v>45495</v>
      </c>
      <c r="BE11" s="419">
        <f t="shared" si="34"/>
        <v>0</v>
      </c>
      <c r="BF11" s="407">
        <f t="shared" si="65"/>
        <v>0</v>
      </c>
      <c r="BG11" s="419">
        <f t="shared" si="66"/>
        <v>0</v>
      </c>
      <c r="BH11" s="407">
        <f t="shared" si="67"/>
        <v>0</v>
      </c>
      <c r="BI11" s="407">
        <f t="shared" si="68"/>
        <v>0</v>
      </c>
      <c r="BJ11" s="1089"/>
      <c r="BK11" s="1092"/>
      <c r="BL11" s="402">
        <v>1261</v>
      </c>
      <c r="BM11" s="52"/>
      <c r="BN11" s="52">
        <f t="shared" si="69"/>
        <v>1151</v>
      </c>
      <c r="BO11" s="52">
        <f t="shared" si="12"/>
        <v>110</v>
      </c>
      <c r="BP11" s="406">
        <f t="shared" si="70"/>
        <v>0.25468681625272344</v>
      </c>
      <c r="BQ11" s="52">
        <f t="shared" si="71"/>
        <v>599</v>
      </c>
      <c r="BR11" s="406">
        <f t="shared" si="72"/>
        <v>0.26613422050664137</v>
      </c>
      <c r="BS11" s="1112"/>
      <c r="BT11" s="409">
        <v>1211</v>
      </c>
      <c r="BU11" s="43"/>
      <c r="BV11" s="43">
        <f t="shared" si="73"/>
        <v>1137</v>
      </c>
      <c r="BW11" s="43">
        <f t="shared" si="13"/>
        <v>74</v>
      </c>
      <c r="BX11" s="42">
        <f t="shared" si="74"/>
        <v>0.17133476729728667</v>
      </c>
      <c r="BY11" s="43">
        <f t="shared" si="75"/>
        <v>250</v>
      </c>
      <c r="BZ11" s="42">
        <f t="shared" si="76"/>
        <v>0.11107438251529272</v>
      </c>
      <c r="CA11" s="1058"/>
      <c r="CB11" s="392">
        <v>2530</v>
      </c>
      <c r="CC11" s="298"/>
      <c r="CD11" s="298">
        <f t="shared" si="35"/>
        <v>2243</v>
      </c>
      <c r="CE11" s="298">
        <f t="shared" si="14"/>
        <v>287</v>
      </c>
      <c r="CF11" s="297">
        <f t="shared" si="77"/>
        <v>0.66450105695028749</v>
      </c>
      <c r="CG11" s="298">
        <f t="shared" si="78"/>
        <v>9257</v>
      </c>
      <c r="CH11" s="297">
        <f t="shared" si="79"/>
        <v>4.1128622357762588</v>
      </c>
      <c r="CI11" s="1061"/>
      <c r="CJ11" s="651"/>
      <c r="CK11" s="651"/>
      <c r="CL11" s="651"/>
      <c r="CM11" s="651"/>
      <c r="CN11" s="651"/>
      <c r="CO11" s="464">
        <v>0</v>
      </c>
      <c r="CP11" s="465"/>
      <c r="CQ11" s="465">
        <f t="shared" si="36"/>
        <v>0</v>
      </c>
      <c r="CR11" s="465">
        <f t="shared" si="15"/>
        <v>0</v>
      </c>
      <c r="CS11" s="486">
        <f t="shared" si="80"/>
        <v>0</v>
      </c>
      <c r="CT11" s="465">
        <f t="shared" si="81"/>
        <v>120</v>
      </c>
      <c r="CU11" s="486">
        <f t="shared" si="82"/>
        <v>5.3315703607340503E-2</v>
      </c>
      <c r="CV11" s="1069"/>
      <c r="CW11" s="427">
        <v>5</v>
      </c>
      <c r="CX11" s="427"/>
      <c r="CY11" s="427">
        <f t="shared" si="83"/>
        <v>5</v>
      </c>
      <c r="CZ11" s="427">
        <f t="shared" si="84"/>
        <v>0</v>
      </c>
      <c r="DA11" s="607">
        <f t="shared" si="85"/>
        <v>0</v>
      </c>
      <c r="DB11" s="607">
        <f t="shared" si="86"/>
        <v>0</v>
      </c>
      <c r="DC11" s="607">
        <f t="shared" si="87"/>
        <v>0</v>
      </c>
      <c r="DD11" s="1081"/>
      <c r="DE11" s="471">
        <v>5.6</v>
      </c>
      <c r="DF11" s="473"/>
      <c r="DG11" s="473">
        <f t="shared" si="37"/>
        <v>5.6</v>
      </c>
      <c r="DH11" s="473">
        <f t="shared" si="16"/>
        <v>0</v>
      </c>
      <c r="DI11" s="227">
        <f t="shared" si="88"/>
        <v>0</v>
      </c>
      <c r="DJ11" s="473">
        <f t="shared" si="89"/>
        <v>5.6</v>
      </c>
      <c r="DK11" s="227">
        <f t="shared" si="90"/>
        <v>2.4880661683425571E-3</v>
      </c>
      <c r="DL11" s="1038"/>
      <c r="DM11" s="413">
        <v>1550</v>
      </c>
      <c r="DN11" s="66"/>
      <c r="DO11" s="66">
        <f t="shared" si="91"/>
        <v>1400</v>
      </c>
      <c r="DP11" s="66">
        <f t="shared" si="17"/>
        <v>150</v>
      </c>
      <c r="DQ11" s="412">
        <f t="shared" si="92"/>
        <v>0.34730020398098649</v>
      </c>
      <c r="DR11" s="66">
        <f t="shared" si="93"/>
        <v>600</v>
      </c>
      <c r="DS11" s="412">
        <f t="shared" si="94"/>
        <v>0.26657851803670252</v>
      </c>
      <c r="DT11" s="1095"/>
      <c r="DU11" s="596">
        <v>400</v>
      </c>
      <c r="DV11" s="596"/>
      <c r="DW11" s="596">
        <f t="shared" si="38"/>
        <v>400</v>
      </c>
      <c r="DX11" s="596">
        <f t="shared" si="18"/>
        <v>0</v>
      </c>
      <c r="DY11" s="592">
        <f t="shared" si="95"/>
        <v>0</v>
      </c>
      <c r="DZ11" s="596">
        <f t="shared" si="96"/>
        <v>0</v>
      </c>
      <c r="EA11" s="592">
        <f t="shared" si="97"/>
        <v>0</v>
      </c>
      <c r="EB11" s="1032"/>
      <c r="EC11" s="448">
        <v>205</v>
      </c>
      <c r="ED11" s="449"/>
      <c r="EE11" s="449">
        <f t="shared" si="39"/>
        <v>150</v>
      </c>
      <c r="EF11" s="449">
        <f t="shared" si="19"/>
        <v>55</v>
      </c>
      <c r="EG11" s="450">
        <f t="shared" si="98"/>
        <v>0.12734340812636172</v>
      </c>
      <c r="EH11" s="449">
        <f t="shared" si="99"/>
        <v>110</v>
      </c>
      <c r="EI11" s="450">
        <f t="shared" si="100"/>
        <v>4.8872728306728799E-2</v>
      </c>
      <c r="EJ11" s="1035"/>
      <c r="EK11" s="426">
        <v>1260</v>
      </c>
      <c r="EL11" s="427"/>
      <c r="EM11" s="427">
        <f t="shared" si="40"/>
        <v>912</v>
      </c>
      <c r="EN11" s="427">
        <f t="shared" si="20"/>
        <v>348</v>
      </c>
      <c r="EO11" s="427">
        <f t="shared" si="41"/>
        <v>2160</v>
      </c>
      <c r="EP11" s="456">
        <v>70</v>
      </c>
      <c r="EQ11" s="457"/>
      <c r="ER11" s="457">
        <f t="shared" si="42"/>
        <v>56</v>
      </c>
      <c r="ES11" s="457">
        <f t="shared" si="21"/>
        <v>14</v>
      </c>
      <c r="ET11" s="457">
        <f t="shared" si="43"/>
        <v>14</v>
      </c>
      <c r="EU11" s="409">
        <v>20</v>
      </c>
      <c r="EV11" s="43"/>
      <c r="EW11" s="43">
        <f t="shared" si="44"/>
        <v>20</v>
      </c>
      <c r="EX11" s="43">
        <f t="shared" si="22"/>
        <v>0</v>
      </c>
      <c r="EY11" s="43">
        <f t="shared" si="45"/>
        <v>20</v>
      </c>
      <c r="EZ11" s="436">
        <v>0</v>
      </c>
      <c r="FA11" s="437"/>
      <c r="FB11" s="437">
        <f t="shared" si="46"/>
        <v>0</v>
      </c>
      <c r="FC11" s="437">
        <f t="shared" si="23"/>
        <v>0</v>
      </c>
      <c r="FD11" s="437">
        <f t="shared" si="47"/>
        <v>40</v>
      </c>
      <c r="FE11" s="442">
        <v>200</v>
      </c>
      <c r="FF11" s="443"/>
      <c r="FG11" s="443">
        <f t="shared" si="48"/>
        <v>200</v>
      </c>
      <c r="FH11" s="443">
        <f t="shared" si="24"/>
        <v>0</v>
      </c>
      <c r="FI11" s="443">
        <f t="shared" si="49"/>
        <v>0</v>
      </c>
      <c r="FJ11" s="392">
        <v>400</v>
      </c>
      <c r="FK11" s="298"/>
      <c r="FL11" s="298">
        <f t="shared" si="50"/>
        <v>180</v>
      </c>
      <c r="FM11" s="298">
        <f t="shared" si="25"/>
        <v>220</v>
      </c>
      <c r="FN11" s="498">
        <f t="shared" si="51"/>
        <v>720</v>
      </c>
      <c r="HC11" s="402">
        <v>400</v>
      </c>
      <c r="HD11" s="52"/>
      <c r="HE11" s="52">
        <f t="shared" si="52"/>
        <v>400</v>
      </c>
      <c r="HF11" s="52">
        <f t="shared" si="26"/>
        <v>0</v>
      </c>
      <c r="HG11" s="51"/>
      <c r="HH11" s="52">
        <f t="shared" si="101"/>
        <v>0</v>
      </c>
      <c r="HI11" s="51"/>
      <c r="HJ11" s="1047"/>
    </row>
    <row r="12" spans="1:218" ht="15" customHeight="1">
      <c r="A12" s="30">
        <v>44675</v>
      </c>
      <c r="B12" s="390">
        <v>588716</v>
      </c>
      <c r="C12" s="18">
        <f t="shared" si="27"/>
        <v>2839460</v>
      </c>
      <c r="D12" s="376">
        <v>7789.28</v>
      </c>
      <c r="E12" s="417">
        <f t="shared" si="28"/>
        <v>46466.719999999994</v>
      </c>
      <c r="F12" s="397">
        <v>7000</v>
      </c>
      <c r="G12" s="37"/>
      <c r="H12" s="37">
        <f t="shared" si="0"/>
        <v>4000</v>
      </c>
      <c r="I12" s="37">
        <f t="shared" si="1"/>
        <v>3000</v>
      </c>
      <c r="J12" s="37">
        <f t="shared" si="2"/>
        <v>385.14471170634516</v>
      </c>
      <c r="K12" s="37">
        <f t="shared" si="29"/>
        <v>23767</v>
      </c>
      <c r="L12" s="37">
        <f t="shared" si="3"/>
        <v>511.48434836803636</v>
      </c>
      <c r="M12" s="1101"/>
      <c r="N12" s="422">
        <v>50</v>
      </c>
      <c r="O12" s="423">
        <v>225</v>
      </c>
      <c r="P12" s="423">
        <f t="shared" si="4"/>
        <v>175</v>
      </c>
      <c r="Q12" s="423">
        <f t="shared" si="5"/>
        <v>100</v>
      </c>
      <c r="R12" s="423">
        <f t="shared" si="30"/>
        <v>500</v>
      </c>
      <c r="S12" s="489">
        <v>6.67</v>
      </c>
      <c r="T12" s="67">
        <v>24</v>
      </c>
      <c r="U12" s="68">
        <f t="shared" si="53"/>
        <v>80.039999999999992</v>
      </c>
      <c r="V12" s="68">
        <f t="shared" si="6"/>
        <v>10.275660908325287</v>
      </c>
      <c r="W12" s="423">
        <f t="shared" si="54"/>
        <v>493.91999999999996</v>
      </c>
      <c r="X12" s="68">
        <f t="shared" si="7"/>
        <v>10.629543036392498</v>
      </c>
      <c r="Y12" s="1073"/>
      <c r="Z12" s="424">
        <v>150</v>
      </c>
      <c r="AA12" s="425"/>
      <c r="AB12" s="425">
        <f t="shared" si="55"/>
        <v>150</v>
      </c>
      <c r="AC12" s="425">
        <f t="shared" si="56"/>
        <v>0</v>
      </c>
      <c r="AD12" s="425">
        <f t="shared" si="57"/>
        <v>50</v>
      </c>
      <c r="AE12" s="490">
        <v>2</v>
      </c>
      <c r="AF12" s="71">
        <v>12</v>
      </c>
      <c r="AG12" s="72">
        <f t="shared" si="58"/>
        <v>12</v>
      </c>
      <c r="AH12" s="72">
        <f t="shared" si="8"/>
        <v>1.5405788468253805</v>
      </c>
      <c r="AI12" s="425">
        <f t="shared" si="59"/>
        <v>119.52</v>
      </c>
      <c r="AJ12" s="72">
        <f t="shared" si="9"/>
        <v>2.5721634752786513</v>
      </c>
      <c r="AK12" s="1075"/>
      <c r="AL12" s="491">
        <v>32623</v>
      </c>
      <c r="AM12" s="491"/>
      <c r="AN12" s="492">
        <f t="shared" si="31"/>
        <v>27227</v>
      </c>
      <c r="AO12" s="492">
        <f t="shared" si="32"/>
        <v>5396</v>
      </c>
      <c r="AP12" s="492">
        <f t="shared" si="60"/>
        <v>5396</v>
      </c>
      <c r="AQ12" s="493">
        <f t="shared" si="10"/>
        <v>116.12612209340364</v>
      </c>
      <c r="AR12" s="1087"/>
      <c r="AS12" s="413">
        <v>49235</v>
      </c>
      <c r="AT12" s="66"/>
      <c r="AU12" s="66">
        <f t="shared" si="61"/>
        <v>49235</v>
      </c>
      <c r="AV12" s="66">
        <f t="shared" si="11"/>
        <v>0</v>
      </c>
      <c r="AW12" s="412">
        <f t="shared" si="62"/>
        <v>0</v>
      </c>
      <c r="AX12" s="66">
        <f t="shared" si="63"/>
        <v>0</v>
      </c>
      <c r="AY12" s="412">
        <f t="shared" si="64"/>
        <v>0</v>
      </c>
      <c r="AZ12" s="1095"/>
      <c r="BA12" s="419">
        <v>45495</v>
      </c>
      <c r="BB12" s="419"/>
      <c r="BC12" s="407"/>
      <c r="BD12" s="419">
        <f t="shared" si="33"/>
        <v>45495</v>
      </c>
      <c r="BE12" s="419">
        <f t="shared" si="34"/>
        <v>0</v>
      </c>
      <c r="BF12" s="407">
        <f t="shared" si="65"/>
        <v>0</v>
      </c>
      <c r="BG12" s="419">
        <f t="shared" si="66"/>
        <v>0</v>
      </c>
      <c r="BH12" s="407">
        <f t="shared" si="67"/>
        <v>0</v>
      </c>
      <c r="BI12" s="407">
        <f t="shared" si="68"/>
        <v>0</v>
      </c>
      <c r="BJ12" s="1089"/>
      <c r="BK12" s="1092"/>
      <c r="BL12" s="402">
        <v>1151</v>
      </c>
      <c r="BM12" s="52">
        <v>850</v>
      </c>
      <c r="BN12" s="52">
        <f t="shared" si="69"/>
        <v>1583</v>
      </c>
      <c r="BO12" s="52">
        <f t="shared" si="12"/>
        <v>418</v>
      </c>
      <c r="BP12" s="406">
        <f t="shared" si="70"/>
        <v>0.71001977184245035</v>
      </c>
      <c r="BQ12" s="52">
        <f t="shared" si="71"/>
        <v>1017</v>
      </c>
      <c r="BR12" s="406">
        <f t="shared" si="72"/>
        <v>0.35816669366710574</v>
      </c>
      <c r="BS12" s="1112"/>
      <c r="BT12" s="409">
        <v>1137</v>
      </c>
      <c r="BU12" s="43">
        <v>1000</v>
      </c>
      <c r="BV12" s="43">
        <f t="shared" si="73"/>
        <v>2061</v>
      </c>
      <c r="BW12" s="43">
        <f t="shared" si="13"/>
        <v>76</v>
      </c>
      <c r="BX12" s="42">
        <f t="shared" si="74"/>
        <v>0.12909450397135461</v>
      </c>
      <c r="BY12" s="43">
        <f t="shared" si="75"/>
        <v>326</v>
      </c>
      <c r="BZ12" s="42">
        <f t="shared" si="76"/>
        <v>0.11481056257175661</v>
      </c>
      <c r="CA12" s="1058"/>
      <c r="CB12" s="392">
        <v>2243</v>
      </c>
      <c r="CC12" s="298"/>
      <c r="CD12" s="298">
        <f t="shared" si="35"/>
        <v>1725</v>
      </c>
      <c r="CE12" s="298">
        <f t="shared" si="14"/>
        <v>518</v>
      </c>
      <c r="CF12" s="297">
        <f t="shared" si="77"/>
        <v>0.87988096127844329</v>
      </c>
      <c r="CG12" s="298">
        <f t="shared" si="78"/>
        <v>9775</v>
      </c>
      <c r="CH12" s="297">
        <f t="shared" si="79"/>
        <v>3.4425559789537448</v>
      </c>
      <c r="CI12" s="1061"/>
      <c r="CJ12" s="651"/>
      <c r="CK12" s="651"/>
      <c r="CL12" s="651"/>
      <c r="CM12" s="651"/>
      <c r="CN12" s="651"/>
      <c r="CO12" s="464">
        <v>0</v>
      </c>
      <c r="CP12" s="465"/>
      <c r="CQ12" s="465">
        <f t="shared" si="36"/>
        <v>0</v>
      </c>
      <c r="CR12" s="465">
        <f t="shared" si="15"/>
        <v>0</v>
      </c>
      <c r="CS12" s="486">
        <f t="shared" si="80"/>
        <v>0</v>
      </c>
      <c r="CT12" s="465">
        <f t="shared" si="81"/>
        <v>120</v>
      </c>
      <c r="CU12" s="486">
        <f t="shared" si="82"/>
        <v>4.2261556774879729E-2</v>
      </c>
      <c r="CV12" s="1069"/>
      <c r="CW12" s="427">
        <v>5</v>
      </c>
      <c r="CX12" s="427"/>
      <c r="CY12" s="427">
        <f t="shared" si="83"/>
        <v>5</v>
      </c>
      <c r="CZ12" s="427">
        <f t="shared" si="84"/>
        <v>0</v>
      </c>
      <c r="DA12" s="607">
        <f t="shared" si="85"/>
        <v>0</v>
      </c>
      <c r="DB12" s="607">
        <f t="shared" si="86"/>
        <v>0</v>
      </c>
      <c r="DC12" s="607">
        <f t="shared" si="87"/>
        <v>0</v>
      </c>
      <c r="DD12" s="1081"/>
      <c r="DE12" s="471">
        <v>5.6</v>
      </c>
      <c r="DF12" s="473"/>
      <c r="DG12" s="473">
        <f t="shared" si="37"/>
        <v>5.6</v>
      </c>
      <c r="DH12" s="473">
        <f t="shared" si="16"/>
        <v>0</v>
      </c>
      <c r="DI12" s="227">
        <f t="shared" si="88"/>
        <v>0</v>
      </c>
      <c r="DJ12" s="473">
        <f t="shared" si="89"/>
        <v>5.6</v>
      </c>
      <c r="DK12" s="227">
        <f t="shared" si="90"/>
        <v>1.9722059828277206E-3</v>
      </c>
      <c r="DL12" s="1038"/>
      <c r="DM12" s="413">
        <v>1400</v>
      </c>
      <c r="DN12" s="66"/>
      <c r="DO12" s="66">
        <f t="shared" si="91"/>
        <v>1200</v>
      </c>
      <c r="DP12" s="66">
        <f t="shared" si="17"/>
        <v>200</v>
      </c>
      <c r="DQ12" s="412">
        <f t="shared" si="92"/>
        <v>0.33972237887198581</v>
      </c>
      <c r="DR12" s="66">
        <f t="shared" si="93"/>
        <v>800</v>
      </c>
      <c r="DS12" s="412">
        <f t="shared" si="94"/>
        <v>0.28174371183253155</v>
      </c>
      <c r="DT12" s="1095"/>
      <c r="DU12" s="596">
        <v>400</v>
      </c>
      <c r="DV12" s="596"/>
      <c r="DW12" s="596">
        <f t="shared" si="38"/>
        <v>400</v>
      </c>
      <c r="DX12" s="596">
        <f t="shared" si="18"/>
        <v>0</v>
      </c>
      <c r="DY12" s="592">
        <f t="shared" si="95"/>
        <v>0</v>
      </c>
      <c r="DZ12" s="596">
        <f t="shared" si="96"/>
        <v>0</v>
      </c>
      <c r="EA12" s="592">
        <f t="shared" si="97"/>
        <v>0</v>
      </c>
      <c r="EB12" s="1032"/>
      <c r="EC12" s="448">
        <v>150</v>
      </c>
      <c r="ED12" s="449">
        <v>55</v>
      </c>
      <c r="EE12" s="449">
        <f t="shared" si="39"/>
        <v>205</v>
      </c>
      <c r="EF12" s="449">
        <f t="shared" si="19"/>
        <v>0</v>
      </c>
      <c r="EG12" s="450">
        <f t="shared" si="98"/>
        <v>0</v>
      </c>
      <c r="EH12" s="449">
        <f t="shared" si="99"/>
        <v>110</v>
      </c>
      <c r="EI12" s="450">
        <f t="shared" si="100"/>
        <v>3.873976037697309E-2</v>
      </c>
      <c r="EJ12" s="1035"/>
      <c r="EK12" s="426">
        <v>912</v>
      </c>
      <c r="EL12" s="427"/>
      <c r="EM12" s="427">
        <f t="shared" si="40"/>
        <v>540</v>
      </c>
      <c r="EN12" s="427">
        <f t="shared" si="20"/>
        <v>372</v>
      </c>
      <c r="EO12" s="427">
        <f t="shared" si="41"/>
        <v>2532</v>
      </c>
      <c r="EP12" s="456">
        <v>56</v>
      </c>
      <c r="EQ12" s="457"/>
      <c r="ER12" s="457">
        <f t="shared" si="42"/>
        <v>56</v>
      </c>
      <c r="ES12" s="457">
        <f t="shared" si="21"/>
        <v>0</v>
      </c>
      <c r="ET12" s="457">
        <f t="shared" si="43"/>
        <v>14</v>
      </c>
      <c r="EU12" s="409">
        <v>20</v>
      </c>
      <c r="EV12" s="43"/>
      <c r="EW12" s="43">
        <f t="shared" si="44"/>
        <v>20</v>
      </c>
      <c r="EX12" s="43">
        <f t="shared" si="22"/>
        <v>0</v>
      </c>
      <c r="EY12" s="43">
        <f t="shared" si="45"/>
        <v>20</v>
      </c>
      <c r="EZ12" s="436">
        <v>0</v>
      </c>
      <c r="FA12" s="437">
        <v>50</v>
      </c>
      <c r="FB12" s="437">
        <f t="shared" si="46"/>
        <v>50</v>
      </c>
      <c r="FC12" s="437">
        <f t="shared" si="23"/>
        <v>0</v>
      </c>
      <c r="FD12" s="437">
        <f t="shared" si="47"/>
        <v>40</v>
      </c>
      <c r="FE12" s="442">
        <v>200</v>
      </c>
      <c r="FF12" s="443"/>
      <c r="FG12" s="443">
        <f t="shared" si="48"/>
        <v>200</v>
      </c>
      <c r="FH12" s="443">
        <f t="shared" si="24"/>
        <v>0</v>
      </c>
      <c r="FI12" s="443">
        <f t="shared" si="49"/>
        <v>0</v>
      </c>
      <c r="FJ12" s="392">
        <v>180</v>
      </c>
      <c r="FK12" s="298"/>
      <c r="FL12" s="298">
        <f t="shared" si="50"/>
        <v>72</v>
      </c>
      <c r="FM12" s="298">
        <f t="shared" si="25"/>
        <v>108</v>
      </c>
      <c r="FN12" s="498">
        <f t="shared" si="51"/>
        <v>828</v>
      </c>
      <c r="HC12" s="402">
        <v>400</v>
      </c>
      <c r="HD12" s="52"/>
      <c r="HE12" s="52">
        <f t="shared" si="52"/>
        <v>400</v>
      </c>
      <c r="HF12" s="52">
        <f t="shared" si="26"/>
        <v>0</v>
      </c>
      <c r="HG12" s="51"/>
      <c r="HH12" s="52">
        <f t="shared" si="101"/>
        <v>0</v>
      </c>
      <c r="HI12" s="51"/>
      <c r="HJ12" s="1047"/>
    </row>
    <row r="13" spans="1:218" ht="15" customHeight="1">
      <c r="A13" s="30">
        <v>44676</v>
      </c>
      <c r="B13" s="390">
        <v>598229</v>
      </c>
      <c r="C13" s="18">
        <f t="shared" si="27"/>
        <v>3437689</v>
      </c>
      <c r="D13" s="376">
        <v>6939.14</v>
      </c>
      <c r="E13" s="417">
        <f t="shared" si="28"/>
        <v>53405.859999999993</v>
      </c>
      <c r="F13" s="397">
        <v>4000</v>
      </c>
      <c r="G13" s="37"/>
      <c r="H13" s="37">
        <f t="shared" si="0"/>
        <v>0</v>
      </c>
      <c r="I13" s="37">
        <f t="shared" si="1"/>
        <v>4000</v>
      </c>
      <c r="J13" s="37">
        <f t="shared" si="2"/>
        <v>576.44030816498866</v>
      </c>
      <c r="K13" s="37">
        <f t="shared" si="29"/>
        <v>27767</v>
      </c>
      <c r="L13" s="37">
        <f t="shared" si="3"/>
        <v>519.92421805397396</v>
      </c>
      <c r="M13" s="1101"/>
      <c r="N13" s="422">
        <v>175</v>
      </c>
      <c r="O13" s="423"/>
      <c r="P13" s="423">
        <f t="shared" si="4"/>
        <v>125</v>
      </c>
      <c r="Q13" s="423">
        <f t="shared" si="5"/>
        <v>50</v>
      </c>
      <c r="R13" s="423">
        <f t="shared" si="30"/>
        <v>550</v>
      </c>
      <c r="S13" s="489">
        <v>5.82</v>
      </c>
      <c r="T13" s="67">
        <v>24</v>
      </c>
      <c r="U13" s="68">
        <f t="shared" si="53"/>
        <v>69.84</v>
      </c>
      <c r="V13" s="68">
        <f t="shared" si="6"/>
        <v>10.064647780560703</v>
      </c>
      <c r="W13" s="423">
        <f t="shared" si="54"/>
        <v>563.76</v>
      </c>
      <c r="X13" s="68">
        <f t="shared" si="7"/>
        <v>10.556144962369299</v>
      </c>
      <c r="Y13" s="1073"/>
      <c r="Z13" s="424">
        <v>150</v>
      </c>
      <c r="AA13" s="425"/>
      <c r="AB13" s="425">
        <f t="shared" si="55"/>
        <v>150</v>
      </c>
      <c r="AC13" s="425">
        <f t="shared" si="56"/>
        <v>0</v>
      </c>
      <c r="AD13" s="425">
        <f t="shared" si="57"/>
        <v>50</v>
      </c>
      <c r="AE13" s="490">
        <v>1.75</v>
      </c>
      <c r="AF13" s="71">
        <v>12</v>
      </c>
      <c r="AG13" s="72">
        <f t="shared" si="58"/>
        <v>10.5</v>
      </c>
      <c r="AH13" s="72">
        <f t="shared" si="8"/>
        <v>1.5131558089330954</v>
      </c>
      <c r="AI13" s="425">
        <f t="shared" si="59"/>
        <v>130.01999999999998</v>
      </c>
      <c r="AJ13" s="72">
        <f t="shared" si="9"/>
        <v>2.4345642968767849</v>
      </c>
      <c r="AK13" s="1075"/>
      <c r="AL13" s="491">
        <v>27227</v>
      </c>
      <c r="AM13" s="491"/>
      <c r="AN13" s="492">
        <f t="shared" si="31"/>
        <v>27227</v>
      </c>
      <c r="AO13" s="492">
        <f t="shared" si="32"/>
        <v>0</v>
      </c>
      <c r="AP13" s="492">
        <f t="shared" si="60"/>
        <v>5396</v>
      </c>
      <c r="AQ13" s="493">
        <f t="shared" si="10"/>
        <v>101.03760149167152</v>
      </c>
      <c r="AR13" s="1087"/>
      <c r="AS13" s="413">
        <v>49235</v>
      </c>
      <c r="AT13" s="66"/>
      <c r="AU13" s="66">
        <f t="shared" si="61"/>
        <v>49235</v>
      </c>
      <c r="AV13" s="66">
        <f t="shared" si="11"/>
        <v>0</v>
      </c>
      <c r="AW13" s="412">
        <f t="shared" si="62"/>
        <v>0</v>
      </c>
      <c r="AX13" s="66">
        <f t="shared" si="63"/>
        <v>0</v>
      </c>
      <c r="AY13" s="412">
        <f t="shared" si="64"/>
        <v>0</v>
      </c>
      <c r="AZ13" s="1095"/>
      <c r="BA13" s="419">
        <v>45495</v>
      </c>
      <c r="BB13" s="419"/>
      <c r="BC13" s="407"/>
      <c r="BD13" s="419">
        <f t="shared" si="33"/>
        <v>45495</v>
      </c>
      <c r="BE13" s="419">
        <f t="shared" si="34"/>
        <v>0</v>
      </c>
      <c r="BF13" s="407">
        <f t="shared" si="65"/>
        <v>0</v>
      </c>
      <c r="BG13" s="419">
        <f t="shared" si="66"/>
        <v>0</v>
      </c>
      <c r="BH13" s="407">
        <f t="shared" si="67"/>
        <v>0</v>
      </c>
      <c r="BI13" s="407">
        <f t="shared" si="68"/>
        <v>0</v>
      </c>
      <c r="BJ13" s="1089"/>
      <c r="BK13" s="1092"/>
      <c r="BL13" s="402">
        <v>1583</v>
      </c>
      <c r="BM13" s="52"/>
      <c r="BN13" s="52">
        <f t="shared" si="69"/>
        <v>1083</v>
      </c>
      <c r="BO13" s="52">
        <f t="shared" si="12"/>
        <v>500</v>
      </c>
      <c r="BP13" s="406">
        <f t="shared" si="70"/>
        <v>0.83580033732901615</v>
      </c>
      <c r="BQ13" s="52">
        <f t="shared" si="71"/>
        <v>1517</v>
      </c>
      <c r="BR13" s="406">
        <f t="shared" si="72"/>
        <v>0.44128482826689674</v>
      </c>
      <c r="BS13" s="1112"/>
      <c r="BT13" s="409">
        <v>2061</v>
      </c>
      <c r="BU13" s="43"/>
      <c r="BV13" s="43">
        <f t="shared" si="73"/>
        <v>1975</v>
      </c>
      <c r="BW13" s="43">
        <f t="shared" si="13"/>
        <v>86</v>
      </c>
      <c r="BX13" s="42">
        <f t="shared" si="74"/>
        <v>0.14375765802059079</v>
      </c>
      <c r="BY13" s="43">
        <f t="shared" si="75"/>
        <v>412</v>
      </c>
      <c r="BZ13" s="42">
        <f t="shared" si="76"/>
        <v>0.11984795599601943</v>
      </c>
      <c r="CA13" s="1058"/>
      <c r="CB13" s="392">
        <v>1725</v>
      </c>
      <c r="CC13" s="298"/>
      <c r="CD13" s="298">
        <f t="shared" si="35"/>
        <v>1265</v>
      </c>
      <c r="CE13" s="298">
        <f t="shared" si="14"/>
        <v>460</v>
      </c>
      <c r="CF13" s="297">
        <f t="shared" si="77"/>
        <v>0.76893631034269483</v>
      </c>
      <c r="CG13" s="298">
        <f t="shared" si="78"/>
        <v>10235</v>
      </c>
      <c r="CH13" s="297">
        <f t="shared" si="79"/>
        <v>2.9772908485904339</v>
      </c>
      <c r="CI13" s="1061"/>
      <c r="CJ13" s="651"/>
      <c r="CK13" s="651"/>
      <c r="CL13" s="651"/>
      <c r="CM13" s="651"/>
      <c r="CN13" s="651"/>
      <c r="CO13" s="464">
        <v>0</v>
      </c>
      <c r="CP13" s="465"/>
      <c r="CQ13" s="465">
        <f t="shared" si="36"/>
        <v>0</v>
      </c>
      <c r="CR13" s="465">
        <f t="shared" si="15"/>
        <v>0</v>
      </c>
      <c r="CS13" s="486">
        <f t="shared" si="80"/>
        <v>0</v>
      </c>
      <c r="CT13" s="465">
        <f t="shared" si="81"/>
        <v>120</v>
      </c>
      <c r="CU13" s="486">
        <f t="shared" si="82"/>
        <v>3.4907171649326045E-2</v>
      </c>
      <c r="CV13" s="1069"/>
      <c r="CW13" s="427">
        <v>5</v>
      </c>
      <c r="CX13" s="427"/>
      <c r="CY13" s="427">
        <f t="shared" si="83"/>
        <v>5</v>
      </c>
      <c r="CZ13" s="427">
        <f t="shared" si="84"/>
        <v>0</v>
      </c>
      <c r="DA13" s="607">
        <f t="shared" si="85"/>
        <v>0</v>
      </c>
      <c r="DB13" s="607">
        <f t="shared" si="86"/>
        <v>0</v>
      </c>
      <c r="DC13" s="607">
        <f t="shared" si="87"/>
        <v>0</v>
      </c>
      <c r="DD13" s="1081"/>
      <c r="DE13" s="471">
        <v>5.6</v>
      </c>
      <c r="DF13" s="473"/>
      <c r="DG13" s="473">
        <f t="shared" si="37"/>
        <v>5.6</v>
      </c>
      <c r="DH13" s="473">
        <f t="shared" si="16"/>
        <v>0</v>
      </c>
      <c r="DI13" s="227">
        <f t="shared" si="88"/>
        <v>0</v>
      </c>
      <c r="DJ13" s="473">
        <f t="shared" si="89"/>
        <v>5.6</v>
      </c>
      <c r="DK13" s="227">
        <f t="shared" si="90"/>
        <v>1.6290013436352155E-3</v>
      </c>
      <c r="DL13" s="1038"/>
      <c r="DM13" s="413">
        <v>1200</v>
      </c>
      <c r="DN13" s="66"/>
      <c r="DO13" s="66">
        <f t="shared" si="91"/>
        <v>1050</v>
      </c>
      <c r="DP13" s="66">
        <f t="shared" si="17"/>
        <v>150</v>
      </c>
      <c r="DQ13" s="412">
        <f t="shared" si="92"/>
        <v>0.25074010119870482</v>
      </c>
      <c r="DR13" s="66">
        <f t="shared" si="93"/>
        <v>950</v>
      </c>
      <c r="DS13" s="412">
        <f t="shared" si="94"/>
        <v>0.2763484422238312</v>
      </c>
      <c r="DT13" s="1095"/>
      <c r="DU13" s="596">
        <v>400</v>
      </c>
      <c r="DV13" s="596"/>
      <c r="DW13" s="596">
        <f t="shared" si="38"/>
        <v>400</v>
      </c>
      <c r="DX13" s="596">
        <f t="shared" si="18"/>
        <v>0</v>
      </c>
      <c r="DY13" s="592">
        <f t="shared" si="95"/>
        <v>0</v>
      </c>
      <c r="DZ13" s="596">
        <f t="shared" si="96"/>
        <v>0</v>
      </c>
      <c r="EA13" s="592">
        <f t="shared" si="97"/>
        <v>0</v>
      </c>
      <c r="EB13" s="1032"/>
      <c r="EC13" s="448">
        <v>205</v>
      </c>
      <c r="ED13" s="449"/>
      <c r="EE13" s="449">
        <f t="shared" si="39"/>
        <v>205</v>
      </c>
      <c r="EF13" s="449">
        <f t="shared" si="19"/>
        <v>0</v>
      </c>
      <c r="EG13" s="450">
        <f t="shared" si="98"/>
        <v>0</v>
      </c>
      <c r="EH13" s="449">
        <f t="shared" si="99"/>
        <v>110</v>
      </c>
      <c r="EI13" s="450">
        <f t="shared" si="100"/>
        <v>3.1998240678548874E-2</v>
      </c>
      <c r="EJ13" s="1035"/>
      <c r="EK13" s="426">
        <v>540</v>
      </c>
      <c r="EL13" s="427"/>
      <c r="EM13" s="427">
        <f t="shared" si="40"/>
        <v>336</v>
      </c>
      <c r="EN13" s="427">
        <f t="shared" si="20"/>
        <v>204</v>
      </c>
      <c r="EO13" s="427">
        <f t="shared" si="41"/>
        <v>2736</v>
      </c>
      <c r="EP13" s="456">
        <v>56</v>
      </c>
      <c r="EQ13" s="457"/>
      <c r="ER13" s="457">
        <f t="shared" si="42"/>
        <v>42</v>
      </c>
      <c r="ES13" s="457">
        <f t="shared" si="21"/>
        <v>14</v>
      </c>
      <c r="ET13" s="457">
        <f t="shared" si="43"/>
        <v>28</v>
      </c>
      <c r="EU13" s="409">
        <v>20</v>
      </c>
      <c r="EV13" s="43"/>
      <c r="EW13" s="43">
        <f t="shared" si="44"/>
        <v>20</v>
      </c>
      <c r="EX13" s="43">
        <f t="shared" si="22"/>
        <v>0</v>
      </c>
      <c r="EY13" s="43">
        <f t="shared" si="45"/>
        <v>20</v>
      </c>
      <c r="EZ13" s="436">
        <v>50</v>
      </c>
      <c r="FA13" s="437"/>
      <c r="FB13" s="437">
        <f t="shared" si="46"/>
        <v>50</v>
      </c>
      <c r="FC13" s="437">
        <f t="shared" si="23"/>
        <v>0</v>
      </c>
      <c r="FD13" s="437">
        <f t="shared" si="47"/>
        <v>40</v>
      </c>
      <c r="FE13" s="442">
        <v>200</v>
      </c>
      <c r="FF13" s="443"/>
      <c r="FG13" s="443">
        <f t="shared" si="48"/>
        <v>175</v>
      </c>
      <c r="FH13" s="443">
        <f t="shared" si="24"/>
        <v>25</v>
      </c>
      <c r="FI13" s="443">
        <f t="shared" si="49"/>
        <v>25</v>
      </c>
      <c r="FJ13" s="392">
        <v>72</v>
      </c>
      <c r="FK13" s="298"/>
      <c r="FL13" s="298">
        <f t="shared" si="50"/>
        <v>18</v>
      </c>
      <c r="FM13" s="298">
        <f t="shared" si="25"/>
        <v>54</v>
      </c>
      <c r="FN13" s="498">
        <f t="shared" si="51"/>
        <v>882</v>
      </c>
      <c r="HC13" s="402">
        <v>400</v>
      </c>
      <c r="HD13" s="52"/>
      <c r="HE13" s="52">
        <f t="shared" si="52"/>
        <v>400</v>
      </c>
      <c r="HF13" s="52">
        <f t="shared" si="26"/>
        <v>0</v>
      </c>
      <c r="HG13" s="51"/>
      <c r="HH13" s="52">
        <f t="shared" si="101"/>
        <v>0</v>
      </c>
      <c r="HI13" s="51"/>
      <c r="HJ13" s="1047"/>
    </row>
    <row r="14" spans="1:218" ht="15" customHeight="1">
      <c r="A14" s="30">
        <v>44677</v>
      </c>
      <c r="B14" s="390">
        <v>357220</v>
      </c>
      <c r="C14" s="18">
        <f t="shared" si="27"/>
        <v>3794909</v>
      </c>
      <c r="D14" s="376">
        <v>5220.28</v>
      </c>
      <c r="E14" s="417">
        <f t="shared" si="28"/>
        <v>58626.139999999992</v>
      </c>
      <c r="F14" s="397">
        <v>0</v>
      </c>
      <c r="G14" s="37">
        <v>31680</v>
      </c>
      <c r="H14" s="37">
        <f t="shared" si="0"/>
        <v>28459</v>
      </c>
      <c r="I14" s="37">
        <f t="shared" si="1"/>
        <v>3221</v>
      </c>
      <c r="J14" s="37">
        <f t="shared" si="2"/>
        <v>617.01671174726266</v>
      </c>
      <c r="K14" s="37">
        <f t="shared" si="29"/>
        <v>30988</v>
      </c>
      <c r="L14" s="37">
        <f t="shared" si="3"/>
        <v>528.56967898619973</v>
      </c>
      <c r="M14" s="1101"/>
      <c r="N14" s="422">
        <v>125</v>
      </c>
      <c r="O14" s="423"/>
      <c r="P14" s="423">
        <f t="shared" si="4"/>
        <v>75</v>
      </c>
      <c r="Q14" s="423">
        <f t="shared" si="5"/>
        <v>50</v>
      </c>
      <c r="R14" s="423">
        <f t="shared" si="30"/>
        <v>600</v>
      </c>
      <c r="S14" s="489">
        <v>4.88</v>
      </c>
      <c r="T14" s="67">
        <v>24</v>
      </c>
      <c r="U14" s="68">
        <f t="shared" si="53"/>
        <v>58.56</v>
      </c>
      <c r="V14" s="68">
        <f t="shared" si="6"/>
        <v>11.217789084110432</v>
      </c>
      <c r="W14" s="423">
        <f t="shared" si="54"/>
        <v>622.31999999999994</v>
      </c>
      <c r="X14" s="68">
        <f t="shared" si="7"/>
        <v>10.615060107999605</v>
      </c>
      <c r="Y14" s="1073"/>
      <c r="Z14" s="424">
        <v>150</v>
      </c>
      <c r="AA14" s="425"/>
      <c r="AB14" s="425">
        <f t="shared" si="55"/>
        <v>125</v>
      </c>
      <c r="AC14" s="425">
        <f t="shared" si="56"/>
        <v>25</v>
      </c>
      <c r="AD14" s="425">
        <f t="shared" si="57"/>
        <v>75</v>
      </c>
      <c r="AE14" s="490">
        <v>1.24</v>
      </c>
      <c r="AF14" s="71">
        <v>12</v>
      </c>
      <c r="AG14" s="72">
        <f t="shared" si="58"/>
        <v>7.4399999999999995</v>
      </c>
      <c r="AH14" s="72">
        <f t="shared" si="8"/>
        <v>1.4252109082271447</v>
      </c>
      <c r="AI14" s="425">
        <f t="shared" si="59"/>
        <v>137.45999999999998</v>
      </c>
      <c r="AJ14" s="72">
        <f t="shared" si="9"/>
        <v>2.3446878815490835</v>
      </c>
      <c r="AK14" s="1075"/>
      <c r="AL14" s="491">
        <v>27227</v>
      </c>
      <c r="AM14" s="491"/>
      <c r="AN14" s="492">
        <f t="shared" si="31"/>
        <v>27227</v>
      </c>
      <c r="AO14" s="492">
        <f t="shared" si="32"/>
        <v>0</v>
      </c>
      <c r="AP14" s="492">
        <f t="shared" si="60"/>
        <v>5396</v>
      </c>
      <c r="AQ14" s="493">
        <f t="shared" si="10"/>
        <v>92.040854130938868</v>
      </c>
      <c r="AR14" s="1087"/>
      <c r="AS14" s="413">
        <v>49235</v>
      </c>
      <c r="AT14" s="66"/>
      <c r="AU14" s="66">
        <f t="shared" si="61"/>
        <v>49235</v>
      </c>
      <c r="AV14" s="66">
        <f t="shared" si="11"/>
        <v>0</v>
      </c>
      <c r="AW14" s="412">
        <f t="shared" si="62"/>
        <v>0</v>
      </c>
      <c r="AX14" s="66">
        <f t="shared" si="63"/>
        <v>0</v>
      </c>
      <c r="AY14" s="412">
        <f t="shared" si="64"/>
        <v>0</v>
      </c>
      <c r="AZ14" s="1095"/>
      <c r="BA14" s="419">
        <v>45495</v>
      </c>
      <c r="BB14" s="419"/>
      <c r="BC14" s="407"/>
      <c r="BD14" s="419">
        <f t="shared" si="33"/>
        <v>45495</v>
      </c>
      <c r="BE14" s="419">
        <f t="shared" si="34"/>
        <v>0</v>
      </c>
      <c r="BF14" s="407">
        <f t="shared" si="65"/>
        <v>0</v>
      </c>
      <c r="BG14" s="419">
        <f t="shared" si="66"/>
        <v>0</v>
      </c>
      <c r="BH14" s="407">
        <f t="shared" si="67"/>
        <v>0</v>
      </c>
      <c r="BI14" s="407">
        <f t="shared" si="68"/>
        <v>0</v>
      </c>
      <c r="BJ14" s="1089"/>
      <c r="BK14" s="1092"/>
      <c r="BL14" s="402">
        <v>1083</v>
      </c>
      <c r="BM14" s="52"/>
      <c r="BN14" s="52">
        <f t="shared" si="69"/>
        <v>672.44444444444434</v>
      </c>
      <c r="BO14" s="52">
        <f t="shared" si="12"/>
        <v>410.55555555555566</v>
      </c>
      <c r="BP14" s="406">
        <f t="shared" si="70"/>
        <v>1.1493073051776375</v>
      </c>
      <c r="BQ14" s="52">
        <f t="shared" si="71"/>
        <v>1927.5555555555557</v>
      </c>
      <c r="BR14" s="406">
        <f t="shared" si="72"/>
        <v>0.5079319571445734</v>
      </c>
      <c r="BS14" s="1112"/>
      <c r="BT14" s="409">
        <v>1975</v>
      </c>
      <c r="BU14" s="43"/>
      <c r="BV14" s="43">
        <f t="shared" ref="BV14:BV77" si="102">BT15</f>
        <v>1885</v>
      </c>
      <c r="BW14" s="43">
        <f t="shared" ref="BW14:BW77" si="103">BT14+BU14-BV14</f>
        <v>90</v>
      </c>
      <c r="BX14" s="42">
        <f t="shared" si="74"/>
        <v>0.25194557975477294</v>
      </c>
      <c r="BY14" s="43">
        <f t="shared" ref="BY14:BY77" si="104">BY13+BW14</f>
        <v>502</v>
      </c>
      <c r="BZ14" s="42">
        <f t="shared" si="76"/>
        <v>0.13228248687913202</v>
      </c>
      <c r="CA14" s="1058"/>
      <c r="CB14" s="392">
        <v>1265</v>
      </c>
      <c r="CC14" s="298"/>
      <c r="CD14" s="298">
        <f t="shared" si="35"/>
        <v>1000</v>
      </c>
      <c r="CE14" s="298">
        <f t="shared" si="14"/>
        <v>265</v>
      </c>
      <c r="CF14" s="297">
        <f t="shared" si="77"/>
        <v>0.74183976261127593</v>
      </c>
      <c r="CG14" s="298">
        <f t="shared" si="78"/>
        <v>10500</v>
      </c>
      <c r="CH14" s="297">
        <f t="shared" si="79"/>
        <v>2.7668647654001717</v>
      </c>
      <c r="CI14" s="1061"/>
      <c r="CJ14" s="651"/>
      <c r="CK14" s="651"/>
      <c r="CL14" s="651"/>
      <c r="CM14" s="651"/>
      <c r="CN14" s="651"/>
      <c r="CO14" s="464">
        <v>0</v>
      </c>
      <c r="CP14" s="465"/>
      <c r="CQ14" s="465">
        <f t="shared" si="36"/>
        <v>0</v>
      </c>
      <c r="CR14" s="465">
        <f t="shared" si="15"/>
        <v>0</v>
      </c>
      <c r="CS14" s="486">
        <f t="shared" si="80"/>
        <v>0</v>
      </c>
      <c r="CT14" s="465">
        <f t="shared" si="81"/>
        <v>120</v>
      </c>
      <c r="CU14" s="486">
        <f t="shared" si="82"/>
        <v>3.1621311604573391E-2</v>
      </c>
      <c r="CV14" s="1069"/>
      <c r="CW14" s="427">
        <v>5</v>
      </c>
      <c r="CX14" s="427"/>
      <c r="CY14" s="427">
        <f t="shared" si="83"/>
        <v>5</v>
      </c>
      <c r="CZ14" s="427">
        <f t="shared" si="84"/>
        <v>0</v>
      </c>
      <c r="DA14" s="607">
        <f t="shared" si="85"/>
        <v>0</v>
      </c>
      <c r="DB14" s="607">
        <f t="shared" si="86"/>
        <v>0</v>
      </c>
      <c r="DC14" s="607">
        <f t="shared" si="87"/>
        <v>0</v>
      </c>
      <c r="DD14" s="1081"/>
      <c r="DE14" s="471">
        <v>5.6</v>
      </c>
      <c r="DF14" s="473"/>
      <c r="DG14" s="473">
        <f t="shared" si="37"/>
        <v>5.6</v>
      </c>
      <c r="DH14" s="473">
        <f t="shared" si="16"/>
        <v>0</v>
      </c>
      <c r="DI14" s="227">
        <f t="shared" si="88"/>
        <v>0</v>
      </c>
      <c r="DJ14" s="473">
        <f t="shared" si="89"/>
        <v>5.6</v>
      </c>
      <c r="DK14" s="227">
        <f t="shared" si="90"/>
        <v>1.4756612082134249E-3</v>
      </c>
      <c r="DL14" s="1038"/>
      <c r="DM14" s="413">
        <v>1050</v>
      </c>
      <c r="DN14" s="66"/>
      <c r="DO14" s="66">
        <f t="shared" si="91"/>
        <v>980</v>
      </c>
      <c r="DP14" s="66">
        <f t="shared" si="17"/>
        <v>70</v>
      </c>
      <c r="DQ14" s="412">
        <f t="shared" si="92"/>
        <v>0.19595767314260121</v>
      </c>
      <c r="DR14" s="66">
        <f t="shared" si="93"/>
        <v>1020</v>
      </c>
      <c r="DS14" s="412">
        <f t="shared" si="94"/>
        <v>0.26878114863887381</v>
      </c>
      <c r="DT14" s="1095"/>
      <c r="DU14" s="596">
        <v>400</v>
      </c>
      <c r="DV14" s="596"/>
      <c r="DW14" s="596">
        <f t="shared" si="38"/>
        <v>400</v>
      </c>
      <c r="DX14" s="596">
        <f t="shared" si="18"/>
        <v>0</v>
      </c>
      <c r="DY14" s="592">
        <f t="shared" si="95"/>
        <v>0</v>
      </c>
      <c r="DZ14" s="596">
        <f t="shared" si="96"/>
        <v>0</v>
      </c>
      <c r="EA14" s="592">
        <f t="shared" si="97"/>
        <v>0</v>
      </c>
      <c r="EB14" s="1032"/>
      <c r="EC14" s="448">
        <v>205</v>
      </c>
      <c r="ED14" s="449"/>
      <c r="EE14" s="449">
        <f t="shared" si="39"/>
        <v>205</v>
      </c>
      <c r="EF14" s="449">
        <f t="shared" si="19"/>
        <v>0</v>
      </c>
      <c r="EG14" s="450">
        <f t="shared" si="98"/>
        <v>0</v>
      </c>
      <c r="EH14" s="449">
        <f t="shared" si="99"/>
        <v>110</v>
      </c>
      <c r="EI14" s="450">
        <f t="shared" si="100"/>
        <v>2.8986202304192275E-2</v>
      </c>
      <c r="EJ14" s="1035"/>
      <c r="EK14" s="426">
        <v>336</v>
      </c>
      <c r="EL14" s="427"/>
      <c r="EM14" s="427">
        <f t="shared" si="40"/>
        <v>60</v>
      </c>
      <c r="EN14" s="427">
        <f t="shared" si="20"/>
        <v>276</v>
      </c>
      <c r="EO14" s="427">
        <f t="shared" si="41"/>
        <v>3012</v>
      </c>
      <c r="EP14" s="456">
        <v>42</v>
      </c>
      <c r="EQ14" s="457"/>
      <c r="ER14" s="457">
        <f t="shared" si="42"/>
        <v>42</v>
      </c>
      <c r="ES14" s="457">
        <f t="shared" si="21"/>
        <v>0</v>
      </c>
      <c r="ET14" s="457">
        <f t="shared" si="43"/>
        <v>28</v>
      </c>
      <c r="EU14" s="409">
        <v>20</v>
      </c>
      <c r="EV14" s="43"/>
      <c r="EW14" s="43">
        <f t="shared" si="44"/>
        <v>20</v>
      </c>
      <c r="EX14" s="43">
        <f t="shared" si="22"/>
        <v>0</v>
      </c>
      <c r="EY14" s="43">
        <f t="shared" si="45"/>
        <v>20</v>
      </c>
      <c r="EZ14" s="436">
        <v>50</v>
      </c>
      <c r="FA14" s="437"/>
      <c r="FB14" s="437">
        <f t="shared" si="46"/>
        <v>50</v>
      </c>
      <c r="FC14" s="437">
        <f t="shared" si="23"/>
        <v>0</v>
      </c>
      <c r="FD14" s="437">
        <f t="shared" si="47"/>
        <v>40</v>
      </c>
      <c r="FE14" s="442">
        <v>175</v>
      </c>
      <c r="FF14" s="443"/>
      <c r="FG14" s="443">
        <f t="shared" si="48"/>
        <v>175</v>
      </c>
      <c r="FH14" s="443">
        <f t="shared" si="24"/>
        <v>0</v>
      </c>
      <c r="FI14" s="443">
        <f t="shared" si="49"/>
        <v>25</v>
      </c>
      <c r="FJ14" s="392">
        <v>18</v>
      </c>
      <c r="FK14" s="298"/>
      <c r="FL14" s="298">
        <f t="shared" si="50"/>
        <v>0</v>
      </c>
      <c r="FM14" s="298">
        <f t="shared" si="25"/>
        <v>18</v>
      </c>
      <c r="FN14" s="498">
        <f t="shared" si="51"/>
        <v>900</v>
      </c>
      <c r="HC14" s="402">
        <v>400</v>
      </c>
      <c r="HD14" s="52"/>
      <c r="HE14" s="52">
        <f t="shared" si="52"/>
        <v>400</v>
      </c>
      <c r="HF14" s="52">
        <f t="shared" si="26"/>
        <v>0</v>
      </c>
      <c r="HG14" s="51"/>
      <c r="HH14" s="52">
        <f t="shared" si="101"/>
        <v>0</v>
      </c>
      <c r="HI14" s="51"/>
      <c r="HJ14" s="1047"/>
    </row>
    <row r="15" spans="1:218" ht="15" customHeight="1">
      <c r="A15" s="30">
        <v>44678</v>
      </c>
      <c r="B15" s="390">
        <v>594217</v>
      </c>
      <c r="C15" s="18">
        <f t="shared" si="27"/>
        <v>4389126</v>
      </c>
      <c r="D15" s="376">
        <v>8053.76</v>
      </c>
      <c r="E15" s="417">
        <f t="shared" si="28"/>
        <v>66679.899999999994</v>
      </c>
      <c r="F15" s="397">
        <v>28459</v>
      </c>
      <c r="G15" s="37"/>
      <c r="H15" s="37">
        <f t="shared" si="0"/>
        <v>23622</v>
      </c>
      <c r="I15" s="37">
        <f t="shared" si="1"/>
        <v>4837</v>
      </c>
      <c r="J15" s="37">
        <f t="shared" si="2"/>
        <v>600.58904164017804</v>
      </c>
      <c r="K15" s="37">
        <f t="shared" si="29"/>
        <v>35825</v>
      </c>
      <c r="L15" s="37">
        <f t="shared" si="3"/>
        <v>537.26835223208195</v>
      </c>
      <c r="M15" s="1101"/>
      <c r="N15" s="422">
        <v>75</v>
      </c>
      <c r="O15" s="423">
        <v>175</v>
      </c>
      <c r="P15" s="423">
        <f t="shared" si="4"/>
        <v>175</v>
      </c>
      <c r="Q15" s="423">
        <f t="shared" si="5"/>
        <v>75</v>
      </c>
      <c r="R15" s="423">
        <f t="shared" si="30"/>
        <v>675</v>
      </c>
      <c r="S15" s="489">
        <v>6.4</v>
      </c>
      <c r="T15" s="67">
        <v>24</v>
      </c>
      <c r="U15" s="68">
        <f t="shared" si="53"/>
        <v>76.800000000000011</v>
      </c>
      <c r="V15" s="68">
        <f t="shared" si="6"/>
        <v>9.5359186268277192</v>
      </c>
      <c r="W15" s="423">
        <f t="shared" si="54"/>
        <v>699.11999999999989</v>
      </c>
      <c r="X15" s="68">
        <f t="shared" si="7"/>
        <v>10.48471878332151</v>
      </c>
      <c r="Y15" s="1073"/>
      <c r="Z15" s="424">
        <v>125</v>
      </c>
      <c r="AA15" s="425"/>
      <c r="AB15" s="425">
        <f t="shared" si="55"/>
        <v>125</v>
      </c>
      <c r="AC15" s="425">
        <f t="shared" si="56"/>
        <v>0</v>
      </c>
      <c r="AD15" s="425">
        <f t="shared" si="57"/>
        <v>75</v>
      </c>
      <c r="AE15" s="490">
        <v>1.95</v>
      </c>
      <c r="AF15" s="71">
        <v>12</v>
      </c>
      <c r="AG15" s="72">
        <f t="shared" si="58"/>
        <v>11.7</v>
      </c>
      <c r="AH15" s="72">
        <f t="shared" si="8"/>
        <v>1.4527376033057851</v>
      </c>
      <c r="AI15" s="425">
        <f t="shared" si="59"/>
        <v>149.15999999999997</v>
      </c>
      <c r="AJ15" s="72">
        <f t="shared" si="9"/>
        <v>2.2369559642410981</v>
      </c>
      <c r="AK15" s="1075"/>
      <c r="AL15" s="491">
        <v>27227</v>
      </c>
      <c r="AM15" s="491"/>
      <c r="AN15" s="492">
        <f t="shared" si="31"/>
        <v>27227</v>
      </c>
      <c r="AO15" s="492">
        <f t="shared" si="32"/>
        <v>0</v>
      </c>
      <c r="AP15" s="492">
        <f t="shared" si="60"/>
        <v>5396</v>
      </c>
      <c r="AQ15" s="493">
        <f t="shared" si="10"/>
        <v>80.923936598585186</v>
      </c>
      <c r="AR15" s="1087"/>
      <c r="AS15" s="413">
        <v>49235</v>
      </c>
      <c r="AT15" s="66"/>
      <c r="AU15" s="66">
        <f t="shared" si="61"/>
        <v>49235</v>
      </c>
      <c r="AV15" s="66">
        <f t="shared" si="11"/>
        <v>0</v>
      </c>
      <c r="AW15" s="412">
        <f t="shared" si="62"/>
        <v>0</v>
      </c>
      <c r="AX15" s="66">
        <f t="shared" si="63"/>
        <v>0</v>
      </c>
      <c r="AY15" s="412">
        <f t="shared" si="64"/>
        <v>0</v>
      </c>
      <c r="AZ15" s="1095"/>
      <c r="BA15" s="419">
        <v>45495</v>
      </c>
      <c r="BB15" s="419"/>
      <c r="BC15" s="407"/>
      <c r="BD15" s="419">
        <f t="shared" si="33"/>
        <v>45495</v>
      </c>
      <c r="BE15" s="419">
        <f t="shared" si="34"/>
        <v>0</v>
      </c>
      <c r="BF15" s="407">
        <f t="shared" si="65"/>
        <v>0</v>
      </c>
      <c r="BG15" s="419">
        <f t="shared" si="66"/>
        <v>0</v>
      </c>
      <c r="BH15" s="407">
        <f t="shared" si="67"/>
        <v>0</v>
      </c>
      <c r="BI15" s="407">
        <f t="shared" si="68"/>
        <v>0</v>
      </c>
      <c r="BJ15" s="1089"/>
      <c r="BK15" s="1092"/>
      <c r="BL15" s="402">
        <f>712*0.85/0.9</f>
        <v>672.44444444444434</v>
      </c>
      <c r="BM15" s="52">
        <v>900</v>
      </c>
      <c r="BN15" s="52">
        <f t="shared" si="69"/>
        <v>1281</v>
      </c>
      <c r="BO15" s="52">
        <f t="shared" si="12"/>
        <v>291.44444444444434</v>
      </c>
      <c r="BP15" s="406">
        <f t="shared" si="70"/>
        <v>0.49046803515288911</v>
      </c>
      <c r="BQ15" s="52">
        <f t="shared" si="71"/>
        <v>2219</v>
      </c>
      <c r="BR15" s="406">
        <f t="shared" si="72"/>
        <v>0.50556762325802451</v>
      </c>
      <c r="BS15" s="1112"/>
      <c r="BT15" s="409">
        <v>1885</v>
      </c>
      <c r="BU15" s="43"/>
      <c r="BV15" s="43">
        <f t="shared" si="102"/>
        <v>1785</v>
      </c>
      <c r="BW15" s="43">
        <f t="shared" si="103"/>
        <v>100</v>
      </c>
      <c r="BX15" s="42">
        <f t="shared" si="74"/>
        <v>0.16828868914891362</v>
      </c>
      <c r="BY15" s="43">
        <f t="shared" si="104"/>
        <v>602</v>
      </c>
      <c r="BZ15" s="42">
        <f t="shared" si="76"/>
        <v>0.13715714700375428</v>
      </c>
      <c r="CA15" s="1058"/>
      <c r="CB15" s="392">
        <v>1000</v>
      </c>
      <c r="CC15" s="298">
        <v>2300</v>
      </c>
      <c r="CD15" s="298">
        <f t="shared" si="35"/>
        <v>3162</v>
      </c>
      <c r="CE15" s="298">
        <f t="shared" si="14"/>
        <v>138</v>
      </c>
      <c r="CF15" s="297">
        <f t="shared" si="77"/>
        <v>0.23223839102550078</v>
      </c>
      <c r="CG15" s="298">
        <f t="shared" si="78"/>
        <v>10638</v>
      </c>
      <c r="CH15" s="297">
        <f t="shared" si="79"/>
        <v>2.423717159179299</v>
      </c>
      <c r="CI15" s="1061"/>
      <c r="CJ15" s="651"/>
      <c r="CK15" s="651"/>
      <c r="CL15" s="651"/>
      <c r="CM15" s="651"/>
      <c r="CN15" s="651"/>
      <c r="CO15" s="464">
        <v>0</v>
      </c>
      <c r="CP15" s="465"/>
      <c r="CQ15" s="465">
        <f t="shared" si="36"/>
        <v>0</v>
      </c>
      <c r="CR15" s="465">
        <f t="shared" si="15"/>
        <v>0</v>
      </c>
      <c r="CS15" s="486">
        <f t="shared" si="80"/>
        <v>0</v>
      </c>
      <c r="CT15" s="465">
        <f t="shared" si="81"/>
        <v>120</v>
      </c>
      <c r="CU15" s="486">
        <f t="shared" si="82"/>
        <v>2.7340295083804839E-2</v>
      </c>
      <c r="CV15" s="1069"/>
      <c r="CW15" s="427">
        <v>5</v>
      </c>
      <c r="CX15" s="427"/>
      <c r="CY15" s="427">
        <f t="shared" si="83"/>
        <v>5</v>
      </c>
      <c r="CZ15" s="427">
        <f t="shared" si="84"/>
        <v>0</v>
      </c>
      <c r="DA15" s="607">
        <f t="shared" si="85"/>
        <v>0</v>
      </c>
      <c r="DB15" s="607">
        <f t="shared" si="86"/>
        <v>0</v>
      </c>
      <c r="DC15" s="607">
        <f t="shared" si="87"/>
        <v>0</v>
      </c>
      <c r="DD15" s="1081"/>
      <c r="DE15" s="471">
        <v>5.6</v>
      </c>
      <c r="DF15" s="473"/>
      <c r="DG15" s="473">
        <f t="shared" si="37"/>
        <v>5.6</v>
      </c>
      <c r="DH15" s="473">
        <f t="shared" si="16"/>
        <v>0</v>
      </c>
      <c r="DI15" s="227">
        <f t="shared" si="88"/>
        <v>0</v>
      </c>
      <c r="DJ15" s="473">
        <f t="shared" si="89"/>
        <v>5.6</v>
      </c>
      <c r="DK15" s="227">
        <f t="shared" si="90"/>
        <v>1.2758804372442259E-3</v>
      </c>
      <c r="DL15" s="1038"/>
      <c r="DM15" s="413">
        <v>980</v>
      </c>
      <c r="DN15" s="66">
        <v>1000</v>
      </c>
      <c r="DO15" s="66">
        <f t="shared" si="91"/>
        <v>1740</v>
      </c>
      <c r="DP15" s="66">
        <f t="shared" si="17"/>
        <v>240</v>
      </c>
      <c r="DQ15" s="412">
        <f t="shared" si="92"/>
        <v>0.40389285395739266</v>
      </c>
      <c r="DR15" s="66">
        <f t="shared" si="93"/>
        <v>1260</v>
      </c>
      <c r="DS15" s="412">
        <f t="shared" si="94"/>
        <v>0.28707309837995082</v>
      </c>
      <c r="DT15" s="1095"/>
      <c r="DU15" s="596">
        <v>400</v>
      </c>
      <c r="DV15" s="596"/>
      <c r="DW15" s="596">
        <f t="shared" si="38"/>
        <v>400</v>
      </c>
      <c r="DX15" s="596">
        <f t="shared" si="18"/>
        <v>0</v>
      </c>
      <c r="DY15" s="592">
        <f t="shared" si="95"/>
        <v>0</v>
      </c>
      <c r="DZ15" s="596">
        <f t="shared" si="96"/>
        <v>0</v>
      </c>
      <c r="EA15" s="592">
        <f t="shared" si="97"/>
        <v>0</v>
      </c>
      <c r="EB15" s="1032"/>
      <c r="EC15" s="448">
        <v>205</v>
      </c>
      <c r="ED15" s="449"/>
      <c r="EE15" s="449">
        <f t="shared" si="39"/>
        <v>205</v>
      </c>
      <c r="EF15" s="449">
        <f t="shared" si="19"/>
        <v>0</v>
      </c>
      <c r="EG15" s="450">
        <f t="shared" si="98"/>
        <v>0</v>
      </c>
      <c r="EH15" s="449">
        <f t="shared" si="99"/>
        <v>110</v>
      </c>
      <c r="EI15" s="450">
        <f t="shared" si="100"/>
        <v>2.5061937160154438E-2</v>
      </c>
      <c r="EJ15" s="1035"/>
      <c r="EK15" s="426">
        <v>60</v>
      </c>
      <c r="EL15" s="427">
        <v>3600</v>
      </c>
      <c r="EM15" s="427">
        <f t="shared" si="40"/>
        <v>3506</v>
      </c>
      <c r="EN15" s="427">
        <f t="shared" si="20"/>
        <v>154</v>
      </c>
      <c r="EO15" s="427">
        <f t="shared" si="41"/>
        <v>3166</v>
      </c>
      <c r="EP15" s="456">
        <v>42</v>
      </c>
      <c r="EQ15" s="457">
        <v>56</v>
      </c>
      <c r="ER15" s="457">
        <f t="shared" si="42"/>
        <v>84</v>
      </c>
      <c r="ES15" s="457">
        <f t="shared" si="21"/>
        <v>14</v>
      </c>
      <c r="ET15" s="457">
        <f t="shared" si="43"/>
        <v>42</v>
      </c>
      <c r="EU15" s="409">
        <v>20</v>
      </c>
      <c r="EV15" s="43"/>
      <c r="EW15" s="43">
        <f t="shared" si="44"/>
        <v>20</v>
      </c>
      <c r="EX15" s="43">
        <f t="shared" si="22"/>
        <v>0</v>
      </c>
      <c r="EY15" s="43">
        <f t="shared" si="45"/>
        <v>20</v>
      </c>
      <c r="EZ15" s="436">
        <v>50</v>
      </c>
      <c r="FA15" s="437">
        <v>50</v>
      </c>
      <c r="FB15" s="437">
        <f t="shared" si="46"/>
        <v>100</v>
      </c>
      <c r="FC15" s="437">
        <f t="shared" si="23"/>
        <v>0</v>
      </c>
      <c r="FD15" s="437">
        <f t="shared" si="47"/>
        <v>40</v>
      </c>
      <c r="FE15" s="442">
        <v>175</v>
      </c>
      <c r="FF15" s="443"/>
      <c r="FG15" s="443">
        <f t="shared" si="48"/>
        <v>175</v>
      </c>
      <c r="FH15" s="443">
        <f t="shared" si="24"/>
        <v>0</v>
      </c>
      <c r="FI15" s="443">
        <f t="shared" si="49"/>
        <v>25</v>
      </c>
      <c r="FJ15" s="392">
        <v>0</v>
      </c>
      <c r="FK15" s="298"/>
      <c r="FL15" s="298">
        <f t="shared" si="50"/>
        <v>0</v>
      </c>
      <c r="FM15" s="298">
        <f t="shared" si="25"/>
        <v>0</v>
      </c>
      <c r="FN15" s="498">
        <f t="shared" si="51"/>
        <v>900</v>
      </c>
      <c r="HC15" s="402">
        <v>400</v>
      </c>
      <c r="HD15" s="52"/>
      <c r="HE15" s="52">
        <f t="shared" si="52"/>
        <v>400</v>
      </c>
      <c r="HF15" s="52">
        <f t="shared" si="26"/>
        <v>0</v>
      </c>
      <c r="HG15" s="51"/>
      <c r="HH15" s="52">
        <f t="shared" si="101"/>
        <v>0</v>
      </c>
      <c r="HI15" s="51"/>
      <c r="HJ15" s="1047"/>
    </row>
    <row r="16" spans="1:218" ht="15" customHeight="1">
      <c r="A16" s="30">
        <v>44679</v>
      </c>
      <c r="B16" s="390">
        <v>571843</v>
      </c>
      <c r="C16" s="18">
        <f t="shared" si="27"/>
        <v>4960969</v>
      </c>
      <c r="D16" s="376">
        <v>7310.58</v>
      </c>
      <c r="E16" s="417">
        <f t="shared" si="28"/>
        <v>73990.48</v>
      </c>
      <c r="F16" s="397">
        <v>23622</v>
      </c>
      <c r="G16" s="37"/>
      <c r="H16" s="37">
        <f t="shared" si="0"/>
        <v>17615</v>
      </c>
      <c r="I16" s="37">
        <f t="shared" si="1"/>
        <v>6007</v>
      </c>
      <c r="J16" s="37">
        <f t="shared" si="2"/>
        <v>821.68583067280576</v>
      </c>
      <c r="K16" s="37">
        <f t="shared" si="29"/>
        <v>41832</v>
      </c>
      <c r="L16" s="37">
        <f t="shared" si="3"/>
        <v>565.37003138782177</v>
      </c>
      <c r="M16" s="1101"/>
      <c r="N16" s="422">
        <v>175</v>
      </c>
      <c r="O16" s="423"/>
      <c r="P16" s="423">
        <f t="shared" si="4"/>
        <v>100</v>
      </c>
      <c r="Q16" s="423">
        <f t="shared" si="5"/>
        <v>75</v>
      </c>
      <c r="R16" s="423">
        <f t="shared" si="30"/>
        <v>750</v>
      </c>
      <c r="S16" s="489">
        <v>6</v>
      </c>
      <c r="T16" s="67">
        <v>24</v>
      </c>
      <c r="U16" s="68">
        <f t="shared" si="53"/>
        <v>72</v>
      </c>
      <c r="V16" s="68">
        <f t="shared" si="6"/>
        <v>9.8487397716733831</v>
      </c>
      <c r="W16" s="423">
        <f t="shared" si="54"/>
        <v>771.11999999999989</v>
      </c>
      <c r="X16" s="68">
        <f t="shared" si="7"/>
        <v>10.421881301486353</v>
      </c>
      <c r="Y16" s="1073"/>
      <c r="Z16" s="424">
        <v>125</v>
      </c>
      <c r="AA16" s="425"/>
      <c r="AB16" s="425">
        <f t="shared" si="55"/>
        <v>100</v>
      </c>
      <c r="AC16" s="425">
        <f t="shared" si="56"/>
        <v>25</v>
      </c>
      <c r="AD16" s="425">
        <f t="shared" si="57"/>
        <v>100</v>
      </c>
      <c r="AE16" s="490">
        <v>1.85</v>
      </c>
      <c r="AF16" s="71">
        <v>12</v>
      </c>
      <c r="AG16" s="72">
        <f t="shared" si="58"/>
        <v>11.100000000000001</v>
      </c>
      <c r="AH16" s="72">
        <f t="shared" si="8"/>
        <v>1.5183473814663135</v>
      </c>
      <c r="AI16" s="425">
        <f t="shared" si="59"/>
        <v>160.25999999999996</v>
      </c>
      <c r="AJ16" s="72">
        <f t="shared" si="9"/>
        <v>2.1659543227723348</v>
      </c>
      <c r="AK16" s="1075"/>
      <c r="AL16" s="491">
        <v>27227</v>
      </c>
      <c r="AM16" s="491"/>
      <c r="AN16" s="492">
        <f t="shared" si="31"/>
        <v>25642</v>
      </c>
      <c r="AO16" s="492">
        <f t="shared" si="32"/>
        <v>1585</v>
      </c>
      <c r="AP16" s="492">
        <f t="shared" si="60"/>
        <v>6981</v>
      </c>
      <c r="AQ16" s="493">
        <f t="shared" si="10"/>
        <v>94.349975834729008</v>
      </c>
      <c r="AR16" s="1087"/>
      <c r="AS16" s="413">
        <v>49235</v>
      </c>
      <c r="AT16" s="66"/>
      <c r="AU16" s="66">
        <f t="shared" si="61"/>
        <v>49235</v>
      </c>
      <c r="AV16" s="66">
        <f t="shared" si="11"/>
        <v>0</v>
      </c>
      <c r="AW16" s="412">
        <f t="shared" si="62"/>
        <v>0</v>
      </c>
      <c r="AX16" s="66">
        <f t="shared" si="63"/>
        <v>0</v>
      </c>
      <c r="AY16" s="412">
        <f t="shared" si="64"/>
        <v>0</v>
      </c>
      <c r="AZ16" s="1095"/>
      <c r="BA16" s="419">
        <v>45495</v>
      </c>
      <c r="BB16" s="419"/>
      <c r="BC16" s="407"/>
      <c r="BD16" s="419">
        <f t="shared" si="33"/>
        <v>45495</v>
      </c>
      <c r="BE16" s="419">
        <f t="shared" si="34"/>
        <v>0</v>
      </c>
      <c r="BF16" s="407">
        <f t="shared" si="65"/>
        <v>0</v>
      </c>
      <c r="BG16" s="419">
        <f t="shared" si="66"/>
        <v>0</v>
      </c>
      <c r="BH16" s="407">
        <f t="shared" si="67"/>
        <v>0</v>
      </c>
      <c r="BI16" s="407">
        <f t="shared" si="68"/>
        <v>0</v>
      </c>
      <c r="BJ16" s="1089"/>
      <c r="BK16" s="1092"/>
      <c r="BL16" s="402">
        <v>1281</v>
      </c>
      <c r="BM16" s="52">
        <v>900</v>
      </c>
      <c r="BN16" s="52">
        <f t="shared" si="69"/>
        <v>1749</v>
      </c>
      <c r="BO16" s="52">
        <f t="shared" si="12"/>
        <v>432</v>
      </c>
      <c r="BP16" s="406">
        <f t="shared" si="70"/>
        <v>0.75545210835841303</v>
      </c>
      <c r="BQ16" s="52">
        <f t="shared" si="71"/>
        <v>2651</v>
      </c>
      <c r="BR16" s="406">
        <f t="shared" si="72"/>
        <v>0.53437141010153455</v>
      </c>
      <c r="BS16" s="1112"/>
      <c r="BT16" s="409">
        <v>1785</v>
      </c>
      <c r="BU16" s="43"/>
      <c r="BV16" s="43">
        <f t="shared" si="102"/>
        <v>1785</v>
      </c>
      <c r="BW16" s="43">
        <f t="shared" si="103"/>
        <v>0</v>
      </c>
      <c r="BX16" s="42">
        <f t="shared" si="74"/>
        <v>0</v>
      </c>
      <c r="BY16" s="43">
        <f t="shared" si="104"/>
        <v>602</v>
      </c>
      <c r="BZ16" s="42">
        <f t="shared" si="76"/>
        <v>0.12134726098873022</v>
      </c>
      <c r="CA16" s="1058"/>
      <c r="CB16" s="392">
        <v>3162</v>
      </c>
      <c r="CC16" s="298"/>
      <c r="CD16" s="298">
        <f t="shared" si="35"/>
        <v>2346</v>
      </c>
      <c r="CE16" s="298">
        <f t="shared" si="14"/>
        <v>816</v>
      </c>
      <c r="CF16" s="297">
        <f t="shared" si="77"/>
        <v>1.4269650935658913</v>
      </c>
      <c r="CG16" s="298">
        <f t="shared" si="78"/>
        <v>11454</v>
      </c>
      <c r="CH16" s="297">
        <f t="shared" si="79"/>
        <v>2.3088231351576676</v>
      </c>
      <c r="CI16" s="1061"/>
      <c r="CJ16" s="651"/>
      <c r="CK16" s="651"/>
      <c r="CL16" s="651"/>
      <c r="CM16" s="651"/>
      <c r="CN16" s="651"/>
      <c r="CO16" s="464">
        <v>0</v>
      </c>
      <c r="CP16" s="465"/>
      <c r="CQ16" s="465">
        <f t="shared" si="36"/>
        <v>0</v>
      </c>
      <c r="CR16" s="465">
        <f t="shared" si="15"/>
        <v>0</v>
      </c>
      <c r="CS16" s="486">
        <f t="shared" si="80"/>
        <v>0</v>
      </c>
      <c r="CT16" s="465">
        <f t="shared" si="81"/>
        <v>120</v>
      </c>
      <c r="CU16" s="486">
        <f t="shared" si="82"/>
        <v>2.4188822788451209E-2</v>
      </c>
      <c r="CV16" s="1069"/>
      <c r="CW16" s="427">
        <v>5</v>
      </c>
      <c r="CX16" s="427"/>
      <c r="CY16" s="427">
        <f t="shared" si="83"/>
        <v>5</v>
      </c>
      <c r="CZ16" s="427">
        <f t="shared" si="84"/>
        <v>0</v>
      </c>
      <c r="DA16" s="607">
        <f t="shared" si="85"/>
        <v>0</v>
      </c>
      <c r="DB16" s="607">
        <f t="shared" si="86"/>
        <v>0</v>
      </c>
      <c r="DC16" s="607">
        <f t="shared" si="87"/>
        <v>0</v>
      </c>
      <c r="DD16" s="1081"/>
      <c r="DE16" s="471">
        <v>5.6</v>
      </c>
      <c r="DF16" s="473"/>
      <c r="DG16" s="473">
        <f t="shared" si="37"/>
        <v>5.6</v>
      </c>
      <c r="DH16" s="473">
        <f t="shared" si="16"/>
        <v>0</v>
      </c>
      <c r="DI16" s="227">
        <f t="shared" si="88"/>
        <v>0</v>
      </c>
      <c r="DJ16" s="473">
        <f t="shared" si="89"/>
        <v>5.6</v>
      </c>
      <c r="DK16" s="227">
        <f t="shared" si="90"/>
        <v>1.128811730127723E-3</v>
      </c>
      <c r="DL16" s="1038"/>
      <c r="DM16" s="413">
        <v>1740</v>
      </c>
      <c r="DN16" s="66"/>
      <c r="DO16" s="66">
        <f t="shared" si="91"/>
        <v>1410</v>
      </c>
      <c r="DP16" s="66">
        <f t="shared" si="17"/>
        <v>330</v>
      </c>
      <c r="DQ16" s="412">
        <f t="shared" si="92"/>
        <v>0.57708147166267665</v>
      </c>
      <c r="DR16" s="66">
        <f t="shared" si="93"/>
        <v>1590</v>
      </c>
      <c r="DS16" s="412">
        <f t="shared" si="94"/>
        <v>0.32050190194697853</v>
      </c>
      <c r="DT16" s="1095"/>
      <c r="DU16" s="596">
        <v>400</v>
      </c>
      <c r="DV16" s="596"/>
      <c r="DW16" s="596">
        <f t="shared" si="38"/>
        <v>400</v>
      </c>
      <c r="DX16" s="596">
        <f t="shared" si="18"/>
        <v>0</v>
      </c>
      <c r="DY16" s="592">
        <f t="shared" si="95"/>
        <v>0</v>
      </c>
      <c r="DZ16" s="596">
        <f t="shared" si="96"/>
        <v>0</v>
      </c>
      <c r="EA16" s="592">
        <f t="shared" si="97"/>
        <v>0</v>
      </c>
      <c r="EB16" s="1032"/>
      <c r="EC16" s="448">
        <v>205</v>
      </c>
      <c r="ED16" s="449"/>
      <c r="EE16" s="449">
        <f t="shared" si="39"/>
        <v>205</v>
      </c>
      <c r="EF16" s="449">
        <f t="shared" si="19"/>
        <v>0</v>
      </c>
      <c r="EG16" s="450">
        <f t="shared" si="98"/>
        <v>0</v>
      </c>
      <c r="EH16" s="449">
        <f t="shared" si="99"/>
        <v>110</v>
      </c>
      <c r="EI16" s="450">
        <f t="shared" si="100"/>
        <v>2.2173087556080273E-2</v>
      </c>
      <c r="EJ16" s="1035"/>
      <c r="EK16" s="426">
        <v>3506</v>
      </c>
      <c r="EL16" s="427"/>
      <c r="EM16" s="427">
        <f t="shared" si="40"/>
        <v>3240</v>
      </c>
      <c r="EN16" s="427">
        <f t="shared" si="20"/>
        <v>266</v>
      </c>
      <c r="EO16" s="427">
        <f t="shared" si="41"/>
        <v>3432</v>
      </c>
      <c r="EP16" s="456">
        <v>84</v>
      </c>
      <c r="EQ16" s="457"/>
      <c r="ER16" s="457">
        <f t="shared" si="42"/>
        <v>84</v>
      </c>
      <c r="ES16" s="457">
        <f t="shared" si="21"/>
        <v>0</v>
      </c>
      <c r="ET16" s="457">
        <f t="shared" si="43"/>
        <v>42</v>
      </c>
      <c r="EU16" s="409">
        <v>20</v>
      </c>
      <c r="EV16" s="43"/>
      <c r="EW16" s="43">
        <f t="shared" si="44"/>
        <v>20</v>
      </c>
      <c r="EX16" s="43">
        <f t="shared" si="22"/>
        <v>0</v>
      </c>
      <c r="EY16" s="43">
        <f t="shared" si="45"/>
        <v>20</v>
      </c>
      <c r="EZ16" s="436">
        <v>100</v>
      </c>
      <c r="FA16" s="437"/>
      <c r="FB16" s="437">
        <f t="shared" si="46"/>
        <v>100</v>
      </c>
      <c r="FC16" s="437">
        <f t="shared" si="23"/>
        <v>0</v>
      </c>
      <c r="FD16" s="437">
        <f t="shared" si="47"/>
        <v>40</v>
      </c>
      <c r="FE16" s="442">
        <v>175</v>
      </c>
      <c r="FF16" s="443"/>
      <c r="FG16" s="443">
        <f t="shared" si="48"/>
        <v>150</v>
      </c>
      <c r="FH16" s="443">
        <f t="shared" si="24"/>
        <v>25</v>
      </c>
      <c r="FI16" s="443">
        <f t="shared" si="49"/>
        <v>50</v>
      </c>
      <c r="FJ16" s="392">
        <v>0</v>
      </c>
      <c r="FK16" s="298"/>
      <c r="FL16" s="298">
        <f t="shared" si="50"/>
        <v>0</v>
      </c>
      <c r="FM16" s="298">
        <f t="shared" si="25"/>
        <v>0</v>
      </c>
      <c r="FN16" s="498">
        <f t="shared" si="51"/>
        <v>900</v>
      </c>
      <c r="HC16" s="402">
        <v>400</v>
      </c>
      <c r="HD16" s="52"/>
      <c r="HE16" s="52">
        <f t="shared" si="52"/>
        <v>400</v>
      </c>
      <c r="HF16" s="52">
        <f t="shared" si="26"/>
        <v>0</v>
      </c>
      <c r="HG16" s="51"/>
      <c r="HH16" s="52">
        <f t="shared" si="101"/>
        <v>0</v>
      </c>
      <c r="HI16" s="51"/>
      <c r="HJ16" s="1047"/>
    </row>
    <row r="17" spans="1:218" ht="15" customHeight="1">
      <c r="A17" s="30">
        <v>44680</v>
      </c>
      <c r="B17" s="390">
        <v>534001</v>
      </c>
      <c r="C17" s="18">
        <f t="shared" si="27"/>
        <v>5494970</v>
      </c>
      <c r="D17" s="376">
        <v>8164.46</v>
      </c>
      <c r="E17" s="417">
        <f t="shared" si="28"/>
        <v>82154.94</v>
      </c>
      <c r="F17" s="397">
        <v>17615</v>
      </c>
      <c r="G17" s="37"/>
      <c r="H17" s="37">
        <f t="shared" si="0"/>
        <v>15304</v>
      </c>
      <c r="I17" s="37">
        <f t="shared" si="1"/>
        <v>2311</v>
      </c>
      <c r="J17" s="37">
        <f t="shared" si="2"/>
        <v>283.05607474346129</v>
      </c>
      <c r="K17" s="37">
        <f t="shared" si="29"/>
        <v>44143</v>
      </c>
      <c r="L17" s="37">
        <f t="shared" si="3"/>
        <v>537.31400692399018</v>
      </c>
      <c r="M17" s="1101"/>
      <c r="N17" s="422">
        <v>100</v>
      </c>
      <c r="O17" s="423">
        <v>225</v>
      </c>
      <c r="P17" s="423">
        <f t="shared" si="4"/>
        <v>175</v>
      </c>
      <c r="Q17" s="423">
        <f t="shared" si="5"/>
        <v>150</v>
      </c>
      <c r="R17" s="423">
        <f t="shared" si="30"/>
        <v>900</v>
      </c>
      <c r="S17" s="489">
        <v>6.24</v>
      </c>
      <c r="T17" s="67">
        <v>24</v>
      </c>
      <c r="U17" s="68">
        <f t="shared" si="53"/>
        <v>74.88</v>
      </c>
      <c r="V17" s="68">
        <f t="shared" si="6"/>
        <v>9.1714577571572402</v>
      </c>
      <c r="W17" s="423">
        <f t="shared" si="54"/>
        <v>845.99999999999989</v>
      </c>
      <c r="X17" s="68">
        <f t="shared" si="7"/>
        <v>10.297615700285338</v>
      </c>
      <c r="Y17" s="1073"/>
      <c r="Z17" s="424">
        <v>100</v>
      </c>
      <c r="AA17" s="425">
        <v>250</v>
      </c>
      <c r="AB17" s="425">
        <f t="shared" si="55"/>
        <v>250</v>
      </c>
      <c r="AC17" s="425">
        <f t="shared" si="56"/>
        <v>100</v>
      </c>
      <c r="AD17" s="425">
        <f t="shared" si="57"/>
        <v>200</v>
      </c>
      <c r="AE17" s="490">
        <v>2</v>
      </c>
      <c r="AF17" s="71">
        <v>12</v>
      </c>
      <c r="AG17" s="72">
        <f t="shared" si="58"/>
        <v>12</v>
      </c>
      <c r="AH17" s="72">
        <f t="shared" si="8"/>
        <v>1.4697848969803269</v>
      </c>
      <c r="AI17" s="425">
        <f t="shared" si="59"/>
        <v>172.25999999999996</v>
      </c>
      <c r="AJ17" s="72">
        <f t="shared" si="9"/>
        <v>2.0967698351432058</v>
      </c>
      <c r="AK17" s="1075"/>
      <c r="AL17" s="491">
        <v>25642</v>
      </c>
      <c r="AM17" s="491"/>
      <c r="AN17" s="492">
        <f t="shared" si="31"/>
        <v>24058</v>
      </c>
      <c r="AO17" s="492">
        <f t="shared" si="32"/>
        <v>1584</v>
      </c>
      <c r="AP17" s="492">
        <f t="shared" si="60"/>
        <v>8565</v>
      </c>
      <c r="AQ17" s="493">
        <f t="shared" si="10"/>
        <v>104.25422987345618</v>
      </c>
      <c r="AR17" s="1087"/>
      <c r="AS17" s="413">
        <v>49235</v>
      </c>
      <c r="AT17" s="66"/>
      <c r="AU17" s="66">
        <f t="shared" si="61"/>
        <v>49235</v>
      </c>
      <c r="AV17" s="66">
        <f t="shared" si="11"/>
        <v>0</v>
      </c>
      <c r="AW17" s="412">
        <f t="shared" si="62"/>
        <v>0</v>
      </c>
      <c r="AX17" s="66">
        <f t="shared" si="63"/>
        <v>0</v>
      </c>
      <c r="AY17" s="412">
        <f t="shared" si="64"/>
        <v>0</v>
      </c>
      <c r="AZ17" s="1095"/>
      <c r="BA17" s="419">
        <v>45495</v>
      </c>
      <c r="BB17" s="419"/>
      <c r="BC17" s="407"/>
      <c r="BD17" s="419">
        <f t="shared" si="33"/>
        <v>45495</v>
      </c>
      <c r="BE17" s="419">
        <f t="shared" si="34"/>
        <v>0</v>
      </c>
      <c r="BF17" s="407">
        <f t="shared" si="65"/>
        <v>0</v>
      </c>
      <c r="BG17" s="419">
        <f t="shared" si="66"/>
        <v>0</v>
      </c>
      <c r="BH17" s="407">
        <f t="shared" si="67"/>
        <v>0</v>
      </c>
      <c r="BI17" s="407">
        <f t="shared" si="68"/>
        <v>0</v>
      </c>
      <c r="BJ17" s="1089"/>
      <c r="BK17" s="1092"/>
      <c r="BL17" s="402">
        <v>1749</v>
      </c>
      <c r="BM17" s="52"/>
      <c r="BN17" s="52">
        <f t="shared" si="69"/>
        <v>1574</v>
      </c>
      <c r="BO17" s="52">
        <f t="shared" si="12"/>
        <v>175</v>
      </c>
      <c r="BP17" s="406">
        <f t="shared" si="70"/>
        <v>0.32771474210722451</v>
      </c>
      <c r="BQ17" s="52">
        <f t="shared" si="71"/>
        <v>2826</v>
      </c>
      <c r="BR17" s="406">
        <f t="shared" si="72"/>
        <v>0.51428852204834608</v>
      </c>
      <c r="BS17" s="1112"/>
      <c r="BT17" s="409">
        <v>1785</v>
      </c>
      <c r="BU17" s="43"/>
      <c r="BV17" s="43">
        <f t="shared" si="102"/>
        <v>1635</v>
      </c>
      <c r="BW17" s="43">
        <f t="shared" si="103"/>
        <v>150</v>
      </c>
      <c r="BX17" s="42">
        <f t="shared" si="74"/>
        <v>0.28089835037762101</v>
      </c>
      <c r="BY17" s="43">
        <f t="shared" si="104"/>
        <v>752</v>
      </c>
      <c r="BZ17" s="42">
        <f t="shared" si="76"/>
        <v>0.1368524304955259</v>
      </c>
      <c r="CA17" s="1058"/>
      <c r="CB17" s="392">
        <v>2346</v>
      </c>
      <c r="CC17" s="298"/>
      <c r="CD17" s="298">
        <f t="shared" si="35"/>
        <v>1955</v>
      </c>
      <c r="CE17" s="298">
        <f t="shared" si="14"/>
        <v>391</v>
      </c>
      <c r="CF17" s="297">
        <f t="shared" si="77"/>
        <v>0.73220836665099875</v>
      </c>
      <c r="CG17" s="298">
        <f t="shared" si="78"/>
        <v>11845</v>
      </c>
      <c r="CH17" s="297">
        <f t="shared" si="79"/>
        <v>2.1556077649195537</v>
      </c>
      <c r="CI17" s="1061"/>
      <c r="CJ17" s="651"/>
      <c r="CK17" s="651"/>
      <c r="CL17" s="651"/>
      <c r="CM17" s="651"/>
      <c r="CN17" s="651"/>
      <c r="CO17" s="464">
        <v>0</v>
      </c>
      <c r="CP17" s="465"/>
      <c r="CQ17" s="465">
        <f t="shared" si="36"/>
        <v>0</v>
      </c>
      <c r="CR17" s="465">
        <f t="shared" si="15"/>
        <v>0</v>
      </c>
      <c r="CS17" s="486">
        <f t="shared" si="80"/>
        <v>0</v>
      </c>
      <c r="CT17" s="465">
        <f t="shared" si="81"/>
        <v>120</v>
      </c>
      <c r="CU17" s="486">
        <f t="shared" si="82"/>
        <v>2.1838153802477538E-2</v>
      </c>
      <c r="CV17" s="1069"/>
      <c r="CW17" s="427">
        <v>5</v>
      </c>
      <c r="CX17" s="427"/>
      <c r="CY17" s="427">
        <f t="shared" si="83"/>
        <v>5</v>
      </c>
      <c r="CZ17" s="427">
        <f t="shared" si="84"/>
        <v>0</v>
      </c>
      <c r="DA17" s="607">
        <f t="shared" si="85"/>
        <v>0</v>
      </c>
      <c r="DB17" s="607">
        <f t="shared" si="86"/>
        <v>0</v>
      </c>
      <c r="DC17" s="607">
        <f t="shared" si="87"/>
        <v>0</v>
      </c>
      <c r="DD17" s="1081"/>
      <c r="DE17" s="471">
        <v>5.6</v>
      </c>
      <c r="DF17" s="473"/>
      <c r="DG17" s="473">
        <f t="shared" si="37"/>
        <v>5.6</v>
      </c>
      <c r="DH17" s="473">
        <f t="shared" si="16"/>
        <v>0</v>
      </c>
      <c r="DI17" s="227">
        <f t="shared" si="88"/>
        <v>0</v>
      </c>
      <c r="DJ17" s="473">
        <f t="shared" si="89"/>
        <v>5.6</v>
      </c>
      <c r="DK17" s="227">
        <f t="shared" si="90"/>
        <v>1.0191138441156184E-3</v>
      </c>
      <c r="DL17" s="1038"/>
      <c r="DM17" s="413">
        <v>1410</v>
      </c>
      <c r="DN17" s="66"/>
      <c r="DO17" s="66">
        <f t="shared" si="91"/>
        <v>1180</v>
      </c>
      <c r="DP17" s="66">
        <f t="shared" si="17"/>
        <v>230</v>
      </c>
      <c r="DQ17" s="412">
        <f t="shared" si="92"/>
        <v>0.43071080391235222</v>
      </c>
      <c r="DR17" s="66">
        <f t="shared" si="93"/>
        <v>1820</v>
      </c>
      <c r="DS17" s="412">
        <f t="shared" si="94"/>
        <v>0.331211999337576</v>
      </c>
      <c r="DT17" s="1095"/>
      <c r="DU17" s="596">
        <v>400</v>
      </c>
      <c r="DV17" s="596"/>
      <c r="DW17" s="596">
        <f t="shared" si="38"/>
        <v>400</v>
      </c>
      <c r="DX17" s="596">
        <f t="shared" si="18"/>
        <v>0</v>
      </c>
      <c r="DY17" s="592">
        <f t="shared" si="95"/>
        <v>0</v>
      </c>
      <c r="DZ17" s="596">
        <f t="shared" si="96"/>
        <v>0</v>
      </c>
      <c r="EA17" s="592">
        <f t="shared" si="97"/>
        <v>0</v>
      </c>
      <c r="EB17" s="1032"/>
      <c r="EC17" s="448">
        <v>205</v>
      </c>
      <c r="ED17" s="449"/>
      <c r="EE17" s="449">
        <f t="shared" si="39"/>
        <v>205</v>
      </c>
      <c r="EF17" s="449">
        <f t="shared" si="19"/>
        <v>0</v>
      </c>
      <c r="EG17" s="450">
        <f t="shared" si="98"/>
        <v>0</v>
      </c>
      <c r="EH17" s="449">
        <f t="shared" si="99"/>
        <v>110</v>
      </c>
      <c r="EI17" s="450">
        <f t="shared" si="100"/>
        <v>2.0018307652271077E-2</v>
      </c>
      <c r="EJ17" s="1035"/>
      <c r="EK17" s="426">
        <v>3240</v>
      </c>
      <c r="EL17" s="427"/>
      <c r="EM17" s="427">
        <f t="shared" si="40"/>
        <v>3240</v>
      </c>
      <c r="EN17" s="427">
        <f t="shared" si="20"/>
        <v>0</v>
      </c>
      <c r="EO17" s="427">
        <f t="shared" si="41"/>
        <v>3432</v>
      </c>
      <c r="EP17" s="456">
        <v>84</v>
      </c>
      <c r="EQ17" s="457"/>
      <c r="ER17" s="457">
        <f t="shared" si="42"/>
        <v>84</v>
      </c>
      <c r="ES17" s="457">
        <f t="shared" si="21"/>
        <v>0</v>
      </c>
      <c r="ET17" s="457">
        <f t="shared" si="43"/>
        <v>42</v>
      </c>
      <c r="EU17" s="409">
        <v>20</v>
      </c>
      <c r="EV17" s="43">
        <v>20</v>
      </c>
      <c r="EW17" s="43">
        <f t="shared" si="44"/>
        <v>20</v>
      </c>
      <c r="EX17" s="43">
        <f t="shared" si="22"/>
        <v>20</v>
      </c>
      <c r="EY17" s="43">
        <f t="shared" si="45"/>
        <v>40</v>
      </c>
      <c r="EZ17" s="436">
        <v>100</v>
      </c>
      <c r="FA17" s="437"/>
      <c r="FB17" s="437">
        <f t="shared" si="46"/>
        <v>100</v>
      </c>
      <c r="FC17" s="437">
        <f t="shared" si="23"/>
        <v>0</v>
      </c>
      <c r="FD17" s="437">
        <f t="shared" si="47"/>
        <v>40</v>
      </c>
      <c r="FE17" s="442">
        <v>150</v>
      </c>
      <c r="FF17" s="443"/>
      <c r="FG17" s="443">
        <f t="shared" si="48"/>
        <v>150</v>
      </c>
      <c r="FH17" s="443">
        <f t="shared" si="24"/>
        <v>0</v>
      </c>
      <c r="FI17" s="443">
        <f t="shared" si="49"/>
        <v>50</v>
      </c>
      <c r="FJ17" s="392">
        <v>0</v>
      </c>
      <c r="FK17" s="298"/>
      <c r="FL17" s="298">
        <f t="shared" si="50"/>
        <v>0</v>
      </c>
      <c r="FM17" s="298">
        <f t="shared" si="25"/>
        <v>0</v>
      </c>
      <c r="FN17" s="498">
        <f t="shared" si="51"/>
        <v>900</v>
      </c>
      <c r="HC17" s="402">
        <v>400</v>
      </c>
      <c r="HD17" s="52"/>
      <c r="HE17" s="52">
        <f t="shared" si="52"/>
        <v>400</v>
      </c>
      <c r="HF17" s="52">
        <f t="shared" si="26"/>
        <v>0</v>
      </c>
      <c r="HG17" s="51"/>
      <c r="HH17" s="52">
        <f t="shared" si="101"/>
        <v>0</v>
      </c>
      <c r="HI17" s="51"/>
      <c r="HJ17" s="1047"/>
    </row>
    <row r="18" spans="1:218" ht="15" customHeight="1" thickBot="1">
      <c r="A18" s="30">
        <v>44681</v>
      </c>
      <c r="B18" s="482">
        <v>586538</v>
      </c>
      <c r="C18" s="483">
        <f t="shared" si="27"/>
        <v>6081508</v>
      </c>
      <c r="D18" s="377">
        <v>8085.66</v>
      </c>
      <c r="E18" s="484">
        <f t="shared" si="28"/>
        <v>90240.6</v>
      </c>
      <c r="F18" s="399">
        <v>15304</v>
      </c>
      <c r="G18" s="400"/>
      <c r="H18" s="400">
        <f t="shared" si="0"/>
        <v>12540</v>
      </c>
      <c r="I18" s="400">
        <f t="shared" si="1"/>
        <v>2764</v>
      </c>
      <c r="J18" s="400">
        <f t="shared" si="2"/>
        <v>341.83975086758534</v>
      </c>
      <c r="K18" s="400">
        <f t="shared" si="29"/>
        <v>46907</v>
      </c>
      <c r="L18" s="400">
        <f t="shared" si="3"/>
        <v>519.7992921146357</v>
      </c>
      <c r="M18" s="1102"/>
      <c r="N18" s="477">
        <v>175</v>
      </c>
      <c r="O18" s="478"/>
      <c r="P18" s="478">
        <f t="shared" si="4"/>
        <v>100</v>
      </c>
      <c r="Q18" s="478">
        <f t="shared" si="5"/>
        <v>75</v>
      </c>
      <c r="R18" s="478">
        <f t="shared" si="30"/>
        <v>975</v>
      </c>
      <c r="S18" s="111">
        <v>6.45</v>
      </c>
      <c r="T18" s="101">
        <v>24</v>
      </c>
      <c r="U18" s="111">
        <f t="shared" si="53"/>
        <v>77.400000000000006</v>
      </c>
      <c r="V18" s="111">
        <f t="shared" si="6"/>
        <v>9.5725024302283295</v>
      </c>
      <c r="W18" s="478">
        <f t="shared" si="54"/>
        <v>923.39999999999986</v>
      </c>
      <c r="X18" s="111">
        <f t="shared" si="7"/>
        <v>10.232644729755783</v>
      </c>
      <c r="Y18" s="1074"/>
      <c r="Z18" s="479">
        <v>250</v>
      </c>
      <c r="AA18" s="480"/>
      <c r="AB18" s="480">
        <f t="shared" si="55"/>
        <v>225</v>
      </c>
      <c r="AC18" s="480">
        <f t="shared" si="56"/>
        <v>25</v>
      </c>
      <c r="AD18" s="480">
        <f t="shared" si="57"/>
        <v>225</v>
      </c>
      <c r="AE18" s="105">
        <v>2</v>
      </c>
      <c r="AF18" s="104">
        <v>12</v>
      </c>
      <c r="AG18" s="105">
        <f t="shared" si="58"/>
        <v>12</v>
      </c>
      <c r="AH18" s="105">
        <f t="shared" si="8"/>
        <v>1.4841089039113691</v>
      </c>
      <c r="AI18" s="480">
        <f t="shared" si="59"/>
        <v>184.25999999999996</v>
      </c>
      <c r="AJ18" s="105">
        <f t="shared" si="9"/>
        <v>2.0418747215776487</v>
      </c>
      <c r="AK18" s="1076"/>
      <c r="AL18" s="494">
        <v>24058</v>
      </c>
      <c r="AM18" s="494"/>
      <c r="AN18" s="495">
        <f t="shared" ref="AN18:AN81" si="105">AL19</f>
        <v>24058</v>
      </c>
      <c r="AO18" s="495">
        <f t="shared" ref="AO18:AO81" si="106">AL18+AM18-AN18</f>
        <v>0</v>
      </c>
      <c r="AP18" s="495">
        <f t="shared" ref="AP18:AP81" si="107">AO18+AP17</f>
        <v>8565</v>
      </c>
      <c r="AQ18" s="496">
        <f t="shared" si="10"/>
        <v>94.912932759755577</v>
      </c>
      <c r="AR18" s="1088"/>
      <c r="AS18" s="414">
        <v>49235</v>
      </c>
      <c r="AT18" s="415"/>
      <c r="AU18" s="415">
        <f t="shared" si="61"/>
        <v>49235</v>
      </c>
      <c r="AV18" s="415">
        <f t="shared" si="11"/>
        <v>0</v>
      </c>
      <c r="AW18" s="481">
        <f t="shared" si="62"/>
        <v>0</v>
      </c>
      <c r="AX18" s="415">
        <f t="shared" si="63"/>
        <v>0</v>
      </c>
      <c r="AY18" s="481">
        <f t="shared" si="64"/>
        <v>0</v>
      </c>
      <c r="AZ18" s="1096"/>
      <c r="BA18" s="420">
        <v>45495</v>
      </c>
      <c r="BB18" s="421"/>
      <c r="BC18" s="408"/>
      <c r="BD18" s="421">
        <f t="shared" si="33"/>
        <v>45495</v>
      </c>
      <c r="BE18" s="421">
        <f t="shared" si="34"/>
        <v>0</v>
      </c>
      <c r="BF18" s="408">
        <f t="shared" si="65"/>
        <v>0</v>
      </c>
      <c r="BG18" s="421">
        <f t="shared" ref="BG18:BG81" si="108">BG17+BE18</f>
        <v>0</v>
      </c>
      <c r="BH18" s="408">
        <f t="shared" si="67"/>
        <v>0</v>
      </c>
      <c r="BI18" s="408">
        <f t="shared" si="68"/>
        <v>0</v>
      </c>
      <c r="BJ18" s="1090"/>
      <c r="BK18" s="1093"/>
      <c r="BL18" s="403">
        <v>1574</v>
      </c>
      <c r="BM18" s="405">
        <v>900</v>
      </c>
      <c r="BN18" s="405">
        <f t="shared" si="69"/>
        <v>2275</v>
      </c>
      <c r="BO18" s="405">
        <f t="shared" si="12"/>
        <v>199</v>
      </c>
      <c r="BP18" s="485">
        <f t="shared" si="70"/>
        <v>0.33927895549819448</v>
      </c>
      <c r="BQ18" s="405">
        <f t="shared" si="71"/>
        <v>3025</v>
      </c>
      <c r="BR18" s="485">
        <f t="shared" si="72"/>
        <v>0.49740952408514466</v>
      </c>
      <c r="BS18" s="1113"/>
      <c r="BT18" s="432">
        <v>1635</v>
      </c>
      <c r="BU18" s="433"/>
      <c r="BV18" s="433">
        <f t="shared" si="102"/>
        <v>1555</v>
      </c>
      <c r="BW18" s="433">
        <f t="shared" si="103"/>
        <v>80</v>
      </c>
      <c r="BX18" s="97">
        <f t="shared" si="74"/>
        <v>0.13639354994902292</v>
      </c>
      <c r="BY18" s="433">
        <f t="shared" si="104"/>
        <v>832</v>
      </c>
      <c r="BZ18" s="97">
        <f t="shared" si="76"/>
        <v>0.1368081732359803</v>
      </c>
      <c r="CA18" s="1059"/>
      <c r="CB18" s="393">
        <v>1955</v>
      </c>
      <c r="CC18" s="394"/>
      <c r="CD18" s="394">
        <f t="shared" si="35"/>
        <v>1510</v>
      </c>
      <c r="CE18" s="394">
        <f>CB18+CC18-CD18</f>
        <v>445</v>
      </c>
      <c r="CF18" s="300">
        <f t="shared" si="77"/>
        <v>0.75868912159143997</v>
      </c>
      <c r="CG18" s="394">
        <f t="shared" si="78"/>
        <v>12290</v>
      </c>
      <c r="CH18" s="300">
        <f t="shared" si="79"/>
        <v>2.0208803474401416</v>
      </c>
      <c r="CI18" s="1062"/>
      <c r="CJ18" s="652"/>
      <c r="CK18" s="652"/>
      <c r="CL18" s="652"/>
      <c r="CM18" s="652"/>
      <c r="CN18" s="652"/>
      <c r="CO18" s="467">
        <v>0</v>
      </c>
      <c r="CP18" s="468"/>
      <c r="CQ18" s="468">
        <f t="shared" si="36"/>
        <v>0</v>
      </c>
      <c r="CR18" s="468">
        <f t="shared" si="15"/>
        <v>0</v>
      </c>
      <c r="CS18" s="487">
        <f t="shared" si="80"/>
        <v>0</v>
      </c>
      <c r="CT18" s="468">
        <f t="shared" si="81"/>
        <v>120</v>
      </c>
      <c r="CU18" s="486">
        <f t="shared" si="82"/>
        <v>1.9731948062881772E-2</v>
      </c>
      <c r="CV18" s="1070"/>
      <c r="CW18" s="428">
        <v>5</v>
      </c>
      <c r="CX18" s="429"/>
      <c r="CY18" s="429">
        <f t="shared" si="83"/>
        <v>5</v>
      </c>
      <c r="CZ18" s="429">
        <f t="shared" si="84"/>
        <v>0</v>
      </c>
      <c r="DA18" s="608">
        <f t="shared" si="85"/>
        <v>0</v>
      </c>
      <c r="DB18" s="608">
        <f t="shared" si="86"/>
        <v>0</v>
      </c>
      <c r="DC18" s="608">
        <f t="shared" si="87"/>
        <v>0</v>
      </c>
      <c r="DD18" s="1082"/>
      <c r="DE18" s="472">
        <v>5.6</v>
      </c>
      <c r="DF18" s="474"/>
      <c r="DG18" s="474">
        <f t="shared" si="37"/>
        <v>5.6</v>
      </c>
      <c r="DH18" s="474">
        <f t="shared" si="16"/>
        <v>0</v>
      </c>
      <c r="DI18" s="227">
        <f t="shared" si="88"/>
        <v>0</v>
      </c>
      <c r="DJ18" s="474">
        <f t="shared" si="89"/>
        <v>5.6</v>
      </c>
      <c r="DK18" s="227">
        <f t="shared" si="90"/>
        <v>9.2082424293448274E-4</v>
      </c>
      <c r="DL18" s="1039"/>
      <c r="DM18" s="414">
        <v>1180</v>
      </c>
      <c r="DN18" s="415"/>
      <c r="DO18" s="415">
        <f t="shared" si="91"/>
        <v>1000</v>
      </c>
      <c r="DP18" s="415">
        <f t="shared" si="17"/>
        <v>180</v>
      </c>
      <c r="DQ18" s="481">
        <f t="shared" si="92"/>
        <v>0.30688548738530153</v>
      </c>
      <c r="DR18" s="415">
        <f t="shared" si="93"/>
        <v>2000</v>
      </c>
      <c r="DS18" s="481">
        <f t="shared" si="94"/>
        <v>0.32886580104802954</v>
      </c>
      <c r="DT18" s="1096"/>
      <c r="DU18" s="597">
        <v>400</v>
      </c>
      <c r="DV18" s="597"/>
      <c r="DW18" s="597">
        <f t="shared" si="38"/>
        <v>400</v>
      </c>
      <c r="DX18" s="597">
        <f t="shared" si="18"/>
        <v>0</v>
      </c>
      <c r="DY18" s="593">
        <f t="shared" si="95"/>
        <v>0</v>
      </c>
      <c r="DZ18" s="597">
        <f t="shared" si="96"/>
        <v>0</v>
      </c>
      <c r="EA18" s="593">
        <f t="shared" si="97"/>
        <v>0</v>
      </c>
      <c r="EB18" s="1033"/>
      <c r="EC18" s="451">
        <v>205</v>
      </c>
      <c r="ED18" s="452"/>
      <c r="EE18" s="452">
        <f t="shared" si="39"/>
        <v>205</v>
      </c>
      <c r="EF18" s="452">
        <f t="shared" si="19"/>
        <v>0</v>
      </c>
      <c r="EG18" s="450">
        <f t="shared" si="98"/>
        <v>0</v>
      </c>
      <c r="EH18" s="452">
        <f t="shared" si="99"/>
        <v>110</v>
      </c>
      <c r="EI18" s="453">
        <f t="shared" si="100"/>
        <v>1.8087619057641623E-2</v>
      </c>
      <c r="EJ18" s="1036"/>
      <c r="EK18" s="428">
        <v>3240</v>
      </c>
      <c r="EL18" s="429"/>
      <c r="EM18" s="429">
        <f t="shared" si="40"/>
        <v>3240</v>
      </c>
      <c r="EN18" s="429">
        <f t="shared" si="20"/>
        <v>0</v>
      </c>
      <c r="EO18" s="429">
        <f t="shared" si="41"/>
        <v>3432</v>
      </c>
      <c r="EP18" s="458">
        <v>84</v>
      </c>
      <c r="EQ18" s="459"/>
      <c r="ER18" s="459">
        <f t="shared" si="42"/>
        <v>84</v>
      </c>
      <c r="ES18" s="459">
        <f t="shared" si="21"/>
        <v>0</v>
      </c>
      <c r="ET18" s="459">
        <f t="shared" si="43"/>
        <v>42</v>
      </c>
      <c r="EU18" s="432">
        <v>20</v>
      </c>
      <c r="EV18" s="433">
        <v>20</v>
      </c>
      <c r="EW18" s="433">
        <f t="shared" si="44"/>
        <v>40</v>
      </c>
      <c r="EX18" s="433">
        <f t="shared" si="22"/>
        <v>0</v>
      </c>
      <c r="EY18" s="433">
        <f t="shared" si="45"/>
        <v>40</v>
      </c>
      <c r="EZ18" s="438">
        <v>100</v>
      </c>
      <c r="FA18" s="439"/>
      <c r="FB18" s="439">
        <f t="shared" si="46"/>
        <v>100</v>
      </c>
      <c r="FC18" s="439">
        <f t="shared" si="23"/>
        <v>0</v>
      </c>
      <c r="FD18" s="439">
        <f t="shared" si="47"/>
        <v>40</v>
      </c>
      <c r="FE18" s="444">
        <v>150</v>
      </c>
      <c r="FF18" s="445"/>
      <c r="FG18" s="445">
        <f t="shared" si="48"/>
        <v>150</v>
      </c>
      <c r="FH18" s="445">
        <f t="shared" si="24"/>
        <v>0</v>
      </c>
      <c r="FI18" s="445">
        <f t="shared" si="49"/>
        <v>50</v>
      </c>
      <c r="FJ18" s="393">
        <v>0</v>
      </c>
      <c r="FK18" s="394"/>
      <c r="FL18" s="394">
        <f t="shared" si="50"/>
        <v>0</v>
      </c>
      <c r="FM18" s="394">
        <f t="shared" si="25"/>
        <v>0</v>
      </c>
      <c r="FN18" s="499">
        <f t="shared" si="51"/>
        <v>900</v>
      </c>
      <c r="HC18" s="403">
        <v>400</v>
      </c>
      <c r="HD18" s="405"/>
      <c r="HE18" s="405">
        <f t="shared" si="52"/>
        <v>0</v>
      </c>
      <c r="HF18" s="405">
        <f t="shared" si="26"/>
        <v>400</v>
      </c>
      <c r="HG18" s="84"/>
      <c r="HH18" s="405">
        <f t="shared" si="101"/>
        <v>400</v>
      </c>
      <c r="HI18" s="84"/>
      <c r="HJ18" s="1048"/>
    </row>
    <row r="19" spans="1:218" ht="15" customHeight="1">
      <c r="A19" s="30">
        <v>44682</v>
      </c>
      <c r="B19" s="390">
        <v>610733</v>
      </c>
      <c r="C19" s="18">
        <f t="shared" si="27"/>
        <v>6692241</v>
      </c>
      <c r="D19" s="376">
        <v>8222.6200000000008</v>
      </c>
      <c r="E19" s="417">
        <f t="shared" si="28"/>
        <v>98463.22</v>
      </c>
      <c r="F19" s="397">
        <v>12540</v>
      </c>
      <c r="G19" s="37"/>
      <c r="H19" s="37">
        <f t="shared" si="0"/>
        <v>10132</v>
      </c>
      <c r="I19" s="37">
        <f t="shared" si="1"/>
        <v>2408</v>
      </c>
      <c r="J19" s="37">
        <f t="shared" si="2"/>
        <v>292.8506972230262</v>
      </c>
      <c r="K19" s="37">
        <f t="shared" si="29"/>
        <v>49315</v>
      </c>
      <c r="L19" s="37">
        <f t="shared" si="3"/>
        <v>500.84691522377597</v>
      </c>
      <c r="M19" s="1063">
        <f>SUM(I19:I49)*1000/SUM(D19:D49)</f>
        <v>505.96182770656202</v>
      </c>
      <c r="N19" s="422">
        <v>100</v>
      </c>
      <c r="O19" s="423"/>
      <c r="P19" s="423">
        <f t="shared" si="4"/>
        <v>25</v>
      </c>
      <c r="Q19" s="423">
        <f t="shared" si="5"/>
        <v>75</v>
      </c>
      <c r="R19" s="423">
        <f t="shared" si="30"/>
        <v>1050</v>
      </c>
      <c r="S19" s="68">
        <v>6.6</v>
      </c>
      <c r="T19" s="67">
        <v>24</v>
      </c>
      <c r="U19" s="68">
        <f t="shared" si="53"/>
        <v>79.199999999999989</v>
      </c>
      <c r="V19" s="68">
        <f t="shared" si="6"/>
        <v>9.6319664535148135</v>
      </c>
      <c r="W19" s="423">
        <f t="shared" si="54"/>
        <v>1002.5999999999999</v>
      </c>
      <c r="X19" s="68">
        <f t="shared" si="7"/>
        <v>10.182482352293576</v>
      </c>
      <c r="Y19" s="1064">
        <f>SUM(U19:U49)*1000/SUM(D19:D49)</f>
        <v>10.206734058071286</v>
      </c>
      <c r="Z19" s="424">
        <v>225</v>
      </c>
      <c r="AA19" s="425"/>
      <c r="AB19" s="425">
        <f t="shared" si="55"/>
        <v>225</v>
      </c>
      <c r="AC19" s="425">
        <f t="shared" si="56"/>
        <v>0</v>
      </c>
      <c r="AD19" s="425">
        <f t="shared" si="57"/>
        <v>225</v>
      </c>
      <c r="AE19" s="72">
        <v>2</v>
      </c>
      <c r="AF19" s="71">
        <v>12</v>
      </c>
      <c r="AG19" s="72">
        <f t="shared" si="58"/>
        <v>12</v>
      </c>
      <c r="AH19" s="72">
        <f t="shared" si="8"/>
        <v>1.4593888565931539</v>
      </c>
      <c r="AI19" s="425">
        <f t="shared" si="59"/>
        <v>196.25999999999996</v>
      </c>
      <c r="AJ19" s="72">
        <f t="shared" si="9"/>
        <v>1.9932315843418484</v>
      </c>
      <c r="AK19" s="1065">
        <f>SUM(AG19:AG49)*1000/SUM(D19:D49)</f>
        <v>1.6030989772336857</v>
      </c>
      <c r="AL19" s="491">
        <v>24058</v>
      </c>
      <c r="AM19" s="491"/>
      <c r="AN19" s="492">
        <f t="shared" si="105"/>
        <v>24058</v>
      </c>
      <c r="AO19" s="492">
        <f t="shared" si="106"/>
        <v>0</v>
      </c>
      <c r="AP19" s="492">
        <f t="shared" si="107"/>
        <v>8565</v>
      </c>
      <c r="AQ19" s="493">
        <f t="shared" si="10"/>
        <v>86.986795678630045</v>
      </c>
      <c r="AR19" s="1077">
        <f>SUM(AO19:AO49)*1000/SUM(D19:D49)</f>
        <v>59.588641143938418</v>
      </c>
      <c r="AS19" s="413">
        <v>49235</v>
      </c>
      <c r="AT19" s="64"/>
      <c r="AU19" s="66">
        <f t="shared" si="61"/>
        <v>49235</v>
      </c>
      <c r="AV19" s="66">
        <f t="shared" si="11"/>
        <v>0</v>
      </c>
      <c r="AW19" s="412">
        <f t="shared" si="62"/>
        <v>0</v>
      </c>
      <c r="AX19" s="66">
        <f t="shared" si="63"/>
        <v>0</v>
      </c>
      <c r="AY19" s="412">
        <f t="shared" si="64"/>
        <v>0</v>
      </c>
      <c r="AZ19" s="1067">
        <f>SUM(AV19:AV49)*1000/SUM(B19:B49)</f>
        <v>0</v>
      </c>
      <c r="BA19" s="419">
        <v>45495</v>
      </c>
      <c r="BB19" s="419"/>
      <c r="BC19" s="407"/>
      <c r="BD19" s="419">
        <f t="shared" si="33"/>
        <v>45495</v>
      </c>
      <c r="BE19" s="419">
        <f t="shared" si="34"/>
        <v>0</v>
      </c>
      <c r="BF19" s="407">
        <f t="shared" si="65"/>
        <v>0</v>
      </c>
      <c r="BG19" s="419">
        <f t="shared" si="108"/>
        <v>0</v>
      </c>
      <c r="BH19" s="407">
        <f t="shared" si="67"/>
        <v>0</v>
      </c>
      <c r="BI19" s="407">
        <f t="shared" si="68"/>
        <v>0</v>
      </c>
      <c r="BJ19" s="1052">
        <f>SUM(BE19:BE49)*1000/SUM(B19:B49)</f>
        <v>0</v>
      </c>
      <c r="BK19" s="1083">
        <f>BJ19/(98/12)</f>
        <v>0</v>
      </c>
      <c r="BL19" s="49">
        <v>2275</v>
      </c>
      <c r="BM19" s="50"/>
      <c r="BN19" s="52">
        <f t="shared" si="69"/>
        <v>2152</v>
      </c>
      <c r="BO19" s="52">
        <f t="shared" si="12"/>
        <v>123</v>
      </c>
      <c r="BP19" s="406">
        <f t="shared" si="70"/>
        <v>0.20139733729796819</v>
      </c>
      <c r="BQ19" s="52">
        <f t="shared" si="71"/>
        <v>3148</v>
      </c>
      <c r="BR19" s="406">
        <f t="shared" si="72"/>
        <v>0.47039549233209027</v>
      </c>
      <c r="BS19" s="1046">
        <f>SUM(BO19:BO49)*1000/SUM(B19:B49)</f>
        <v>0.34782020203095992</v>
      </c>
      <c r="BT19" s="409">
        <v>1555</v>
      </c>
      <c r="BU19" s="43"/>
      <c r="BV19" s="43">
        <f t="shared" si="102"/>
        <v>1495</v>
      </c>
      <c r="BW19" s="43">
        <f t="shared" si="103"/>
        <v>60</v>
      </c>
      <c r="BX19" s="42">
        <f t="shared" si="74"/>
        <v>9.8242603559984473E-2</v>
      </c>
      <c r="BY19" s="43">
        <f t="shared" si="104"/>
        <v>892</v>
      </c>
      <c r="BZ19" s="42">
        <f t="shared" si="76"/>
        <v>0.13328868461252366</v>
      </c>
      <c r="CA19" s="1057">
        <f>SUM(BW19:BW49)*1000/SUM(B19:B49)</f>
        <v>0.10515494480005765</v>
      </c>
      <c r="CB19" s="392">
        <v>1510</v>
      </c>
      <c r="CC19" s="298"/>
      <c r="CD19" s="298">
        <f t="shared" si="35"/>
        <v>920</v>
      </c>
      <c r="CE19" s="298">
        <f t="shared" si="14"/>
        <v>590</v>
      </c>
      <c r="CF19" s="297">
        <f t="shared" si="77"/>
        <v>0.96605226833984736</v>
      </c>
      <c r="CG19" s="298">
        <f t="shared" si="78"/>
        <v>12880</v>
      </c>
      <c r="CH19" s="297">
        <f t="shared" si="79"/>
        <v>1.9246168809521356</v>
      </c>
      <c r="CI19" s="1060">
        <f>SUM(CE19:CE49)*1000/SUM(B19:B49)</f>
        <v>0.66847537665523826</v>
      </c>
      <c r="CJ19" s="651"/>
      <c r="CK19" s="651"/>
      <c r="CL19" s="651"/>
      <c r="CM19" s="651"/>
      <c r="CN19" s="651"/>
      <c r="CO19" s="464">
        <v>0</v>
      </c>
      <c r="CP19" s="465"/>
      <c r="CQ19" s="465">
        <f t="shared" si="36"/>
        <v>0</v>
      </c>
      <c r="CR19" s="465">
        <f t="shared" si="15"/>
        <v>0</v>
      </c>
      <c r="CS19" s="486">
        <f t="shared" si="80"/>
        <v>0</v>
      </c>
      <c r="CT19" s="465">
        <f t="shared" si="81"/>
        <v>120</v>
      </c>
      <c r="CU19" s="488">
        <f t="shared" si="82"/>
        <v>1.7931213176572692E-2</v>
      </c>
      <c r="CV19" s="1068">
        <f>SUM(CR19:CR49)*1000/SUM(B19:B49)</f>
        <v>8.0888419076967418E-3</v>
      </c>
      <c r="CW19" s="427">
        <v>5</v>
      </c>
      <c r="CX19" s="427"/>
      <c r="CY19" s="427">
        <f t="shared" si="83"/>
        <v>5</v>
      </c>
      <c r="CZ19" s="427">
        <f t="shared" si="84"/>
        <v>0</v>
      </c>
      <c r="DA19" s="607">
        <f t="shared" si="85"/>
        <v>0</v>
      </c>
      <c r="DB19" s="607">
        <f t="shared" si="86"/>
        <v>0</v>
      </c>
      <c r="DC19" s="607">
        <f t="shared" si="87"/>
        <v>0</v>
      </c>
      <c r="DD19" s="607"/>
      <c r="DE19" s="471">
        <v>5.6</v>
      </c>
      <c r="DF19" s="473"/>
      <c r="DG19" s="473">
        <f t="shared" si="37"/>
        <v>5.6</v>
      </c>
      <c r="DH19" s="473">
        <f t="shared" si="16"/>
        <v>0</v>
      </c>
      <c r="DI19" s="229">
        <f t="shared" si="88"/>
        <v>0</v>
      </c>
      <c r="DJ19" s="473">
        <f t="shared" si="89"/>
        <v>5.6</v>
      </c>
      <c r="DK19" s="229">
        <f t="shared" si="90"/>
        <v>8.3678994824005885E-4</v>
      </c>
      <c r="DL19" s="1037">
        <f>SUM(DH19:DH49)*1000/SUM(B19:B49)</f>
        <v>0</v>
      </c>
      <c r="DM19" s="63">
        <v>1000</v>
      </c>
      <c r="DN19" s="64"/>
      <c r="DO19" s="66">
        <f t="shared" si="91"/>
        <v>590</v>
      </c>
      <c r="DP19" s="66">
        <f t="shared" si="17"/>
        <v>410</v>
      </c>
      <c r="DQ19" s="412">
        <f t="shared" si="92"/>
        <v>0.6713244576598939</v>
      </c>
      <c r="DR19" s="66">
        <f t="shared" si="93"/>
        <v>2410</v>
      </c>
      <c r="DS19" s="412">
        <f t="shared" si="94"/>
        <v>0.36011853129616822</v>
      </c>
      <c r="DT19" s="1067">
        <f>SUM(DP19:DP49)*1000/SUM(B19:B49)</f>
        <v>0.30467971185657727</v>
      </c>
      <c r="DU19" s="596">
        <v>400</v>
      </c>
      <c r="DV19" s="596"/>
      <c r="DW19" s="596">
        <f t="shared" si="38"/>
        <v>400</v>
      </c>
      <c r="DX19" s="596">
        <f t="shared" si="18"/>
        <v>0</v>
      </c>
      <c r="DY19" s="592">
        <f t="shared" si="95"/>
        <v>0</v>
      </c>
      <c r="DZ19" s="596">
        <f t="shared" si="96"/>
        <v>0</v>
      </c>
      <c r="EA19" s="592">
        <f t="shared" si="97"/>
        <v>0</v>
      </c>
      <c r="EB19" s="1040">
        <f>SUM(DX19:DX49)*1000/SUM(B19:B49)</f>
        <v>0.12133262861545113</v>
      </c>
      <c r="EC19" s="448">
        <v>205</v>
      </c>
      <c r="ED19" s="449"/>
      <c r="EE19" s="449">
        <f t="shared" si="39"/>
        <v>205</v>
      </c>
      <c r="EF19" s="449">
        <f t="shared" si="19"/>
        <v>0</v>
      </c>
      <c r="EG19" s="497">
        <f t="shared" si="98"/>
        <v>0</v>
      </c>
      <c r="EH19" s="449">
        <f t="shared" si="99"/>
        <v>110</v>
      </c>
      <c r="EI19" s="450">
        <f t="shared" si="100"/>
        <v>1.6436945411858299E-2</v>
      </c>
      <c r="EJ19" s="1034">
        <f>SUM(EF19:EF49)*1000/SUM(B19:B49)</f>
        <v>3.3703507948736424E-3</v>
      </c>
      <c r="EK19" s="426">
        <v>3240</v>
      </c>
      <c r="EL19" s="427"/>
      <c r="EM19" s="427">
        <f t="shared" si="40"/>
        <v>2400</v>
      </c>
      <c r="EN19" s="427">
        <f t="shared" si="20"/>
        <v>840</v>
      </c>
      <c r="EO19" s="427">
        <f t="shared" si="41"/>
        <v>4272</v>
      </c>
      <c r="EP19" s="456">
        <v>84</v>
      </c>
      <c r="EQ19" s="457"/>
      <c r="ER19" s="457">
        <f t="shared" si="42"/>
        <v>84</v>
      </c>
      <c r="ES19" s="457">
        <f t="shared" si="21"/>
        <v>0</v>
      </c>
      <c r="ET19" s="457">
        <f t="shared" si="43"/>
        <v>42</v>
      </c>
      <c r="EU19" s="409">
        <v>40</v>
      </c>
      <c r="EV19" s="43"/>
      <c r="EW19" s="43">
        <f t="shared" si="44"/>
        <v>40</v>
      </c>
      <c r="EX19" s="43">
        <f t="shared" si="22"/>
        <v>0</v>
      </c>
      <c r="EY19" s="43">
        <f t="shared" si="45"/>
        <v>40</v>
      </c>
      <c r="EZ19" s="436">
        <v>100</v>
      </c>
      <c r="FA19" s="437"/>
      <c r="FB19" s="437">
        <f t="shared" si="46"/>
        <v>50</v>
      </c>
      <c r="FC19" s="437">
        <f t="shared" si="23"/>
        <v>50</v>
      </c>
      <c r="FD19" s="437">
        <f t="shared" si="47"/>
        <v>90</v>
      </c>
      <c r="FE19" s="442">
        <v>150</v>
      </c>
      <c r="FF19" s="443"/>
      <c r="FG19" s="443">
        <f t="shared" si="48"/>
        <v>70</v>
      </c>
      <c r="FH19" s="443">
        <f t="shared" si="24"/>
        <v>80</v>
      </c>
      <c r="FI19" s="443">
        <f t="shared" si="49"/>
        <v>130</v>
      </c>
      <c r="FJ19" s="392">
        <v>0</v>
      </c>
      <c r="FK19" s="298"/>
      <c r="FL19" s="298">
        <f t="shared" si="50"/>
        <v>0</v>
      </c>
      <c r="FM19" s="298">
        <f t="shared" si="25"/>
        <v>0</v>
      </c>
      <c r="FN19" s="498">
        <f t="shared" si="51"/>
        <v>900</v>
      </c>
      <c r="HC19" s="402"/>
      <c r="HD19" s="52"/>
      <c r="HE19" s="52">
        <f t="shared" si="52"/>
        <v>0</v>
      </c>
      <c r="HF19" s="52">
        <f t="shared" si="26"/>
        <v>0</v>
      </c>
      <c r="HG19" s="51"/>
      <c r="HH19" s="52">
        <f t="shared" si="101"/>
        <v>400</v>
      </c>
      <c r="HI19" s="51"/>
      <c r="HJ19" s="1047"/>
    </row>
    <row r="20" spans="1:218" ht="15" customHeight="1">
      <c r="A20" s="30">
        <v>44683</v>
      </c>
      <c r="B20" s="390">
        <v>633958</v>
      </c>
      <c r="C20" s="18">
        <f t="shared" si="27"/>
        <v>7326199</v>
      </c>
      <c r="D20" s="376">
        <v>8319.9599999999991</v>
      </c>
      <c r="E20" s="417">
        <f t="shared" ref="E20:E83" si="109">E19+D20</f>
        <v>106783.18</v>
      </c>
      <c r="F20" s="397">
        <v>10132</v>
      </c>
      <c r="G20" s="37">
        <v>49680</v>
      </c>
      <c r="H20" s="37">
        <f t="shared" si="0"/>
        <v>51810</v>
      </c>
      <c r="I20" s="37">
        <f t="shared" si="1"/>
        <v>8002</v>
      </c>
      <c r="J20" s="37">
        <f t="shared" si="2"/>
        <v>961.78347011283722</v>
      </c>
      <c r="K20" s="37">
        <f t="shared" si="29"/>
        <v>57317</v>
      </c>
      <c r="L20" s="37">
        <f t="shared" si="3"/>
        <v>536.76056472564312</v>
      </c>
      <c r="M20" s="1098"/>
      <c r="N20" s="422">
        <v>25</v>
      </c>
      <c r="O20" s="423">
        <v>250</v>
      </c>
      <c r="P20" s="423">
        <f t="shared" si="4"/>
        <v>200</v>
      </c>
      <c r="Q20" s="423">
        <f t="shared" si="5"/>
        <v>75</v>
      </c>
      <c r="R20" s="423">
        <f t="shared" si="30"/>
        <v>1125</v>
      </c>
      <c r="S20" s="68">
        <v>5.9</v>
      </c>
      <c r="T20" s="67">
        <v>24</v>
      </c>
      <c r="U20" s="68">
        <f t="shared" si="53"/>
        <v>70.800000000000011</v>
      </c>
      <c r="V20" s="68">
        <f t="shared" si="6"/>
        <v>8.5096562964245042</v>
      </c>
      <c r="W20" s="423">
        <f t="shared" si="54"/>
        <v>1073.3999999999999</v>
      </c>
      <c r="X20" s="68">
        <f t="shared" si="7"/>
        <v>10.052144916455942</v>
      </c>
      <c r="Y20" s="1073"/>
      <c r="Z20" s="424">
        <v>225</v>
      </c>
      <c r="AA20" s="425"/>
      <c r="AB20" s="425">
        <f t="shared" si="55"/>
        <v>200</v>
      </c>
      <c r="AC20" s="425">
        <f t="shared" si="56"/>
        <v>25</v>
      </c>
      <c r="AD20" s="425">
        <f t="shared" si="57"/>
        <v>250</v>
      </c>
      <c r="AE20" s="72">
        <v>2.06</v>
      </c>
      <c r="AF20" s="71">
        <v>12</v>
      </c>
      <c r="AG20" s="72">
        <f t="shared" si="58"/>
        <v>12.36</v>
      </c>
      <c r="AH20" s="72">
        <f t="shared" si="8"/>
        <v>1.4855840653080064</v>
      </c>
      <c r="AI20" s="425">
        <f t="shared" si="59"/>
        <v>208.61999999999995</v>
      </c>
      <c r="AJ20" s="72">
        <f t="shared" si="9"/>
        <v>1.9536784725834158</v>
      </c>
      <c r="AK20" s="1075"/>
      <c r="AL20" s="491">
        <v>24058</v>
      </c>
      <c r="AM20" s="491"/>
      <c r="AN20" s="492">
        <f t="shared" si="105"/>
        <v>24058</v>
      </c>
      <c r="AO20" s="492">
        <f t="shared" si="106"/>
        <v>0</v>
      </c>
      <c r="AP20" s="492">
        <f t="shared" si="107"/>
        <v>8565</v>
      </c>
      <c r="AQ20" s="493">
        <f t="shared" si="10"/>
        <v>80.209261421133931</v>
      </c>
      <c r="AR20" s="1078"/>
      <c r="AS20" s="413">
        <v>49235</v>
      </c>
      <c r="AT20" s="64"/>
      <c r="AU20" s="66">
        <f t="shared" si="61"/>
        <v>49235</v>
      </c>
      <c r="AV20" s="66">
        <f t="shared" si="11"/>
        <v>0</v>
      </c>
      <c r="AW20" s="412">
        <f t="shared" si="62"/>
        <v>0</v>
      </c>
      <c r="AX20" s="66">
        <f t="shared" si="63"/>
        <v>0</v>
      </c>
      <c r="AY20" s="412">
        <f t="shared" si="64"/>
        <v>0</v>
      </c>
      <c r="AZ20" s="1071"/>
      <c r="BA20" s="419">
        <v>45495</v>
      </c>
      <c r="BB20" s="419"/>
      <c r="BC20" s="407"/>
      <c r="BD20" s="419">
        <f t="shared" si="33"/>
        <v>45495</v>
      </c>
      <c r="BE20" s="419">
        <f t="shared" si="34"/>
        <v>0</v>
      </c>
      <c r="BF20" s="407">
        <f t="shared" si="65"/>
        <v>0</v>
      </c>
      <c r="BG20" s="419">
        <f t="shared" si="108"/>
        <v>0</v>
      </c>
      <c r="BH20" s="407">
        <f t="shared" si="67"/>
        <v>0</v>
      </c>
      <c r="BI20" s="407">
        <f t="shared" si="68"/>
        <v>0</v>
      </c>
      <c r="BJ20" s="1089"/>
      <c r="BK20" s="1084"/>
      <c r="BL20" s="49">
        <v>2152</v>
      </c>
      <c r="BM20" s="50"/>
      <c r="BN20" s="52">
        <f t="shared" si="69"/>
        <v>2054</v>
      </c>
      <c r="BO20" s="52">
        <f t="shared" si="12"/>
        <v>98</v>
      </c>
      <c r="BP20" s="406">
        <f t="shared" si="70"/>
        <v>0.15458437309727144</v>
      </c>
      <c r="BQ20" s="52">
        <f t="shared" si="71"/>
        <v>3246</v>
      </c>
      <c r="BR20" s="406">
        <f t="shared" si="72"/>
        <v>0.44306740780587589</v>
      </c>
      <c r="BS20" s="1047"/>
      <c r="BT20" s="409">
        <v>1495</v>
      </c>
      <c r="BU20" s="43"/>
      <c r="BV20" s="43">
        <f t="shared" si="102"/>
        <v>1425</v>
      </c>
      <c r="BW20" s="43">
        <f t="shared" si="103"/>
        <v>70</v>
      </c>
      <c r="BX20" s="42">
        <f t="shared" si="74"/>
        <v>0.11041740935519388</v>
      </c>
      <c r="BY20" s="43">
        <f t="shared" si="104"/>
        <v>962</v>
      </c>
      <c r="BZ20" s="42">
        <f t="shared" si="76"/>
        <v>0.13130956448220968</v>
      </c>
      <c r="CA20" s="1058"/>
      <c r="CB20" s="392">
        <v>920</v>
      </c>
      <c r="CC20" s="298">
        <v>1150</v>
      </c>
      <c r="CD20" s="298">
        <f t="shared" si="35"/>
        <v>1633</v>
      </c>
      <c r="CE20" s="298">
        <f t="shared" si="14"/>
        <v>437</v>
      </c>
      <c r="CF20" s="297">
        <f t="shared" si="77"/>
        <v>0.68932011268885318</v>
      </c>
      <c r="CG20" s="298">
        <f t="shared" si="78"/>
        <v>13317</v>
      </c>
      <c r="CH20" s="297">
        <f t="shared" si="79"/>
        <v>1.8177229420058068</v>
      </c>
      <c r="CI20" s="1061"/>
      <c r="CJ20" s="651"/>
      <c r="CK20" s="651"/>
      <c r="CL20" s="651"/>
      <c r="CM20" s="651"/>
      <c r="CN20" s="651"/>
      <c r="CO20" s="464">
        <v>0</v>
      </c>
      <c r="CP20" s="465"/>
      <c r="CQ20" s="465">
        <f t="shared" si="36"/>
        <v>0</v>
      </c>
      <c r="CR20" s="465">
        <f t="shared" si="15"/>
        <v>0</v>
      </c>
      <c r="CS20" s="486">
        <f t="shared" si="80"/>
        <v>0</v>
      </c>
      <c r="CT20" s="465">
        <f t="shared" si="81"/>
        <v>120</v>
      </c>
      <c r="CU20" s="486">
        <f t="shared" si="82"/>
        <v>1.6379571453082286E-2</v>
      </c>
      <c r="CV20" s="1069"/>
      <c r="CW20" s="427">
        <v>5</v>
      </c>
      <c r="CX20" s="427"/>
      <c r="CY20" s="427">
        <f t="shared" si="83"/>
        <v>5</v>
      </c>
      <c r="CZ20" s="427">
        <f t="shared" si="84"/>
        <v>0</v>
      </c>
      <c r="DA20" s="607">
        <f t="shared" si="85"/>
        <v>0</v>
      </c>
      <c r="DB20" s="607">
        <f t="shared" si="86"/>
        <v>0</v>
      </c>
      <c r="DC20" s="607">
        <f t="shared" si="87"/>
        <v>0</v>
      </c>
      <c r="DD20" s="607"/>
      <c r="DE20" s="471">
        <v>5.6</v>
      </c>
      <c r="DF20" s="473"/>
      <c r="DG20" s="473">
        <f t="shared" si="37"/>
        <v>5.6</v>
      </c>
      <c r="DH20" s="473">
        <f t="shared" si="16"/>
        <v>0</v>
      </c>
      <c r="DI20" s="227">
        <f t="shared" si="88"/>
        <v>0</v>
      </c>
      <c r="DJ20" s="473">
        <f t="shared" si="89"/>
        <v>5.6</v>
      </c>
      <c r="DK20" s="227">
        <f t="shared" si="90"/>
        <v>7.6438000114384006E-4</v>
      </c>
      <c r="DL20" s="1038"/>
      <c r="DM20" s="63">
        <v>590</v>
      </c>
      <c r="DN20" s="64"/>
      <c r="DO20" s="66">
        <f t="shared" si="91"/>
        <v>340</v>
      </c>
      <c r="DP20" s="66">
        <f t="shared" si="17"/>
        <v>250</v>
      </c>
      <c r="DQ20" s="412">
        <f t="shared" si="92"/>
        <v>0.39434789055426384</v>
      </c>
      <c r="DR20" s="66">
        <f t="shared" si="93"/>
        <v>2660</v>
      </c>
      <c r="DS20" s="412">
        <f t="shared" si="94"/>
        <v>0.36308050054332403</v>
      </c>
      <c r="DT20" s="1071"/>
      <c r="DU20" s="596">
        <v>400</v>
      </c>
      <c r="DV20" s="596"/>
      <c r="DW20" s="596">
        <f t="shared" si="38"/>
        <v>400</v>
      </c>
      <c r="DX20" s="596">
        <f t="shared" si="18"/>
        <v>0</v>
      </c>
      <c r="DY20" s="592">
        <f t="shared" si="95"/>
        <v>0</v>
      </c>
      <c r="DZ20" s="596">
        <f t="shared" si="96"/>
        <v>0</v>
      </c>
      <c r="EA20" s="592">
        <f t="shared" si="97"/>
        <v>0</v>
      </c>
      <c r="EB20" s="1041"/>
      <c r="EC20" s="448">
        <v>205</v>
      </c>
      <c r="ED20" s="449"/>
      <c r="EE20" s="449">
        <f t="shared" si="39"/>
        <v>205</v>
      </c>
      <c r="EF20" s="449">
        <f t="shared" si="19"/>
        <v>0</v>
      </c>
      <c r="EG20" s="450">
        <f t="shared" si="98"/>
        <v>0</v>
      </c>
      <c r="EH20" s="449">
        <f t="shared" si="99"/>
        <v>110</v>
      </c>
      <c r="EI20" s="450">
        <f t="shared" si="100"/>
        <v>1.501460716532543E-2</v>
      </c>
      <c r="EJ20" s="1035"/>
      <c r="EK20" s="426">
        <v>2400</v>
      </c>
      <c r="EL20" s="427">
        <v>1200</v>
      </c>
      <c r="EM20" s="427">
        <f t="shared" si="40"/>
        <v>3280</v>
      </c>
      <c r="EN20" s="427">
        <f t="shared" si="20"/>
        <v>320</v>
      </c>
      <c r="EO20" s="427">
        <f t="shared" si="41"/>
        <v>4592</v>
      </c>
      <c r="EP20" s="456">
        <v>84</v>
      </c>
      <c r="EQ20" s="457"/>
      <c r="ER20" s="457">
        <f t="shared" si="42"/>
        <v>84</v>
      </c>
      <c r="ES20" s="457">
        <f t="shared" si="21"/>
        <v>0</v>
      </c>
      <c r="ET20" s="457">
        <f t="shared" si="43"/>
        <v>42</v>
      </c>
      <c r="EU20" s="409">
        <v>40</v>
      </c>
      <c r="EV20" s="43"/>
      <c r="EW20" s="43">
        <f t="shared" si="44"/>
        <v>40</v>
      </c>
      <c r="EX20" s="43">
        <f t="shared" si="22"/>
        <v>0</v>
      </c>
      <c r="EY20" s="43">
        <f t="shared" si="45"/>
        <v>40</v>
      </c>
      <c r="EZ20" s="436">
        <v>50</v>
      </c>
      <c r="FA20" s="437">
        <v>50</v>
      </c>
      <c r="FB20" s="437">
        <f t="shared" si="46"/>
        <v>100</v>
      </c>
      <c r="FC20" s="437">
        <f t="shared" si="23"/>
        <v>0</v>
      </c>
      <c r="FD20" s="437">
        <f t="shared" si="47"/>
        <v>90</v>
      </c>
      <c r="FE20" s="442">
        <v>70</v>
      </c>
      <c r="FF20" s="443">
        <v>200</v>
      </c>
      <c r="FG20" s="443">
        <f t="shared" si="48"/>
        <v>250</v>
      </c>
      <c r="FH20" s="443">
        <f t="shared" si="24"/>
        <v>20</v>
      </c>
      <c r="FI20" s="443">
        <f t="shared" si="49"/>
        <v>150</v>
      </c>
      <c r="FJ20" s="392">
        <v>0</v>
      </c>
      <c r="FK20" s="298"/>
      <c r="FL20" s="298">
        <f t="shared" si="50"/>
        <v>0</v>
      </c>
      <c r="FM20" s="298">
        <f t="shared" si="25"/>
        <v>0</v>
      </c>
      <c r="FN20" s="498">
        <f t="shared" si="51"/>
        <v>900</v>
      </c>
      <c r="HC20" s="402"/>
      <c r="HD20" s="52"/>
      <c r="HE20" s="52">
        <f t="shared" si="52"/>
        <v>0</v>
      </c>
      <c r="HF20" s="52">
        <f t="shared" si="26"/>
        <v>0</v>
      </c>
      <c r="HG20" s="51"/>
      <c r="HH20" s="52">
        <f t="shared" si="101"/>
        <v>400</v>
      </c>
      <c r="HI20" s="51"/>
      <c r="HJ20" s="1047"/>
    </row>
    <row r="21" spans="1:218" ht="15" customHeight="1">
      <c r="A21" s="30">
        <v>44684</v>
      </c>
      <c r="B21" s="390">
        <v>639538</v>
      </c>
      <c r="C21" s="18">
        <f t="shared" si="27"/>
        <v>7965737</v>
      </c>
      <c r="D21" s="376">
        <v>8146.72</v>
      </c>
      <c r="E21" s="417">
        <f t="shared" si="109"/>
        <v>114929.9</v>
      </c>
      <c r="F21" s="397">
        <v>51810</v>
      </c>
      <c r="G21" s="37"/>
      <c r="H21" s="37">
        <f t="shared" si="0"/>
        <v>51810</v>
      </c>
      <c r="I21" s="37">
        <f t="shared" si="1"/>
        <v>0</v>
      </c>
      <c r="J21" s="37">
        <f t="shared" si="2"/>
        <v>0</v>
      </c>
      <c r="K21" s="37">
        <f t="shared" si="29"/>
        <v>57317</v>
      </c>
      <c r="L21" s="37">
        <f t="shared" si="3"/>
        <v>498.71269356364184</v>
      </c>
      <c r="M21" s="1098"/>
      <c r="N21" s="422">
        <v>200</v>
      </c>
      <c r="O21" s="423"/>
      <c r="P21" s="423">
        <f t="shared" si="4"/>
        <v>125</v>
      </c>
      <c r="Q21" s="423">
        <f t="shared" si="5"/>
        <v>75</v>
      </c>
      <c r="R21" s="423">
        <f t="shared" si="30"/>
        <v>1200</v>
      </c>
      <c r="S21" s="68">
        <v>5.6219999999999999</v>
      </c>
      <c r="T21" s="67">
        <v>24</v>
      </c>
      <c r="U21" s="68">
        <f t="shared" si="53"/>
        <v>67.463999999999999</v>
      </c>
      <c r="V21" s="68">
        <f t="shared" si="6"/>
        <v>8.2811241824930768</v>
      </c>
      <c r="W21" s="423">
        <f t="shared" si="54"/>
        <v>1140.8639999999998</v>
      </c>
      <c r="X21" s="68">
        <f t="shared" si="7"/>
        <v>9.9266074363590313</v>
      </c>
      <c r="Y21" s="1073"/>
      <c r="Z21" s="424">
        <v>200</v>
      </c>
      <c r="AA21" s="425"/>
      <c r="AB21" s="425">
        <f t="shared" si="55"/>
        <v>200</v>
      </c>
      <c r="AC21" s="425">
        <f t="shared" si="56"/>
        <v>0</v>
      </c>
      <c r="AD21" s="425">
        <f t="shared" si="57"/>
        <v>250</v>
      </c>
      <c r="AE21" s="72">
        <v>1.97</v>
      </c>
      <c r="AF21" s="71">
        <v>12</v>
      </c>
      <c r="AG21" s="72">
        <f t="shared" si="58"/>
        <v>11.82</v>
      </c>
      <c r="AH21" s="72">
        <f t="shared" si="8"/>
        <v>1.4508906652002278</v>
      </c>
      <c r="AI21" s="425">
        <f t="shared" si="59"/>
        <v>220.43999999999994</v>
      </c>
      <c r="AJ21" s="72">
        <f t="shared" si="9"/>
        <v>1.9180387349158048</v>
      </c>
      <c r="AK21" s="1075"/>
      <c r="AL21" s="491">
        <v>24058</v>
      </c>
      <c r="AM21" s="491"/>
      <c r="AN21" s="492">
        <f t="shared" si="105"/>
        <v>24058</v>
      </c>
      <c r="AO21" s="492">
        <f t="shared" si="106"/>
        <v>0</v>
      </c>
      <c r="AP21" s="492">
        <f t="shared" si="107"/>
        <v>8565</v>
      </c>
      <c r="AQ21" s="493">
        <f t="shared" si="10"/>
        <v>74.523687917591516</v>
      </c>
      <c r="AR21" s="1078"/>
      <c r="AS21" s="413">
        <v>49235</v>
      </c>
      <c r="AT21" s="64"/>
      <c r="AU21" s="66">
        <f t="shared" si="61"/>
        <v>49235</v>
      </c>
      <c r="AV21" s="66">
        <f t="shared" si="11"/>
        <v>0</v>
      </c>
      <c r="AW21" s="412">
        <f t="shared" si="62"/>
        <v>0</v>
      </c>
      <c r="AX21" s="66">
        <f t="shared" si="63"/>
        <v>0</v>
      </c>
      <c r="AY21" s="412">
        <f t="shared" si="64"/>
        <v>0</v>
      </c>
      <c r="AZ21" s="1071"/>
      <c r="BA21" s="419">
        <v>45495</v>
      </c>
      <c r="BB21" s="419"/>
      <c r="BC21" s="407"/>
      <c r="BD21" s="419">
        <f t="shared" si="33"/>
        <v>45495</v>
      </c>
      <c r="BE21" s="419">
        <f t="shared" si="34"/>
        <v>0</v>
      </c>
      <c r="BF21" s="407">
        <f t="shared" si="65"/>
        <v>0</v>
      </c>
      <c r="BG21" s="419">
        <f t="shared" si="108"/>
        <v>0</v>
      </c>
      <c r="BH21" s="407">
        <f t="shared" si="67"/>
        <v>0</v>
      </c>
      <c r="BI21" s="407">
        <f t="shared" si="68"/>
        <v>0</v>
      </c>
      <c r="BJ21" s="1089"/>
      <c r="BK21" s="1084"/>
      <c r="BL21" s="49">
        <v>2054</v>
      </c>
      <c r="BM21" s="50"/>
      <c r="BN21" s="52">
        <f t="shared" si="69"/>
        <v>1953</v>
      </c>
      <c r="BO21" s="52">
        <f t="shared" si="12"/>
        <v>101</v>
      </c>
      <c r="BP21" s="406">
        <f t="shared" si="70"/>
        <v>0.15792650319449353</v>
      </c>
      <c r="BQ21" s="52">
        <f t="shared" si="71"/>
        <v>3347</v>
      </c>
      <c r="BR21" s="406">
        <f t="shared" si="72"/>
        <v>0.42017455509766388</v>
      </c>
      <c r="BS21" s="1047"/>
      <c r="BT21" s="409">
        <v>1425</v>
      </c>
      <c r="BU21" s="43"/>
      <c r="BV21" s="43">
        <f t="shared" si="102"/>
        <v>1375</v>
      </c>
      <c r="BW21" s="43">
        <f t="shared" si="103"/>
        <v>50</v>
      </c>
      <c r="BX21" s="42">
        <f t="shared" si="74"/>
        <v>7.8181437224996791E-2</v>
      </c>
      <c r="BY21" s="43">
        <f t="shared" si="104"/>
        <v>1012</v>
      </c>
      <c r="BZ21" s="42">
        <f t="shared" si="76"/>
        <v>0.12704411406000474</v>
      </c>
      <c r="CA21" s="1058"/>
      <c r="CB21" s="392">
        <v>1633</v>
      </c>
      <c r="CC21" s="298">
        <v>1150</v>
      </c>
      <c r="CD21" s="298">
        <f t="shared" si="35"/>
        <v>2225</v>
      </c>
      <c r="CE21" s="298">
        <f t="shared" si="14"/>
        <v>558</v>
      </c>
      <c r="CF21" s="297">
        <f t="shared" si="77"/>
        <v>0.87250483943096424</v>
      </c>
      <c r="CG21" s="298">
        <f t="shared" si="78"/>
        <v>13875</v>
      </c>
      <c r="CH21" s="297">
        <f t="shared" si="79"/>
        <v>1.7418350618404801</v>
      </c>
      <c r="CI21" s="1061"/>
      <c r="CJ21" s="651"/>
      <c r="CK21" s="651"/>
      <c r="CL21" s="651"/>
      <c r="CM21" s="651"/>
      <c r="CN21" s="651"/>
      <c r="CO21" s="464">
        <v>0</v>
      </c>
      <c r="CP21" s="465"/>
      <c r="CQ21" s="465">
        <f t="shared" si="36"/>
        <v>0</v>
      </c>
      <c r="CR21" s="465">
        <f t="shared" si="15"/>
        <v>0</v>
      </c>
      <c r="CS21" s="486">
        <f t="shared" si="80"/>
        <v>0</v>
      </c>
      <c r="CT21" s="465">
        <f t="shared" si="81"/>
        <v>120</v>
      </c>
      <c r="CU21" s="486">
        <f t="shared" si="82"/>
        <v>1.5064519453755504E-2</v>
      </c>
      <c r="CV21" s="1069"/>
      <c r="CW21" s="427">
        <v>5</v>
      </c>
      <c r="CX21" s="427"/>
      <c r="CY21" s="427">
        <f t="shared" si="83"/>
        <v>5</v>
      </c>
      <c r="CZ21" s="427">
        <f t="shared" si="84"/>
        <v>0</v>
      </c>
      <c r="DA21" s="607">
        <f t="shared" si="85"/>
        <v>0</v>
      </c>
      <c r="DB21" s="607">
        <f t="shared" si="86"/>
        <v>0</v>
      </c>
      <c r="DC21" s="607">
        <f t="shared" si="87"/>
        <v>0</v>
      </c>
      <c r="DD21" s="607"/>
      <c r="DE21" s="471">
        <v>5.6</v>
      </c>
      <c r="DF21" s="473"/>
      <c r="DG21" s="473">
        <f t="shared" si="37"/>
        <v>5.6</v>
      </c>
      <c r="DH21" s="473">
        <f t="shared" si="16"/>
        <v>0</v>
      </c>
      <c r="DI21" s="227">
        <f t="shared" si="88"/>
        <v>0</v>
      </c>
      <c r="DJ21" s="473">
        <f t="shared" si="89"/>
        <v>5.6</v>
      </c>
      <c r="DK21" s="227">
        <f t="shared" si="90"/>
        <v>7.030109078419235E-4</v>
      </c>
      <c r="DL21" s="1038"/>
      <c r="DM21" s="63">
        <v>340</v>
      </c>
      <c r="DN21" s="64"/>
      <c r="DO21" s="66">
        <f t="shared" si="91"/>
        <v>200</v>
      </c>
      <c r="DP21" s="66">
        <f t="shared" si="17"/>
        <v>140</v>
      </c>
      <c r="DQ21" s="412">
        <f t="shared" si="92"/>
        <v>0.21890802422999103</v>
      </c>
      <c r="DR21" s="66">
        <f t="shared" si="93"/>
        <v>2800</v>
      </c>
      <c r="DS21" s="412">
        <f t="shared" si="94"/>
        <v>0.35150545392096172</v>
      </c>
      <c r="DT21" s="1071"/>
      <c r="DU21" s="596">
        <v>400</v>
      </c>
      <c r="DV21" s="596"/>
      <c r="DW21" s="596">
        <f t="shared" si="38"/>
        <v>400</v>
      </c>
      <c r="DX21" s="596">
        <f t="shared" si="18"/>
        <v>0</v>
      </c>
      <c r="DY21" s="592">
        <f t="shared" si="95"/>
        <v>0</v>
      </c>
      <c r="DZ21" s="596">
        <f t="shared" si="96"/>
        <v>0</v>
      </c>
      <c r="EA21" s="592">
        <f t="shared" si="97"/>
        <v>0</v>
      </c>
      <c r="EB21" s="1041"/>
      <c r="EC21" s="448">
        <v>205</v>
      </c>
      <c r="ED21" s="449"/>
      <c r="EE21" s="449">
        <f t="shared" si="39"/>
        <v>205</v>
      </c>
      <c r="EF21" s="449">
        <f t="shared" si="19"/>
        <v>0</v>
      </c>
      <c r="EG21" s="450">
        <f t="shared" si="98"/>
        <v>0</v>
      </c>
      <c r="EH21" s="449">
        <f t="shared" si="99"/>
        <v>110</v>
      </c>
      <c r="EI21" s="450">
        <f t="shared" si="100"/>
        <v>1.3809142832609211E-2</v>
      </c>
      <c r="EJ21" s="1035"/>
      <c r="EK21" s="426">
        <v>3280</v>
      </c>
      <c r="EL21" s="427"/>
      <c r="EM21" s="427">
        <f t="shared" si="40"/>
        <v>2820</v>
      </c>
      <c r="EN21" s="427">
        <f t="shared" si="20"/>
        <v>460</v>
      </c>
      <c r="EO21" s="427">
        <f t="shared" si="41"/>
        <v>5052</v>
      </c>
      <c r="EP21" s="456">
        <v>84</v>
      </c>
      <c r="EQ21" s="457"/>
      <c r="ER21" s="457">
        <f t="shared" si="42"/>
        <v>84</v>
      </c>
      <c r="ES21" s="457">
        <f t="shared" si="21"/>
        <v>0</v>
      </c>
      <c r="ET21" s="457">
        <f t="shared" si="43"/>
        <v>42</v>
      </c>
      <c r="EU21" s="409">
        <v>40</v>
      </c>
      <c r="EV21" s="43"/>
      <c r="EW21" s="43">
        <f t="shared" si="44"/>
        <v>20</v>
      </c>
      <c r="EX21" s="43">
        <f t="shared" si="22"/>
        <v>20</v>
      </c>
      <c r="EY21" s="43">
        <f t="shared" si="45"/>
        <v>60</v>
      </c>
      <c r="EZ21" s="436">
        <v>100</v>
      </c>
      <c r="FA21" s="437"/>
      <c r="FB21" s="437">
        <f t="shared" si="46"/>
        <v>50</v>
      </c>
      <c r="FC21" s="437">
        <f t="shared" si="23"/>
        <v>50</v>
      </c>
      <c r="FD21" s="437">
        <f t="shared" si="47"/>
        <v>140</v>
      </c>
      <c r="FE21" s="442">
        <v>250</v>
      </c>
      <c r="FF21" s="443"/>
      <c r="FG21" s="443">
        <f t="shared" si="48"/>
        <v>250</v>
      </c>
      <c r="FH21" s="443">
        <f t="shared" si="24"/>
        <v>0</v>
      </c>
      <c r="FI21" s="443">
        <f t="shared" si="49"/>
        <v>150</v>
      </c>
      <c r="FJ21" s="392">
        <v>0</v>
      </c>
      <c r="FK21" s="298"/>
      <c r="FL21" s="298">
        <f t="shared" si="50"/>
        <v>0</v>
      </c>
      <c r="FM21" s="298">
        <f t="shared" si="25"/>
        <v>0</v>
      </c>
      <c r="FN21" s="498">
        <f t="shared" si="51"/>
        <v>900</v>
      </c>
      <c r="HC21" s="402"/>
      <c r="HD21" s="52"/>
      <c r="HE21" s="52">
        <f t="shared" si="52"/>
        <v>0</v>
      </c>
      <c r="HF21" s="52">
        <f t="shared" si="26"/>
        <v>0</v>
      </c>
      <c r="HG21" s="51"/>
      <c r="HH21" s="52">
        <f t="shared" si="101"/>
        <v>400</v>
      </c>
      <c r="HI21" s="51"/>
      <c r="HJ21" s="1047"/>
    </row>
    <row r="22" spans="1:218" ht="15" customHeight="1">
      <c r="A22" s="30">
        <v>44685</v>
      </c>
      <c r="B22" s="390">
        <v>471931</v>
      </c>
      <c r="C22" s="18">
        <f t="shared" si="27"/>
        <v>8437668</v>
      </c>
      <c r="D22" s="376">
        <v>6030.7</v>
      </c>
      <c r="E22" s="417">
        <f t="shared" si="109"/>
        <v>120960.59999999999</v>
      </c>
      <c r="F22" s="397">
        <v>51810</v>
      </c>
      <c r="G22" s="37"/>
      <c r="H22" s="37">
        <f t="shared" si="0"/>
        <v>46757</v>
      </c>
      <c r="I22" s="37">
        <f t="shared" si="1"/>
        <v>5053</v>
      </c>
      <c r="J22" s="37">
        <f t="shared" si="2"/>
        <v>837.87951647404122</v>
      </c>
      <c r="K22" s="37">
        <f t="shared" si="29"/>
        <v>62370</v>
      </c>
      <c r="L22" s="37">
        <f t="shared" si="3"/>
        <v>515.62244234899629</v>
      </c>
      <c r="M22" s="1098"/>
      <c r="N22" s="422">
        <v>125</v>
      </c>
      <c r="O22" s="423"/>
      <c r="P22" s="423">
        <f t="shared" si="4"/>
        <v>50</v>
      </c>
      <c r="Q22" s="423">
        <f t="shared" si="5"/>
        <v>75</v>
      </c>
      <c r="R22" s="423">
        <f t="shared" si="30"/>
        <v>1275</v>
      </c>
      <c r="S22" s="68">
        <v>5.0999999999999996</v>
      </c>
      <c r="T22" s="67">
        <v>24</v>
      </c>
      <c r="U22" s="68">
        <f t="shared" si="53"/>
        <v>61.199999999999996</v>
      </c>
      <c r="V22" s="68">
        <f t="shared" si="6"/>
        <v>10.148075679440197</v>
      </c>
      <c r="W22" s="423">
        <f t="shared" si="54"/>
        <v>1202.0639999999999</v>
      </c>
      <c r="X22" s="68">
        <f t="shared" si="7"/>
        <v>9.9376491188039733</v>
      </c>
      <c r="Y22" s="1073"/>
      <c r="Z22" s="424">
        <v>200</v>
      </c>
      <c r="AA22" s="425"/>
      <c r="AB22" s="425">
        <f t="shared" si="55"/>
        <v>175</v>
      </c>
      <c r="AC22" s="425">
        <f t="shared" si="56"/>
        <v>25</v>
      </c>
      <c r="AD22" s="425">
        <f t="shared" si="57"/>
        <v>275</v>
      </c>
      <c r="AE22" s="72">
        <v>1.65</v>
      </c>
      <c r="AF22" s="71">
        <v>12</v>
      </c>
      <c r="AG22" s="72">
        <f t="shared" si="58"/>
        <v>9.8999999999999986</v>
      </c>
      <c r="AH22" s="72">
        <f t="shared" si="8"/>
        <v>1.6416004775565023</v>
      </c>
      <c r="AI22" s="425">
        <f t="shared" si="59"/>
        <v>230.33999999999995</v>
      </c>
      <c r="AJ22" s="72">
        <f t="shared" si="9"/>
        <v>1.9042564272994673</v>
      </c>
      <c r="AK22" s="1075"/>
      <c r="AL22" s="491">
        <v>24058</v>
      </c>
      <c r="AM22" s="491"/>
      <c r="AN22" s="492">
        <f t="shared" si="105"/>
        <v>24058</v>
      </c>
      <c r="AO22" s="492">
        <f t="shared" si="106"/>
        <v>0</v>
      </c>
      <c r="AP22" s="492">
        <f t="shared" si="107"/>
        <v>8565</v>
      </c>
      <c r="AQ22" s="493">
        <f t="shared" si="10"/>
        <v>70.808180514977607</v>
      </c>
      <c r="AR22" s="1078"/>
      <c r="AS22" s="413">
        <v>49235</v>
      </c>
      <c r="AT22" s="64"/>
      <c r="AU22" s="66">
        <f t="shared" si="61"/>
        <v>49235</v>
      </c>
      <c r="AV22" s="66">
        <f t="shared" si="11"/>
        <v>0</v>
      </c>
      <c r="AW22" s="412">
        <f t="shared" si="62"/>
        <v>0</v>
      </c>
      <c r="AX22" s="66">
        <f t="shared" si="63"/>
        <v>0</v>
      </c>
      <c r="AY22" s="412">
        <f t="shared" si="64"/>
        <v>0</v>
      </c>
      <c r="AZ22" s="1071"/>
      <c r="BA22" s="419">
        <v>45495</v>
      </c>
      <c r="BB22" s="419"/>
      <c r="BC22" s="407"/>
      <c r="BD22" s="419">
        <f t="shared" si="33"/>
        <v>45495</v>
      </c>
      <c r="BE22" s="419">
        <f t="shared" si="34"/>
        <v>0</v>
      </c>
      <c r="BF22" s="407">
        <f t="shared" si="65"/>
        <v>0</v>
      </c>
      <c r="BG22" s="419">
        <f t="shared" si="108"/>
        <v>0</v>
      </c>
      <c r="BH22" s="407">
        <f t="shared" si="67"/>
        <v>0</v>
      </c>
      <c r="BI22" s="407">
        <f t="shared" si="68"/>
        <v>0</v>
      </c>
      <c r="BJ22" s="1089"/>
      <c r="BK22" s="1084"/>
      <c r="BL22" s="49">
        <v>1953</v>
      </c>
      <c r="BM22" s="50"/>
      <c r="BN22" s="52">
        <f t="shared" si="69"/>
        <v>1909</v>
      </c>
      <c r="BO22" s="52">
        <f t="shared" si="12"/>
        <v>44</v>
      </c>
      <c r="BP22" s="406">
        <f t="shared" si="70"/>
        <v>9.3233968525059802E-2</v>
      </c>
      <c r="BQ22" s="52">
        <f t="shared" si="71"/>
        <v>3391</v>
      </c>
      <c r="BR22" s="406">
        <f t="shared" si="72"/>
        <v>0.40188829425381517</v>
      </c>
      <c r="BS22" s="1047"/>
      <c r="BT22" s="409">
        <v>1375</v>
      </c>
      <c r="BU22" s="43"/>
      <c r="BV22" s="43">
        <f t="shared" si="102"/>
        <v>1297</v>
      </c>
      <c r="BW22" s="43">
        <f t="shared" si="103"/>
        <v>78</v>
      </c>
      <c r="BX22" s="42">
        <f t="shared" si="74"/>
        <v>0.16527839874896966</v>
      </c>
      <c r="BY22" s="43">
        <f t="shared" si="104"/>
        <v>1090</v>
      </c>
      <c r="BZ22" s="42">
        <f t="shared" si="76"/>
        <v>0.12918261301582382</v>
      </c>
      <c r="CA22" s="1058"/>
      <c r="CB22" s="392">
        <v>2225</v>
      </c>
      <c r="CC22" s="298"/>
      <c r="CD22" s="298">
        <f t="shared" si="35"/>
        <v>1840</v>
      </c>
      <c r="CE22" s="298">
        <f t="shared" si="14"/>
        <v>385</v>
      </c>
      <c r="CF22" s="297">
        <f t="shared" si="77"/>
        <v>0.81579722459427328</v>
      </c>
      <c r="CG22" s="298">
        <f t="shared" si="78"/>
        <v>14260</v>
      </c>
      <c r="CH22" s="297">
        <f t="shared" si="79"/>
        <v>1.6900404234914197</v>
      </c>
      <c r="CI22" s="1061"/>
      <c r="CJ22" s="651"/>
      <c r="CK22" s="651"/>
      <c r="CL22" s="651"/>
      <c r="CM22" s="651"/>
      <c r="CN22" s="651"/>
      <c r="CO22" s="464">
        <v>0</v>
      </c>
      <c r="CP22" s="465"/>
      <c r="CQ22" s="465">
        <f t="shared" si="36"/>
        <v>0</v>
      </c>
      <c r="CR22" s="465">
        <f t="shared" si="15"/>
        <v>0</v>
      </c>
      <c r="CS22" s="486">
        <f t="shared" si="80"/>
        <v>0</v>
      </c>
      <c r="CT22" s="465">
        <f t="shared" si="81"/>
        <v>120</v>
      </c>
      <c r="CU22" s="486">
        <f t="shared" si="82"/>
        <v>1.4221939047613629E-2</v>
      </c>
      <c r="CV22" s="1069"/>
      <c r="CW22" s="427">
        <v>5</v>
      </c>
      <c r="CX22" s="427"/>
      <c r="CY22" s="427">
        <f t="shared" si="83"/>
        <v>5</v>
      </c>
      <c r="CZ22" s="427">
        <f t="shared" si="84"/>
        <v>0</v>
      </c>
      <c r="DA22" s="607">
        <f t="shared" si="85"/>
        <v>0</v>
      </c>
      <c r="DB22" s="607">
        <f t="shared" si="86"/>
        <v>0</v>
      </c>
      <c r="DC22" s="607">
        <f t="shared" si="87"/>
        <v>0</v>
      </c>
      <c r="DD22" s="607"/>
      <c r="DE22" s="471">
        <v>5.6</v>
      </c>
      <c r="DF22" s="473"/>
      <c r="DG22" s="473">
        <f t="shared" si="37"/>
        <v>5.6</v>
      </c>
      <c r="DH22" s="473">
        <f t="shared" si="16"/>
        <v>0</v>
      </c>
      <c r="DI22" s="227">
        <f t="shared" si="88"/>
        <v>0</v>
      </c>
      <c r="DJ22" s="473">
        <f t="shared" si="89"/>
        <v>5.6</v>
      </c>
      <c r="DK22" s="227">
        <f t="shared" si="90"/>
        <v>6.6369048888863605E-4</v>
      </c>
      <c r="DL22" s="1038"/>
      <c r="DM22" s="63">
        <v>200</v>
      </c>
      <c r="DN22" s="64"/>
      <c r="DO22" s="66">
        <f t="shared" si="91"/>
        <v>10</v>
      </c>
      <c r="DP22" s="66">
        <f t="shared" si="17"/>
        <v>190</v>
      </c>
      <c r="DQ22" s="412">
        <f t="shared" si="92"/>
        <v>0.40260122772184914</v>
      </c>
      <c r="DR22" s="66">
        <f t="shared" si="93"/>
        <v>2990</v>
      </c>
      <c r="DS22" s="412">
        <f t="shared" si="94"/>
        <v>0.3543633146030396</v>
      </c>
      <c r="DT22" s="1071"/>
      <c r="DU22" s="596">
        <v>400</v>
      </c>
      <c r="DV22" s="596"/>
      <c r="DW22" s="596">
        <f t="shared" si="38"/>
        <v>400</v>
      </c>
      <c r="DX22" s="596">
        <f t="shared" si="18"/>
        <v>0</v>
      </c>
      <c r="DY22" s="592">
        <f t="shared" si="95"/>
        <v>0</v>
      </c>
      <c r="DZ22" s="596">
        <f t="shared" si="96"/>
        <v>0</v>
      </c>
      <c r="EA22" s="592">
        <f t="shared" si="97"/>
        <v>0</v>
      </c>
      <c r="EB22" s="1041"/>
      <c r="EC22" s="448">
        <v>205</v>
      </c>
      <c r="ED22" s="449"/>
      <c r="EE22" s="449">
        <f t="shared" si="39"/>
        <v>205</v>
      </c>
      <c r="EF22" s="449">
        <f t="shared" si="19"/>
        <v>0</v>
      </c>
      <c r="EG22" s="450">
        <f t="shared" si="98"/>
        <v>0</v>
      </c>
      <c r="EH22" s="449">
        <f t="shared" si="99"/>
        <v>110</v>
      </c>
      <c r="EI22" s="450">
        <f t="shared" si="100"/>
        <v>1.3036777460312494E-2</v>
      </c>
      <c r="EJ22" s="1035"/>
      <c r="EK22" s="426">
        <v>2820</v>
      </c>
      <c r="EL22" s="427"/>
      <c r="EM22" s="427">
        <f t="shared" si="40"/>
        <v>2400</v>
      </c>
      <c r="EN22" s="427">
        <f t="shared" si="20"/>
        <v>420</v>
      </c>
      <c r="EO22" s="427">
        <f t="shared" si="41"/>
        <v>5472</v>
      </c>
      <c r="EP22" s="456">
        <v>84</v>
      </c>
      <c r="EQ22" s="457"/>
      <c r="ER22" s="457">
        <f t="shared" si="42"/>
        <v>84</v>
      </c>
      <c r="ES22" s="457">
        <f t="shared" si="21"/>
        <v>0</v>
      </c>
      <c r="ET22" s="457">
        <f t="shared" si="43"/>
        <v>42</v>
      </c>
      <c r="EU22" s="409">
        <v>20</v>
      </c>
      <c r="EV22" s="43"/>
      <c r="EW22" s="43">
        <f t="shared" si="44"/>
        <v>20</v>
      </c>
      <c r="EX22" s="43">
        <f t="shared" si="22"/>
        <v>0</v>
      </c>
      <c r="EY22" s="43">
        <f t="shared" si="45"/>
        <v>60</v>
      </c>
      <c r="EZ22" s="436">
        <v>50</v>
      </c>
      <c r="FA22" s="437"/>
      <c r="FB22" s="437">
        <f t="shared" si="46"/>
        <v>50</v>
      </c>
      <c r="FC22" s="437">
        <f t="shared" si="23"/>
        <v>0</v>
      </c>
      <c r="FD22" s="437">
        <f t="shared" si="47"/>
        <v>140</v>
      </c>
      <c r="FE22" s="442">
        <v>250</v>
      </c>
      <c r="FF22" s="443"/>
      <c r="FG22" s="443">
        <f t="shared" si="48"/>
        <v>225</v>
      </c>
      <c r="FH22" s="443">
        <f t="shared" si="24"/>
        <v>25</v>
      </c>
      <c r="FI22" s="443">
        <f t="shared" si="49"/>
        <v>175</v>
      </c>
      <c r="FJ22" s="392">
        <v>0</v>
      </c>
      <c r="FK22" s="298"/>
      <c r="FL22" s="298">
        <f t="shared" si="50"/>
        <v>0</v>
      </c>
      <c r="FM22" s="298">
        <f t="shared" si="25"/>
        <v>0</v>
      </c>
      <c r="FN22" s="498">
        <f t="shared" si="51"/>
        <v>900</v>
      </c>
      <c r="HC22" s="402"/>
      <c r="HD22" s="52"/>
      <c r="HE22" s="52">
        <f t="shared" si="52"/>
        <v>0</v>
      </c>
      <c r="HF22" s="52">
        <f t="shared" si="26"/>
        <v>0</v>
      </c>
      <c r="HG22" s="51"/>
      <c r="HH22" s="52">
        <f t="shared" si="101"/>
        <v>400</v>
      </c>
      <c r="HI22" s="51"/>
      <c r="HJ22" s="1047"/>
    </row>
    <row r="23" spans="1:218" ht="15" customHeight="1">
      <c r="A23" s="30">
        <v>44686</v>
      </c>
      <c r="B23" s="390">
        <v>429581</v>
      </c>
      <c r="C23" s="18">
        <f t="shared" si="27"/>
        <v>8867249</v>
      </c>
      <c r="D23" s="376">
        <v>6571.8</v>
      </c>
      <c r="E23" s="417">
        <f t="shared" si="109"/>
        <v>127532.4</v>
      </c>
      <c r="F23" s="397">
        <v>46757</v>
      </c>
      <c r="G23" s="37"/>
      <c r="H23" s="37">
        <f t="shared" si="0"/>
        <v>43677</v>
      </c>
      <c r="I23" s="37">
        <f t="shared" si="1"/>
        <v>3080</v>
      </c>
      <c r="J23" s="37">
        <f t="shared" si="2"/>
        <v>468.66916217778993</v>
      </c>
      <c r="K23" s="37">
        <f t="shared" si="29"/>
        <v>65450</v>
      </c>
      <c r="L23" s="37">
        <f t="shared" si="3"/>
        <v>513.20291941498795</v>
      </c>
      <c r="M23" s="1098"/>
      <c r="N23" s="422">
        <v>50</v>
      </c>
      <c r="O23" s="423">
        <v>250</v>
      </c>
      <c r="P23" s="423">
        <f t="shared" si="4"/>
        <v>250</v>
      </c>
      <c r="Q23" s="423">
        <f t="shared" si="5"/>
        <v>50</v>
      </c>
      <c r="R23" s="423">
        <f t="shared" si="30"/>
        <v>1325</v>
      </c>
      <c r="S23" s="68">
        <v>5.62</v>
      </c>
      <c r="T23" s="67">
        <v>24</v>
      </c>
      <c r="U23" s="68">
        <f t="shared" si="53"/>
        <v>67.44</v>
      </c>
      <c r="V23" s="68">
        <f t="shared" si="6"/>
        <v>10.262028667944856</v>
      </c>
      <c r="W23" s="423">
        <f t="shared" si="54"/>
        <v>1269.5039999999999</v>
      </c>
      <c r="X23" s="68">
        <f t="shared" si="7"/>
        <v>9.9543645379527081</v>
      </c>
      <c r="Y23" s="1073"/>
      <c r="Z23" s="424">
        <v>175</v>
      </c>
      <c r="AA23" s="425"/>
      <c r="AB23" s="425">
        <f t="shared" si="55"/>
        <v>175</v>
      </c>
      <c r="AC23" s="425">
        <f t="shared" si="56"/>
        <v>0</v>
      </c>
      <c r="AD23" s="425">
        <f t="shared" si="57"/>
        <v>275</v>
      </c>
      <c r="AE23" s="72">
        <v>1.75</v>
      </c>
      <c r="AF23" s="71">
        <v>12</v>
      </c>
      <c r="AG23" s="72">
        <f t="shared" si="58"/>
        <v>10.5</v>
      </c>
      <c r="AH23" s="72">
        <f t="shared" si="8"/>
        <v>1.5977357801515566</v>
      </c>
      <c r="AI23" s="425">
        <f t="shared" si="59"/>
        <v>240.83999999999995</v>
      </c>
      <c r="AJ23" s="72">
        <f t="shared" si="9"/>
        <v>1.8884612851322484</v>
      </c>
      <c r="AK23" s="1075"/>
      <c r="AL23" s="491">
        <v>24058</v>
      </c>
      <c r="AM23" s="491"/>
      <c r="AN23" s="492">
        <f t="shared" si="105"/>
        <v>24058</v>
      </c>
      <c r="AO23" s="492">
        <f t="shared" si="106"/>
        <v>0</v>
      </c>
      <c r="AP23" s="492">
        <f t="shared" si="107"/>
        <v>8565</v>
      </c>
      <c r="AQ23" s="493">
        <f t="shared" si="10"/>
        <v>67.159404198462511</v>
      </c>
      <c r="AR23" s="1078"/>
      <c r="AS23" s="413">
        <v>49235</v>
      </c>
      <c r="AT23" s="64"/>
      <c r="AU23" s="66">
        <f t="shared" si="61"/>
        <v>49235</v>
      </c>
      <c r="AV23" s="66">
        <f t="shared" si="11"/>
        <v>0</v>
      </c>
      <c r="AW23" s="412">
        <f t="shared" si="62"/>
        <v>0</v>
      </c>
      <c r="AX23" s="66">
        <f t="shared" si="63"/>
        <v>0</v>
      </c>
      <c r="AY23" s="412">
        <f t="shared" si="64"/>
        <v>0</v>
      </c>
      <c r="AZ23" s="1071"/>
      <c r="BA23" s="419">
        <v>45495</v>
      </c>
      <c r="BB23" s="419"/>
      <c r="BC23" s="407"/>
      <c r="BD23" s="419">
        <f t="shared" si="33"/>
        <v>45495</v>
      </c>
      <c r="BE23" s="419">
        <f t="shared" si="34"/>
        <v>0</v>
      </c>
      <c r="BF23" s="407">
        <f t="shared" si="65"/>
        <v>0</v>
      </c>
      <c r="BG23" s="419">
        <f t="shared" si="108"/>
        <v>0</v>
      </c>
      <c r="BH23" s="407">
        <f t="shared" si="67"/>
        <v>0</v>
      </c>
      <c r="BI23" s="407">
        <f t="shared" si="68"/>
        <v>0</v>
      </c>
      <c r="BJ23" s="1089"/>
      <c r="BK23" s="1084"/>
      <c r="BL23" s="49">
        <v>1909</v>
      </c>
      <c r="BM23" s="50"/>
      <c r="BN23" s="52">
        <f t="shared" si="69"/>
        <v>1898</v>
      </c>
      <c r="BO23" s="52">
        <f t="shared" si="12"/>
        <v>11</v>
      </c>
      <c r="BP23" s="406">
        <f t="shared" si="70"/>
        <v>2.5606346649409542E-2</v>
      </c>
      <c r="BQ23" s="52">
        <f t="shared" si="71"/>
        <v>3402</v>
      </c>
      <c r="BR23" s="406">
        <f t="shared" si="72"/>
        <v>0.38365901307158512</v>
      </c>
      <c r="BS23" s="1047"/>
      <c r="BT23" s="409">
        <v>1297</v>
      </c>
      <c r="BU23" s="43">
        <v>1000</v>
      </c>
      <c r="BV23" s="43">
        <f t="shared" si="102"/>
        <v>2277</v>
      </c>
      <c r="BW23" s="43">
        <f t="shared" si="103"/>
        <v>20</v>
      </c>
      <c r="BX23" s="42">
        <f t="shared" si="74"/>
        <v>4.6556993908017347E-2</v>
      </c>
      <c r="BY23" s="43">
        <f t="shared" si="104"/>
        <v>1110</v>
      </c>
      <c r="BZ23" s="42">
        <f t="shared" si="76"/>
        <v>0.12517974853305688</v>
      </c>
      <c r="CA23" s="1058"/>
      <c r="CB23" s="392">
        <v>1840</v>
      </c>
      <c r="CC23" s="298"/>
      <c r="CD23" s="298">
        <f t="shared" si="35"/>
        <v>1380</v>
      </c>
      <c r="CE23" s="298">
        <f t="shared" si="14"/>
        <v>460</v>
      </c>
      <c r="CF23" s="297">
        <f t="shared" si="77"/>
        <v>1.0708108598843991</v>
      </c>
      <c r="CG23" s="298">
        <f t="shared" si="78"/>
        <v>14720</v>
      </c>
      <c r="CH23" s="297">
        <f t="shared" si="79"/>
        <v>1.6600413499158533</v>
      </c>
      <c r="CI23" s="1061"/>
      <c r="CJ23" s="651"/>
      <c r="CK23" s="651"/>
      <c r="CL23" s="651"/>
      <c r="CM23" s="651"/>
      <c r="CN23" s="651"/>
      <c r="CO23" s="464">
        <v>0</v>
      </c>
      <c r="CP23" s="465"/>
      <c r="CQ23" s="465">
        <f t="shared" si="36"/>
        <v>0</v>
      </c>
      <c r="CR23" s="465">
        <f t="shared" si="15"/>
        <v>0</v>
      </c>
      <c r="CS23" s="486">
        <f t="shared" si="80"/>
        <v>0</v>
      </c>
      <c r="CT23" s="465">
        <f t="shared" si="81"/>
        <v>120</v>
      </c>
      <c r="CU23" s="486">
        <f t="shared" si="82"/>
        <v>1.35329457873575E-2</v>
      </c>
      <c r="CV23" s="1069"/>
      <c r="CW23" s="427">
        <v>5</v>
      </c>
      <c r="CX23" s="427"/>
      <c r="CY23" s="427">
        <f t="shared" si="83"/>
        <v>5</v>
      </c>
      <c r="CZ23" s="427">
        <f t="shared" si="84"/>
        <v>0</v>
      </c>
      <c r="DA23" s="607">
        <f t="shared" si="85"/>
        <v>0</v>
      </c>
      <c r="DB23" s="607">
        <f t="shared" si="86"/>
        <v>0</v>
      </c>
      <c r="DC23" s="607">
        <f t="shared" si="87"/>
        <v>0</v>
      </c>
      <c r="DD23" s="607"/>
      <c r="DE23" s="471">
        <v>5.6</v>
      </c>
      <c r="DF23" s="473"/>
      <c r="DG23" s="473">
        <f t="shared" si="37"/>
        <v>5.6</v>
      </c>
      <c r="DH23" s="473">
        <f t="shared" si="16"/>
        <v>0</v>
      </c>
      <c r="DI23" s="227">
        <f t="shared" si="88"/>
        <v>0</v>
      </c>
      <c r="DJ23" s="473">
        <f t="shared" si="89"/>
        <v>5.6</v>
      </c>
      <c r="DK23" s="227">
        <f t="shared" si="90"/>
        <v>6.3153747007668336E-4</v>
      </c>
      <c r="DL23" s="1038"/>
      <c r="DM23" s="63">
        <v>10</v>
      </c>
      <c r="DN23" s="64">
        <v>1000</v>
      </c>
      <c r="DO23" s="66">
        <f t="shared" si="91"/>
        <v>890</v>
      </c>
      <c r="DP23" s="66">
        <f t="shared" si="17"/>
        <v>120</v>
      </c>
      <c r="DQ23" s="412">
        <f t="shared" si="92"/>
        <v>0.27934196344810408</v>
      </c>
      <c r="DR23" s="66">
        <f t="shared" si="93"/>
        <v>3110</v>
      </c>
      <c r="DS23" s="412">
        <f t="shared" si="94"/>
        <v>0.35072884498901519</v>
      </c>
      <c r="DT23" s="1071"/>
      <c r="DU23" s="596">
        <v>400</v>
      </c>
      <c r="DV23" s="596"/>
      <c r="DW23" s="596">
        <f t="shared" si="38"/>
        <v>400</v>
      </c>
      <c r="DX23" s="596">
        <f t="shared" si="18"/>
        <v>0</v>
      </c>
      <c r="DY23" s="592">
        <f t="shared" si="95"/>
        <v>0</v>
      </c>
      <c r="DZ23" s="596">
        <f t="shared" si="96"/>
        <v>0</v>
      </c>
      <c r="EA23" s="592">
        <f t="shared" si="97"/>
        <v>0</v>
      </c>
      <c r="EB23" s="1041"/>
      <c r="EC23" s="448">
        <v>205</v>
      </c>
      <c r="ED23" s="449"/>
      <c r="EE23" s="449">
        <f t="shared" si="39"/>
        <v>205</v>
      </c>
      <c r="EF23" s="449">
        <f t="shared" si="19"/>
        <v>0</v>
      </c>
      <c r="EG23" s="450">
        <f t="shared" si="98"/>
        <v>0</v>
      </c>
      <c r="EH23" s="449">
        <f t="shared" si="99"/>
        <v>110</v>
      </c>
      <c r="EI23" s="450">
        <f t="shared" si="100"/>
        <v>1.2405200305077708E-2</v>
      </c>
      <c r="EJ23" s="1035"/>
      <c r="EK23" s="426">
        <v>2400</v>
      </c>
      <c r="EL23" s="427"/>
      <c r="EM23" s="427">
        <f t="shared" si="40"/>
        <v>2002</v>
      </c>
      <c r="EN23" s="427">
        <f t="shared" si="20"/>
        <v>398</v>
      </c>
      <c r="EO23" s="427">
        <f t="shared" si="41"/>
        <v>5870</v>
      </c>
      <c r="EP23" s="456">
        <v>84</v>
      </c>
      <c r="EQ23" s="457"/>
      <c r="ER23" s="457">
        <f t="shared" si="42"/>
        <v>84</v>
      </c>
      <c r="ES23" s="457">
        <f t="shared" si="21"/>
        <v>0</v>
      </c>
      <c r="ET23" s="457">
        <f t="shared" si="43"/>
        <v>42</v>
      </c>
      <c r="EU23" s="409">
        <v>20</v>
      </c>
      <c r="EV23" s="43">
        <v>20</v>
      </c>
      <c r="EW23" s="43">
        <f t="shared" si="44"/>
        <v>20</v>
      </c>
      <c r="EX23" s="43">
        <f t="shared" si="22"/>
        <v>20</v>
      </c>
      <c r="EY23" s="43">
        <f t="shared" si="45"/>
        <v>80</v>
      </c>
      <c r="EZ23" s="436">
        <v>50</v>
      </c>
      <c r="FA23" s="437">
        <v>50</v>
      </c>
      <c r="FB23" s="437">
        <f t="shared" si="46"/>
        <v>100</v>
      </c>
      <c r="FC23" s="437">
        <f t="shared" si="23"/>
        <v>0</v>
      </c>
      <c r="FD23" s="437">
        <f t="shared" si="47"/>
        <v>140</v>
      </c>
      <c r="FE23" s="442">
        <v>225</v>
      </c>
      <c r="FF23" s="443"/>
      <c r="FG23" s="443">
        <f t="shared" si="48"/>
        <v>225</v>
      </c>
      <c r="FH23" s="443">
        <f t="shared" si="24"/>
        <v>0</v>
      </c>
      <c r="FI23" s="443">
        <f t="shared" si="49"/>
        <v>175</v>
      </c>
      <c r="FJ23" s="392">
        <v>0</v>
      </c>
      <c r="FK23" s="298"/>
      <c r="FL23" s="298">
        <f t="shared" si="50"/>
        <v>0</v>
      </c>
      <c r="FM23" s="298">
        <f t="shared" si="25"/>
        <v>0</v>
      </c>
      <c r="FN23" s="498">
        <f t="shared" si="51"/>
        <v>900</v>
      </c>
      <c r="HC23" s="402"/>
      <c r="HD23" s="52"/>
      <c r="HE23" s="52">
        <f t="shared" si="52"/>
        <v>0</v>
      </c>
      <c r="HF23" s="52">
        <f t="shared" si="26"/>
        <v>0</v>
      </c>
      <c r="HG23" s="51"/>
      <c r="HH23" s="52">
        <f t="shared" si="101"/>
        <v>400</v>
      </c>
      <c r="HI23" s="51"/>
      <c r="HJ23" s="1047"/>
    </row>
    <row r="24" spans="1:218" ht="15" customHeight="1">
      <c r="A24" s="30">
        <v>44687</v>
      </c>
      <c r="B24" s="390">
        <v>584286</v>
      </c>
      <c r="C24" s="18">
        <f t="shared" si="27"/>
        <v>9451535</v>
      </c>
      <c r="D24" s="376">
        <v>7844.34</v>
      </c>
      <c r="E24" s="417">
        <f t="shared" si="109"/>
        <v>135376.74</v>
      </c>
      <c r="F24" s="397">
        <v>43677</v>
      </c>
      <c r="G24" s="37"/>
      <c r="H24" s="37">
        <f t="shared" si="0"/>
        <v>41921</v>
      </c>
      <c r="I24" s="37">
        <f t="shared" si="1"/>
        <v>1756</v>
      </c>
      <c r="J24" s="37">
        <f t="shared" si="2"/>
        <v>223.85567173273978</v>
      </c>
      <c r="K24" s="37">
        <f t="shared" si="29"/>
        <v>67206</v>
      </c>
      <c r="L24" s="37">
        <f t="shared" si="3"/>
        <v>496.43683250165429</v>
      </c>
      <c r="M24" s="1098"/>
      <c r="N24" s="422">
        <v>250</v>
      </c>
      <c r="O24" s="423">
        <v>125</v>
      </c>
      <c r="P24" s="423">
        <f t="shared" si="4"/>
        <v>300</v>
      </c>
      <c r="Q24" s="423">
        <f t="shared" si="5"/>
        <v>75</v>
      </c>
      <c r="R24" s="423">
        <f t="shared" si="30"/>
        <v>1400</v>
      </c>
      <c r="S24" s="68">
        <v>5.93</v>
      </c>
      <c r="T24" s="67">
        <v>24</v>
      </c>
      <c r="U24" s="68">
        <f t="shared" si="53"/>
        <v>71.16</v>
      </c>
      <c r="V24" s="68">
        <f t="shared" si="6"/>
        <v>9.071508884112621</v>
      </c>
      <c r="W24" s="423">
        <f t="shared" si="54"/>
        <v>1340.664</v>
      </c>
      <c r="X24" s="68">
        <f t="shared" si="7"/>
        <v>9.9032078922863711</v>
      </c>
      <c r="Y24" s="1073"/>
      <c r="Z24" s="424">
        <v>175</v>
      </c>
      <c r="AA24" s="425"/>
      <c r="AB24" s="425">
        <f t="shared" si="55"/>
        <v>175</v>
      </c>
      <c r="AC24" s="425">
        <f t="shared" si="56"/>
        <v>0</v>
      </c>
      <c r="AD24" s="425">
        <f t="shared" si="57"/>
        <v>275</v>
      </c>
      <c r="AE24" s="72">
        <v>1.94</v>
      </c>
      <c r="AF24" s="71">
        <v>12</v>
      </c>
      <c r="AG24" s="72">
        <f t="shared" si="58"/>
        <v>11.64</v>
      </c>
      <c r="AH24" s="72">
        <f t="shared" si="8"/>
        <v>1.4838724481600747</v>
      </c>
      <c r="AI24" s="425">
        <f t="shared" si="59"/>
        <v>252.47999999999996</v>
      </c>
      <c r="AJ24" s="72">
        <f t="shared" si="9"/>
        <v>1.8650175798294448</v>
      </c>
      <c r="AK24" s="1075"/>
      <c r="AL24" s="491">
        <v>24058</v>
      </c>
      <c r="AM24" s="491"/>
      <c r="AN24" s="492">
        <f t="shared" si="105"/>
        <v>24058</v>
      </c>
      <c r="AO24" s="492">
        <f t="shared" si="106"/>
        <v>0</v>
      </c>
      <c r="AP24" s="492">
        <f t="shared" si="107"/>
        <v>8565</v>
      </c>
      <c r="AQ24" s="493">
        <f t="shared" si="10"/>
        <v>63.267884867075395</v>
      </c>
      <c r="AR24" s="1078"/>
      <c r="AS24" s="413">
        <v>49235</v>
      </c>
      <c r="AT24" s="66"/>
      <c r="AU24" s="66">
        <f t="shared" si="61"/>
        <v>49235</v>
      </c>
      <c r="AV24" s="66">
        <f t="shared" si="11"/>
        <v>0</v>
      </c>
      <c r="AW24" s="412">
        <f t="shared" si="62"/>
        <v>0</v>
      </c>
      <c r="AX24" s="66">
        <f t="shared" si="63"/>
        <v>0</v>
      </c>
      <c r="AY24" s="412">
        <f t="shared" si="64"/>
        <v>0</v>
      </c>
      <c r="AZ24" s="1071"/>
      <c r="BA24" s="419">
        <v>45495</v>
      </c>
      <c r="BB24" s="419"/>
      <c r="BC24" s="407"/>
      <c r="BD24" s="419">
        <f t="shared" si="33"/>
        <v>45495</v>
      </c>
      <c r="BE24" s="419">
        <f t="shared" si="34"/>
        <v>0</v>
      </c>
      <c r="BF24" s="407">
        <f t="shared" si="65"/>
        <v>0</v>
      </c>
      <c r="BG24" s="419">
        <f t="shared" si="108"/>
        <v>0</v>
      </c>
      <c r="BH24" s="407">
        <f t="shared" si="67"/>
        <v>0</v>
      </c>
      <c r="BI24" s="407">
        <f t="shared" si="68"/>
        <v>0</v>
      </c>
      <c r="BJ24" s="1089"/>
      <c r="BK24" s="1084"/>
      <c r="BL24" s="49">
        <v>1898</v>
      </c>
      <c r="BM24" s="52"/>
      <c r="BN24" s="52">
        <f t="shared" si="69"/>
        <v>1853</v>
      </c>
      <c r="BO24" s="52">
        <f t="shared" si="12"/>
        <v>45</v>
      </c>
      <c r="BP24" s="406">
        <f t="shared" si="70"/>
        <v>7.7017077253262956E-2</v>
      </c>
      <c r="BQ24" s="52">
        <f t="shared" si="71"/>
        <v>3447</v>
      </c>
      <c r="BR24" s="406">
        <f t="shared" si="72"/>
        <v>0.36470266469943768</v>
      </c>
      <c r="BS24" s="1047"/>
      <c r="BT24" s="409">
        <v>2277</v>
      </c>
      <c r="BU24" s="43"/>
      <c r="BV24" s="43">
        <f t="shared" si="102"/>
        <v>2248</v>
      </c>
      <c r="BW24" s="43">
        <f t="shared" si="103"/>
        <v>29</v>
      </c>
      <c r="BX24" s="42">
        <f t="shared" si="74"/>
        <v>4.9633227563213908E-2</v>
      </c>
      <c r="BY24" s="43">
        <f t="shared" si="104"/>
        <v>1139</v>
      </c>
      <c r="BZ24" s="42">
        <f t="shared" si="76"/>
        <v>0.12050952570138078</v>
      </c>
      <c r="CA24" s="1058"/>
      <c r="CB24" s="392">
        <v>1380</v>
      </c>
      <c r="CC24" s="298"/>
      <c r="CD24" s="298">
        <f t="shared" si="35"/>
        <v>908</v>
      </c>
      <c r="CE24" s="298">
        <f t="shared" si="14"/>
        <v>472</v>
      </c>
      <c r="CF24" s="297">
        <f t="shared" si="77"/>
        <v>0.80782356585644699</v>
      </c>
      <c r="CG24" s="298">
        <f t="shared" si="78"/>
        <v>15192</v>
      </c>
      <c r="CH24" s="297">
        <f t="shared" si="79"/>
        <v>1.6073579582575741</v>
      </c>
      <c r="CI24" s="1061"/>
      <c r="CJ24" s="651"/>
      <c r="CK24" s="651"/>
      <c r="CL24" s="651"/>
      <c r="CM24" s="651"/>
      <c r="CN24" s="651"/>
      <c r="CO24" s="464">
        <v>0</v>
      </c>
      <c r="CP24" s="465"/>
      <c r="CQ24" s="465">
        <f t="shared" si="36"/>
        <v>0</v>
      </c>
      <c r="CR24" s="465">
        <f t="shared" si="15"/>
        <v>0</v>
      </c>
      <c r="CS24" s="486">
        <f t="shared" si="80"/>
        <v>0</v>
      </c>
      <c r="CT24" s="465">
        <f t="shared" si="81"/>
        <v>120</v>
      </c>
      <c r="CU24" s="486">
        <f t="shared" si="82"/>
        <v>1.2696350381181469E-2</v>
      </c>
      <c r="CV24" s="1069"/>
      <c r="CW24" s="427">
        <v>5</v>
      </c>
      <c r="CX24" s="427"/>
      <c r="CY24" s="427">
        <f t="shared" si="83"/>
        <v>5</v>
      </c>
      <c r="CZ24" s="427">
        <f t="shared" si="84"/>
        <v>0</v>
      </c>
      <c r="DA24" s="607">
        <f t="shared" si="85"/>
        <v>0</v>
      </c>
      <c r="DB24" s="607">
        <f t="shared" si="86"/>
        <v>0</v>
      </c>
      <c r="DC24" s="607">
        <f t="shared" si="87"/>
        <v>0</v>
      </c>
      <c r="DD24" s="607"/>
      <c r="DE24" s="471">
        <v>5.6</v>
      </c>
      <c r="DF24" s="473"/>
      <c r="DG24" s="473">
        <f t="shared" si="37"/>
        <v>5.6</v>
      </c>
      <c r="DH24" s="473">
        <f t="shared" si="16"/>
        <v>0</v>
      </c>
      <c r="DI24" s="227">
        <f t="shared" si="88"/>
        <v>0</v>
      </c>
      <c r="DJ24" s="473">
        <f t="shared" si="89"/>
        <v>5.6</v>
      </c>
      <c r="DK24" s="227">
        <f t="shared" si="90"/>
        <v>5.9249635112180185E-4</v>
      </c>
      <c r="DL24" s="1038"/>
      <c r="DM24" s="63">
        <v>890</v>
      </c>
      <c r="DN24" s="66"/>
      <c r="DO24" s="66">
        <f t="shared" si="91"/>
        <v>710</v>
      </c>
      <c r="DP24" s="66">
        <f t="shared" si="17"/>
        <v>180</v>
      </c>
      <c r="DQ24" s="412">
        <f t="shared" si="92"/>
        <v>0.30806830901305182</v>
      </c>
      <c r="DR24" s="66">
        <f t="shared" si="93"/>
        <v>3290</v>
      </c>
      <c r="DS24" s="412">
        <f t="shared" si="94"/>
        <v>0.34809160628405861</v>
      </c>
      <c r="DT24" s="1071"/>
      <c r="DU24" s="596">
        <v>400</v>
      </c>
      <c r="DV24" s="596"/>
      <c r="DW24" s="596">
        <f t="shared" si="38"/>
        <v>400</v>
      </c>
      <c r="DX24" s="596">
        <f t="shared" si="18"/>
        <v>0</v>
      </c>
      <c r="DY24" s="592">
        <f t="shared" si="95"/>
        <v>0</v>
      </c>
      <c r="DZ24" s="596">
        <f t="shared" si="96"/>
        <v>0</v>
      </c>
      <c r="EA24" s="592">
        <f t="shared" si="97"/>
        <v>0</v>
      </c>
      <c r="EB24" s="1041"/>
      <c r="EC24" s="448">
        <v>205</v>
      </c>
      <c r="ED24" s="449"/>
      <c r="EE24" s="449">
        <f t="shared" si="39"/>
        <v>205</v>
      </c>
      <c r="EF24" s="449">
        <f t="shared" si="19"/>
        <v>0</v>
      </c>
      <c r="EG24" s="450">
        <f t="shared" si="98"/>
        <v>0</v>
      </c>
      <c r="EH24" s="449">
        <f t="shared" si="99"/>
        <v>110</v>
      </c>
      <c r="EI24" s="450">
        <f t="shared" si="100"/>
        <v>1.163832118274968E-2</v>
      </c>
      <c r="EJ24" s="1035"/>
      <c r="EK24" s="426">
        <v>2002</v>
      </c>
      <c r="EL24" s="427"/>
      <c r="EM24" s="427">
        <f t="shared" si="40"/>
        <v>1545</v>
      </c>
      <c r="EN24" s="427">
        <f t="shared" si="20"/>
        <v>457</v>
      </c>
      <c r="EO24" s="427">
        <f t="shared" si="41"/>
        <v>6327</v>
      </c>
      <c r="EP24" s="456">
        <v>84</v>
      </c>
      <c r="EQ24" s="457"/>
      <c r="ER24" s="457">
        <f t="shared" si="42"/>
        <v>84</v>
      </c>
      <c r="ES24" s="457">
        <f t="shared" si="21"/>
        <v>0</v>
      </c>
      <c r="ET24" s="457">
        <f t="shared" si="43"/>
        <v>42</v>
      </c>
      <c r="EU24" s="409">
        <v>20</v>
      </c>
      <c r="EV24" s="43">
        <v>20</v>
      </c>
      <c r="EW24" s="43">
        <f t="shared" si="44"/>
        <v>40</v>
      </c>
      <c r="EX24" s="43">
        <f t="shared" si="22"/>
        <v>0</v>
      </c>
      <c r="EY24" s="43">
        <f t="shared" si="45"/>
        <v>80</v>
      </c>
      <c r="EZ24" s="436">
        <v>100</v>
      </c>
      <c r="FA24" s="437"/>
      <c r="FB24" s="437">
        <f t="shared" si="46"/>
        <v>100</v>
      </c>
      <c r="FC24" s="437">
        <f t="shared" si="23"/>
        <v>0</v>
      </c>
      <c r="FD24" s="437">
        <f t="shared" si="47"/>
        <v>140</v>
      </c>
      <c r="FE24" s="442">
        <v>225</v>
      </c>
      <c r="FF24" s="443"/>
      <c r="FG24" s="443">
        <f t="shared" si="48"/>
        <v>225</v>
      </c>
      <c r="FH24" s="443">
        <f t="shared" si="24"/>
        <v>0</v>
      </c>
      <c r="FI24" s="443">
        <f t="shared" si="49"/>
        <v>175</v>
      </c>
      <c r="FJ24" s="392">
        <v>0</v>
      </c>
      <c r="FK24" s="298"/>
      <c r="FL24" s="298">
        <f t="shared" si="50"/>
        <v>0</v>
      </c>
      <c r="FM24" s="298">
        <f t="shared" si="25"/>
        <v>0</v>
      </c>
      <c r="FN24" s="498">
        <f t="shared" si="51"/>
        <v>900</v>
      </c>
      <c r="HC24" s="402"/>
      <c r="HD24" s="52"/>
      <c r="HE24" s="52">
        <f t="shared" si="52"/>
        <v>0</v>
      </c>
      <c r="HF24" s="52">
        <f t="shared" si="26"/>
        <v>0</v>
      </c>
      <c r="HG24" s="51"/>
      <c r="HH24" s="52">
        <f t="shared" si="101"/>
        <v>400</v>
      </c>
      <c r="HI24" s="51"/>
      <c r="HJ24" s="1047"/>
    </row>
    <row r="25" spans="1:218" ht="15" customHeight="1">
      <c r="A25" s="30">
        <v>44688</v>
      </c>
      <c r="B25" s="390">
        <v>469664</v>
      </c>
      <c r="C25" s="18">
        <f t="shared" si="27"/>
        <v>9921199</v>
      </c>
      <c r="D25" s="376">
        <v>5987.62</v>
      </c>
      <c r="E25" s="417">
        <f t="shared" si="109"/>
        <v>141364.35999999999</v>
      </c>
      <c r="F25" s="397">
        <v>41921</v>
      </c>
      <c r="G25" s="37"/>
      <c r="H25" s="37">
        <f t="shared" si="0"/>
        <v>40257</v>
      </c>
      <c r="I25" s="37">
        <f t="shared" si="1"/>
        <v>1664</v>
      </c>
      <c r="J25" s="37">
        <f t="shared" si="2"/>
        <v>277.90674758919238</v>
      </c>
      <c r="K25" s="37">
        <f t="shared" si="29"/>
        <v>68870</v>
      </c>
      <c r="L25" s="37">
        <f t="shared" si="3"/>
        <v>487.18078587842086</v>
      </c>
      <c r="M25" s="1098"/>
      <c r="N25" s="422">
        <v>300</v>
      </c>
      <c r="O25" s="423"/>
      <c r="P25" s="423">
        <f t="shared" si="4"/>
        <v>250</v>
      </c>
      <c r="Q25" s="423">
        <f t="shared" si="5"/>
        <v>50</v>
      </c>
      <c r="R25" s="423">
        <f t="shared" si="30"/>
        <v>1450</v>
      </c>
      <c r="S25" s="68">
        <v>5.15</v>
      </c>
      <c r="T25" s="67">
        <v>24</v>
      </c>
      <c r="U25" s="68">
        <f t="shared" si="53"/>
        <v>61.800000000000004</v>
      </c>
      <c r="V25" s="68">
        <f t="shared" si="6"/>
        <v>10.32129627464669</v>
      </c>
      <c r="W25" s="423">
        <f t="shared" si="54"/>
        <v>1402.4639999999999</v>
      </c>
      <c r="X25" s="68">
        <f t="shared" si="7"/>
        <v>9.9209164176883071</v>
      </c>
      <c r="Y25" s="1073"/>
      <c r="Z25" s="424">
        <v>175</v>
      </c>
      <c r="AA25" s="425"/>
      <c r="AB25" s="425">
        <f t="shared" si="55"/>
        <v>150</v>
      </c>
      <c r="AC25" s="425">
        <f t="shared" si="56"/>
        <v>25</v>
      </c>
      <c r="AD25" s="425">
        <f t="shared" si="57"/>
        <v>300</v>
      </c>
      <c r="AE25" s="72">
        <v>1.94</v>
      </c>
      <c r="AF25" s="71">
        <v>12</v>
      </c>
      <c r="AG25" s="72">
        <f t="shared" si="58"/>
        <v>11.64</v>
      </c>
      <c r="AH25" s="72">
        <f t="shared" si="8"/>
        <v>1.9440111429917062</v>
      </c>
      <c r="AI25" s="425">
        <f t="shared" si="59"/>
        <v>264.11999999999995</v>
      </c>
      <c r="AJ25" s="72">
        <f t="shared" si="9"/>
        <v>1.868363426255387</v>
      </c>
      <c r="AK25" s="1075"/>
      <c r="AL25" s="491">
        <v>24058</v>
      </c>
      <c r="AM25" s="491"/>
      <c r="AN25" s="492">
        <f t="shared" si="105"/>
        <v>24058</v>
      </c>
      <c r="AO25" s="492">
        <f t="shared" si="106"/>
        <v>0</v>
      </c>
      <c r="AP25" s="492">
        <f t="shared" si="107"/>
        <v>8565</v>
      </c>
      <c r="AQ25" s="493">
        <f t="shared" si="10"/>
        <v>60.588114288495355</v>
      </c>
      <c r="AR25" s="1078"/>
      <c r="AS25" s="413">
        <v>49235</v>
      </c>
      <c r="AT25" s="66"/>
      <c r="AU25" s="66">
        <f t="shared" si="61"/>
        <v>49235</v>
      </c>
      <c r="AV25" s="66">
        <f t="shared" si="11"/>
        <v>0</v>
      </c>
      <c r="AW25" s="412">
        <f t="shared" si="62"/>
        <v>0</v>
      </c>
      <c r="AX25" s="66">
        <f t="shared" si="63"/>
        <v>0</v>
      </c>
      <c r="AY25" s="412">
        <f t="shared" si="64"/>
        <v>0</v>
      </c>
      <c r="AZ25" s="1071"/>
      <c r="BA25" s="419">
        <v>45495</v>
      </c>
      <c r="BB25" s="419"/>
      <c r="BC25" s="407"/>
      <c r="BD25" s="419">
        <f t="shared" si="33"/>
        <v>45495</v>
      </c>
      <c r="BE25" s="419">
        <f t="shared" si="34"/>
        <v>0</v>
      </c>
      <c r="BF25" s="407">
        <f t="shared" si="65"/>
        <v>0</v>
      </c>
      <c r="BG25" s="419">
        <f t="shared" si="108"/>
        <v>0</v>
      </c>
      <c r="BH25" s="407">
        <f t="shared" si="67"/>
        <v>0</v>
      </c>
      <c r="BI25" s="407">
        <f t="shared" si="68"/>
        <v>0</v>
      </c>
      <c r="BJ25" s="1089"/>
      <c r="BK25" s="1084"/>
      <c r="BL25" s="49">
        <v>1853</v>
      </c>
      <c r="BM25" s="52"/>
      <c r="BN25" s="52">
        <f t="shared" si="69"/>
        <v>1808</v>
      </c>
      <c r="BO25" s="52">
        <f t="shared" si="12"/>
        <v>45</v>
      </c>
      <c r="BP25" s="406">
        <f t="shared" si="70"/>
        <v>9.5813177079784692E-2</v>
      </c>
      <c r="BQ25" s="52">
        <f t="shared" si="71"/>
        <v>3492</v>
      </c>
      <c r="BR25" s="406">
        <f t="shared" si="72"/>
        <v>0.35197358706341847</v>
      </c>
      <c r="BS25" s="1047"/>
      <c r="BT25" s="409">
        <v>2248</v>
      </c>
      <c r="BU25" s="43"/>
      <c r="BV25" s="43">
        <f t="shared" si="102"/>
        <v>2215</v>
      </c>
      <c r="BW25" s="43">
        <f t="shared" si="103"/>
        <v>33</v>
      </c>
      <c r="BX25" s="42">
        <f t="shared" si="74"/>
        <v>7.0262996525175439E-2</v>
      </c>
      <c r="BY25" s="43">
        <f t="shared" si="104"/>
        <v>1172</v>
      </c>
      <c r="BZ25" s="42">
        <f t="shared" si="76"/>
        <v>0.11813088317248752</v>
      </c>
      <c r="CA25" s="1058"/>
      <c r="CB25" s="392">
        <v>908</v>
      </c>
      <c r="CC25" s="298"/>
      <c r="CD25" s="298">
        <f t="shared" si="35"/>
        <v>483</v>
      </c>
      <c r="CE25" s="298">
        <f t="shared" si="14"/>
        <v>425</v>
      </c>
      <c r="CF25" s="297">
        <f t="shared" si="77"/>
        <v>0.90490222797574438</v>
      </c>
      <c r="CG25" s="298">
        <f t="shared" si="78"/>
        <v>15617</v>
      </c>
      <c r="CH25" s="297">
        <f t="shared" si="79"/>
        <v>1.574104097700288</v>
      </c>
      <c r="CI25" s="1061"/>
      <c r="CJ25" s="651"/>
      <c r="CK25" s="651"/>
      <c r="CL25" s="651"/>
      <c r="CM25" s="651"/>
      <c r="CN25" s="651"/>
      <c r="CO25" s="464">
        <v>0</v>
      </c>
      <c r="CP25" s="465"/>
      <c r="CQ25" s="465">
        <f t="shared" si="36"/>
        <v>0</v>
      </c>
      <c r="CR25" s="465">
        <f t="shared" si="15"/>
        <v>0</v>
      </c>
      <c r="CS25" s="486">
        <f t="shared" si="80"/>
        <v>0</v>
      </c>
      <c r="CT25" s="465">
        <f t="shared" si="81"/>
        <v>120</v>
      </c>
      <c r="CU25" s="486">
        <f t="shared" si="82"/>
        <v>1.2095312270220565E-2</v>
      </c>
      <c r="CV25" s="1069"/>
      <c r="CW25" s="427">
        <v>5</v>
      </c>
      <c r="CX25" s="427"/>
      <c r="CY25" s="427">
        <f t="shared" si="83"/>
        <v>5</v>
      </c>
      <c r="CZ25" s="427">
        <f t="shared" si="84"/>
        <v>0</v>
      </c>
      <c r="DA25" s="607">
        <f t="shared" si="85"/>
        <v>0</v>
      </c>
      <c r="DB25" s="607">
        <f t="shared" si="86"/>
        <v>0</v>
      </c>
      <c r="DC25" s="607">
        <f t="shared" si="87"/>
        <v>0</v>
      </c>
      <c r="DD25" s="607"/>
      <c r="DE25" s="471">
        <v>5.6</v>
      </c>
      <c r="DF25" s="473"/>
      <c r="DG25" s="473">
        <f t="shared" si="37"/>
        <v>5.6</v>
      </c>
      <c r="DH25" s="473">
        <f t="shared" si="16"/>
        <v>0</v>
      </c>
      <c r="DI25" s="227">
        <f t="shared" si="88"/>
        <v>0</v>
      </c>
      <c r="DJ25" s="473">
        <f t="shared" si="89"/>
        <v>5.6</v>
      </c>
      <c r="DK25" s="227">
        <f t="shared" si="90"/>
        <v>5.6444790594362636E-4</v>
      </c>
      <c r="DL25" s="1038"/>
      <c r="DM25" s="63">
        <v>710</v>
      </c>
      <c r="DN25" s="66"/>
      <c r="DO25" s="66">
        <f t="shared" si="91"/>
        <v>580</v>
      </c>
      <c r="DP25" s="66">
        <f t="shared" si="17"/>
        <v>130</v>
      </c>
      <c r="DQ25" s="412">
        <f t="shared" si="92"/>
        <v>0.27679362267493357</v>
      </c>
      <c r="DR25" s="66">
        <f t="shared" si="93"/>
        <v>3420</v>
      </c>
      <c r="DS25" s="412">
        <f t="shared" si="94"/>
        <v>0.34471639970128609</v>
      </c>
      <c r="DT25" s="1071"/>
      <c r="DU25" s="596">
        <v>400</v>
      </c>
      <c r="DV25" s="596"/>
      <c r="DW25" s="596">
        <f t="shared" si="38"/>
        <v>400</v>
      </c>
      <c r="DX25" s="596">
        <f t="shared" si="18"/>
        <v>0</v>
      </c>
      <c r="DY25" s="592">
        <f t="shared" si="95"/>
        <v>0</v>
      </c>
      <c r="DZ25" s="596">
        <f t="shared" si="96"/>
        <v>0</v>
      </c>
      <c r="EA25" s="592">
        <f t="shared" si="97"/>
        <v>0</v>
      </c>
      <c r="EB25" s="1041"/>
      <c r="EC25" s="448">
        <v>205</v>
      </c>
      <c r="ED25" s="449"/>
      <c r="EE25" s="449">
        <f t="shared" si="39"/>
        <v>205</v>
      </c>
      <c r="EF25" s="449">
        <f t="shared" si="19"/>
        <v>0</v>
      </c>
      <c r="EG25" s="450">
        <f t="shared" si="98"/>
        <v>0</v>
      </c>
      <c r="EH25" s="449">
        <f t="shared" si="99"/>
        <v>110</v>
      </c>
      <c r="EI25" s="450">
        <f t="shared" si="100"/>
        <v>1.1087369581035518E-2</v>
      </c>
      <c r="EJ25" s="1035"/>
      <c r="EK25" s="426">
        <v>1545</v>
      </c>
      <c r="EL25" s="427"/>
      <c r="EM25" s="427">
        <f t="shared" si="40"/>
        <v>1334</v>
      </c>
      <c r="EN25" s="427">
        <f t="shared" si="20"/>
        <v>211</v>
      </c>
      <c r="EO25" s="427">
        <f t="shared" si="41"/>
        <v>6538</v>
      </c>
      <c r="EP25" s="456">
        <v>84</v>
      </c>
      <c r="EQ25" s="457"/>
      <c r="ER25" s="457">
        <f t="shared" si="42"/>
        <v>56</v>
      </c>
      <c r="ES25" s="457">
        <f t="shared" si="21"/>
        <v>28</v>
      </c>
      <c r="ET25" s="457">
        <f t="shared" si="43"/>
        <v>70</v>
      </c>
      <c r="EU25" s="409">
        <v>40</v>
      </c>
      <c r="EV25" s="43"/>
      <c r="EW25" s="43">
        <f t="shared" si="44"/>
        <v>20</v>
      </c>
      <c r="EX25" s="43">
        <f t="shared" si="22"/>
        <v>20</v>
      </c>
      <c r="EY25" s="43">
        <f t="shared" si="45"/>
        <v>100</v>
      </c>
      <c r="EZ25" s="436">
        <v>100</v>
      </c>
      <c r="FA25" s="437"/>
      <c r="FB25" s="437">
        <f t="shared" si="46"/>
        <v>50</v>
      </c>
      <c r="FC25" s="437">
        <f t="shared" si="23"/>
        <v>50</v>
      </c>
      <c r="FD25" s="437">
        <f t="shared" si="47"/>
        <v>190</v>
      </c>
      <c r="FE25" s="442">
        <v>225</v>
      </c>
      <c r="FF25" s="443"/>
      <c r="FG25" s="443">
        <f t="shared" si="48"/>
        <v>225</v>
      </c>
      <c r="FH25" s="443">
        <f t="shared" si="24"/>
        <v>0</v>
      </c>
      <c r="FI25" s="443">
        <f t="shared" si="49"/>
        <v>175</v>
      </c>
      <c r="FJ25" s="392">
        <v>0</v>
      </c>
      <c r="FK25" s="298"/>
      <c r="FL25" s="298">
        <f t="shared" si="50"/>
        <v>0</v>
      </c>
      <c r="FM25" s="298">
        <f t="shared" si="25"/>
        <v>0</v>
      </c>
      <c r="FN25" s="498">
        <f t="shared" si="51"/>
        <v>900</v>
      </c>
      <c r="HC25" s="402"/>
      <c r="HD25" s="52"/>
      <c r="HE25" s="52">
        <f t="shared" si="52"/>
        <v>0</v>
      </c>
      <c r="HF25" s="52">
        <f t="shared" si="26"/>
        <v>0</v>
      </c>
      <c r="HG25" s="51"/>
      <c r="HH25" s="52">
        <f t="shared" si="101"/>
        <v>400</v>
      </c>
      <c r="HI25" s="51"/>
      <c r="HJ25" s="1047"/>
    </row>
    <row r="26" spans="1:218" ht="15" customHeight="1">
      <c r="A26" s="30">
        <v>44689</v>
      </c>
      <c r="B26" s="390">
        <v>499243</v>
      </c>
      <c r="C26" s="18">
        <f t="shared" si="27"/>
        <v>10420442</v>
      </c>
      <c r="D26" s="376">
        <v>7280.16</v>
      </c>
      <c r="E26" s="417">
        <f t="shared" si="109"/>
        <v>148644.51999999999</v>
      </c>
      <c r="F26" s="397">
        <v>40257</v>
      </c>
      <c r="G26" s="37"/>
      <c r="H26" s="37">
        <f t="shared" si="0"/>
        <v>37257</v>
      </c>
      <c r="I26" s="37">
        <f t="shared" si="1"/>
        <v>3000</v>
      </c>
      <c r="J26" s="37">
        <f t="shared" si="2"/>
        <v>412.07885540977122</v>
      </c>
      <c r="K26" s="37">
        <f t="shared" si="29"/>
        <v>71870</v>
      </c>
      <c r="L26" s="37">
        <f t="shared" si="3"/>
        <v>483.50251997180931</v>
      </c>
      <c r="M26" s="1098"/>
      <c r="N26" s="422">
        <v>250</v>
      </c>
      <c r="O26" s="423"/>
      <c r="P26" s="423">
        <f t="shared" si="4"/>
        <v>175</v>
      </c>
      <c r="Q26" s="423">
        <f t="shared" si="5"/>
        <v>75</v>
      </c>
      <c r="R26" s="423">
        <f t="shared" si="30"/>
        <v>1525</v>
      </c>
      <c r="S26" s="68">
        <v>5.5</v>
      </c>
      <c r="T26" s="67">
        <v>24</v>
      </c>
      <c r="U26" s="68">
        <f t="shared" si="53"/>
        <v>66</v>
      </c>
      <c r="V26" s="68">
        <f t="shared" si="6"/>
        <v>9.0657348190149669</v>
      </c>
      <c r="W26" s="423">
        <f t="shared" si="54"/>
        <v>1468.4639999999999</v>
      </c>
      <c r="X26" s="68">
        <f t="shared" si="7"/>
        <v>9.8790322038108105</v>
      </c>
      <c r="Y26" s="1073"/>
      <c r="Z26" s="424">
        <v>150</v>
      </c>
      <c r="AA26" s="425"/>
      <c r="AB26" s="425">
        <f t="shared" si="55"/>
        <v>150</v>
      </c>
      <c r="AC26" s="425">
        <f t="shared" si="56"/>
        <v>0</v>
      </c>
      <c r="AD26" s="425">
        <f t="shared" si="57"/>
        <v>300</v>
      </c>
      <c r="AE26" s="72">
        <v>1.75</v>
      </c>
      <c r="AF26" s="71">
        <v>12</v>
      </c>
      <c r="AG26" s="72">
        <f t="shared" si="58"/>
        <v>10.5</v>
      </c>
      <c r="AH26" s="72">
        <f t="shared" si="8"/>
        <v>1.4422759939341994</v>
      </c>
      <c r="AI26" s="425">
        <f t="shared" si="59"/>
        <v>274.61999999999995</v>
      </c>
      <c r="AJ26" s="72">
        <f t="shared" si="9"/>
        <v>1.8474949496960935</v>
      </c>
      <c r="AK26" s="1075"/>
      <c r="AL26" s="491">
        <v>24058</v>
      </c>
      <c r="AM26" s="491"/>
      <c r="AN26" s="492">
        <f t="shared" si="105"/>
        <v>24058</v>
      </c>
      <c r="AO26" s="492">
        <f t="shared" si="106"/>
        <v>0</v>
      </c>
      <c r="AP26" s="492">
        <f t="shared" si="107"/>
        <v>8565</v>
      </c>
      <c r="AQ26" s="493">
        <f t="shared" si="10"/>
        <v>57.62069129760048</v>
      </c>
      <c r="AR26" s="1078"/>
      <c r="AS26" s="413">
        <v>49235</v>
      </c>
      <c r="AT26" s="66"/>
      <c r="AU26" s="66">
        <f t="shared" si="61"/>
        <v>49235</v>
      </c>
      <c r="AV26" s="66">
        <f t="shared" si="11"/>
        <v>0</v>
      </c>
      <c r="AW26" s="412">
        <f t="shared" si="62"/>
        <v>0</v>
      </c>
      <c r="AX26" s="66">
        <f t="shared" si="63"/>
        <v>0</v>
      </c>
      <c r="AY26" s="412">
        <f t="shared" si="64"/>
        <v>0</v>
      </c>
      <c r="AZ26" s="1071"/>
      <c r="BA26" s="419">
        <v>45495</v>
      </c>
      <c r="BB26" s="419"/>
      <c r="BC26" s="407"/>
      <c r="BD26" s="419">
        <f t="shared" si="33"/>
        <v>45495</v>
      </c>
      <c r="BE26" s="419">
        <f t="shared" si="34"/>
        <v>0</v>
      </c>
      <c r="BF26" s="407">
        <f t="shared" si="65"/>
        <v>0</v>
      </c>
      <c r="BG26" s="419">
        <f t="shared" si="108"/>
        <v>0</v>
      </c>
      <c r="BH26" s="407">
        <f t="shared" si="67"/>
        <v>0</v>
      </c>
      <c r="BI26" s="407">
        <f t="shared" si="68"/>
        <v>0</v>
      </c>
      <c r="BJ26" s="1089"/>
      <c r="BK26" s="1084"/>
      <c r="BL26" s="49">
        <v>1808</v>
      </c>
      <c r="BM26" s="52"/>
      <c r="BN26" s="52">
        <f t="shared" si="69"/>
        <v>1771</v>
      </c>
      <c r="BO26" s="52">
        <f t="shared" si="12"/>
        <v>37</v>
      </c>
      <c r="BP26" s="406">
        <f t="shared" si="70"/>
        <v>7.4112205879701867E-2</v>
      </c>
      <c r="BQ26" s="52">
        <f t="shared" si="71"/>
        <v>3529</v>
      </c>
      <c r="BR26" s="406">
        <f t="shared" si="72"/>
        <v>0.33866125832282357</v>
      </c>
      <c r="BS26" s="1047"/>
      <c r="BT26" s="409">
        <v>2215</v>
      </c>
      <c r="BU26" s="43"/>
      <c r="BV26" s="43">
        <f t="shared" si="102"/>
        <v>2190</v>
      </c>
      <c r="BW26" s="43">
        <f t="shared" si="103"/>
        <v>25</v>
      </c>
      <c r="BX26" s="42">
        <f t="shared" si="74"/>
        <v>5.0075814783582341E-2</v>
      </c>
      <c r="BY26" s="43">
        <f t="shared" si="104"/>
        <v>1197</v>
      </c>
      <c r="BZ26" s="42">
        <f t="shared" si="76"/>
        <v>0.11487036730303762</v>
      </c>
      <c r="CA26" s="1058"/>
      <c r="CB26" s="392">
        <v>483</v>
      </c>
      <c r="CC26" s="298"/>
      <c r="CD26" s="298">
        <f t="shared" si="35"/>
        <v>23</v>
      </c>
      <c r="CE26" s="298">
        <f t="shared" si="14"/>
        <v>460</v>
      </c>
      <c r="CF26" s="297">
        <f t="shared" si="77"/>
        <v>0.92139499201791508</v>
      </c>
      <c r="CG26" s="298">
        <f t="shared" si="78"/>
        <v>16077</v>
      </c>
      <c r="CH26" s="297">
        <f t="shared" si="79"/>
        <v>1.5428328280124777</v>
      </c>
      <c r="CI26" s="1061"/>
      <c r="CJ26" s="651"/>
      <c r="CK26" s="651"/>
      <c r="CL26" s="651"/>
      <c r="CM26" s="651"/>
      <c r="CN26" s="651"/>
      <c r="CO26" s="464">
        <v>0</v>
      </c>
      <c r="CP26" s="465"/>
      <c r="CQ26" s="465">
        <f t="shared" si="36"/>
        <v>0</v>
      </c>
      <c r="CR26" s="465">
        <f t="shared" si="15"/>
        <v>0</v>
      </c>
      <c r="CS26" s="486">
        <f t="shared" si="80"/>
        <v>0</v>
      </c>
      <c r="CT26" s="465">
        <f t="shared" si="81"/>
        <v>120</v>
      </c>
      <c r="CU26" s="486">
        <f t="shared" si="82"/>
        <v>1.1515826296043872E-2</v>
      </c>
      <c r="CV26" s="1069"/>
      <c r="CW26" s="427">
        <v>5</v>
      </c>
      <c r="CX26" s="427"/>
      <c r="CY26" s="427">
        <f t="shared" si="83"/>
        <v>5</v>
      </c>
      <c r="CZ26" s="427">
        <f t="shared" si="84"/>
        <v>0</v>
      </c>
      <c r="DA26" s="607">
        <f t="shared" si="85"/>
        <v>0</v>
      </c>
      <c r="DB26" s="607">
        <f t="shared" si="86"/>
        <v>0</v>
      </c>
      <c r="DC26" s="607">
        <f t="shared" si="87"/>
        <v>0</v>
      </c>
      <c r="DD26" s="607"/>
      <c r="DE26" s="471">
        <v>5.6</v>
      </c>
      <c r="DF26" s="473"/>
      <c r="DG26" s="473">
        <f t="shared" si="37"/>
        <v>5.6</v>
      </c>
      <c r="DH26" s="473">
        <f t="shared" si="16"/>
        <v>0</v>
      </c>
      <c r="DI26" s="227">
        <f t="shared" si="88"/>
        <v>0</v>
      </c>
      <c r="DJ26" s="473">
        <f t="shared" si="89"/>
        <v>5.6</v>
      </c>
      <c r="DK26" s="227">
        <f t="shared" si="90"/>
        <v>5.3740522714871403E-4</v>
      </c>
      <c r="DL26" s="1038"/>
      <c r="DM26" s="63">
        <v>580</v>
      </c>
      <c r="DN26" s="66"/>
      <c r="DO26" s="66">
        <f t="shared" si="91"/>
        <v>420</v>
      </c>
      <c r="DP26" s="66">
        <f t="shared" si="17"/>
        <v>160</v>
      </c>
      <c r="DQ26" s="412">
        <f t="shared" si="92"/>
        <v>0.32048521461492702</v>
      </c>
      <c r="DR26" s="66">
        <f t="shared" si="93"/>
        <v>3580</v>
      </c>
      <c r="DS26" s="412">
        <f t="shared" si="94"/>
        <v>0.34355548449864221</v>
      </c>
      <c r="DT26" s="1071"/>
      <c r="DU26" s="596">
        <v>400</v>
      </c>
      <c r="DV26" s="596"/>
      <c r="DW26" s="596">
        <f t="shared" si="38"/>
        <v>400</v>
      </c>
      <c r="DX26" s="596">
        <f t="shared" si="18"/>
        <v>0</v>
      </c>
      <c r="DY26" s="592">
        <f t="shared" si="95"/>
        <v>0</v>
      </c>
      <c r="DZ26" s="596">
        <f t="shared" si="96"/>
        <v>0</v>
      </c>
      <c r="EA26" s="592">
        <f t="shared" si="97"/>
        <v>0</v>
      </c>
      <c r="EB26" s="1041"/>
      <c r="EC26" s="448">
        <v>205</v>
      </c>
      <c r="ED26" s="449"/>
      <c r="EE26" s="449">
        <f t="shared" si="39"/>
        <v>205</v>
      </c>
      <c r="EF26" s="449">
        <f t="shared" si="19"/>
        <v>0</v>
      </c>
      <c r="EG26" s="450">
        <f t="shared" si="98"/>
        <v>0</v>
      </c>
      <c r="EH26" s="449">
        <f t="shared" si="99"/>
        <v>110</v>
      </c>
      <c r="EI26" s="450">
        <f t="shared" si="100"/>
        <v>1.0556174104706884E-2</v>
      </c>
      <c r="EJ26" s="1035"/>
      <c r="EK26" s="426">
        <v>1334</v>
      </c>
      <c r="EL26" s="427"/>
      <c r="EM26" s="427">
        <f t="shared" si="40"/>
        <v>1056</v>
      </c>
      <c r="EN26" s="427">
        <f t="shared" si="20"/>
        <v>278</v>
      </c>
      <c r="EO26" s="427">
        <f t="shared" si="41"/>
        <v>6816</v>
      </c>
      <c r="EP26" s="456">
        <v>56</v>
      </c>
      <c r="EQ26" s="457"/>
      <c r="ER26" s="457">
        <f t="shared" si="42"/>
        <v>56</v>
      </c>
      <c r="ES26" s="457">
        <f t="shared" si="21"/>
        <v>0</v>
      </c>
      <c r="ET26" s="457">
        <f t="shared" si="43"/>
        <v>70</v>
      </c>
      <c r="EU26" s="409">
        <v>20</v>
      </c>
      <c r="EV26" s="43"/>
      <c r="EW26" s="43">
        <f t="shared" si="44"/>
        <v>20</v>
      </c>
      <c r="EX26" s="43">
        <f t="shared" si="22"/>
        <v>0</v>
      </c>
      <c r="EY26" s="43">
        <f t="shared" si="45"/>
        <v>100</v>
      </c>
      <c r="EZ26" s="436">
        <v>50</v>
      </c>
      <c r="FA26" s="437"/>
      <c r="FB26" s="437">
        <f t="shared" si="46"/>
        <v>50</v>
      </c>
      <c r="FC26" s="437">
        <f t="shared" si="23"/>
        <v>0</v>
      </c>
      <c r="FD26" s="437">
        <f t="shared" si="47"/>
        <v>190</v>
      </c>
      <c r="FE26" s="442">
        <v>225</v>
      </c>
      <c r="FF26" s="443"/>
      <c r="FG26" s="443">
        <f t="shared" si="48"/>
        <v>225</v>
      </c>
      <c r="FH26" s="443">
        <f t="shared" si="24"/>
        <v>0</v>
      </c>
      <c r="FI26" s="443">
        <f t="shared" si="49"/>
        <v>175</v>
      </c>
      <c r="FJ26" s="392">
        <v>0</v>
      </c>
      <c r="FK26" s="298"/>
      <c r="FL26" s="298">
        <f t="shared" si="50"/>
        <v>0</v>
      </c>
      <c r="FM26" s="298">
        <f t="shared" si="25"/>
        <v>0</v>
      </c>
      <c r="FN26" s="498">
        <f t="shared" si="51"/>
        <v>900</v>
      </c>
      <c r="HC26" s="402"/>
      <c r="HD26" s="52"/>
      <c r="HE26" s="52">
        <f t="shared" si="52"/>
        <v>0</v>
      </c>
      <c r="HF26" s="52">
        <f t="shared" si="26"/>
        <v>0</v>
      </c>
      <c r="HG26" s="51"/>
      <c r="HH26" s="52">
        <f t="shared" si="101"/>
        <v>400</v>
      </c>
      <c r="HI26" s="51"/>
      <c r="HJ26" s="1047"/>
    </row>
    <row r="27" spans="1:218" ht="15" customHeight="1">
      <c r="A27" s="30">
        <v>44690</v>
      </c>
      <c r="B27" s="390">
        <v>561769</v>
      </c>
      <c r="C27" s="18">
        <f t="shared" si="27"/>
        <v>10982211</v>
      </c>
      <c r="D27" s="376">
        <v>7912.22</v>
      </c>
      <c r="E27" s="417">
        <f t="shared" si="109"/>
        <v>156556.74</v>
      </c>
      <c r="F27" s="397">
        <v>37257</v>
      </c>
      <c r="G27" s="37"/>
      <c r="H27" s="37">
        <f t="shared" si="0"/>
        <v>30857</v>
      </c>
      <c r="I27" s="37">
        <f t="shared" si="1"/>
        <v>6400</v>
      </c>
      <c r="J27" s="37">
        <f t="shared" si="2"/>
        <v>808.87538516370876</v>
      </c>
      <c r="K27" s="37">
        <f t="shared" si="29"/>
        <v>78270</v>
      </c>
      <c r="L27" s="37">
        <f t="shared" si="3"/>
        <v>499.94653695522788</v>
      </c>
      <c r="M27" s="1098"/>
      <c r="N27" s="422">
        <v>175</v>
      </c>
      <c r="O27" s="423">
        <v>75</v>
      </c>
      <c r="P27" s="423">
        <f t="shared" si="4"/>
        <v>200</v>
      </c>
      <c r="Q27" s="423">
        <f t="shared" si="5"/>
        <v>50</v>
      </c>
      <c r="R27" s="423">
        <f t="shared" si="30"/>
        <v>1575</v>
      </c>
      <c r="S27" s="68">
        <v>5.81</v>
      </c>
      <c r="T27" s="67">
        <v>24</v>
      </c>
      <c r="U27" s="68">
        <f t="shared" si="53"/>
        <v>69.72</v>
      </c>
      <c r="V27" s="68">
        <f t="shared" si="6"/>
        <v>8.8116862271271525</v>
      </c>
      <c r="W27" s="423">
        <f t="shared" si="54"/>
        <v>1538.184</v>
      </c>
      <c r="X27" s="68">
        <f t="shared" si="7"/>
        <v>9.8250896128777345</v>
      </c>
      <c r="Y27" s="1073"/>
      <c r="Z27" s="424">
        <v>150</v>
      </c>
      <c r="AA27" s="425"/>
      <c r="AB27" s="425">
        <f t="shared" si="55"/>
        <v>125</v>
      </c>
      <c r="AC27" s="425">
        <f t="shared" si="56"/>
        <v>25</v>
      </c>
      <c r="AD27" s="425">
        <f t="shared" si="57"/>
        <v>325</v>
      </c>
      <c r="AE27" s="72">
        <v>1.78</v>
      </c>
      <c r="AF27" s="71">
        <v>12</v>
      </c>
      <c r="AG27" s="72">
        <f t="shared" si="58"/>
        <v>10.68</v>
      </c>
      <c r="AH27" s="72">
        <f t="shared" si="8"/>
        <v>1.349810798991939</v>
      </c>
      <c r="AI27" s="425">
        <f t="shared" si="59"/>
        <v>285.29999999999995</v>
      </c>
      <c r="AJ27" s="72">
        <f t="shared" si="9"/>
        <v>1.8223424938460009</v>
      </c>
      <c r="AK27" s="1075"/>
      <c r="AL27" s="491">
        <v>24058</v>
      </c>
      <c r="AM27" s="491"/>
      <c r="AN27" s="492">
        <f t="shared" si="105"/>
        <v>17812</v>
      </c>
      <c r="AO27" s="492">
        <f t="shared" si="106"/>
        <v>6246</v>
      </c>
      <c r="AP27" s="492">
        <f t="shared" si="107"/>
        <v>14811</v>
      </c>
      <c r="AQ27" s="493">
        <f t="shared" si="10"/>
        <v>94.604678150554236</v>
      </c>
      <c r="AR27" s="1078"/>
      <c r="AS27" s="413">
        <v>49235</v>
      </c>
      <c r="AT27" s="66"/>
      <c r="AU27" s="66">
        <f t="shared" si="61"/>
        <v>49235</v>
      </c>
      <c r="AV27" s="66">
        <f t="shared" si="11"/>
        <v>0</v>
      </c>
      <c r="AW27" s="412">
        <f t="shared" si="62"/>
        <v>0</v>
      </c>
      <c r="AX27" s="66">
        <f t="shared" si="63"/>
        <v>0</v>
      </c>
      <c r="AY27" s="412">
        <f t="shared" si="64"/>
        <v>0</v>
      </c>
      <c r="AZ27" s="1071"/>
      <c r="BA27" s="419">
        <v>45495</v>
      </c>
      <c r="BB27" s="419"/>
      <c r="BC27" s="407"/>
      <c r="BD27" s="419">
        <f t="shared" si="33"/>
        <v>45495</v>
      </c>
      <c r="BE27" s="419">
        <f t="shared" si="34"/>
        <v>0</v>
      </c>
      <c r="BF27" s="407">
        <f t="shared" si="65"/>
        <v>0</v>
      </c>
      <c r="BG27" s="419">
        <f t="shared" si="108"/>
        <v>0</v>
      </c>
      <c r="BH27" s="407">
        <f t="shared" si="67"/>
        <v>0</v>
      </c>
      <c r="BI27" s="407">
        <f t="shared" si="68"/>
        <v>0</v>
      </c>
      <c r="BJ27" s="1089"/>
      <c r="BK27" s="1084"/>
      <c r="BL27" s="49">
        <v>1771</v>
      </c>
      <c r="BM27" s="52"/>
      <c r="BN27" s="52">
        <f t="shared" si="69"/>
        <v>1709</v>
      </c>
      <c r="BO27" s="52">
        <f t="shared" si="12"/>
        <v>62</v>
      </c>
      <c r="BP27" s="406">
        <f t="shared" si="70"/>
        <v>0.11036564851389094</v>
      </c>
      <c r="BQ27" s="52">
        <f t="shared" si="71"/>
        <v>3591</v>
      </c>
      <c r="BR27" s="406">
        <f t="shared" si="72"/>
        <v>0.32698333696192872</v>
      </c>
      <c r="BS27" s="1047"/>
      <c r="BT27" s="409">
        <v>2190</v>
      </c>
      <c r="BU27" s="43"/>
      <c r="BV27" s="43">
        <f t="shared" si="102"/>
        <v>2183</v>
      </c>
      <c r="BW27" s="43">
        <f t="shared" si="103"/>
        <v>7</v>
      </c>
      <c r="BX27" s="42">
        <f t="shared" si="74"/>
        <v>1.24606377354393E-2</v>
      </c>
      <c r="BY27" s="43">
        <f t="shared" si="104"/>
        <v>1204</v>
      </c>
      <c r="BZ27" s="42">
        <f t="shared" si="76"/>
        <v>0.10963184007300533</v>
      </c>
      <c r="CA27" s="1058"/>
      <c r="CB27" s="392">
        <v>23</v>
      </c>
      <c r="CC27" s="298">
        <v>2300</v>
      </c>
      <c r="CD27" s="298">
        <f t="shared" si="35"/>
        <v>1955</v>
      </c>
      <c r="CE27" s="298">
        <f t="shared" si="14"/>
        <v>368</v>
      </c>
      <c r="CF27" s="297">
        <f t="shared" si="77"/>
        <v>0.6550735266630946</v>
      </c>
      <c r="CG27" s="298">
        <f t="shared" si="78"/>
        <v>16445</v>
      </c>
      <c r="CH27" s="297">
        <f t="shared" si="79"/>
        <v>1.497421602990509</v>
      </c>
      <c r="CI27" s="1061"/>
      <c r="CJ27" s="651"/>
      <c r="CK27" s="651"/>
      <c r="CL27" s="651"/>
      <c r="CM27" s="651"/>
      <c r="CN27" s="651"/>
      <c r="CO27" s="464">
        <v>0</v>
      </c>
      <c r="CP27" s="465"/>
      <c r="CQ27" s="465">
        <f t="shared" si="36"/>
        <v>0</v>
      </c>
      <c r="CR27" s="465">
        <f t="shared" si="15"/>
        <v>0</v>
      </c>
      <c r="CS27" s="486">
        <f t="shared" si="80"/>
        <v>0</v>
      </c>
      <c r="CT27" s="465">
        <f t="shared" si="81"/>
        <v>120</v>
      </c>
      <c r="CU27" s="486">
        <f t="shared" si="82"/>
        <v>1.09267614690703E-2</v>
      </c>
      <c r="CV27" s="1069"/>
      <c r="CW27" s="427">
        <v>5</v>
      </c>
      <c r="CX27" s="427"/>
      <c r="CY27" s="427">
        <f t="shared" si="83"/>
        <v>5</v>
      </c>
      <c r="CZ27" s="427">
        <f t="shared" si="84"/>
        <v>0</v>
      </c>
      <c r="DA27" s="607">
        <f t="shared" si="85"/>
        <v>0</v>
      </c>
      <c r="DB27" s="607">
        <f t="shared" si="86"/>
        <v>0</v>
      </c>
      <c r="DC27" s="607">
        <f t="shared" si="87"/>
        <v>0</v>
      </c>
      <c r="DD27" s="607"/>
      <c r="DE27" s="471">
        <v>5.6</v>
      </c>
      <c r="DF27" s="473"/>
      <c r="DG27" s="473">
        <f t="shared" si="37"/>
        <v>5.6</v>
      </c>
      <c r="DH27" s="473">
        <f t="shared" si="16"/>
        <v>0</v>
      </c>
      <c r="DI27" s="227">
        <f t="shared" si="88"/>
        <v>0</v>
      </c>
      <c r="DJ27" s="473">
        <f t="shared" si="89"/>
        <v>5.6</v>
      </c>
      <c r="DK27" s="227">
        <f t="shared" si="90"/>
        <v>5.0991553522328063E-4</v>
      </c>
      <c r="DL27" s="1038"/>
      <c r="DM27" s="63">
        <v>420</v>
      </c>
      <c r="DN27" s="66">
        <v>1000</v>
      </c>
      <c r="DO27" s="66">
        <f t="shared" si="91"/>
        <v>1280</v>
      </c>
      <c r="DP27" s="66">
        <f t="shared" si="17"/>
        <v>140</v>
      </c>
      <c r="DQ27" s="412">
        <f t="shared" si="92"/>
        <v>0.24921275470878598</v>
      </c>
      <c r="DR27" s="66">
        <f t="shared" si="93"/>
        <v>3720</v>
      </c>
      <c r="DS27" s="412">
        <f t="shared" si="94"/>
        <v>0.33872960554117926</v>
      </c>
      <c r="DT27" s="1071"/>
      <c r="DU27" s="596">
        <v>400</v>
      </c>
      <c r="DV27" s="596"/>
      <c r="DW27" s="596">
        <f t="shared" si="38"/>
        <v>400</v>
      </c>
      <c r="DX27" s="596">
        <f t="shared" si="18"/>
        <v>0</v>
      </c>
      <c r="DY27" s="592">
        <f t="shared" si="95"/>
        <v>0</v>
      </c>
      <c r="DZ27" s="596">
        <f t="shared" si="96"/>
        <v>0</v>
      </c>
      <c r="EA27" s="592">
        <f t="shared" si="97"/>
        <v>0</v>
      </c>
      <c r="EB27" s="1041"/>
      <c r="EC27" s="448">
        <v>205</v>
      </c>
      <c r="ED27" s="449"/>
      <c r="EE27" s="449">
        <f t="shared" si="39"/>
        <v>205</v>
      </c>
      <c r="EF27" s="449">
        <f t="shared" si="19"/>
        <v>0</v>
      </c>
      <c r="EG27" s="450">
        <f t="shared" si="98"/>
        <v>0</v>
      </c>
      <c r="EH27" s="449">
        <f t="shared" si="99"/>
        <v>110</v>
      </c>
      <c r="EI27" s="450">
        <f t="shared" si="100"/>
        <v>1.001619801331444E-2</v>
      </c>
      <c r="EJ27" s="1035"/>
      <c r="EK27" s="426">
        <v>1056</v>
      </c>
      <c r="EL27" s="427">
        <v>2400</v>
      </c>
      <c r="EM27" s="427">
        <f t="shared" si="40"/>
        <v>2938</v>
      </c>
      <c r="EN27" s="427">
        <f t="shared" si="20"/>
        <v>518</v>
      </c>
      <c r="EO27" s="427">
        <f t="shared" si="41"/>
        <v>7334</v>
      </c>
      <c r="EP27" s="456">
        <v>56</v>
      </c>
      <c r="EQ27" s="457">
        <v>28</v>
      </c>
      <c r="ER27" s="457">
        <f t="shared" si="42"/>
        <v>84</v>
      </c>
      <c r="ES27" s="457">
        <f t="shared" si="21"/>
        <v>0</v>
      </c>
      <c r="ET27" s="457">
        <f t="shared" si="43"/>
        <v>70</v>
      </c>
      <c r="EU27" s="409">
        <v>20</v>
      </c>
      <c r="EV27" s="43">
        <v>20</v>
      </c>
      <c r="EW27" s="43">
        <f t="shared" si="44"/>
        <v>40</v>
      </c>
      <c r="EX27" s="43">
        <f t="shared" si="22"/>
        <v>0</v>
      </c>
      <c r="EY27" s="43">
        <f t="shared" si="45"/>
        <v>100</v>
      </c>
      <c r="EZ27" s="436">
        <v>50</v>
      </c>
      <c r="FA27" s="437">
        <v>50</v>
      </c>
      <c r="FB27" s="437">
        <f t="shared" si="46"/>
        <v>100</v>
      </c>
      <c r="FC27" s="437">
        <f t="shared" si="23"/>
        <v>0</v>
      </c>
      <c r="FD27" s="437">
        <f t="shared" si="47"/>
        <v>190</v>
      </c>
      <c r="FE27" s="442">
        <v>225</v>
      </c>
      <c r="FF27" s="443"/>
      <c r="FG27" s="443">
        <f t="shared" si="48"/>
        <v>200</v>
      </c>
      <c r="FH27" s="443">
        <f t="shared" si="24"/>
        <v>25</v>
      </c>
      <c r="FI27" s="443">
        <f t="shared" si="49"/>
        <v>200</v>
      </c>
      <c r="FJ27" s="392">
        <v>0</v>
      </c>
      <c r="FK27" s="298"/>
      <c r="FL27" s="298">
        <f t="shared" si="50"/>
        <v>0</v>
      </c>
      <c r="FM27" s="298">
        <f t="shared" si="25"/>
        <v>0</v>
      </c>
      <c r="FN27" s="498">
        <f t="shared" si="51"/>
        <v>900</v>
      </c>
      <c r="HC27" s="402"/>
      <c r="HD27" s="52"/>
      <c r="HE27" s="52">
        <f t="shared" si="52"/>
        <v>0</v>
      </c>
      <c r="HF27" s="52">
        <f t="shared" si="26"/>
        <v>0</v>
      </c>
      <c r="HG27" s="51"/>
      <c r="HH27" s="52">
        <f t="shared" si="101"/>
        <v>400</v>
      </c>
      <c r="HI27" s="51"/>
      <c r="HJ27" s="1047"/>
    </row>
    <row r="28" spans="1:218" ht="15" customHeight="1">
      <c r="A28" s="30">
        <v>44691</v>
      </c>
      <c r="B28" s="390">
        <v>500124</v>
      </c>
      <c r="C28" s="18">
        <f t="shared" si="27"/>
        <v>11482335</v>
      </c>
      <c r="D28" s="376">
        <v>7014.94</v>
      </c>
      <c r="E28" s="417">
        <f t="shared" si="109"/>
        <v>163571.68</v>
      </c>
      <c r="F28" s="397">
        <v>30857</v>
      </c>
      <c r="G28" s="37"/>
      <c r="H28" s="37">
        <f t="shared" si="0"/>
        <v>25193</v>
      </c>
      <c r="I28" s="37">
        <f t="shared" si="1"/>
        <v>5664</v>
      </c>
      <c r="J28" s="37">
        <f t="shared" si="2"/>
        <v>807.41959303999749</v>
      </c>
      <c r="K28" s="37">
        <f t="shared" si="29"/>
        <v>83934</v>
      </c>
      <c r="L28" s="37">
        <f t="shared" si="3"/>
        <v>513.13283570847966</v>
      </c>
      <c r="M28" s="1098"/>
      <c r="N28" s="422">
        <v>200</v>
      </c>
      <c r="O28" s="423"/>
      <c r="P28" s="423">
        <f t="shared" si="4"/>
        <v>125</v>
      </c>
      <c r="Q28" s="423">
        <f t="shared" si="5"/>
        <v>75</v>
      </c>
      <c r="R28" s="423">
        <f t="shared" si="30"/>
        <v>1650</v>
      </c>
      <c r="S28" s="68">
        <v>6.05</v>
      </c>
      <c r="T28" s="67">
        <v>24</v>
      </c>
      <c r="U28" s="68">
        <f t="shared" si="53"/>
        <v>72.599999999999994</v>
      </c>
      <c r="V28" s="68">
        <f t="shared" si="6"/>
        <v>10.34934012265251</v>
      </c>
      <c r="W28" s="423">
        <f t="shared" si="54"/>
        <v>1610.7839999999999</v>
      </c>
      <c r="X28" s="68">
        <f t="shared" si="7"/>
        <v>9.8475726360455536</v>
      </c>
      <c r="Y28" s="1073"/>
      <c r="Z28" s="424">
        <v>125</v>
      </c>
      <c r="AA28" s="425"/>
      <c r="AB28" s="425">
        <f t="shared" si="55"/>
        <v>125</v>
      </c>
      <c r="AC28" s="425">
        <f t="shared" si="56"/>
        <v>0</v>
      </c>
      <c r="AD28" s="425">
        <f t="shared" si="57"/>
        <v>325</v>
      </c>
      <c r="AE28" s="72">
        <v>1.98</v>
      </c>
      <c r="AF28" s="71">
        <v>12</v>
      </c>
      <c r="AG28" s="72">
        <f t="shared" si="58"/>
        <v>11.879999999999999</v>
      </c>
      <c r="AH28" s="72">
        <f t="shared" si="8"/>
        <v>1.6935283837067743</v>
      </c>
      <c r="AI28" s="425">
        <f t="shared" si="59"/>
        <v>297.17999999999995</v>
      </c>
      <c r="AJ28" s="72">
        <f t="shared" si="9"/>
        <v>1.8168181680349553</v>
      </c>
      <c r="AK28" s="1075"/>
      <c r="AL28" s="491">
        <v>17812</v>
      </c>
      <c r="AM28" s="491"/>
      <c r="AN28" s="492">
        <f t="shared" si="105"/>
        <v>17812</v>
      </c>
      <c r="AO28" s="492">
        <f t="shared" si="106"/>
        <v>0</v>
      </c>
      <c r="AP28" s="492">
        <f t="shared" si="107"/>
        <v>14811</v>
      </c>
      <c r="AQ28" s="493">
        <f t="shared" si="10"/>
        <v>90.54745907115462</v>
      </c>
      <c r="AR28" s="1078"/>
      <c r="AS28" s="413">
        <v>49235</v>
      </c>
      <c r="AT28" s="64"/>
      <c r="AU28" s="66">
        <f t="shared" si="61"/>
        <v>49235</v>
      </c>
      <c r="AV28" s="66">
        <f t="shared" si="11"/>
        <v>0</v>
      </c>
      <c r="AW28" s="412">
        <f t="shared" si="62"/>
        <v>0</v>
      </c>
      <c r="AX28" s="66">
        <f t="shared" si="63"/>
        <v>0</v>
      </c>
      <c r="AY28" s="412">
        <f t="shared" si="64"/>
        <v>0</v>
      </c>
      <c r="AZ28" s="1071"/>
      <c r="BA28" s="419">
        <v>45495</v>
      </c>
      <c r="BB28" s="419"/>
      <c r="BC28" s="407"/>
      <c r="BD28" s="419">
        <f t="shared" si="33"/>
        <v>45495</v>
      </c>
      <c r="BE28" s="419">
        <f t="shared" si="34"/>
        <v>0</v>
      </c>
      <c r="BF28" s="407">
        <f t="shared" si="65"/>
        <v>0</v>
      </c>
      <c r="BG28" s="419">
        <f t="shared" si="108"/>
        <v>0</v>
      </c>
      <c r="BH28" s="407">
        <f t="shared" si="67"/>
        <v>0</v>
      </c>
      <c r="BI28" s="407">
        <f t="shared" si="68"/>
        <v>0</v>
      </c>
      <c r="BJ28" s="1089"/>
      <c r="BK28" s="1084"/>
      <c r="BL28" s="49">
        <v>1709</v>
      </c>
      <c r="BM28" s="50"/>
      <c r="BN28" s="52">
        <f t="shared" si="69"/>
        <v>1575</v>
      </c>
      <c r="BO28" s="52">
        <f t="shared" si="12"/>
        <v>134</v>
      </c>
      <c r="BP28" s="406">
        <f t="shared" si="70"/>
        <v>0.2679335524789852</v>
      </c>
      <c r="BQ28" s="52">
        <f t="shared" si="71"/>
        <v>3725</v>
      </c>
      <c r="BR28" s="406">
        <f t="shared" si="72"/>
        <v>0.32441136754849947</v>
      </c>
      <c r="BS28" s="1047"/>
      <c r="BT28" s="409">
        <v>2183</v>
      </c>
      <c r="BU28" s="43"/>
      <c r="BV28" s="43">
        <f t="shared" si="102"/>
        <v>2150</v>
      </c>
      <c r="BW28" s="43">
        <f t="shared" si="103"/>
        <v>33</v>
      </c>
      <c r="BX28" s="42">
        <f t="shared" si="74"/>
        <v>6.598363605825755E-2</v>
      </c>
      <c r="BY28" s="43">
        <f t="shared" si="104"/>
        <v>1237</v>
      </c>
      <c r="BZ28" s="42">
        <f t="shared" si="76"/>
        <v>0.10773070111610573</v>
      </c>
      <c r="CA28" s="1058"/>
      <c r="CB28" s="392">
        <v>1955</v>
      </c>
      <c r="CC28" s="298"/>
      <c r="CD28" s="298">
        <f t="shared" si="35"/>
        <v>1725</v>
      </c>
      <c r="CE28" s="298">
        <f t="shared" si="14"/>
        <v>230</v>
      </c>
      <c r="CF28" s="297">
        <f t="shared" si="77"/>
        <v>0.45988594828482537</v>
      </c>
      <c r="CG28" s="298">
        <f t="shared" si="78"/>
        <v>16675</v>
      </c>
      <c r="CH28" s="297">
        <f t="shared" si="79"/>
        <v>1.4522307527171086</v>
      </c>
      <c r="CI28" s="1061"/>
      <c r="CJ28" s="651"/>
      <c r="CK28" s="651"/>
      <c r="CL28" s="651"/>
      <c r="CM28" s="651"/>
      <c r="CN28" s="651"/>
      <c r="CO28" s="464">
        <v>0</v>
      </c>
      <c r="CP28" s="465"/>
      <c r="CQ28" s="465">
        <f t="shared" si="36"/>
        <v>0</v>
      </c>
      <c r="CR28" s="465">
        <f t="shared" si="15"/>
        <v>0</v>
      </c>
      <c r="CS28" s="486">
        <f t="shared" si="80"/>
        <v>0</v>
      </c>
      <c r="CT28" s="465">
        <f t="shared" si="81"/>
        <v>120</v>
      </c>
      <c r="CU28" s="486">
        <f t="shared" si="82"/>
        <v>1.0450836001562399E-2</v>
      </c>
      <c r="CV28" s="1069"/>
      <c r="CW28" s="427">
        <v>5</v>
      </c>
      <c r="CX28" s="427"/>
      <c r="CY28" s="427">
        <f t="shared" si="83"/>
        <v>5</v>
      </c>
      <c r="CZ28" s="427">
        <f t="shared" si="84"/>
        <v>0</v>
      </c>
      <c r="DA28" s="607">
        <f t="shared" si="85"/>
        <v>0</v>
      </c>
      <c r="DB28" s="607">
        <f t="shared" si="86"/>
        <v>0</v>
      </c>
      <c r="DC28" s="607">
        <f t="shared" si="87"/>
        <v>0</v>
      </c>
      <c r="DD28" s="607"/>
      <c r="DE28" s="471">
        <v>5.6</v>
      </c>
      <c r="DF28" s="473"/>
      <c r="DG28" s="473">
        <f t="shared" si="37"/>
        <v>5.6</v>
      </c>
      <c r="DH28" s="473">
        <f t="shared" si="16"/>
        <v>0</v>
      </c>
      <c r="DI28" s="227">
        <f t="shared" si="88"/>
        <v>0</v>
      </c>
      <c r="DJ28" s="473">
        <f t="shared" si="89"/>
        <v>5.6</v>
      </c>
      <c r="DK28" s="227">
        <f t="shared" si="90"/>
        <v>4.87705680072912E-4</v>
      </c>
      <c r="DL28" s="1038"/>
      <c r="DM28" s="63">
        <v>1280</v>
      </c>
      <c r="DN28" s="64"/>
      <c r="DO28" s="66">
        <f t="shared" si="91"/>
        <v>1060</v>
      </c>
      <c r="DP28" s="66">
        <f t="shared" si="17"/>
        <v>220</v>
      </c>
      <c r="DQ28" s="412">
        <f t="shared" si="92"/>
        <v>0.43989090705505035</v>
      </c>
      <c r="DR28" s="66">
        <f t="shared" si="93"/>
        <v>3940</v>
      </c>
      <c r="DS28" s="412">
        <f t="shared" si="94"/>
        <v>0.3431357820512988</v>
      </c>
      <c r="DT28" s="1071"/>
      <c r="DU28" s="596">
        <v>400</v>
      </c>
      <c r="DV28" s="596"/>
      <c r="DW28" s="596">
        <f t="shared" si="38"/>
        <v>400</v>
      </c>
      <c r="DX28" s="596">
        <f t="shared" si="18"/>
        <v>0</v>
      </c>
      <c r="DY28" s="592">
        <f t="shared" si="95"/>
        <v>0</v>
      </c>
      <c r="DZ28" s="596">
        <f t="shared" si="96"/>
        <v>0</v>
      </c>
      <c r="EA28" s="592">
        <f t="shared" si="97"/>
        <v>0</v>
      </c>
      <c r="EB28" s="1041"/>
      <c r="EC28" s="448">
        <v>205</v>
      </c>
      <c r="ED28" s="449"/>
      <c r="EE28" s="449">
        <f t="shared" si="39"/>
        <v>205</v>
      </c>
      <c r="EF28" s="449">
        <f t="shared" si="19"/>
        <v>0</v>
      </c>
      <c r="EG28" s="450">
        <f t="shared" si="98"/>
        <v>0</v>
      </c>
      <c r="EH28" s="449">
        <f t="shared" si="99"/>
        <v>110</v>
      </c>
      <c r="EI28" s="450">
        <f t="shared" si="100"/>
        <v>9.5799330014322004E-3</v>
      </c>
      <c r="EJ28" s="1035"/>
      <c r="EK28" s="426">
        <v>2938</v>
      </c>
      <c r="EL28" s="427"/>
      <c r="EM28" s="427">
        <f t="shared" si="40"/>
        <v>2700</v>
      </c>
      <c r="EN28" s="427">
        <f t="shared" si="20"/>
        <v>238</v>
      </c>
      <c r="EO28" s="427">
        <f t="shared" si="41"/>
        <v>7572</v>
      </c>
      <c r="EP28" s="456">
        <v>84</v>
      </c>
      <c r="EQ28" s="457"/>
      <c r="ER28" s="457">
        <f t="shared" si="42"/>
        <v>84</v>
      </c>
      <c r="ES28" s="457">
        <f t="shared" si="21"/>
        <v>0</v>
      </c>
      <c r="ET28" s="457">
        <f t="shared" si="43"/>
        <v>70</v>
      </c>
      <c r="EU28" s="409">
        <v>40</v>
      </c>
      <c r="EV28" s="43"/>
      <c r="EW28" s="43">
        <f t="shared" si="44"/>
        <v>20</v>
      </c>
      <c r="EX28" s="43">
        <f t="shared" si="22"/>
        <v>20</v>
      </c>
      <c r="EY28" s="43">
        <f t="shared" si="45"/>
        <v>120</v>
      </c>
      <c r="EZ28" s="436">
        <v>100</v>
      </c>
      <c r="FA28" s="437"/>
      <c r="FB28" s="437">
        <f t="shared" si="46"/>
        <v>100</v>
      </c>
      <c r="FC28" s="437">
        <f t="shared" si="23"/>
        <v>0</v>
      </c>
      <c r="FD28" s="437">
        <f t="shared" si="47"/>
        <v>190</v>
      </c>
      <c r="FE28" s="442">
        <v>200</v>
      </c>
      <c r="FF28" s="443"/>
      <c r="FG28" s="443">
        <f t="shared" si="48"/>
        <v>200</v>
      </c>
      <c r="FH28" s="443">
        <f t="shared" si="24"/>
        <v>0</v>
      </c>
      <c r="FI28" s="443">
        <f t="shared" si="49"/>
        <v>200</v>
      </c>
      <c r="FJ28" s="392">
        <v>0</v>
      </c>
      <c r="FK28" s="298"/>
      <c r="FL28" s="298">
        <f t="shared" si="50"/>
        <v>0</v>
      </c>
      <c r="FM28" s="298">
        <f t="shared" si="25"/>
        <v>0</v>
      </c>
      <c r="FN28" s="498">
        <f t="shared" si="51"/>
        <v>900</v>
      </c>
      <c r="HC28" s="402"/>
      <c r="HD28" s="52"/>
      <c r="HE28" s="52">
        <f t="shared" si="52"/>
        <v>0</v>
      </c>
      <c r="HF28" s="52">
        <f t="shared" si="26"/>
        <v>0</v>
      </c>
      <c r="HG28" s="51"/>
      <c r="HH28" s="52">
        <f t="shared" si="101"/>
        <v>400</v>
      </c>
      <c r="HI28" s="51"/>
      <c r="HJ28" s="1047"/>
    </row>
    <row r="29" spans="1:218" ht="15" customHeight="1">
      <c r="A29" s="30">
        <v>44692</v>
      </c>
      <c r="B29" s="390">
        <v>381277</v>
      </c>
      <c r="C29" s="18">
        <f t="shared" si="27"/>
        <v>11863612</v>
      </c>
      <c r="D29" s="376">
        <v>5434.86</v>
      </c>
      <c r="E29" s="417">
        <f t="shared" si="109"/>
        <v>169006.53999999998</v>
      </c>
      <c r="F29" s="397">
        <v>25193</v>
      </c>
      <c r="G29" s="37"/>
      <c r="H29" s="37">
        <f t="shared" si="0"/>
        <v>25008</v>
      </c>
      <c r="I29" s="37">
        <f t="shared" si="1"/>
        <v>185</v>
      </c>
      <c r="J29" s="37">
        <f t="shared" si="2"/>
        <v>34.039515277302456</v>
      </c>
      <c r="K29" s="37">
        <f t="shared" si="29"/>
        <v>84119</v>
      </c>
      <c r="L29" s="37">
        <f t="shared" si="3"/>
        <v>497.72630100586645</v>
      </c>
      <c r="M29" s="1098"/>
      <c r="N29" s="422">
        <v>125</v>
      </c>
      <c r="O29" s="423"/>
      <c r="P29" s="423">
        <f t="shared" si="4"/>
        <v>75</v>
      </c>
      <c r="Q29" s="423">
        <f t="shared" si="5"/>
        <v>50</v>
      </c>
      <c r="R29" s="423">
        <f t="shared" si="30"/>
        <v>1700</v>
      </c>
      <c r="S29" s="68">
        <v>4.71</v>
      </c>
      <c r="T29" s="67">
        <v>24</v>
      </c>
      <c r="U29" s="68">
        <f t="shared" si="53"/>
        <v>56.519999999999996</v>
      </c>
      <c r="V29" s="68">
        <f t="shared" si="6"/>
        <v>10.399531910665591</v>
      </c>
      <c r="W29" s="423">
        <f t="shared" si="54"/>
        <v>1667.3039999999999</v>
      </c>
      <c r="X29" s="68">
        <f t="shared" si="7"/>
        <v>9.8653223715484621</v>
      </c>
      <c r="Y29" s="1073"/>
      <c r="Z29" s="424">
        <v>125</v>
      </c>
      <c r="AA29" s="425"/>
      <c r="AB29" s="425">
        <f t="shared" si="55"/>
        <v>125</v>
      </c>
      <c r="AC29" s="425">
        <f t="shared" si="56"/>
        <v>0</v>
      </c>
      <c r="AD29" s="425">
        <f t="shared" si="57"/>
        <v>325</v>
      </c>
      <c r="AE29" s="72">
        <v>1.87</v>
      </c>
      <c r="AF29" s="71">
        <v>12</v>
      </c>
      <c r="AG29" s="72">
        <f t="shared" si="58"/>
        <v>11.22</v>
      </c>
      <c r="AH29" s="72">
        <f t="shared" si="8"/>
        <v>2.0644506022234244</v>
      </c>
      <c r="AI29" s="425">
        <f t="shared" si="59"/>
        <v>308.39999999999998</v>
      </c>
      <c r="AJ29" s="72">
        <f t="shared" si="9"/>
        <v>1.8247814552028581</v>
      </c>
      <c r="AK29" s="1075"/>
      <c r="AL29" s="491">
        <v>17812</v>
      </c>
      <c r="AM29" s="491"/>
      <c r="AN29" s="492">
        <f t="shared" si="105"/>
        <v>17812</v>
      </c>
      <c r="AO29" s="492">
        <f t="shared" si="106"/>
        <v>0</v>
      </c>
      <c r="AP29" s="492">
        <f t="shared" si="107"/>
        <v>14811</v>
      </c>
      <c r="AQ29" s="493">
        <f t="shared" si="10"/>
        <v>87.635661909888228</v>
      </c>
      <c r="AR29" s="1078"/>
      <c r="AS29" s="413">
        <v>49235</v>
      </c>
      <c r="AT29" s="64"/>
      <c r="AU29" s="66">
        <f t="shared" si="61"/>
        <v>49235</v>
      </c>
      <c r="AV29" s="66">
        <f t="shared" si="11"/>
        <v>0</v>
      </c>
      <c r="AW29" s="412">
        <f t="shared" si="62"/>
        <v>0</v>
      </c>
      <c r="AX29" s="66">
        <f t="shared" si="63"/>
        <v>0</v>
      </c>
      <c r="AY29" s="412">
        <f t="shared" si="64"/>
        <v>0</v>
      </c>
      <c r="AZ29" s="1071"/>
      <c r="BA29" s="419">
        <v>45495</v>
      </c>
      <c r="BB29" s="419"/>
      <c r="BC29" s="407"/>
      <c r="BD29" s="419">
        <f t="shared" si="33"/>
        <v>45495</v>
      </c>
      <c r="BE29" s="419">
        <f t="shared" si="34"/>
        <v>0</v>
      </c>
      <c r="BF29" s="407">
        <f t="shared" si="65"/>
        <v>0</v>
      </c>
      <c r="BG29" s="419">
        <f t="shared" si="108"/>
        <v>0</v>
      </c>
      <c r="BH29" s="407">
        <f t="shared" si="67"/>
        <v>0</v>
      </c>
      <c r="BI29" s="407">
        <f t="shared" si="68"/>
        <v>0</v>
      </c>
      <c r="BJ29" s="1089"/>
      <c r="BK29" s="1084"/>
      <c r="BL29" s="49">
        <v>1575</v>
      </c>
      <c r="BM29" s="50"/>
      <c r="BN29" s="52">
        <f t="shared" si="69"/>
        <v>1273</v>
      </c>
      <c r="BO29" s="52">
        <f t="shared" si="12"/>
        <v>302</v>
      </c>
      <c r="BP29" s="406">
        <f t="shared" si="70"/>
        <v>0.79207505304542369</v>
      </c>
      <c r="BQ29" s="52">
        <f t="shared" si="71"/>
        <v>4027</v>
      </c>
      <c r="BR29" s="406">
        <f t="shared" si="72"/>
        <v>0.33944131011702</v>
      </c>
      <c r="BS29" s="1047"/>
      <c r="BT29" s="409">
        <v>2150</v>
      </c>
      <c r="BU29" s="43"/>
      <c r="BV29" s="43">
        <f t="shared" si="102"/>
        <v>2128</v>
      </c>
      <c r="BW29" s="43">
        <f t="shared" si="103"/>
        <v>22</v>
      </c>
      <c r="BX29" s="42">
        <f t="shared" si="74"/>
        <v>5.77008316788057E-2</v>
      </c>
      <c r="BY29" s="43">
        <f t="shared" si="104"/>
        <v>1259</v>
      </c>
      <c r="BZ29" s="42">
        <f t="shared" si="76"/>
        <v>0.10612282330204326</v>
      </c>
      <c r="CA29" s="1058"/>
      <c r="CB29" s="392">
        <v>1725</v>
      </c>
      <c r="CC29" s="298"/>
      <c r="CD29" s="298">
        <f t="shared" si="35"/>
        <v>1472</v>
      </c>
      <c r="CE29" s="298">
        <f t="shared" si="14"/>
        <v>253</v>
      </c>
      <c r="CF29" s="297">
        <f t="shared" si="77"/>
        <v>0.6635595643062655</v>
      </c>
      <c r="CG29" s="298">
        <f t="shared" si="78"/>
        <v>16928</v>
      </c>
      <c r="CH29" s="297">
        <f t="shared" si="79"/>
        <v>1.4268841563598</v>
      </c>
      <c r="CI29" s="1061"/>
      <c r="CJ29" s="651"/>
      <c r="CK29" s="651"/>
      <c r="CL29" s="651"/>
      <c r="CM29" s="651"/>
      <c r="CN29" s="651"/>
      <c r="CO29" s="464">
        <v>0</v>
      </c>
      <c r="CP29" s="465"/>
      <c r="CQ29" s="465">
        <f t="shared" si="36"/>
        <v>0</v>
      </c>
      <c r="CR29" s="465">
        <f t="shared" si="15"/>
        <v>0</v>
      </c>
      <c r="CS29" s="486">
        <f t="shared" si="80"/>
        <v>0</v>
      </c>
      <c r="CT29" s="465">
        <f t="shared" si="81"/>
        <v>120</v>
      </c>
      <c r="CU29" s="486">
        <f t="shared" si="82"/>
        <v>1.0114963301227317E-2</v>
      </c>
      <c r="CV29" s="1069"/>
      <c r="CW29" s="427">
        <v>5</v>
      </c>
      <c r="CX29" s="427"/>
      <c r="CY29" s="427">
        <f t="shared" si="83"/>
        <v>5</v>
      </c>
      <c r="CZ29" s="427">
        <f t="shared" si="84"/>
        <v>0</v>
      </c>
      <c r="DA29" s="607">
        <f t="shared" si="85"/>
        <v>0</v>
      </c>
      <c r="DB29" s="607">
        <f t="shared" si="86"/>
        <v>0</v>
      </c>
      <c r="DC29" s="607">
        <f t="shared" si="87"/>
        <v>0</v>
      </c>
      <c r="DD29" s="607"/>
      <c r="DE29" s="471">
        <v>5.6</v>
      </c>
      <c r="DF29" s="473"/>
      <c r="DG29" s="473">
        <f t="shared" si="37"/>
        <v>5.6</v>
      </c>
      <c r="DH29" s="473">
        <f t="shared" si="16"/>
        <v>0</v>
      </c>
      <c r="DI29" s="227">
        <f t="shared" si="88"/>
        <v>0</v>
      </c>
      <c r="DJ29" s="473">
        <f t="shared" si="89"/>
        <v>5.6</v>
      </c>
      <c r="DK29" s="227">
        <f t="shared" si="90"/>
        <v>4.7203162072394141E-4</v>
      </c>
      <c r="DL29" s="1038"/>
      <c r="DM29" s="63">
        <v>1060</v>
      </c>
      <c r="DN29" s="64"/>
      <c r="DO29" s="66">
        <f t="shared" si="91"/>
        <v>950</v>
      </c>
      <c r="DP29" s="66">
        <f t="shared" si="17"/>
        <v>110</v>
      </c>
      <c r="DQ29" s="412">
        <f t="shared" si="92"/>
        <v>0.28850415839402849</v>
      </c>
      <c r="DR29" s="66">
        <f t="shared" si="93"/>
        <v>4050</v>
      </c>
      <c r="DS29" s="412">
        <f t="shared" si="94"/>
        <v>0.34138001141642194</v>
      </c>
      <c r="DT29" s="1071"/>
      <c r="DU29" s="596">
        <v>400</v>
      </c>
      <c r="DV29" s="596"/>
      <c r="DW29" s="596">
        <f t="shared" si="38"/>
        <v>400</v>
      </c>
      <c r="DX29" s="596">
        <f t="shared" si="18"/>
        <v>0</v>
      </c>
      <c r="DY29" s="592">
        <f t="shared" si="95"/>
        <v>0</v>
      </c>
      <c r="DZ29" s="596">
        <f t="shared" si="96"/>
        <v>0</v>
      </c>
      <c r="EA29" s="592">
        <f t="shared" si="97"/>
        <v>0</v>
      </c>
      <c r="EB29" s="1041"/>
      <c r="EC29" s="448">
        <v>205</v>
      </c>
      <c r="ED29" s="449"/>
      <c r="EE29" s="449">
        <f t="shared" si="39"/>
        <v>205</v>
      </c>
      <c r="EF29" s="449">
        <f t="shared" si="19"/>
        <v>0</v>
      </c>
      <c r="EG29" s="450">
        <f t="shared" si="98"/>
        <v>0</v>
      </c>
      <c r="EH29" s="449">
        <f t="shared" si="99"/>
        <v>110</v>
      </c>
      <c r="EI29" s="450">
        <f t="shared" si="100"/>
        <v>9.2720496927917069E-3</v>
      </c>
      <c r="EJ29" s="1035"/>
      <c r="EK29" s="426">
        <v>2700</v>
      </c>
      <c r="EL29" s="427"/>
      <c r="EM29" s="427">
        <f t="shared" si="40"/>
        <v>2580</v>
      </c>
      <c r="EN29" s="427">
        <f t="shared" si="20"/>
        <v>120</v>
      </c>
      <c r="EO29" s="427">
        <f t="shared" si="41"/>
        <v>7692</v>
      </c>
      <c r="EP29" s="456">
        <v>84</v>
      </c>
      <c r="EQ29" s="457"/>
      <c r="ER29" s="457">
        <f t="shared" si="42"/>
        <v>84</v>
      </c>
      <c r="ES29" s="457">
        <f t="shared" si="21"/>
        <v>0</v>
      </c>
      <c r="ET29" s="457">
        <f t="shared" si="43"/>
        <v>70</v>
      </c>
      <c r="EU29" s="409">
        <v>20</v>
      </c>
      <c r="EV29" s="43"/>
      <c r="EW29" s="43">
        <f t="shared" si="44"/>
        <v>20</v>
      </c>
      <c r="EX29" s="43">
        <f t="shared" si="22"/>
        <v>0</v>
      </c>
      <c r="EY29" s="43">
        <f t="shared" si="45"/>
        <v>120</v>
      </c>
      <c r="EZ29" s="436">
        <v>100</v>
      </c>
      <c r="FA29" s="437"/>
      <c r="FB29" s="437">
        <f t="shared" si="46"/>
        <v>50</v>
      </c>
      <c r="FC29" s="437">
        <f t="shared" si="23"/>
        <v>50</v>
      </c>
      <c r="FD29" s="437">
        <f t="shared" si="47"/>
        <v>240</v>
      </c>
      <c r="FE29" s="442">
        <v>200</v>
      </c>
      <c r="FF29" s="443"/>
      <c r="FG29" s="443">
        <f t="shared" si="48"/>
        <v>200</v>
      </c>
      <c r="FH29" s="443">
        <f t="shared" si="24"/>
        <v>0</v>
      </c>
      <c r="FI29" s="443">
        <f t="shared" si="49"/>
        <v>200</v>
      </c>
      <c r="FJ29" s="392">
        <v>0</v>
      </c>
      <c r="FK29" s="298"/>
      <c r="FL29" s="298">
        <f t="shared" si="50"/>
        <v>0</v>
      </c>
      <c r="FM29" s="298">
        <f t="shared" si="25"/>
        <v>0</v>
      </c>
      <c r="FN29" s="498">
        <f t="shared" si="51"/>
        <v>900</v>
      </c>
      <c r="HC29" s="402"/>
      <c r="HD29" s="52"/>
      <c r="HE29" s="52">
        <f t="shared" si="52"/>
        <v>0</v>
      </c>
      <c r="HF29" s="52">
        <f t="shared" si="26"/>
        <v>0</v>
      </c>
      <c r="HG29" s="51"/>
      <c r="HH29" s="52">
        <f t="shared" si="101"/>
        <v>400</v>
      </c>
      <c r="HI29" s="51"/>
      <c r="HJ29" s="1047"/>
    </row>
    <row r="30" spans="1:218" ht="15" customHeight="1">
      <c r="A30" s="30">
        <v>44693</v>
      </c>
      <c r="B30" s="390">
        <v>472957</v>
      </c>
      <c r="C30" s="18">
        <f t="shared" si="27"/>
        <v>12336569</v>
      </c>
      <c r="D30" s="376">
        <v>6917.54</v>
      </c>
      <c r="E30" s="417">
        <f t="shared" si="109"/>
        <v>175924.08</v>
      </c>
      <c r="F30" s="397">
        <v>25008</v>
      </c>
      <c r="G30" s="37"/>
      <c r="H30" s="37">
        <f t="shared" si="0"/>
        <v>22698</v>
      </c>
      <c r="I30" s="37">
        <f t="shared" si="1"/>
        <v>2310</v>
      </c>
      <c r="J30" s="37">
        <f t="shared" si="2"/>
        <v>333.9337394507296</v>
      </c>
      <c r="K30" s="37">
        <f t="shared" si="29"/>
        <v>86429</v>
      </c>
      <c r="L30" s="37">
        <f t="shared" si="3"/>
        <v>491.2857864597047</v>
      </c>
      <c r="M30" s="1098"/>
      <c r="N30" s="422">
        <v>75</v>
      </c>
      <c r="O30" s="423">
        <v>175</v>
      </c>
      <c r="P30" s="423">
        <f t="shared" si="4"/>
        <v>175</v>
      </c>
      <c r="Q30" s="423">
        <f t="shared" si="5"/>
        <v>75</v>
      </c>
      <c r="R30" s="423">
        <f t="shared" si="30"/>
        <v>1775</v>
      </c>
      <c r="S30" s="68">
        <v>5.53</v>
      </c>
      <c r="T30" s="67">
        <v>24</v>
      </c>
      <c r="U30" s="68">
        <f t="shared" si="53"/>
        <v>66.36</v>
      </c>
      <c r="V30" s="68">
        <f t="shared" si="6"/>
        <v>9.5930056060391404</v>
      </c>
      <c r="W30" s="423">
        <f t="shared" si="54"/>
        <v>1733.6639999999998</v>
      </c>
      <c r="X30" s="68">
        <f t="shared" si="7"/>
        <v>9.854614558734653</v>
      </c>
      <c r="Y30" s="1073"/>
      <c r="Z30" s="424">
        <v>125</v>
      </c>
      <c r="AA30" s="425">
        <v>125</v>
      </c>
      <c r="AB30" s="425">
        <f t="shared" si="55"/>
        <v>200</v>
      </c>
      <c r="AC30" s="425">
        <f t="shared" si="56"/>
        <v>50</v>
      </c>
      <c r="AD30" s="425">
        <f t="shared" si="57"/>
        <v>375</v>
      </c>
      <c r="AE30" s="72">
        <v>1.57</v>
      </c>
      <c r="AF30" s="71">
        <v>12</v>
      </c>
      <c r="AG30" s="72">
        <f t="shared" si="58"/>
        <v>9.42</v>
      </c>
      <c r="AH30" s="72">
        <f t="shared" si="8"/>
        <v>1.361755768669209</v>
      </c>
      <c r="AI30" s="425">
        <f t="shared" si="59"/>
        <v>317.82</v>
      </c>
      <c r="AJ30" s="72">
        <f t="shared" si="9"/>
        <v>1.8065747451969054</v>
      </c>
      <c r="AK30" s="1075"/>
      <c r="AL30" s="491">
        <v>17812</v>
      </c>
      <c r="AM30" s="491"/>
      <c r="AN30" s="492">
        <f t="shared" si="105"/>
        <v>17812</v>
      </c>
      <c r="AO30" s="492">
        <f t="shared" si="106"/>
        <v>0</v>
      </c>
      <c r="AP30" s="492">
        <f t="shared" si="107"/>
        <v>14811</v>
      </c>
      <c r="AQ30" s="493">
        <f t="shared" si="10"/>
        <v>84.189725477035324</v>
      </c>
      <c r="AR30" s="1078"/>
      <c r="AS30" s="413">
        <v>49235</v>
      </c>
      <c r="AT30" s="64"/>
      <c r="AU30" s="66">
        <f t="shared" si="61"/>
        <v>49235</v>
      </c>
      <c r="AV30" s="66">
        <f t="shared" si="11"/>
        <v>0</v>
      </c>
      <c r="AW30" s="412">
        <f t="shared" si="62"/>
        <v>0</v>
      </c>
      <c r="AX30" s="66">
        <f t="shared" si="63"/>
        <v>0</v>
      </c>
      <c r="AY30" s="412">
        <f t="shared" si="64"/>
        <v>0</v>
      </c>
      <c r="AZ30" s="1071"/>
      <c r="BA30" s="419">
        <v>45495</v>
      </c>
      <c r="BB30" s="419"/>
      <c r="BC30" s="407"/>
      <c r="BD30" s="419">
        <f t="shared" si="33"/>
        <v>45495</v>
      </c>
      <c r="BE30" s="419">
        <f t="shared" si="34"/>
        <v>0</v>
      </c>
      <c r="BF30" s="407">
        <f t="shared" si="65"/>
        <v>0</v>
      </c>
      <c r="BG30" s="419">
        <f t="shared" si="108"/>
        <v>0</v>
      </c>
      <c r="BH30" s="407">
        <f t="shared" si="67"/>
        <v>0</v>
      </c>
      <c r="BI30" s="407">
        <f t="shared" si="68"/>
        <v>0</v>
      </c>
      <c r="BJ30" s="1089"/>
      <c r="BK30" s="1084"/>
      <c r="BL30" s="49">
        <v>1273</v>
      </c>
      <c r="BM30" s="50"/>
      <c r="BN30" s="52">
        <f t="shared" si="69"/>
        <v>925</v>
      </c>
      <c r="BO30" s="52">
        <f t="shared" si="12"/>
        <v>348</v>
      </c>
      <c r="BP30" s="406">
        <f t="shared" si="70"/>
        <v>0.73579627746285603</v>
      </c>
      <c r="BQ30" s="52">
        <f t="shared" si="71"/>
        <v>4375</v>
      </c>
      <c r="BR30" s="406">
        <f t="shared" si="72"/>
        <v>0.3546366903147869</v>
      </c>
      <c r="BS30" s="1047"/>
      <c r="BT30" s="409">
        <v>2128</v>
      </c>
      <c r="BU30" s="43"/>
      <c r="BV30" s="43">
        <f t="shared" si="102"/>
        <v>2084</v>
      </c>
      <c r="BW30" s="43">
        <f t="shared" si="103"/>
        <v>44</v>
      </c>
      <c r="BX30" s="42">
        <f t="shared" si="74"/>
        <v>9.3031713242430078E-2</v>
      </c>
      <c r="BY30" s="43">
        <f t="shared" si="104"/>
        <v>1303</v>
      </c>
      <c r="BZ30" s="42">
        <f t="shared" si="76"/>
        <v>0.10562093885260967</v>
      </c>
      <c r="CA30" s="1058"/>
      <c r="CB30" s="392">
        <v>1472</v>
      </c>
      <c r="CC30" s="298"/>
      <c r="CD30" s="298">
        <f t="shared" si="35"/>
        <v>1150</v>
      </c>
      <c r="CE30" s="298">
        <f t="shared" si="14"/>
        <v>322</v>
      </c>
      <c r="CF30" s="297">
        <f t="shared" si="77"/>
        <v>0.68082299236505639</v>
      </c>
      <c r="CG30" s="298">
        <f t="shared" si="78"/>
        <v>17250</v>
      </c>
      <c r="CH30" s="297">
        <f t="shared" si="79"/>
        <v>1.3982818075268739</v>
      </c>
      <c r="CI30" s="1061"/>
      <c r="CJ30" s="651"/>
      <c r="CK30" s="651"/>
      <c r="CL30" s="651"/>
      <c r="CM30" s="651"/>
      <c r="CN30" s="651"/>
      <c r="CO30" s="464">
        <v>0</v>
      </c>
      <c r="CP30" s="465"/>
      <c r="CQ30" s="465">
        <f t="shared" si="36"/>
        <v>0</v>
      </c>
      <c r="CR30" s="465">
        <f t="shared" si="15"/>
        <v>0</v>
      </c>
      <c r="CS30" s="486">
        <f t="shared" si="80"/>
        <v>0</v>
      </c>
      <c r="CT30" s="465">
        <f t="shared" si="81"/>
        <v>120</v>
      </c>
      <c r="CU30" s="486">
        <f t="shared" si="82"/>
        <v>9.7271777914912979E-3</v>
      </c>
      <c r="CV30" s="1069"/>
      <c r="CW30" s="427">
        <v>5</v>
      </c>
      <c r="CX30" s="427"/>
      <c r="CY30" s="427">
        <f t="shared" si="83"/>
        <v>5</v>
      </c>
      <c r="CZ30" s="427">
        <f t="shared" si="84"/>
        <v>0</v>
      </c>
      <c r="DA30" s="607">
        <f t="shared" si="85"/>
        <v>0</v>
      </c>
      <c r="DB30" s="607">
        <f t="shared" si="86"/>
        <v>0</v>
      </c>
      <c r="DC30" s="607">
        <f t="shared" si="87"/>
        <v>0</v>
      </c>
      <c r="DD30" s="607"/>
      <c r="DE30" s="471">
        <v>5.6</v>
      </c>
      <c r="DF30" s="473"/>
      <c r="DG30" s="473">
        <f t="shared" si="37"/>
        <v>5.6</v>
      </c>
      <c r="DH30" s="473">
        <f t="shared" si="16"/>
        <v>0</v>
      </c>
      <c r="DI30" s="227">
        <f t="shared" si="88"/>
        <v>0</v>
      </c>
      <c r="DJ30" s="473">
        <f t="shared" si="89"/>
        <v>5.6</v>
      </c>
      <c r="DK30" s="227">
        <f t="shared" si="90"/>
        <v>4.5393496360292718E-4</v>
      </c>
      <c r="DL30" s="1038"/>
      <c r="DM30" s="63">
        <v>950</v>
      </c>
      <c r="DN30" s="64"/>
      <c r="DO30" s="66">
        <f t="shared" si="91"/>
        <v>850</v>
      </c>
      <c r="DP30" s="66">
        <f t="shared" si="17"/>
        <v>100</v>
      </c>
      <c r="DQ30" s="412">
        <f t="shared" si="92"/>
        <v>0.2114357119146138</v>
      </c>
      <c r="DR30" s="66">
        <f t="shared" si="93"/>
        <v>4150</v>
      </c>
      <c r="DS30" s="412">
        <f t="shared" si="94"/>
        <v>0.3363982319557407</v>
      </c>
      <c r="DT30" s="1071"/>
      <c r="DU30" s="596">
        <v>400</v>
      </c>
      <c r="DV30" s="596"/>
      <c r="DW30" s="596">
        <f t="shared" si="38"/>
        <v>400</v>
      </c>
      <c r="DX30" s="596">
        <f t="shared" si="18"/>
        <v>0</v>
      </c>
      <c r="DY30" s="592">
        <f t="shared" si="95"/>
        <v>0</v>
      </c>
      <c r="DZ30" s="596">
        <f t="shared" si="96"/>
        <v>0</v>
      </c>
      <c r="EA30" s="592">
        <f t="shared" si="97"/>
        <v>0</v>
      </c>
      <c r="EB30" s="1041"/>
      <c r="EC30" s="448">
        <v>205</v>
      </c>
      <c r="ED30" s="449"/>
      <c r="EE30" s="449">
        <f t="shared" si="39"/>
        <v>205</v>
      </c>
      <c r="EF30" s="449">
        <f t="shared" si="19"/>
        <v>0</v>
      </c>
      <c r="EG30" s="450">
        <f t="shared" si="98"/>
        <v>0</v>
      </c>
      <c r="EH30" s="449">
        <f t="shared" si="99"/>
        <v>110</v>
      </c>
      <c r="EI30" s="450">
        <f t="shared" si="100"/>
        <v>8.9165796422003563E-3</v>
      </c>
      <c r="EJ30" s="1035"/>
      <c r="EK30" s="426">
        <v>2580</v>
      </c>
      <c r="EL30" s="427"/>
      <c r="EM30" s="427">
        <f t="shared" si="40"/>
        <v>2280</v>
      </c>
      <c r="EN30" s="427">
        <f t="shared" si="20"/>
        <v>300</v>
      </c>
      <c r="EO30" s="427">
        <f t="shared" si="41"/>
        <v>7992</v>
      </c>
      <c r="EP30" s="456">
        <v>84</v>
      </c>
      <c r="EQ30" s="457"/>
      <c r="ER30" s="457">
        <f t="shared" si="42"/>
        <v>84</v>
      </c>
      <c r="ES30" s="457">
        <f t="shared" si="21"/>
        <v>0</v>
      </c>
      <c r="ET30" s="457">
        <f t="shared" si="43"/>
        <v>70</v>
      </c>
      <c r="EU30" s="409">
        <v>20</v>
      </c>
      <c r="EV30" s="43">
        <v>20</v>
      </c>
      <c r="EW30" s="43">
        <f t="shared" si="44"/>
        <v>40</v>
      </c>
      <c r="EX30" s="43">
        <f t="shared" si="22"/>
        <v>0</v>
      </c>
      <c r="EY30" s="43">
        <f t="shared" si="45"/>
        <v>120</v>
      </c>
      <c r="EZ30" s="436">
        <v>50</v>
      </c>
      <c r="FA30" s="437">
        <v>50</v>
      </c>
      <c r="FB30" s="437">
        <f t="shared" si="46"/>
        <v>100</v>
      </c>
      <c r="FC30" s="437">
        <f t="shared" si="23"/>
        <v>0</v>
      </c>
      <c r="FD30" s="437">
        <f t="shared" si="47"/>
        <v>240</v>
      </c>
      <c r="FE30" s="442">
        <v>200</v>
      </c>
      <c r="FF30" s="443"/>
      <c r="FG30" s="443">
        <f t="shared" si="48"/>
        <v>200</v>
      </c>
      <c r="FH30" s="443">
        <f t="shared" si="24"/>
        <v>0</v>
      </c>
      <c r="FI30" s="443">
        <f t="shared" si="49"/>
        <v>200</v>
      </c>
      <c r="FJ30" s="392">
        <v>0</v>
      </c>
      <c r="FK30" s="298"/>
      <c r="FL30" s="298">
        <f t="shared" si="50"/>
        <v>0</v>
      </c>
      <c r="FM30" s="298">
        <f t="shared" si="25"/>
        <v>0</v>
      </c>
      <c r="FN30" s="498">
        <f t="shared" si="51"/>
        <v>900</v>
      </c>
      <c r="HC30" s="402"/>
      <c r="HD30" s="52"/>
      <c r="HE30" s="52">
        <f t="shared" si="52"/>
        <v>0</v>
      </c>
      <c r="HF30" s="52">
        <f t="shared" si="26"/>
        <v>0</v>
      </c>
      <c r="HG30" s="51"/>
      <c r="HH30" s="52">
        <f t="shared" si="101"/>
        <v>400</v>
      </c>
      <c r="HI30" s="51"/>
      <c r="HJ30" s="1047"/>
    </row>
    <row r="31" spans="1:218" ht="15" customHeight="1">
      <c r="A31" s="30">
        <v>44694</v>
      </c>
      <c r="B31" s="390">
        <v>481021</v>
      </c>
      <c r="C31" s="18">
        <f t="shared" si="27"/>
        <v>12817590</v>
      </c>
      <c r="D31" s="376">
        <v>6194.62</v>
      </c>
      <c r="E31" s="417">
        <f t="shared" si="109"/>
        <v>182118.69999999998</v>
      </c>
      <c r="F31" s="397">
        <v>22698</v>
      </c>
      <c r="G31" s="37"/>
      <c r="H31" s="37">
        <f t="shared" si="0"/>
        <v>18169</v>
      </c>
      <c r="I31" s="37">
        <f t="shared" si="1"/>
        <v>4529</v>
      </c>
      <c r="J31" s="37">
        <f t="shared" si="2"/>
        <v>731.11829297035172</v>
      </c>
      <c r="K31" s="37">
        <f t="shared" si="29"/>
        <v>90958</v>
      </c>
      <c r="L31" s="37">
        <f t="shared" si="3"/>
        <v>499.4434948195875</v>
      </c>
      <c r="M31" s="1098"/>
      <c r="N31" s="422">
        <v>175</v>
      </c>
      <c r="O31" s="423">
        <v>75</v>
      </c>
      <c r="P31" s="423">
        <f t="shared" si="4"/>
        <v>200</v>
      </c>
      <c r="Q31" s="423">
        <f t="shared" si="5"/>
        <v>50</v>
      </c>
      <c r="R31" s="423">
        <f t="shared" si="30"/>
        <v>1825</v>
      </c>
      <c r="S31" s="68">
        <v>5.75</v>
      </c>
      <c r="T31" s="67">
        <v>24</v>
      </c>
      <c r="U31" s="68">
        <f t="shared" si="53"/>
        <v>69</v>
      </c>
      <c r="V31" s="68">
        <f t="shared" si="6"/>
        <v>11.138697773229028</v>
      </c>
      <c r="W31" s="423">
        <f t="shared" si="54"/>
        <v>1802.6639999999998</v>
      </c>
      <c r="X31" s="68">
        <f t="shared" si="7"/>
        <v>9.8982916087145352</v>
      </c>
      <c r="Y31" s="1073"/>
      <c r="Z31" s="424">
        <v>200</v>
      </c>
      <c r="AA31" s="425"/>
      <c r="AB31" s="425">
        <f t="shared" si="55"/>
        <v>200</v>
      </c>
      <c r="AC31" s="425">
        <f t="shared" si="56"/>
        <v>0</v>
      </c>
      <c r="AD31" s="425">
        <f t="shared" si="57"/>
        <v>375</v>
      </c>
      <c r="AE31" s="72">
        <v>1.7</v>
      </c>
      <c r="AF31" s="71">
        <v>12</v>
      </c>
      <c r="AG31" s="72">
        <f t="shared" si="58"/>
        <v>10.199999999999999</v>
      </c>
      <c r="AH31" s="72">
        <f t="shared" si="8"/>
        <v>1.6465901056077694</v>
      </c>
      <c r="AI31" s="425">
        <f t="shared" si="59"/>
        <v>328.02</v>
      </c>
      <c r="AJ31" s="72">
        <f t="shared" si="9"/>
        <v>1.8011329973253709</v>
      </c>
      <c r="AK31" s="1075"/>
      <c r="AL31" s="491">
        <v>17812</v>
      </c>
      <c r="AM31" s="491"/>
      <c r="AN31" s="492">
        <f t="shared" si="105"/>
        <v>17812</v>
      </c>
      <c r="AO31" s="492">
        <f t="shared" si="106"/>
        <v>0</v>
      </c>
      <c r="AP31" s="492">
        <f t="shared" si="107"/>
        <v>14811</v>
      </c>
      <c r="AQ31" s="493">
        <f t="shared" si="10"/>
        <v>81.326080188360677</v>
      </c>
      <c r="AR31" s="1078"/>
      <c r="AS31" s="413">
        <v>49235</v>
      </c>
      <c r="AT31" s="64"/>
      <c r="AU31" s="66">
        <f t="shared" si="61"/>
        <v>49235</v>
      </c>
      <c r="AV31" s="66">
        <f t="shared" si="11"/>
        <v>0</v>
      </c>
      <c r="AW31" s="412">
        <f t="shared" si="62"/>
        <v>0</v>
      </c>
      <c r="AX31" s="66">
        <f t="shared" si="63"/>
        <v>0</v>
      </c>
      <c r="AY31" s="412">
        <f t="shared" si="64"/>
        <v>0</v>
      </c>
      <c r="AZ31" s="1071"/>
      <c r="BA31" s="419">
        <v>45495</v>
      </c>
      <c r="BB31" s="419"/>
      <c r="BC31" s="407"/>
      <c r="BD31" s="419">
        <f t="shared" si="33"/>
        <v>45495</v>
      </c>
      <c r="BE31" s="419">
        <f t="shared" si="34"/>
        <v>0</v>
      </c>
      <c r="BF31" s="407">
        <f t="shared" si="65"/>
        <v>0</v>
      </c>
      <c r="BG31" s="419">
        <f t="shared" si="108"/>
        <v>0</v>
      </c>
      <c r="BH31" s="407">
        <f t="shared" si="67"/>
        <v>0</v>
      </c>
      <c r="BI31" s="407">
        <f t="shared" si="68"/>
        <v>0</v>
      </c>
      <c r="BJ31" s="1089"/>
      <c r="BK31" s="1084"/>
      <c r="BL31" s="49">
        <v>925</v>
      </c>
      <c r="BM31" s="50">
        <v>900</v>
      </c>
      <c r="BN31" s="52">
        <f t="shared" si="69"/>
        <v>1694</v>
      </c>
      <c r="BO31" s="52">
        <f t="shared" si="12"/>
        <v>131</v>
      </c>
      <c r="BP31" s="406">
        <f t="shared" si="70"/>
        <v>0.27233738235960592</v>
      </c>
      <c r="BQ31" s="52">
        <f t="shared" si="71"/>
        <v>4506</v>
      </c>
      <c r="BR31" s="406">
        <f t="shared" si="72"/>
        <v>0.35154814594631284</v>
      </c>
      <c r="BS31" s="1047"/>
      <c r="BT31" s="409">
        <v>2084</v>
      </c>
      <c r="BU31" s="43"/>
      <c r="BV31" s="43">
        <f t="shared" si="102"/>
        <v>2016</v>
      </c>
      <c r="BW31" s="43">
        <f t="shared" si="103"/>
        <v>68</v>
      </c>
      <c r="BX31" s="42">
        <f t="shared" si="74"/>
        <v>0.14136596946910843</v>
      </c>
      <c r="BY31" s="43">
        <f t="shared" si="104"/>
        <v>1371</v>
      </c>
      <c r="BZ31" s="42">
        <f t="shared" si="76"/>
        <v>0.10696238528459719</v>
      </c>
      <c r="CA31" s="1058"/>
      <c r="CB31" s="392">
        <v>1150</v>
      </c>
      <c r="CC31" s="298">
        <v>1150</v>
      </c>
      <c r="CD31" s="298">
        <f t="shared" si="35"/>
        <v>1955</v>
      </c>
      <c r="CE31" s="298">
        <f t="shared" si="14"/>
        <v>345</v>
      </c>
      <c r="CF31" s="297">
        <f t="shared" si="77"/>
        <v>0.71722440392415299</v>
      </c>
      <c r="CG31" s="298">
        <f t="shared" si="78"/>
        <v>17595</v>
      </c>
      <c r="CH31" s="297">
        <f t="shared" si="79"/>
        <v>1.3727229533789114</v>
      </c>
      <c r="CI31" s="1061"/>
      <c r="CJ31" s="651"/>
      <c r="CK31" s="651"/>
      <c r="CL31" s="651"/>
      <c r="CM31" s="651"/>
      <c r="CN31" s="651"/>
      <c r="CO31" s="464">
        <v>0</v>
      </c>
      <c r="CP31" s="465"/>
      <c r="CQ31" s="465">
        <f t="shared" si="36"/>
        <v>0</v>
      </c>
      <c r="CR31" s="465">
        <f t="shared" si="15"/>
        <v>0</v>
      </c>
      <c r="CS31" s="486">
        <f t="shared" si="80"/>
        <v>0</v>
      </c>
      <c r="CT31" s="465">
        <f t="shared" si="81"/>
        <v>120</v>
      </c>
      <c r="CU31" s="486">
        <f t="shared" si="82"/>
        <v>9.3621343793958145E-3</v>
      </c>
      <c r="CV31" s="1069"/>
      <c r="CW31" s="427">
        <v>5</v>
      </c>
      <c r="CX31" s="427"/>
      <c r="CY31" s="427">
        <f t="shared" si="83"/>
        <v>5</v>
      </c>
      <c r="CZ31" s="427">
        <f t="shared" si="84"/>
        <v>0</v>
      </c>
      <c r="DA31" s="607">
        <f t="shared" si="85"/>
        <v>0</v>
      </c>
      <c r="DB31" s="607">
        <f t="shared" si="86"/>
        <v>0</v>
      </c>
      <c r="DC31" s="607">
        <f t="shared" si="87"/>
        <v>0</v>
      </c>
      <c r="DD31" s="607"/>
      <c r="DE31" s="471">
        <v>5.6</v>
      </c>
      <c r="DF31" s="473"/>
      <c r="DG31" s="473">
        <f t="shared" si="37"/>
        <v>5.6</v>
      </c>
      <c r="DH31" s="473">
        <f t="shared" si="16"/>
        <v>0</v>
      </c>
      <c r="DI31" s="227">
        <f t="shared" si="88"/>
        <v>0</v>
      </c>
      <c r="DJ31" s="473">
        <f t="shared" si="89"/>
        <v>5.6</v>
      </c>
      <c r="DK31" s="227">
        <f t="shared" si="90"/>
        <v>4.368996043718047E-4</v>
      </c>
      <c r="DL31" s="1038"/>
      <c r="DM31" s="63">
        <v>850</v>
      </c>
      <c r="DN31" s="64">
        <v>1000</v>
      </c>
      <c r="DO31" s="66">
        <f t="shared" si="91"/>
        <v>1720</v>
      </c>
      <c r="DP31" s="66">
        <f t="shared" si="17"/>
        <v>130</v>
      </c>
      <c r="DQ31" s="412">
        <f t="shared" si="92"/>
        <v>0.27025847104388373</v>
      </c>
      <c r="DR31" s="66">
        <f t="shared" si="93"/>
        <v>4280</v>
      </c>
      <c r="DS31" s="412">
        <f t="shared" si="94"/>
        <v>0.33391612619845074</v>
      </c>
      <c r="DT31" s="1071"/>
      <c r="DU31" s="596">
        <v>400</v>
      </c>
      <c r="DV31" s="596"/>
      <c r="DW31" s="596">
        <f t="shared" si="38"/>
        <v>400</v>
      </c>
      <c r="DX31" s="596">
        <f t="shared" si="18"/>
        <v>0</v>
      </c>
      <c r="DY31" s="592">
        <f t="shared" si="95"/>
        <v>0</v>
      </c>
      <c r="DZ31" s="596">
        <f t="shared" si="96"/>
        <v>0</v>
      </c>
      <c r="EA31" s="592">
        <f t="shared" si="97"/>
        <v>0</v>
      </c>
      <c r="EB31" s="1041"/>
      <c r="EC31" s="448">
        <v>205</v>
      </c>
      <c r="ED31" s="449"/>
      <c r="EE31" s="449">
        <f t="shared" si="39"/>
        <v>205</v>
      </c>
      <c r="EF31" s="449">
        <f t="shared" si="19"/>
        <v>0</v>
      </c>
      <c r="EG31" s="450">
        <f t="shared" si="98"/>
        <v>0</v>
      </c>
      <c r="EH31" s="449">
        <f t="shared" si="99"/>
        <v>110</v>
      </c>
      <c r="EI31" s="450">
        <f t="shared" si="100"/>
        <v>8.5819565144461627E-3</v>
      </c>
      <c r="EJ31" s="1035"/>
      <c r="EK31" s="426">
        <v>2280</v>
      </c>
      <c r="EL31" s="427">
        <v>1200</v>
      </c>
      <c r="EM31" s="427">
        <f t="shared" si="40"/>
        <v>3000</v>
      </c>
      <c r="EN31" s="427">
        <f t="shared" si="20"/>
        <v>480</v>
      </c>
      <c r="EO31" s="427">
        <f t="shared" si="41"/>
        <v>8472</v>
      </c>
      <c r="EP31" s="456">
        <v>84</v>
      </c>
      <c r="EQ31" s="457"/>
      <c r="ER31" s="457">
        <f t="shared" si="42"/>
        <v>70</v>
      </c>
      <c r="ES31" s="457">
        <f t="shared" si="21"/>
        <v>14</v>
      </c>
      <c r="ET31" s="457">
        <f t="shared" si="43"/>
        <v>84</v>
      </c>
      <c r="EU31" s="409">
        <v>40</v>
      </c>
      <c r="EV31" s="43">
        <v>20</v>
      </c>
      <c r="EW31" s="43">
        <f t="shared" si="44"/>
        <v>60</v>
      </c>
      <c r="EX31" s="43">
        <f t="shared" si="22"/>
        <v>0</v>
      </c>
      <c r="EY31" s="43">
        <f t="shared" si="45"/>
        <v>120</v>
      </c>
      <c r="EZ31" s="436">
        <v>100</v>
      </c>
      <c r="FA31" s="437"/>
      <c r="FB31" s="437">
        <f t="shared" si="46"/>
        <v>100</v>
      </c>
      <c r="FC31" s="437">
        <f t="shared" si="23"/>
        <v>0</v>
      </c>
      <c r="FD31" s="437">
        <f t="shared" si="47"/>
        <v>240</v>
      </c>
      <c r="FE31" s="442">
        <v>200</v>
      </c>
      <c r="FF31" s="443"/>
      <c r="FG31" s="443">
        <f t="shared" si="48"/>
        <v>200</v>
      </c>
      <c r="FH31" s="443">
        <f t="shared" si="24"/>
        <v>0</v>
      </c>
      <c r="FI31" s="443">
        <f t="shared" si="49"/>
        <v>200</v>
      </c>
      <c r="FJ31" s="392">
        <v>0</v>
      </c>
      <c r="FK31" s="298"/>
      <c r="FL31" s="298">
        <f t="shared" si="50"/>
        <v>0</v>
      </c>
      <c r="FM31" s="298">
        <f t="shared" si="25"/>
        <v>0</v>
      </c>
      <c r="FN31" s="498">
        <f t="shared" si="51"/>
        <v>900</v>
      </c>
      <c r="HC31" s="402"/>
      <c r="HD31" s="52"/>
      <c r="HE31" s="52">
        <f t="shared" si="52"/>
        <v>0</v>
      </c>
      <c r="HF31" s="52">
        <f t="shared" si="26"/>
        <v>0</v>
      </c>
      <c r="HG31" s="51"/>
      <c r="HH31" s="52">
        <f t="shared" si="101"/>
        <v>400</v>
      </c>
      <c r="HI31" s="51"/>
      <c r="HJ31" s="1047"/>
    </row>
    <row r="32" spans="1:218" ht="15" customHeight="1">
      <c r="A32" s="30">
        <v>44695</v>
      </c>
      <c r="B32" s="390">
        <v>510336</v>
      </c>
      <c r="C32" s="18">
        <f t="shared" si="27"/>
        <v>13327926</v>
      </c>
      <c r="D32" s="376">
        <v>6702.02</v>
      </c>
      <c r="E32" s="417">
        <f t="shared" si="109"/>
        <v>188820.71999999997</v>
      </c>
      <c r="F32" s="397">
        <v>18169</v>
      </c>
      <c r="G32" s="37"/>
      <c r="H32" s="37">
        <f t="shared" si="0"/>
        <v>15582</v>
      </c>
      <c r="I32" s="37">
        <f t="shared" si="1"/>
        <v>2587</v>
      </c>
      <c r="J32" s="37">
        <f t="shared" si="2"/>
        <v>386.00302595336927</v>
      </c>
      <c r="K32" s="37">
        <f t="shared" si="29"/>
        <v>93545</v>
      </c>
      <c r="L32" s="37">
        <f t="shared" si="3"/>
        <v>495.41702838544421</v>
      </c>
      <c r="M32" s="1098"/>
      <c r="N32" s="422">
        <v>200</v>
      </c>
      <c r="O32" s="423"/>
      <c r="P32" s="423">
        <f t="shared" si="4"/>
        <v>125</v>
      </c>
      <c r="Q32" s="423">
        <f t="shared" si="5"/>
        <v>75</v>
      </c>
      <c r="R32" s="423">
        <f t="shared" si="30"/>
        <v>1900</v>
      </c>
      <c r="S32" s="68">
        <v>5.54</v>
      </c>
      <c r="T32" s="67">
        <v>24</v>
      </c>
      <c r="U32" s="68">
        <f t="shared" si="53"/>
        <v>66.48</v>
      </c>
      <c r="V32" s="68">
        <f t="shared" si="6"/>
        <v>9.9193974354000733</v>
      </c>
      <c r="W32" s="423">
        <f t="shared" si="54"/>
        <v>1869.1439999999998</v>
      </c>
      <c r="X32" s="68">
        <f t="shared" si="7"/>
        <v>9.8990407408678465</v>
      </c>
      <c r="Y32" s="1073"/>
      <c r="Z32" s="424">
        <v>200</v>
      </c>
      <c r="AA32" s="425"/>
      <c r="AB32" s="425">
        <f t="shared" si="55"/>
        <v>200</v>
      </c>
      <c r="AC32" s="425">
        <f t="shared" si="56"/>
        <v>0</v>
      </c>
      <c r="AD32" s="425">
        <f t="shared" si="57"/>
        <v>375</v>
      </c>
      <c r="AE32" s="72">
        <v>1.74</v>
      </c>
      <c r="AF32" s="71">
        <v>12</v>
      </c>
      <c r="AG32" s="72">
        <f t="shared" si="58"/>
        <v>10.44</v>
      </c>
      <c r="AH32" s="72">
        <f t="shared" si="8"/>
        <v>1.5577393084473039</v>
      </c>
      <c r="AI32" s="425">
        <f t="shared" si="59"/>
        <v>338.46</v>
      </c>
      <c r="AJ32" s="72">
        <f t="shared" si="9"/>
        <v>1.7924939593493767</v>
      </c>
      <c r="AK32" s="1075"/>
      <c r="AL32" s="491">
        <v>17812</v>
      </c>
      <c r="AM32" s="491"/>
      <c r="AN32" s="492">
        <f t="shared" si="105"/>
        <v>12396</v>
      </c>
      <c r="AO32" s="492">
        <f t="shared" si="106"/>
        <v>5416</v>
      </c>
      <c r="AP32" s="492">
        <f t="shared" si="107"/>
        <v>20227</v>
      </c>
      <c r="AQ32" s="493">
        <f t="shared" si="10"/>
        <v>107.12277762737057</v>
      </c>
      <c r="AR32" s="1078"/>
      <c r="AS32" s="413">
        <v>49235</v>
      </c>
      <c r="AT32" s="64"/>
      <c r="AU32" s="66">
        <f t="shared" si="61"/>
        <v>49235</v>
      </c>
      <c r="AV32" s="66">
        <f t="shared" si="11"/>
        <v>0</v>
      </c>
      <c r="AW32" s="412">
        <f t="shared" si="62"/>
        <v>0</v>
      </c>
      <c r="AX32" s="66">
        <f t="shared" si="63"/>
        <v>0</v>
      </c>
      <c r="AY32" s="412">
        <f t="shared" si="64"/>
        <v>0</v>
      </c>
      <c r="AZ32" s="1071"/>
      <c r="BA32" s="419">
        <v>45495</v>
      </c>
      <c r="BB32" s="419"/>
      <c r="BC32" s="407"/>
      <c r="BD32" s="419">
        <f t="shared" si="33"/>
        <v>45495</v>
      </c>
      <c r="BE32" s="419">
        <f t="shared" si="34"/>
        <v>0</v>
      </c>
      <c r="BF32" s="407">
        <f t="shared" si="65"/>
        <v>0</v>
      </c>
      <c r="BG32" s="419">
        <f t="shared" si="108"/>
        <v>0</v>
      </c>
      <c r="BH32" s="407">
        <f t="shared" si="67"/>
        <v>0</v>
      </c>
      <c r="BI32" s="407">
        <f t="shared" si="68"/>
        <v>0</v>
      </c>
      <c r="BJ32" s="1089"/>
      <c r="BK32" s="1084"/>
      <c r="BL32" s="49">
        <v>1694</v>
      </c>
      <c r="BM32" s="50"/>
      <c r="BN32" s="52">
        <f t="shared" si="69"/>
        <v>1473</v>
      </c>
      <c r="BO32" s="52">
        <f t="shared" si="12"/>
        <v>221</v>
      </c>
      <c r="BP32" s="406">
        <f t="shared" si="70"/>
        <v>0.43304803110107848</v>
      </c>
      <c r="BQ32" s="52">
        <f t="shared" si="71"/>
        <v>4727</v>
      </c>
      <c r="BR32" s="406">
        <f t="shared" si="72"/>
        <v>0.35466883594641807</v>
      </c>
      <c r="BS32" s="1047"/>
      <c r="BT32" s="409">
        <v>2016</v>
      </c>
      <c r="BU32" s="43"/>
      <c r="BV32" s="43">
        <f t="shared" si="102"/>
        <v>1937</v>
      </c>
      <c r="BW32" s="43">
        <f t="shared" si="103"/>
        <v>79</v>
      </c>
      <c r="BX32" s="42">
        <f t="shared" si="74"/>
        <v>0.15479997491848507</v>
      </c>
      <c r="BY32" s="43">
        <f t="shared" si="104"/>
        <v>1450</v>
      </c>
      <c r="BZ32" s="42">
        <f t="shared" si="76"/>
        <v>0.10879412145595646</v>
      </c>
      <c r="CA32" s="1058"/>
      <c r="CB32" s="392">
        <v>1955</v>
      </c>
      <c r="CC32" s="298"/>
      <c r="CD32" s="298">
        <f t="shared" si="35"/>
        <v>1610</v>
      </c>
      <c r="CE32" s="298">
        <f t="shared" si="14"/>
        <v>345</v>
      </c>
      <c r="CF32" s="297">
        <f t="shared" si="77"/>
        <v>0.67602520692249812</v>
      </c>
      <c r="CG32" s="298">
        <f t="shared" si="78"/>
        <v>17940</v>
      </c>
      <c r="CH32" s="297">
        <f t="shared" si="79"/>
        <v>1.3460458889102476</v>
      </c>
      <c r="CI32" s="1061"/>
      <c r="CJ32" s="651"/>
      <c r="CK32" s="651"/>
      <c r="CL32" s="651"/>
      <c r="CM32" s="651"/>
      <c r="CN32" s="651"/>
      <c r="CO32" s="464">
        <v>0</v>
      </c>
      <c r="CP32" s="465"/>
      <c r="CQ32" s="465">
        <f t="shared" si="36"/>
        <v>0</v>
      </c>
      <c r="CR32" s="465">
        <f t="shared" si="15"/>
        <v>0</v>
      </c>
      <c r="CS32" s="486">
        <f t="shared" si="80"/>
        <v>0</v>
      </c>
      <c r="CT32" s="465">
        <f t="shared" si="81"/>
        <v>120</v>
      </c>
      <c r="CU32" s="486">
        <f t="shared" si="82"/>
        <v>9.0036514308377766E-3</v>
      </c>
      <c r="CV32" s="1069"/>
      <c r="CW32" s="427">
        <v>5</v>
      </c>
      <c r="CX32" s="427"/>
      <c r="CY32" s="427">
        <f t="shared" si="83"/>
        <v>5</v>
      </c>
      <c r="CZ32" s="427">
        <f t="shared" si="84"/>
        <v>0</v>
      </c>
      <c r="DA32" s="607">
        <f t="shared" si="85"/>
        <v>0</v>
      </c>
      <c r="DB32" s="607">
        <f t="shared" si="86"/>
        <v>0</v>
      </c>
      <c r="DC32" s="607">
        <f t="shared" si="87"/>
        <v>0</v>
      </c>
      <c r="DD32" s="607"/>
      <c r="DE32" s="471">
        <v>5.6</v>
      </c>
      <c r="DF32" s="473"/>
      <c r="DG32" s="473">
        <f t="shared" si="37"/>
        <v>5.6</v>
      </c>
      <c r="DH32" s="473">
        <f t="shared" si="16"/>
        <v>0</v>
      </c>
      <c r="DI32" s="227">
        <f t="shared" si="88"/>
        <v>0</v>
      </c>
      <c r="DJ32" s="473">
        <f t="shared" si="89"/>
        <v>5.6</v>
      </c>
      <c r="DK32" s="227">
        <f t="shared" si="90"/>
        <v>4.201704001057629E-4</v>
      </c>
      <c r="DL32" s="1038"/>
      <c r="DM32" s="63">
        <v>1720</v>
      </c>
      <c r="DN32" s="64"/>
      <c r="DO32" s="66">
        <f t="shared" si="91"/>
        <v>1580</v>
      </c>
      <c r="DP32" s="66">
        <f t="shared" si="17"/>
        <v>140</v>
      </c>
      <c r="DQ32" s="412">
        <f t="shared" si="92"/>
        <v>0.27432906947579633</v>
      </c>
      <c r="DR32" s="66">
        <f t="shared" si="93"/>
        <v>4420</v>
      </c>
      <c r="DS32" s="412">
        <f t="shared" si="94"/>
        <v>0.3316344943691914</v>
      </c>
      <c r="DT32" s="1071"/>
      <c r="DU32" s="596">
        <v>400</v>
      </c>
      <c r="DV32" s="596"/>
      <c r="DW32" s="596">
        <f t="shared" si="38"/>
        <v>400</v>
      </c>
      <c r="DX32" s="596">
        <f t="shared" si="18"/>
        <v>0</v>
      </c>
      <c r="DY32" s="592">
        <f t="shared" si="95"/>
        <v>0</v>
      </c>
      <c r="DZ32" s="596">
        <f t="shared" si="96"/>
        <v>0</v>
      </c>
      <c r="EA32" s="592">
        <f t="shared" si="97"/>
        <v>0</v>
      </c>
      <c r="EB32" s="1041"/>
      <c r="EC32" s="448">
        <v>205</v>
      </c>
      <c r="ED32" s="449"/>
      <c r="EE32" s="449">
        <f t="shared" si="39"/>
        <v>205</v>
      </c>
      <c r="EF32" s="449">
        <f t="shared" si="19"/>
        <v>0</v>
      </c>
      <c r="EG32" s="450">
        <f t="shared" si="98"/>
        <v>0</v>
      </c>
      <c r="EH32" s="449">
        <f t="shared" si="99"/>
        <v>110</v>
      </c>
      <c r="EI32" s="450">
        <f t="shared" si="100"/>
        <v>8.253347144934628E-3</v>
      </c>
      <c r="EJ32" s="1035"/>
      <c r="EK32" s="426">
        <v>3000</v>
      </c>
      <c r="EL32" s="427"/>
      <c r="EM32" s="427">
        <f t="shared" si="40"/>
        <v>2784</v>
      </c>
      <c r="EN32" s="427">
        <f t="shared" si="20"/>
        <v>216</v>
      </c>
      <c r="EO32" s="427">
        <f t="shared" si="41"/>
        <v>8688</v>
      </c>
      <c r="EP32" s="456">
        <v>70</v>
      </c>
      <c r="EQ32" s="457"/>
      <c r="ER32" s="457">
        <f t="shared" si="42"/>
        <v>70</v>
      </c>
      <c r="ES32" s="457">
        <f t="shared" si="21"/>
        <v>0</v>
      </c>
      <c r="ET32" s="457">
        <f t="shared" si="43"/>
        <v>84</v>
      </c>
      <c r="EU32" s="409">
        <v>60</v>
      </c>
      <c r="EV32" s="43"/>
      <c r="EW32" s="43">
        <f t="shared" si="44"/>
        <v>40</v>
      </c>
      <c r="EX32" s="43">
        <f t="shared" si="22"/>
        <v>20</v>
      </c>
      <c r="EY32" s="43">
        <f t="shared" si="45"/>
        <v>140</v>
      </c>
      <c r="EZ32" s="436">
        <v>100</v>
      </c>
      <c r="FA32" s="437"/>
      <c r="FB32" s="437">
        <f t="shared" si="46"/>
        <v>100</v>
      </c>
      <c r="FC32" s="437">
        <f t="shared" si="23"/>
        <v>0</v>
      </c>
      <c r="FD32" s="437">
        <f t="shared" si="47"/>
        <v>240</v>
      </c>
      <c r="FE32" s="442">
        <v>200</v>
      </c>
      <c r="FF32" s="443"/>
      <c r="FG32" s="443">
        <f t="shared" si="48"/>
        <v>200</v>
      </c>
      <c r="FH32" s="443">
        <f t="shared" si="24"/>
        <v>0</v>
      </c>
      <c r="FI32" s="443">
        <f t="shared" si="49"/>
        <v>200</v>
      </c>
      <c r="FJ32" s="392">
        <v>0</v>
      </c>
      <c r="FK32" s="298"/>
      <c r="FL32" s="298">
        <f t="shared" si="50"/>
        <v>0</v>
      </c>
      <c r="FM32" s="298">
        <f t="shared" si="25"/>
        <v>0</v>
      </c>
      <c r="FN32" s="498">
        <f t="shared" si="51"/>
        <v>900</v>
      </c>
      <c r="HC32" s="402"/>
      <c r="HD32" s="52"/>
      <c r="HE32" s="52">
        <f t="shared" si="52"/>
        <v>0</v>
      </c>
      <c r="HF32" s="52">
        <f t="shared" si="26"/>
        <v>0</v>
      </c>
      <c r="HG32" s="51"/>
      <c r="HH32" s="52">
        <f t="shared" si="101"/>
        <v>400</v>
      </c>
      <c r="HI32" s="51"/>
      <c r="HJ32" s="1047"/>
    </row>
    <row r="33" spans="1:218" ht="15" customHeight="1">
      <c r="A33" s="30">
        <v>44696</v>
      </c>
      <c r="B33" s="390">
        <v>178292</v>
      </c>
      <c r="C33" s="18">
        <f t="shared" si="27"/>
        <v>13506218</v>
      </c>
      <c r="D33" s="376">
        <v>527.9</v>
      </c>
      <c r="E33" s="417">
        <f t="shared" si="109"/>
        <v>189348.61999999997</v>
      </c>
      <c r="F33" s="397">
        <v>15582</v>
      </c>
      <c r="G33" s="37"/>
      <c r="H33" s="37">
        <f t="shared" si="0"/>
        <v>13327</v>
      </c>
      <c r="I33" s="37">
        <f t="shared" si="1"/>
        <v>2255</v>
      </c>
      <c r="J33" s="37">
        <f t="shared" si="2"/>
        <v>4271.6423565069144</v>
      </c>
      <c r="K33" s="37">
        <f t="shared" si="29"/>
        <v>95800</v>
      </c>
      <c r="L33" s="37">
        <f t="shared" si="3"/>
        <v>505.94506577338677</v>
      </c>
      <c r="M33" s="1098"/>
      <c r="N33" s="422">
        <v>125</v>
      </c>
      <c r="O33" s="423"/>
      <c r="P33" s="423">
        <f t="shared" si="4"/>
        <v>125</v>
      </c>
      <c r="Q33" s="423">
        <f t="shared" si="5"/>
        <v>0</v>
      </c>
      <c r="R33" s="423">
        <f t="shared" si="30"/>
        <v>1900</v>
      </c>
      <c r="S33" s="68">
        <v>0.74</v>
      </c>
      <c r="T33" s="67">
        <v>24</v>
      </c>
      <c r="U33" s="68">
        <f t="shared" si="53"/>
        <v>8.879999999999999</v>
      </c>
      <c r="V33" s="68">
        <f t="shared" si="6"/>
        <v>16.821367683273344</v>
      </c>
      <c r="W33" s="423">
        <f t="shared" si="54"/>
        <v>1878.0239999999999</v>
      </c>
      <c r="X33" s="68">
        <f t="shared" si="7"/>
        <v>9.9183400438830791</v>
      </c>
      <c r="Y33" s="1073"/>
      <c r="Z33" s="424">
        <v>200</v>
      </c>
      <c r="AA33" s="425"/>
      <c r="AB33" s="425">
        <f t="shared" si="55"/>
        <v>200</v>
      </c>
      <c r="AC33" s="425">
        <f t="shared" si="56"/>
        <v>0</v>
      </c>
      <c r="AD33" s="425">
        <f t="shared" si="57"/>
        <v>375</v>
      </c>
      <c r="AE33" s="72">
        <v>0.18</v>
      </c>
      <c r="AF33" s="71">
        <v>12</v>
      </c>
      <c r="AG33" s="72">
        <f t="shared" si="58"/>
        <v>1.08</v>
      </c>
      <c r="AH33" s="72">
        <f t="shared" si="8"/>
        <v>2.0458420155332449</v>
      </c>
      <c r="AI33" s="425">
        <f t="shared" si="59"/>
        <v>339.53999999999996</v>
      </c>
      <c r="AJ33" s="72">
        <f t="shared" si="9"/>
        <v>1.7932002884415001</v>
      </c>
      <c r="AK33" s="1075"/>
      <c r="AL33" s="491">
        <v>12396</v>
      </c>
      <c r="AM33" s="491"/>
      <c r="AN33" s="492">
        <f t="shared" si="105"/>
        <v>12396</v>
      </c>
      <c r="AO33" s="492">
        <f t="shared" si="106"/>
        <v>0</v>
      </c>
      <c r="AP33" s="492">
        <f t="shared" si="107"/>
        <v>20227</v>
      </c>
      <c r="AQ33" s="493">
        <f t="shared" si="10"/>
        <v>106.82412155948116</v>
      </c>
      <c r="AR33" s="1078"/>
      <c r="AS33" s="413">
        <v>49235</v>
      </c>
      <c r="AT33" s="64"/>
      <c r="AU33" s="66">
        <f t="shared" si="61"/>
        <v>49235</v>
      </c>
      <c r="AV33" s="66">
        <f t="shared" si="11"/>
        <v>0</v>
      </c>
      <c r="AW33" s="412">
        <f t="shared" si="62"/>
        <v>0</v>
      </c>
      <c r="AX33" s="66">
        <f t="shared" si="63"/>
        <v>0</v>
      </c>
      <c r="AY33" s="412">
        <f t="shared" si="64"/>
        <v>0</v>
      </c>
      <c r="AZ33" s="1071"/>
      <c r="BA33" s="419">
        <v>45495</v>
      </c>
      <c r="BB33" s="419"/>
      <c r="BC33" s="407"/>
      <c r="BD33" s="419">
        <f t="shared" si="33"/>
        <v>45495</v>
      </c>
      <c r="BE33" s="419">
        <f t="shared" si="34"/>
        <v>0</v>
      </c>
      <c r="BF33" s="407">
        <f t="shared" si="65"/>
        <v>0</v>
      </c>
      <c r="BG33" s="419">
        <f t="shared" si="108"/>
        <v>0</v>
      </c>
      <c r="BH33" s="407">
        <f t="shared" si="67"/>
        <v>0</v>
      </c>
      <c r="BI33" s="407">
        <f t="shared" si="68"/>
        <v>0</v>
      </c>
      <c r="BJ33" s="1089"/>
      <c r="BK33" s="1084"/>
      <c r="BL33" s="49">
        <v>1473</v>
      </c>
      <c r="BM33" s="50"/>
      <c r="BN33" s="52">
        <f t="shared" si="69"/>
        <v>1334</v>
      </c>
      <c r="BO33" s="52">
        <f t="shared" si="12"/>
        <v>139</v>
      </c>
      <c r="BP33" s="406">
        <f t="shared" si="70"/>
        <v>0.77961994929665945</v>
      </c>
      <c r="BQ33" s="52">
        <f t="shared" si="71"/>
        <v>4866</v>
      </c>
      <c r="BR33" s="406">
        <f t="shared" si="72"/>
        <v>0.36027850283476842</v>
      </c>
      <c r="BS33" s="1047"/>
      <c r="BT33" s="409">
        <v>1937</v>
      </c>
      <c r="BU33" s="43"/>
      <c r="BV33" s="43">
        <f t="shared" si="102"/>
        <v>1840</v>
      </c>
      <c r="BW33" s="43">
        <f t="shared" si="103"/>
        <v>97</v>
      </c>
      <c r="BX33" s="42">
        <f t="shared" si="74"/>
        <v>0.5440513315235681</v>
      </c>
      <c r="BY33" s="43">
        <f t="shared" si="104"/>
        <v>1547</v>
      </c>
      <c r="BZ33" s="42">
        <f t="shared" si="76"/>
        <v>0.11453983639239348</v>
      </c>
      <c r="CA33" s="1058"/>
      <c r="CB33" s="392">
        <v>1610</v>
      </c>
      <c r="CC33" s="298"/>
      <c r="CD33" s="298">
        <f t="shared" si="35"/>
        <v>1587</v>
      </c>
      <c r="CE33" s="298">
        <f t="shared" si="14"/>
        <v>23</v>
      </c>
      <c r="CF33" s="297">
        <f t="shared" si="77"/>
        <v>0.12900186211383574</v>
      </c>
      <c r="CG33" s="298">
        <f t="shared" si="78"/>
        <v>17963</v>
      </c>
      <c r="CH33" s="297">
        <f t="shared" si="79"/>
        <v>1.3299800136500093</v>
      </c>
      <c r="CI33" s="1061"/>
      <c r="CJ33" s="651"/>
      <c r="CK33" s="651"/>
      <c r="CL33" s="651"/>
      <c r="CM33" s="651"/>
      <c r="CN33" s="651"/>
      <c r="CO33" s="464">
        <v>0</v>
      </c>
      <c r="CP33" s="465"/>
      <c r="CQ33" s="465">
        <f t="shared" si="36"/>
        <v>0</v>
      </c>
      <c r="CR33" s="465">
        <f t="shared" si="15"/>
        <v>0</v>
      </c>
      <c r="CS33" s="486">
        <f t="shared" si="80"/>
        <v>0</v>
      </c>
      <c r="CT33" s="465">
        <f t="shared" si="81"/>
        <v>120</v>
      </c>
      <c r="CU33" s="486">
        <f t="shared" si="82"/>
        <v>8.8847966173802324E-3</v>
      </c>
      <c r="CV33" s="1069"/>
      <c r="CW33" s="427">
        <v>5</v>
      </c>
      <c r="CX33" s="427"/>
      <c r="CY33" s="427">
        <f t="shared" si="83"/>
        <v>5</v>
      </c>
      <c r="CZ33" s="427">
        <f t="shared" si="84"/>
        <v>0</v>
      </c>
      <c r="DA33" s="607">
        <f t="shared" si="85"/>
        <v>0</v>
      </c>
      <c r="DB33" s="607">
        <f t="shared" si="86"/>
        <v>0</v>
      </c>
      <c r="DC33" s="607">
        <f t="shared" si="87"/>
        <v>0</v>
      </c>
      <c r="DD33" s="607"/>
      <c r="DE33" s="471">
        <v>5.6</v>
      </c>
      <c r="DF33" s="473"/>
      <c r="DG33" s="473">
        <f t="shared" si="37"/>
        <v>5.6</v>
      </c>
      <c r="DH33" s="473">
        <f t="shared" si="16"/>
        <v>0</v>
      </c>
      <c r="DI33" s="227">
        <f t="shared" si="88"/>
        <v>0</v>
      </c>
      <c r="DJ33" s="473">
        <f t="shared" si="89"/>
        <v>5.6</v>
      </c>
      <c r="DK33" s="227">
        <f t="shared" si="90"/>
        <v>4.1462384214441082E-4</v>
      </c>
      <c r="DL33" s="1038"/>
      <c r="DM33" s="63">
        <v>1580</v>
      </c>
      <c r="DN33" s="64"/>
      <c r="DO33" s="66">
        <f t="shared" si="91"/>
        <v>1500</v>
      </c>
      <c r="DP33" s="66">
        <f t="shared" si="17"/>
        <v>80</v>
      </c>
      <c r="DQ33" s="412">
        <f t="shared" si="92"/>
        <v>0.44870212909160256</v>
      </c>
      <c r="DR33" s="66">
        <f t="shared" si="93"/>
        <v>4500</v>
      </c>
      <c r="DS33" s="412">
        <f t="shared" si="94"/>
        <v>0.33317987315175868</v>
      </c>
      <c r="DT33" s="1071"/>
      <c r="DU33" s="596">
        <v>400</v>
      </c>
      <c r="DV33" s="596"/>
      <c r="DW33" s="596">
        <f t="shared" si="38"/>
        <v>400</v>
      </c>
      <c r="DX33" s="596">
        <f t="shared" si="18"/>
        <v>0</v>
      </c>
      <c r="DY33" s="592">
        <f t="shared" si="95"/>
        <v>0</v>
      </c>
      <c r="DZ33" s="596">
        <f t="shared" si="96"/>
        <v>0</v>
      </c>
      <c r="EA33" s="592">
        <f t="shared" si="97"/>
        <v>0</v>
      </c>
      <c r="EB33" s="1041"/>
      <c r="EC33" s="448">
        <v>205</v>
      </c>
      <c r="ED33" s="449"/>
      <c r="EE33" s="449">
        <f t="shared" si="39"/>
        <v>205</v>
      </c>
      <c r="EF33" s="449">
        <f t="shared" si="19"/>
        <v>0</v>
      </c>
      <c r="EG33" s="450">
        <f t="shared" si="98"/>
        <v>0</v>
      </c>
      <c r="EH33" s="449">
        <f t="shared" si="99"/>
        <v>110</v>
      </c>
      <c r="EI33" s="450">
        <f t="shared" si="100"/>
        <v>8.1443968992652126E-3</v>
      </c>
      <c r="EJ33" s="1035"/>
      <c r="EK33" s="426">
        <v>2784</v>
      </c>
      <c r="EL33" s="427"/>
      <c r="EM33" s="427">
        <f t="shared" si="40"/>
        <v>2432</v>
      </c>
      <c r="EN33" s="427">
        <f t="shared" si="20"/>
        <v>352</v>
      </c>
      <c r="EO33" s="427">
        <f t="shared" si="41"/>
        <v>9040</v>
      </c>
      <c r="EP33" s="456">
        <v>70</v>
      </c>
      <c r="EQ33" s="457"/>
      <c r="ER33" s="457">
        <f t="shared" si="42"/>
        <v>70</v>
      </c>
      <c r="ES33" s="457">
        <f t="shared" si="21"/>
        <v>0</v>
      </c>
      <c r="ET33" s="457">
        <f t="shared" si="43"/>
        <v>84</v>
      </c>
      <c r="EU33" s="409">
        <v>40</v>
      </c>
      <c r="EV33" s="43"/>
      <c r="EW33" s="43">
        <f t="shared" si="44"/>
        <v>40</v>
      </c>
      <c r="EX33" s="43">
        <f t="shared" si="22"/>
        <v>0</v>
      </c>
      <c r="EY33" s="43">
        <f t="shared" si="45"/>
        <v>140</v>
      </c>
      <c r="EZ33" s="436">
        <v>100</v>
      </c>
      <c r="FA33" s="437"/>
      <c r="FB33" s="437">
        <f t="shared" si="46"/>
        <v>100</v>
      </c>
      <c r="FC33" s="437">
        <f t="shared" si="23"/>
        <v>0</v>
      </c>
      <c r="FD33" s="437">
        <f t="shared" si="47"/>
        <v>240</v>
      </c>
      <c r="FE33" s="442">
        <v>200</v>
      </c>
      <c r="FF33" s="443"/>
      <c r="FG33" s="443">
        <f t="shared" si="48"/>
        <v>200</v>
      </c>
      <c r="FH33" s="443">
        <f t="shared" si="24"/>
        <v>0</v>
      </c>
      <c r="FI33" s="443">
        <f t="shared" si="49"/>
        <v>200</v>
      </c>
      <c r="FJ33" s="392">
        <v>0</v>
      </c>
      <c r="FK33" s="298"/>
      <c r="FL33" s="298">
        <f t="shared" si="50"/>
        <v>0</v>
      </c>
      <c r="FM33" s="298">
        <f t="shared" si="25"/>
        <v>0</v>
      </c>
      <c r="FN33" s="498">
        <f t="shared" si="51"/>
        <v>900</v>
      </c>
      <c r="HC33" s="402"/>
      <c r="HD33" s="52"/>
      <c r="HE33" s="52">
        <f t="shared" si="52"/>
        <v>0</v>
      </c>
      <c r="HF33" s="52">
        <f t="shared" si="26"/>
        <v>0</v>
      </c>
      <c r="HG33" s="51"/>
      <c r="HH33" s="52">
        <f t="shared" si="101"/>
        <v>400</v>
      </c>
      <c r="HI33" s="51"/>
      <c r="HJ33" s="1047"/>
    </row>
    <row r="34" spans="1:218" ht="15" customHeight="1">
      <c r="A34" s="30">
        <v>44697</v>
      </c>
      <c r="B34" s="390">
        <v>332820</v>
      </c>
      <c r="C34" s="18">
        <f t="shared" si="27"/>
        <v>13839038</v>
      </c>
      <c r="D34" s="376">
        <v>6316.98</v>
      </c>
      <c r="E34" s="417">
        <f t="shared" si="109"/>
        <v>195665.59999999998</v>
      </c>
      <c r="F34" s="397">
        <v>13327</v>
      </c>
      <c r="G34" s="37">
        <v>48300</v>
      </c>
      <c r="H34" s="37">
        <f t="shared" si="0"/>
        <v>58349</v>
      </c>
      <c r="I34" s="37">
        <f t="shared" si="1"/>
        <v>3278</v>
      </c>
      <c r="J34" s="37">
        <f t="shared" si="2"/>
        <v>518.91885046335437</v>
      </c>
      <c r="K34" s="37">
        <f t="shared" si="29"/>
        <v>99078</v>
      </c>
      <c r="L34" s="37">
        <f t="shared" si="3"/>
        <v>506.36391884930214</v>
      </c>
      <c r="M34" s="1098"/>
      <c r="N34" s="422">
        <v>125</v>
      </c>
      <c r="O34" s="423">
        <v>125</v>
      </c>
      <c r="P34" s="423">
        <f t="shared" si="4"/>
        <v>150</v>
      </c>
      <c r="Q34" s="423">
        <f t="shared" si="5"/>
        <v>100</v>
      </c>
      <c r="R34" s="423">
        <f t="shared" si="30"/>
        <v>2000</v>
      </c>
      <c r="S34" s="68">
        <v>6.8</v>
      </c>
      <c r="T34" s="67">
        <v>24</v>
      </c>
      <c r="U34" s="68">
        <f t="shared" si="53"/>
        <v>81.599999999999994</v>
      </c>
      <c r="V34" s="68">
        <f t="shared" si="6"/>
        <v>12.917565038990151</v>
      </c>
      <c r="W34" s="423">
        <f t="shared" si="54"/>
        <v>1959.6239999999998</v>
      </c>
      <c r="X34" s="68">
        <f t="shared" si="7"/>
        <v>10.015168736865347</v>
      </c>
      <c r="Y34" s="1073"/>
      <c r="Z34" s="424">
        <v>200</v>
      </c>
      <c r="AA34" s="425"/>
      <c r="AB34" s="425">
        <f t="shared" si="55"/>
        <v>200</v>
      </c>
      <c r="AC34" s="425">
        <f t="shared" si="56"/>
        <v>0</v>
      </c>
      <c r="AD34" s="425">
        <f t="shared" si="57"/>
        <v>375</v>
      </c>
      <c r="AE34" s="72">
        <v>1.66</v>
      </c>
      <c r="AF34" s="71">
        <v>12</v>
      </c>
      <c r="AG34" s="72">
        <f t="shared" si="58"/>
        <v>9.9599999999999991</v>
      </c>
      <c r="AH34" s="72">
        <f t="shared" si="8"/>
        <v>1.5767027915237977</v>
      </c>
      <c r="AI34" s="425">
        <f t="shared" si="59"/>
        <v>349.49999999999994</v>
      </c>
      <c r="AJ34" s="72">
        <f t="shared" si="9"/>
        <v>1.7862107595816534</v>
      </c>
      <c r="AK34" s="1075"/>
      <c r="AL34" s="491">
        <v>12396</v>
      </c>
      <c r="AM34" s="491"/>
      <c r="AN34" s="492">
        <f t="shared" si="105"/>
        <v>12396</v>
      </c>
      <c r="AO34" s="492">
        <f t="shared" si="106"/>
        <v>0</v>
      </c>
      <c r="AP34" s="492">
        <f t="shared" si="107"/>
        <v>20227</v>
      </c>
      <c r="AQ34" s="493">
        <f t="shared" si="10"/>
        <v>103.37535059816341</v>
      </c>
      <c r="AR34" s="1078"/>
      <c r="AS34" s="413">
        <v>49235</v>
      </c>
      <c r="AT34" s="64"/>
      <c r="AU34" s="66">
        <f t="shared" si="61"/>
        <v>49235</v>
      </c>
      <c r="AV34" s="66">
        <f t="shared" si="11"/>
        <v>0</v>
      </c>
      <c r="AW34" s="412">
        <f t="shared" si="62"/>
        <v>0</v>
      </c>
      <c r="AX34" s="66">
        <f t="shared" si="63"/>
        <v>0</v>
      </c>
      <c r="AY34" s="412">
        <f t="shared" si="64"/>
        <v>0</v>
      </c>
      <c r="AZ34" s="1071"/>
      <c r="BA34" s="419">
        <v>45495</v>
      </c>
      <c r="BB34" s="419"/>
      <c r="BC34" s="407"/>
      <c r="BD34" s="419">
        <f t="shared" si="33"/>
        <v>45495</v>
      </c>
      <c r="BE34" s="419">
        <f t="shared" si="34"/>
        <v>0</v>
      </c>
      <c r="BF34" s="407">
        <f t="shared" si="65"/>
        <v>0</v>
      </c>
      <c r="BG34" s="419">
        <f t="shared" si="108"/>
        <v>0</v>
      </c>
      <c r="BH34" s="407">
        <f t="shared" si="67"/>
        <v>0</v>
      </c>
      <c r="BI34" s="407">
        <f t="shared" si="68"/>
        <v>0</v>
      </c>
      <c r="BJ34" s="1089"/>
      <c r="BK34" s="1084"/>
      <c r="BL34" s="49">
        <v>1334</v>
      </c>
      <c r="BM34" s="50"/>
      <c r="BN34" s="52">
        <f t="shared" si="69"/>
        <v>932</v>
      </c>
      <c r="BO34" s="52">
        <f t="shared" si="12"/>
        <v>402</v>
      </c>
      <c r="BP34" s="406">
        <f t="shared" si="70"/>
        <v>1.207860104561024</v>
      </c>
      <c r="BQ34" s="52">
        <f t="shared" si="71"/>
        <v>5268</v>
      </c>
      <c r="BR34" s="406">
        <f t="shared" si="72"/>
        <v>0.38066229748050406</v>
      </c>
      <c r="BS34" s="1047"/>
      <c r="BT34" s="409">
        <v>1840</v>
      </c>
      <c r="BU34" s="43"/>
      <c r="BV34" s="43">
        <f t="shared" si="102"/>
        <v>1744</v>
      </c>
      <c r="BW34" s="43">
        <f t="shared" si="103"/>
        <v>96</v>
      </c>
      <c r="BX34" s="42">
        <f t="shared" si="74"/>
        <v>0.2884442040742744</v>
      </c>
      <c r="BY34" s="43">
        <f t="shared" si="104"/>
        <v>1643</v>
      </c>
      <c r="BZ34" s="42">
        <f t="shared" si="76"/>
        <v>0.11872212504944346</v>
      </c>
      <c r="CA34" s="1058"/>
      <c r="CB34" s="392">
        <v>1587</v>
      </c>
      <c r="CC34" s="298"/>
      <c r="CD34" s="298">
        <f t="shared" si="35"/>
        <v>1323</v>
      </c>
      <c r="CE34" s="298">
        <f t="shared" si="14"/>
        <v>264</v>
      </c>
      <c r="CF34" s="297">
        <f t="shared" si="77"/>
        <v>0.79322156120425458</v>
      </c>
      <c r="CG34" s="298">
        <f t="shared" si="78"/>
        <v>18227</v>
      </c>
      <c r="CH34" s="297">
        <f t="shared" si="79"/>
        <v>1.3170713166623287</v>
      </c>
      <c r="CI34" s="1061"/>
      <c r="CJ34" s="651"/>
      <c r="CK34" s="651"/>
      <c r="CL34" s="651"/>
      <c r="CM34" s="651"/>
      <c r="CN34" s="651"/>
      <c r="CO34" s="464">
        <v>0</v>
      </c>
      <c r="CP34" s="465">
        <v>60</v>
      </c>
      <c r="CQ34" s="465">
        <f t="shared" si="36"/>
        <v>0</v>
      </c>
      <c r="CR34" s="465">
        <f t="shared" si="15"/>
        <v>60</v>
      </c>
      <c r="CS34" s="486">
        <f t="shared" si="80"/>
        <v>0.18027762754642149</v>
      </c>
      <c r="CT34" s="465">
        <f t="shared" si="81"/>
        <v>180</v>
      </c>
      <c r="CU34" s="486">
        <f t="shared" si="82"/>
        <v>1.300668442416301E-2</v>
      </c>
      <c r="CV34" s="1069"/>
      <c r="CW34" s="427">
        <v>5</v>
      </c>
      <c r="CX34" s="427"/>
      <c r="CY34" s="427">
        <f t="shared" si="83"/>
        <v>5</v>
      </c>
      <c r="CZ34" s="427">
        <f t="shared" si="84"/>
        <v>0</v>
      </c>
      <c r="DA34" s="607">
        <f t="shared" si="85"/>
        <v>0</v>
      </c>
      <c r="DB34" s="607">
        <f t="shared" si="86"/>
        <v>0</v>
      </c>
      <c r="DC34" s="607">
        <f t="shared" si="87"/>
        <v>0</v>
      </c>
      <c r="DD34" s="607"/>
      <c r="DE34" s="471">
        <v>5.6</v>
      </c>
      <c r="DF34" s="473"/>
      <c r="DG34" s="473">
        <f t="shared" si="37"/>
        <v>5.6</v>
      </c>
      <c r="DH34" s="473">
        <f t="shared" si="16"/>
        <v>0</v>
      </c>
      <c r="DI34" s="227">
        <f t="shared" si="88"/>
        <v>0</v>
      </c>
      <c r="DJ34" s="473">
        <f t="shared" si="89"/>
        <v>5.6</v>
      </c>
      <c r="DK34" s="227">
        <f t="shared" si="90"/>
        <v>4.0465240430729362E-4</v>
      </c>
      <c r="DL34" s="1038"/>
      <c r="DM34" s="63">
        <v>1500</v>
      </c>
      <c r="DN34" s="64"/>
      <c r="DO34" s="66">
        <f t="shared" si="91"/>
        <v>1330</v>
      </c>
      <c r="DP34" s="66">
        <f t="shared" si="17"/>
        <v>170</v>
      </c>
      <c r="DQ34" s="412">
        <f t="shared" si="92"/>
        <v>0.51078661138152759</v>
      </c>
      <c r="DR34" s="66">
        <f t="shared" si="93"/>
        <v>4670</v>
      </c>
      <c r="DS34" s="412">
        <f t="shared" si="94"/>
        <v>0.33745120144911805</v>
      </c>
      <c r="DT34" s="1071"/>
      <c r="DU34" s="596">
        <v>400</v>
      </c>
      <c r="DV34" s="596"/>
      <c r="DW34" s="596">
        <f t="shared" si="38"/>
        <v>400</v>
      </c>
      <c r="DX34" s="596">
        <f t="shared" si="18"/>
        <v>0</v>
      </c>
      <c r="DY34" s="592">
        <f t="shared" si="95"/>
        <v>0</v>
      </c>
      <c r="DZ34" s="596">
        <f t="shared" si="96"/>
        <v>0</v>
      </c>
      <c r="EA34" s="592">
        <f t="shared" si="97"/>
        <v>0</v>
      </c>
      <c r="EB34" s="1041"/>
      <c r="EC34" s="448">
        <v>205</v>
      </c>
      <c r="ED34" s="449"/>
      <c r="EE34" s="449">
        <f t="shared" si="39"/>
        <v>205</v>
      </c>
      <c r="EF34" s="449">
        <f t="shared" si="19"/>
        <v>0</v>
      </c>
      <c r="EG34" s="450">
        <f t="shared" si="98"/>
        <v>0</v>
      </c>
      <c r="EH34" s="449">
        <f t="shared" si="99"/>
        <v>110</v>
      </c>
      <c r="EI34" s="450">
        <f t="shared" si="100"/>
        <v>7.9485293703218385E-3</v>
      </c>
      <c r="EJ34" s="1035"/>
      <c r="EK34" s="426">
        <v>2432</v>
      </c>
      <c r="EL34" s="427"/>
      <c r="EM34" s="427">
        <f t="shared" si="40"/>
        <v>2220</v>
      </c>
      <c r="EN34" s="427">
        <f t="shared" si="20"/>
        <v>212</v>
      </c>
      <c r="EO34" s="427">
        <f t="shared" si="41"/>
        <v>9252</v>
      </c>
      <c r="EP34" s="456">
        <v>70</v>
      </c>
      <c r="EQ34" s="457"/>
      <c r="ER34" s="457">
        <f t="shared" si="42"/>
        <v>70</v>
      </c>
      <c r="ES34" s="457">
        <f t="shared" si="21"/>
        <v>0</v>
      </c>
      <c r="ET34" s="457">
        <f t="shared" si="43"/>
        <v>84</v>
      </c>
      <c r="EU34" s="409">
        <v>40</v>
      </c>
      <c r="EV34" s="43"/>
      <c r="EW34" s="43">
        <f t="shared" si="44"/>
        <v>20</v>
      </c>
      <c r="EX34" s="43">
        <f t="shared" si="22"/>
        <v>20</v>
      </c>
      <c r="EY34" s="43">
        <f t="shared" si="45"/>
        <v>160</v>
      </c>
      <c r="EZ34" s="436">
        <v>100</v>
      </c>
      <c r="FA34" s="437"/>
      <c r="FB34" s="437">
        <f t="shared" si="46"/>
        <v>50</v>
      </c>
      <c r="FC34" s="437">
        <f t="shared" si="23"/>
        <v>50</v>
      </c>
      <c r="FD34" s="437">
        <f t="shared" si="47"/>
        <v>290</v>
      </c>
      <c r="FE34" s="442">
        <v>200</v>
      </c>
      <c r="FF34" s="443"/>
      <c r="FG34" s="443">
        <f t="shared" si="48"/>
        <v>175</v>
      </c>
      <c r="FH34" s="443">
        <f t="shared" si="24"/>
        <v>25</v>
      </c>
      <c r="FI34" s="443">
        <f t="shared" si="49"/>
        <v>225</v>
      </c>
      <c r="FJ34" s="392">
        <v>0</v>
      </c>
      <c r="FK34" s="298"/>
      <c r="FL34" s="298">
        <f t="shared" si="50"/>
        <v>0</v>
      </c>
      <c r="FM34" s="298">
        <f t="shared" si="25"/>
        <v>0</v>
      </c>
      <c r="FN34" s="498">
        <f t="shared" si="51"/>
        <v>900</v>
      </c>
      <c r="HC34" s="402"/>
      <c r="HD34" s="52"/>
      <c r="HE34" s="52">
        <f t="shared" si="52"/>
        <v>0</v>
      </c>
      <c r="HF34" s="52">
        <f t="shared" si="26"/>
        <v>0</v>
      </c>
      <c r="HG34" s="51"/>
      <c r="HH34" s="52">
        <f t="shared" si="101"/>
        <v>400</v>
      </c>
      <c r="HI34" s="51"/>
      <c r="HJ34" s="1047"/>
    </row>
    <row r="35" spans="1:218" ht="15" customHeight="1">
      <c r="A35" s="30">
        <v>44698</v>
      </c>
      <c r="B35" s="390">
        <v>412279</v>
      </c>
      <c r="C35" s="18">
        <f t="shared" si="27"/>
        <v>14251317</v>
      </c>
      <c r="D35" s="376">
        <v>5115.4399999999996</v>
      </c>
      <c r="E35" s="417">
        <f t="shared" si="109"/>
        <v>200781.03999999998</v>
      </c>
      <c r="F35" s="397">
        <v>58349</v>
      </c>
      <c r="G35" s="37"/>
      <c r="H35" s="37">
        <f t="shared" si="0"/>
        <v>54035</v>
      </c>
      <c r="I35" s="37">
        <f t="shared" si="1"/>
        <v>4314</v>
      </c>
      <c r="J35" s="37">
        <f t="shared" si="2"/>
        <v>843.3292150821826</v>
      </c>
      <c r="K35" s="37">
        <f t="shared" si="29"/>
        <v>103392</v>
      </c>
      <c r="L35" s="37">
        <f t="shared" si="3"/>
        <v>514.94902108286726</v>
      </c>
      <c r="M35" s="1098"/>
      <c r="N35" s="422">
        <v>150</v>
      </c>
      <c r="O35" s="423">
        <v>100</v>
      </c>
      <c r="P35" s="423">
        <f t="shared" si="4"/>
        <v>200</v>
      </c>
      <c r="Q35" s="423">
        <f t="shared" si="5"/>
        <v>50</v>
      </c>
      <c r="R35" s="423">
        <f t="shared" si="30"/>
        <v>2050</v>
      </c>
      <c r="S35" s="68">
        <v>5.4</v>
      </c>
      <c r="T35" s="67">
        <v>24</v>
      </c>
      <c r="U35" s="68">
        <f t="shared" si="53"/>
        <v>64.800000000000011</v>
      </c>
      <c r="V35" s="68">
        <f t="shared" si="6"/>
        <v>12.667532020705945</v>
      </c>
      <c r="W35" s="423">
        <f t="shared" si="54"/>
        <v>2024.4239999999998</v>
      </c>
      <c r="X35" s="68">
        <f t="shared" si="7"/>
        <v>10.082744864754162</v>
      </c>
      <c r="Y35" s="1073"/>
      <c r="Z35" s="424">
        <v>200</v>
      </c>
      <c r="AA35" s="425"/>
      <c r="AB35" s="425">
        <f t="shared" si="55"/>
        <v>175</v>
      </c>
      <c r="AC35" s="425">
        <f t="shared" si="56"/>
        <v>25</v>
      </c>
      <c r="AD35" s="425">
        <f t="shared" si="57"/>
        <v>400</v>
      </c>
      <c r="AE35" s="72">
        <v>1.54</v>
      </c>
      <c r="AF35" s="71">
        <v>12</v>
      </c>
      <c r="AG35" s="72">
        <f t="shared" si="58"/>
        <v>9.24</v>
      </c>
      <c r="AH35" s="72">
        <f t="shared" si="8"/>
        <v>1.8062962325821437</v>
      </c>
      <c r="AI35" s="425">
        <f t="shared" si="59"/>
        <v>358.73999999999995</v>
      </c>
      <c r="AJ35" s="72">
        <f t="shared" si="9"/>
        <v>1.7867224913268702</v>
      </c>
      <c r="AK35" s="1075"/>
      <c r="AL35" s="491">
        <v>12396</v>
      </c>
      <c r="AM35" s="491"/>
      <c r="AN35" s="492">
        <f t="shared" si="105"/>
        <v>12396</v>
      </c>
      <c r="AO35" s="492">
        <f t="shared" si="106"/>
        <v>0</v>
      </c>
      <c r="AP35" s="492">
        <f t="shared" si="107"/>
        <v>20227</v>
      </c>
      <c r="AQ35" s="493">
        <f t="shared" si="10"/>
        <v>100.74158396629484</v>
      </c>
      <c r="AR35" s="1078"/>
      <c r="AS35" s="413">
        <v>49235</v>
      </c>
      <c r="AT35" s="64"/>
      <c r="AU35" s="66">
        <f t="shared" si="61"/>
        <v>49235</v>
      </c>
      <c r="AV35" s="66">
        <f t="shared" si="11"/>
        <v>0</v>
      </c>
      <c r="AW35" s="412">
        <f t="shared" si="62"/>
        <v>0</v>
      </c>
      <c r="AX35" s="66">
        <f t="shared" si="63"/>
        <v>0</v>
      </c>
      <c r="AY35" s="412">
        <f t="shared" si="64"/>
        <v>0</v>
      </c>
      <c r="AZ35" s="1071"/>
      <c r="BA35" s="419">
        <v>45495</v>
      </c>
      <c r="BB35" s="419"/>
      <c r="BC35" s="407"/>
      <c r="BD35" s="419">
        <f t="shared" si="33"/>
        <v>45495</v>
      </c>
      <c r="BE35" s="419">
        <f t="shared" si="34"/>
        <v>0</v>
      </c>
      <c r="BF35" s="407">
        <f t="shared" si="65"/>
        <v>0</v>
      </c>
      <c r="BG35" s="419">
        <f t="shared" si="108"/>
        <v>0</v>
      </c>
      <c r="BH35" s="407">
        <f t="shared" si="67"/>
        <v>0</v>
      </c>
      <c r="BI35" s="407">
        <f t="shared" si="68"/>
        <v>0</v>
      </c>
      <c r="BJ35" s="1089"/>
      <c r="BK35" s="1084"/>
      <c r="BL35" s="49">
        <v>932</v>
      </c>
      <c r="BM35" s="50">
        <v>900</v>
      </c>
      <c r="BN35" s="52">
        <f t="shared" si="69"/>
        <v>1818</v>
      </c>
      <c r="BO35" s="52">
        <f t="shared" si="12"/>
        <v>14</v>
      </c>
      <c r="BP35" s="406">
        <f t="shared" si="70"/>
        <v>3.3957586973869636E-2</v>
      </c>
      <c r="BQ35" s="52">
        <f t="shared" si="71"/>
        <v>5282</v>
      </c>
      <c r="BR35" s="406">
        <f t="shared" si="72"/>
        <v>0.3706324124289706</v>
      </c>
      <c r="BS35" s="1047"/>
      <c r="BT35" s="409">
        <v>1744</v>
      </c>
      <c r="BU35" s="43"/>
      <c r="BV35" s="43">
        <f t="shared" si="102"/>
        <v>1684</v>
      </c>
      <c r="BW35" s="43">
        <f t="shared" si="103"/>
        <v>60</v>
      </c>
      <c r="BX35" s="42">
        <f t="shared" si="74"/>
        <v>0.14553251560229843</v>
      </c>
      <c r="BY35" s="43">
        <f t="shared" si="104"/>
        <v>1703</v>
      </c>
      <c r="BZ35" s="42">
        <f t="shared" si="76"/>
        <v>0.11949772782403198</v>
      </c>
      <c r="CA35" s="1058"/>
      <c r="CB35" s="392">
        <v>1323</v>
      </c>
      <c r="CC35" s="298"/>
      <c r="CD35" s="298">
        <f t="shared" si="35"/>
        <v>1127</v>
      </c>
      <c r="CE35" s="298">
        <f t="shared" si="14"/>
        <v>196</v>
      </c>
      <c r="CF35" s="297">
        <f t="shared" si="77"/>
        <v>0.4754062176341749</v>
      </c>
      <c r="CG35" s="298">
        <f t="shared" si="78"/>
        <v>18423</v>
      </c>
      <c r="CH35" s="297">
        <f t="shared" si="79"/>
        <v>1.2927226304768886</v>
      </c>
      <c r="CI35" s="1061"/>
      <c r="CJ35" s="651"/>
      <c r="CK35" s="651"/>
      <c r="CL35" s="651"/>
      <c r="CM35" s="651"/>
      <c r="CN35" s="651"/>
      <c r="CO35" s="464">
        <v>0</v>
      </c>
      <c r="CP35" s="465"/>
      <c r="CQ35" s="465">
        <f t="shared" si="36"/>
        <v>0</v>
      </c>
      <c r="CR35" s="465">
        <f t="shared" si="15"/>
        <v>0</v>
      </c>
      <c r="CS35" s="486">
        <f t="shared" si="80"/>
        <v>0</v>
      </c>
      <c r="CT35" s="465">
        <f t="shared" si="81"/>
        <v>180</v>
      </c>
      <c r="CU35" s="486">
        <f t="shared" si="82"/>
        <v>1.2630411631430274E-2</v>
      </c>
      <c r="CV35" s="1069"/>
      <c r="CW35" s="427">
        <v>5</v>
      </c>
      <c r="CX35" s="427"/>
      <c r="CY35" s="427">
        <f t="shared" si="83"/>
        <v>5</v>
      </c>
      <c r="CZ35" s="427">
        <f t="shared" si="84"/>
        <v>0</v>
      </c>
      <c r="DA35" s="607">
        <f t="shared" si="85"/>
        <v>0</v>
      </c>
      <c r="DB35" s="607">
        <f t="shared" si="86"/>
        <v>0</v>
      </c>
      <c r="DC35" s="607">
        <f t="shared" si="87"/>
        <v>0</v>
      </c>
      <c r="DD35" s="607"/>
      <c r="DE35" s="471">
        <v>5.6</v>
      </c>
      <c r="DF35" s="473"/>
      <c r="DG35" s="473">
        <f t="shared" si="37"/>
        <v>5.6</v>
      </c>
      <c r="DH35" s="473">
        <f t="shared" si="16"/>
        <v>0</v>
      </c>
      <c r="DI35" s="227">
        <f t="shared" si="88"/>
        <v>0</v>
      </c>
      <c r="DJ35" s="473">
        <f t="shared" si="89"/>
        <v>5.6</v>
      </c>
      <c r="DK35" s="227">
        <f t="shared" si="90"/>
        <v>3.9294613964449744E-4</v>
      </c>
      <c r="DL35" s="1038"/>
      <c r="DM35" s="63">
        <v>1330</v>
      </c>
      <c r="DN35" s="64"/>
      <c r="DO35" s="66">
        <f t="shared" si="91"/>
        <v>1250</v>
      </c>
      <c r="DP35" s="66">
        <f t="shared" si="17"/>
        <v>80</v>
      </c>
      <c r="DQ35" s="412">
        <f t="shared" si="92"/>
        <v>0.19404335413639792</v>
      </c>
      <c r="DR35" s="66">
        <f t="shared" si="93"/>
        <v>4750</v>
      </c>
      <c r="DS35" s="412">
        <f t="shared" si="94"/>
        <v>0.33330252916274333</v>
      </c>
      <c r="DT35" s="1071"/>
      <c r="DU35" s="596">
        <v>400</v>
      </c>
      <c r="DV35" s="596"/>
      <c r="DW35" s="596">
        <f t="shared" si="38"/>
        <v>280</v>
      </c>
      <c r="DX35" s="596">
        <f t="shared" si="18"/>
        <v>120</v>
      </c>
      <c r="DY35" s="592">
        <f t="shared" si="95"/>
        <v>0.29106503120459687</v>
      </c>
      <c r="DZ35" s="596">
        <f t="shared" si="96"/>
        <v>120</v>
      </c>
      <c r="EA35" s="592">
        <f t="shared" si="97"/>
        <v>8.4202744209535153E-3</v>
      </c>
      <c r="EB35" s="1041"/>
      <c r="EC35" s="448">
        <v>205</v>
      </c>
      <c r="ED35" s="449"/>
      <c r="EE35" s="449">
        <f t="shared" si="39"/>
        <v>205</v>
      </c>
      <c r="EF35" s="449">
        <f t="shared" si="19"/>
        <v>0</v>
      </c>
      <c r="EG35" s="450">
        <f t="shared" si="98"/>
        <v>0</v>
      </c>
      <c r="EH35" s="449">
        <f t="shared" si="99"/>
        <v>110</v>
      </c>
      <c r="EI35" s="450">
        <f t="shared" si="100"/>
        <v>7.7185848858740561E-3</v>
      </c>
      <c r="EJ35" s="1035"/>
      <c r="EK35" s="426">
        <v>2220</v>
      </c>
      <c r="EL35" s="427">
        <v>2400</v>
      </c>
      <c r="EM35" s="427">
        <f t="shared" si="40"/>
        <v>4296</v>
      </c>
      <c r="EN35" s="427">
        <f t="shared" si="20"/>
        <v>324</v>
      </c>
      <c r="EO35" s="427">
        <f t="shared" si="41"/>
        <v>9576</v>
      </c>
      <c r="EP35" s="456">
        <v>70</v>
      </c>
      <c r="EQ35" s="457"/>
      <c r="ER35" s="457">
        <f t="shared" si="42"/>
        <v>70</v>
      </c>
      <c r="ES35" s="457">
        <f t="shared" si="21"/>
        <v>0</v>
      </c>
      <c r="ET35" s="457">
        <f t="shared" si="43"/>
        <v>84</v>
      </c>
      <c r="EU35" s="409">
        <v>20</v>
      </c>
      <c r="EV35" s="43">
        <v>20</v>
      </c>
      <c r="EW35" s="43">
        <f t="shared" si="44"/>
        <v>40</v>
      </c>
      <c r="EX35" s="43">
        <f t="shared" si="22"/>
        <v>0</v>
      </c>
      <c r="EY35" s="43">
        <f t="shared" si="45"/>
        <v>160</v>
      </c>
      <c r="EZ35" s="436">
        <v>50</v>
      </c>
      <c r="FA35" s="437">
        <v>50</v>
      </c>
      <c r="FB35" s="437">
        <f t="shared" si="46"/>
        <v>100</v>
      </c>
      <c r="FC35" s="437">
        <f t="shared" si="23"/>
        <v>0</v>
      </c>
      <c r="FD35" s="437">
        <f t="shared" si="47"/>
        <v>290</v>
      </c>
      <c r="FE35" s="442">
        <v>175</v>
      </c>
      <c r="FF35" s="443"/>
      <c r="FG35" s="443">
        <f t="shared" si="48"/>
        <v>175</v>
      </c>
      <c r="FH35" s="443">
        <f t="shared" si="24"/>
        <v>0</v>
      </c>
      <c r="FI35" s="443">
        <f t="shared" si="49"/>
        <v>225</v>
      </c>
      <c r="FJ35" s="392">
        <v>0</v>
      </c>
      <c r="FK35" s="298"/>
      <c r="FL35" s="298">
        <f t="shared" si="50"/>
        <v>0</v>
      </c>
      <c r="FM35" s="298">
        <f t="shared" si="25"/>
        <v>0</v>
      </c>
      <c r="FN35" s="498">
        <f t="shared" si="51"/>
        <v>900</v>
      </c>
      <c r="HC35" s="402"/>
      <c r="HD35" s="52"/>
      <c r="HE35" s="52">
        <f t="shared" si="52"/>
        <v>0</v>
      </c>
      <c r="HF35" s="52">
        <f t="shared" si="26"/>
        <v>0</v>
      </c>
      <c r="HG35" s="51"/>
      <c r="HH35" s="52">
        <f t="shared" si="101"/>
        <v>400</v>
      </c>
      <c r="HI35" s="51"/>
      <c r="HJ35" s="1047"/>
    </row>
    <row r="36" spans="1:218" ht="15" customHeight="1">
      <c r="A36" s="30">
        <v>44699</v>
      </c>
      <c r="B36" s="390">
        <v>208655</v>
      </c>
      <c r="C36" s="18">
        <f t="shared" si="27"/>
        <v>14459972</v>
      </c>
      <c r="D36" s="376">
        <v>5036.04</v>
      </c>
      <c r="E36" s="417">
        <f t="shared" si="109"/>
        <v>205817.08</v>
      </c>
      <c r="F36" s="397">
        <v>54035</v>
      </c>
      <c r="G36" s="37"/>
      <c r="H36" s="37">
        <f t="shared" ref="H36:H68" si="110">F37</f>
        <v>50080</v>
      </c>
      <c r="I36" s="37">
        <f t="shared" ref="I36:I67" si="111">F36+G36-H36</f>
        <v>3955</v>
      </c>
      <c r="J36" s="37">
        <f t="shared" si="2"/>
        <v>785.33927450933675</v>
      </c>
      <c r="K36" s="37">
        <f t="shared" si="29"/>
        <v>107347</v>
      </c>
      <c r="L36" s="37">
        <f t="shared" ref="L36:L67" si="112">K36*1000/E36</f>
        <v>521.56507127591158</v>
      </c>
      <c r="M36" s="1098"/>
      <c r="N36" s="422">
        <v>200</v>
      </c>
      <c r="O36" s="423"/>
      <c r="P36" s="423">
        <f t="shared" ref="P36:P69" si="113">N37</f>
        <v>150</v>
      </c>
      <c r="Q36" s="423">
        <f t="shared" ref="Q36:Q67" si="114">N36+O36-P36</f>
        <v>50</v>
      </c>
      <c r="R36" s="423">
        <f t="shared" si="30"/>
        <v>2100</v>
      </c>
      <c r="S36" s="68">
        <v>4.88</v>
      </c>
      <c r="T36" s="67">
        <v>24</v>
      </c>
      <c r="U36" s="68">
        <f t="shared" si="53"/>
        <v>58.56</v>
      </c>
      <c r="V36" s="68">
        <f t="shared" si="6"/>
        <v>11.628184049372125</v>
      </c>
      <c r="W36" s="423">
        <f t="shared" si="54"/>
        <v>2082.9839999999999</v>
      </c>
      <c r="X36" s="68">
        <f t="shared" ref="X36:X67" si="115">W36*1000/E36</f>
        <v>10.120559479320182</v>
      </c>
      <c r="Y36" s="1073"/>
      <c r="Z36" s="424">
        <v>175</v>
      </c>
      <c r="AA36" s="425"/>
      <c r="AB36" s="425">
        <f t="shared" si="55"/>
        <v>175</v>
      </c>
      <c r="AC36" s="425">
        <f t="shared" si="56"/>
        <v>0</v>
      </c>
      <c r="AD36" s="425">
        <f t="shared" si="57"/>
        <v>400</v>
      </c>
      <c r="AE36" s="72">
        <v>1.28</v>
      </c>
      <c r="AF36" s="71">
        <v>12</v>
      </c>
      <c r="AG36" s="72">
        <f t="shared" si="58"/>
        <v>7.68</v>
      </c>
      <c r="AH36" s="72">
        <f t="shared" si="8"/>
        <v>1.525007744179951</v>
      </c>
      <c r="AI36" s="425">
        <f t="shared" si="59"/>
        <v>366.41999999999996</v>
      </c>
      <c r="AJ36" s="72">
        <f t="shared" ref="AJ36:AJ67" si="116">AI36*1000/E36</f>
        <v>1.7803187179606277</v>
      </c>
      <c r="AK36" s="1075"/>
      <c r="AL36" s="491">
        <v>12396</v>
      </c>
      <c r="AM36" s="491"/>
      <c r="AN36" s="492">
        <f t="shared" si="105"/>
        <v>12396</v>
      </c>
      <c r="AO36" s="492">
        <f t="shared" si="106"/>
        <v>0</v>
      </c>
      <c r="AP36" s="492">
        <f t="shared" si="107"/>
        <v>20227</v>
      </c>
      <c r="AQ36" s="493">
        <f t="shared" ref="AQ36:AQ67" si="117">AP36*1000/E36</f>
        <v>98.276586180311185</v>
      </c>
      <c r="AR36" s="1078"/>
      <c r="AS36" s="413">
        <v>49235</v>
      </c>
      <c r="AT36" s="64"/>
      <c r="AU36" s="66">
        <f t="shared" si="61"/>
        <v>49235</v>
      </c>
      <c r="AV36" s="66">
        <f t="shared" si="11"/>
        <v>0</v>
      </c>
      <c r="AW36" s="412">
        <f t="shared" si="62"/>
        <v>0</v>
      </c>
      <c r="AX36" s="66">
        <f t="shared" si="63"/>
        <v>0</v>
      </c>
      <c r="AY36" s="412">
        <f t="shared" si="64"/>
        <v>0</v>
      </c>
      <c r="AZ36" s="1071"/>
      <c r="BA36" s="419">
        <v>45495</v>
      </c>
      <c r="BB36" s="419"/>
      <c r="BC36" s="407"/>
      <c r="BD36" s="419">
        <f t="shared" si="33"/>
        <v>45495</v>
      </c>
      <c r="BE36" s="419">
        <f t="shared" si="34"/>
        <v>0</v>
      </c>
      <c r="BF36" s="407">
        <f t="shared" si="65"/>
        <v>0</v>
      </c>
      <c r="BG36" s="419">
        <f t="shared" si="108"/>
        <v>0</v>
      </c>
      <c r="BH36" s="407">
        <f t="shared" si="67"/>
        <v>0</v>
      </c>
      <c r="BI36" s="407">
        <f t="shared" si="68"/>
        <v>0</v>
      </c>
      <c r="BJ36" s="1089"/>
      <c r="BK36" s="1084"/>
      <c r="BL36" s="49">
        <v>1818</v>
      </c>
      <c r="BM36" s="50"/>
      <c r="BN36" s="52">
        <f t="shared" si="69"/>
        <v>1633</v>
      </c>
      <c r="BO36" s="52">
        <f t="shared" si="12"/>
        <v>185</v>
      </c>
      <c r="BP36" s="406">
        <f t="shared" si="70"/>
        <v>0.88663104167165896</v>
      </c>
      <c r="BQ36" s="52">
        <f t="shared" si="71"/>
        <v>5467</v>
      </c>
      <c r="BR36" s="406">
        <f t="shared" si="72"/>
        <v>0.37807818715001662</v>
      </c>
      <c r="BS36" s="1047"/>
      <c r="BT36" s="409">
        <v>1684</v>
      </c>
      <c r="BU36" s="43"/>
      <c r="BV36" s="43">
        <f t="shared" si="102"/>
        <v>1605</v>
      </c>
      <c r="BW36" s="43">
        <f t="shared" si="103"/>
        <v>79</v>
      </c>
      <c r="BX36" s="42">
        <f t="shared" si="74"/>
        <v>0.37861541779492464</v>
      </c>
      <c r="BY36" s="43">
        <f t="shared" si="104"/>
        <v>1782</v>
      </c>
      <c r="BZ36" s="42">
        <f t="shared" si="76"/>
        <v>0.12323675315553861</v>
      </c>
      <c r="CA36" s="1058"/>
      <c r="CB36" s="392">
        <v>1127</v>
      </c>
      <c r="CC36" s="298"/>
      <c r="CD36" s="298">
        <f t="shared" si="35"/>
        <v>828</v>
      </c>
      <c r="CE36" s="298">
        <f t="shared" si="14"/>
        <v>299</v>
      </c>
      <c r="CF36" s="297">
        <f t="shared" si="77"/>
        <v>1.432987467350411</v>
      </c>
      <c r="CG36" s="298">
        <f t="shared" si="78"/>
        <v>18722</v>
      </c>
      <c r="CH36" s="297">
        <f t="shared" si="79"/>
        <v>1.2947466288316465</v>
      </c>
      <c r="CI36" s="1061"/>
      <c r="CJ36" s="651"/>
      <c r="CK36" s="651"/>
      <c r="CL36" s="651"/>
      <c r="CM36" s="651"/>
      <c r="CN36" s="651"/>
      <c r="CO36" s="464">
        <v>0</v>
      </c>
      <c r="CP36" s="465"/>
      <c r="CQ36" s="465">
        <f t="shared" si="36"/>
        <v>0</v>
      </c>
      <c r="CR36" s="465">
        <f t="shared" si="15"/>
        <v>0</v>
      </c>
      <c r="CS36" s="486">
        <f t="shared" si="80"/>
        <v>0</v>
      </c>
      <c r="CT36" s="465">
        <f t="shared" si="81"/>
        <v>180</v>
      </c>
      <c r="CU36" s="486">
        <f t="shared" si="82"/>
        <v>1.244815688439784E-2</v>
      </c>
      <c r="CV36" s="1069"/>
      <c r="CW36" s="427">
        <v>5</v>
      </c>
      <c r="CX36" s="427"/>
      <c r="CY36" s="427">
        <f t="shared" si="83"/>
        <v>5</v>
      </c>
      <c r="CZ36" s="427">
        <f t="shared" si="84"/>
        <v>0</v>
      </c>
      <c r="DA36" s="607">
        <f t="shared" si="85"/>
        <v>0</v>
      </c>
      <c r="DB36" s="607">
        <f t="shared" si="86"/>
        <v>0</v>
      </c>
      <c r="DC36" s="607">
        <f t="shared" si="87"/>
        <v>0</v>
      </c>
      <c r="DD36" s="607"/>
      <c r="DE36" s="471">
        <v>5.6</v>
      </c>
      <c r="DF36" s="473"/>
      <c r="DG36" s="473">
        <f t="shared" si="37"/>
        <v>5.6</v>
      </c>
      <c r="DH36" s="473">
        <f t="shared" si="16"/>
        <v>0</v>
      </c>
      <c r="DI36" s="227">
        <f t="shared" si="88"/>
        <v>0</v>
      </c>
      <c r="DJ36" s="473">
        <f t="shared" si="89"/>
        <v>5.6</v>
      </c>
      <c r="DK36" s="227">
        <f t="shared" si="90"/>
        <v>3.872759919590439E-4</v>
      </c>
      <c r="DL36" s="1038"/>
      <c r="DM36" s="63">
        <v>1250</v>
      </c>
      <c r="DN36" s="64"/>
      <c r="DO36" s="66">
        <f t="shared" si="91"/>
        <v>1180</v>
      </c>
      <c r="DP36" s="66">
        <f t="shared" si="17"/>
        <v>70</v>
      </c>
      <c r="DQ36" s="412">
        <f t="shared" si="92"/>
        <v>0.33548201576765474</v>
      </c>
      <c r="DR36" s="66">
        <f t="shared" si="93"/>
        <v>4820</v>
      </c>
      <c r="DS36" s="412">
        <f t="shared" si="94"/>
        <v>0.33333397879331994</v>
      </c>
      <c r="DT36" s="1071"/>
      <c r="DU36" s="596">
        <v>280</v>
      </c>
      <c r="DV36" s="596"/>
      <c r="DW36" s="596">
        <f t="shared" si="38"/>
        <v>210</v>
      </c>
      <c r="DX36" s="596">
        <f t="shared" si="18"/>
        <v>70</v>
      </c>
      <c r="DY36" s="592">
        <f t="shared" si="95"/>
        <v>0.33548201576765474</v>
      </c>
      <c r="DZ36" s="596">
        <f t="shared" si="96"/>
        <v>190</v>
      </c>
      <c r="EA36" s="592">
        <f t="shared" si="97"/>
        <v>1.3139721155753275E-2</v>
      </c>
      <c r="EB36" s="1041"/>
      <c r="EC36" s="448">
        <v>205</v>
      </c>
      <c r="ED36" s="449"/>
      <c r="EE36" s="449">
        <f t="shared" si="39"/>
        <v>205</v>
      </c>
      <c r="EF36" s="449">
        <f t="shared" si="19"/>
        <v>0</v>
      </c>
      <c r="EG36" s="450">
        <f t="shared" si="98"/>
        <v>0</v>
      </c>
      <c r="EH36" s="449">
        <f t="shared" si="99"/>
        <v>110</v>
      </c>
      <c r="EI36" s="450">
        <f t="shared" si="100"/>
        <v>7.6072069849097909E-3</v>
      </c>
      <c r="EJ36" s="1035"/>
      <c r="EK36" s="426">
        <v>4296</v>
      </c>
      <c r="EL36" s="427"/>
      <c r="EM36" s="427">
        <f t="shared" si="40"/>
        <v>3846</v>
      </c>
      <c r="EN36" s="427">
        <f t="shared" si="20"/>
        <v>450</v>
      </c>
      <c r="EO36" s="427">
        <f t="shared" si="41"/>
        <v>10026</v>
      </c>
      <c r="EP36" s="456">
        <v>70</v>
      </c>
      <c r="EQ36" s="457"/>
      <c r="ER36" s="457">
        <f t="shared" si="42"/>
        <v>56</v>
      </c>
      <c r="ES36" s="457">
        <f t="shared" si="21"/>
        <v>14</v>
      </c>
      <c r="ET36" s="457">
        <f t="shared" si="43"/>
        <v>98</v>
      </c>
      <c r="EU36" s="409">
        <v>40</v>
      </c>
      <c r="EV36" s="43"/>
      <c r="EW36" s="43">
        <f t="shared" si="44"/>
        <v>20</v>
      </c>
      <c r="EX36" s="43">
        <f t="shared" si="22"/>
        <v>20</v>
      </c>
      <c r="EY36" s="43">
        <f t="shared" si="45"/>
        <v>180</v>
      </c>
      <c r="EZ36" s="436">
        <v>100</v>
      </c>
      <c r="FA36" s="437"/>
      <c r="FB36" s="437">
        <f t="shared" si="46"/>
        <v>100</v>
      </c>
      <c r="FC36" s="437">
        <f t="shared" si="23"/>
        <v>0</v>
      </c>
      <c r="FD36" s="437">
        <f t="shared" si="47"/>
        <v>290</v>
      </c>
      <c r="FE36" s="442">
        <v>175</v>
      </c>
      <c r="FF36" s="443"/>
      <c r="FG36" s="443">
        <f t="shared" si="48"/>
        <v>150</v>
      </c>
      <c r="FH36" s="443">
        <f t="shared" si="24"/>
        <v>25</v>
      </c>
      <c r="FI36" s="443">
        <f t="shared" si="49"/>
        <v>250</v>
      </c>
      <c r="FJ36" s="392">
        <v>0</v>
      </c>
      <c r="FK36" s="298"/>
      <c r="FL36" s="298">
        <f t="shared" si="50"/>
        <v>0</v>
      </c>
      <c r="FM36" s="298">
        <f t="shared" si="25"/>
        <v>0</v>
      </c>
      <c r="FN36" s="498">
        <f t="shared" si="51"/>
        <v>900</v>
      </c>
      <c r="HC36" s="402"/>
      <c r="HD36" s="52"/>
      <c r="HE36" s="52">
        <f t="shared" si="52"/>
        <v>0</v>
      </c>
      <c r="HF36" s="52">
        <f t="shared" si="26"/>
        <v>0</v>
      </c>
      <c r="HG36" s="51"/>
      <c r="HH36" s="52">
        <f t="shared" si="101"/>
        <v>400</v>
      </c>
      <c r="HI36" s="51"/>
      <c r="HJ36" s="1047"/>
    </row>
    <row r="37" spans="1:218" ht="15" customHeight="1">
      <c r="A37" s="30">
        <v>44700</v>
      </c>
      <c r="B37" s="390">
        <v>683972</v>
      </c>
      <c r="C37" s="18">
        <f t="shared" ref="C37:C67" si="118">C36+B37</f>
        <v>15143944</v>
      </c>
      <c r="D37" s="376">
        <v>7570.9</v>
      </c>
      <c r="E37" s="417">
        <f t="shared" si="109"/>
        <v>213387.97999999998</v>
      </c>
      <c r="F37" s="397">
        <v>50080</v>
      </c>
      <c r="G37" s="37"/>
      <c r="H37" s="37">
        <f t="shared" si="110"/>
        <v>48601</v>
      </c>
      <c r="I37" s="37">
        <f t="shared" si="111"/>
        <v>1479</v>
      </c>
      <c r="J37" s="37">
        <f t="shared" si="2"/>
        <v>195.35326051063944</v>
      </c>
      <c r="K37" s="37">
        <f t="shared" ref="K37:K69" si="119">K36+I37</f>
        <v>108826</v>
      </c>
      <c r="L37" s="37">
        <f t="shared" si="112"/>
        <v>509.99123755705455</v>
      </c>
      <c r="M37" s="1098"/>
      <c r="N37" s="422">
        <v>150</v>
      </c>
      <c r="O37" s="423">
        <v>150</v>
      </c>
      <c r="P37" s="423">
        <f t="shared" si="113"/>
        <v>200</v>
      </c>
      <c r="Q37" s="423">
        <f t="shared" si="114"/>
        <v>100</v>
      </c>
      <c r="R37" s="423">
        <f t="shared" ref="R37:R68" si="120">Q37+R36</f>
        <v>2200</v>
      </c>
      <c r="S37" s="68">
        <v>7.11</v>
      </c>
      <c r="T37" s="67">
        <v>24</v>
      </c>
      <c r="U37" s="68">
        <f t="shared" si="53"/>
        <v>85.320000000000007</v>
      </c>
      <c r="V37" s="68">
        <f t="shared" si="6"/>
        <v>11.269465981587397</v>
      </c>
      <c r="W37" s="423">
        <f t="shared" si="54"/>
        <v>2168.3040000000001</v>
      </c>
      <c r="X37" s="68">
        <f t="shared" si="115"/>
        <v>10.161322113832279</v>
      </c>
      <c r="Y37" s="1073"/>
      <c r="Z37" s="424">
        <v>175</v>
      </c>
      <c r="AA37" s="425"/>
      <c r="AB37" s="425">
        <f t="shared" si="55"/>
        <v>150</v>
      </c>
      <c r="AC37" s="425">
        <f t="shared" si="56"/>
        <v>25</v>
      </c>
      <c r="AD37" s="425">
        <f t="shared" si="57"/>
        <v>425</v>
      </c>
      <c r="AE37" s="72">
        <v>1.95</v>
      </c>
      <c r="AF37" s="71">
        <v>12</v>
      </c>
      <c r="AG37" s="72">
        <f t="shared" si="58"/>
        <v>11.7</v>
      </c>
      <c r="AH37" s="72">
        <f t="shared" si="8"/>
        <v>1.5453909046480605</v>
      </c>
      <c r="AI37" s="425">
        <f t="shared" si="59"/>
        <v>378.11999999999995</v>
      </c>
      <c r="AJ37" s="72">
        <f t="shared" si="116"/>
        <v>1.7719835953271594</v>
      </c>
      <c r="AK37" s="1075"/>
      <c r="AL37" s="491">
        <v>12396</v>
      </c>
      <c r="AM37" s="491"/>
      <c r="AN37" s="492">
        <f t="shared" si="105"/>
        <v>12396</v>
      </c>
      <c r="AO37" s="492">
        <f t="shared" si="106"/>
        <v>0</v>
      </c>
      <c r="AP37" s="492">
        <f t="shared" si="107"/>
        <v>20227</v>
      </c>
      <c r="AQ37" s="493">
        <f t="shared" si="117"/>
        <v>94.789781505031357</v>
      </c>
      <c r="AR37" s="1078"/>
      <c r="AS37" s="413">
        <v>49235</v>
      </c>
      <c r="AT37" s="64"/>
      <c r="AU37" s="66">
        <f t="shared" si="61"/>
        <v>49235</v>
      </c>
      <c r="AV37" s="66">
        <f t="shared" si="11"/>
        <v>0</v>
      </c>
      <c r="AW37" s="412">
        <f t="shared" si="62"/>
        <v>0</v>
      </c>
      <c r="AX37" s="66">
        <f t="shared" si="63"/>
        <v>0</v>
      </c>
      <c r="AY37" s="412">
        <f t="shared" si="64"/>
        <v>0</v>
      </c>
      <c r="AZ37" s="1071"/>
      <c r="BA37" s="419">
        <v>45495</v>
      </c>
      <c r="BB37" s="419"/>
      <c r="BC37" s="407"/>
      <c r="BD37" s="419">
        <f t="shared" si="33"/>
        <v>45495</v>
      </c>
      <c r="BE37" s="419">
        <f t="shared" si="34"/>
        <v>0</v>
      </c>
      <c r="BF37" s="407">
        <f t="shared" si="65"/>
        <v>0</v>
      </c>
      <c r="BG37" s="419">
        <f t="shared" si="108"/>
        <v>0</v>
      </c>
      <c r="BH37" s="407">
        <f t="shared" si="67"/>
        <v>0</v>
      </c>
      <c r="BI37" s="407">
        <f t="shared" si="68"/>
        <v>0</v>
      </c>
      <c r="BJ37" s="1089"/>
      <c r="BK37" s="1084"/>
      <c r="BL37" s="49">
        <v>1633</v>
      </c>
      <c r="BM37" s="50"/>
      <c r="BN37" s="52">
        <f t="shared" si="69"/>
        <v>1422</v>
      </c>
      <c r="BO37" s="52">
        <f t="shared" si="12"/>
        <v>211</v>
      </c>
      <c r="BP37" s="406">
        <f t="shared" si="70"/>
        <v>0.30849216049779815</v>
      </c>
      <c r="BQ37" s="52">
        <f t="shared" si="71"/>
        <v>5678</v>
      </c>
      <c r="BR37" s="406">
        <f t="shared" si="72"/>
        <v>0.37493535369650072</v>
      </c>
      <c r="BS37" s="1047"/>
      <c r="BT37" s="409">
        <v>1605</v>
      </c>
      <c r="BU37" s="43"/>
      <c r="BV37" s="43">
        <f t="shared" si="102"/>
        <v>1565</v>
      </c>
      <c r="BW37" s="43">
        <f t="shared" si="103"/>
        <v>40</v>
      </c>
      <c r="BX37" s="42">
        <f t="shared" si="74"/>
        <v>5.8481926160720031E-2</v>
      </c>
      <c r="BY37" s="43">
        <f t="shared" si="104"/>
        <v>1822</v>
      </c>
      <c r="BZ37" s="42">
        <f t="shared" si="76"/>
        <v>0.12031211948485811</v>
      </c>
      <c r="CA37" s="1058"/>
      <c r="CB37" s="392">
        <v>828</v>
      </c>
      <c r="CC37" s="298">
        <v>1150</v>
      </c>
      <c r="CD37" s="298">
        <f t="shared" si="35"/>
        <v>1495</v>
      </c>
      <c r="CE37" s="298">
        <f t="shared" si="14"/>
        <v>483</v>
      </c>
      <c r="CF37" s="297">
        <f t="shared" si="77"/>
        <v>0.70616925839069433</v>
      </c>
      <c r="CG37" s="298">
        <f t="shared" si="78"/>
        <v>19205</v>
      </c>
      <c r="CH37" s="297">
        <f t="shared" si="79"/>
        <v>1.2681636963263996</v>
      </c>
      <c r="CI37" s="1061"/>
      <c r="CJ37" s="651"/>
      <c r="CK37" s="651"/>
      <c r="CL37" s="651"/>
      <c r="CM37" s="651"/>
      <c r="CN37" s="651"/>
      <c r="CO37" s="464">
        <v>0</v>
      </c>
      <c r="CP37" s="465"/>
      <c r="CQ37" s="465">
        <f t="shared" si="36"/>
        <v>0</v>
      </c>
      <c r="CR37" s="465">
        <f t="shared" si="15"/>
        <v>0</v>
      </c>
      <c r="CS37" s="486">
        <f t="shared" si="80"/>
        <v>0</v>
      </c>
      <c r="CT37" s="465">
        <f t="shared" si="81"/>
        <v>180</v>
      </c>
      <c r="CU37" s="486">
        <f t="shared" si="82"/>
        <v>1.1885939356352612E-2</v>
      </c>
      <c r="CV37" s="1069"/>
      <c r="CW37" s="427">
        <v>5</v>
      </c>
      <c r="CX37" s="427"/>
      <c r="CY37" s="427">
        <f t="shared" si="83"/>
        <v>5</v>
      </c>
      <c r="CZ37" s="427">
        <f t="shared" si="84"/>
        <v>0</v>
      </c>
      <c r="DA37" s="607">
        <f t="shared" si="85"/>
        <v>0</v>
      </c>
      <c r="DB37" s="607">
        <f t="shared" si="86"/>
        <v>0</v>
      </c>
      <c r="DC37" s="607">
        <f t="shared" si="87"/>
        <v>0</v>
      </c>
      <c r="DD37" s="607"/>
      <c r="DE37" s="471">
        <v>5.6</v>
      </c>
      <c r="DF37" s="473"/>
      <c r="DG37" s="473">
        <f t="shared" si="37"/>
        <v>5.6</v>
      </c>
      <c r="DH37" s="473">
        <f t="shared" si="16"/>
        <v>0</v>
      </c>
      <c r="DI37" s="227">
        <f t="shared" si="88"/>
        <v>0</v>
      </c>
      <c r="DJ37" s="473">
        <f t="shared" si="89"/>
        <v>5.6</v>
      </c>
      <c r="DK37" s="227">
        <f t="shared" si="90"/>
        <v>3.6978477997541461E-4</v>
      </c>
      <c r="DL37" s="1038"/>
      <c r="DM37" s="63">
        <v>1180</v>
      </c>
      <c r="DN37" s="64"/>
      <c r="DO37" s="66">
        <f t="shared" si="91"/>
        <v>1000</v>
      </c>
      <c r="DP37" s="66">
        <f t="shared" si="17"/>
        <v>180</v>
      </c>
      <c r="DQ37" s="412">
        <f t="shared" si="92"/>
        <v>0.26316866772324016</v>
      </c>
      <c r="DR37" s="66">
        <f t="shared" si="93"/>
        <v>5000</v>
      </c>
      <c r="DS37" s="412">
        <f t="shared" si="94"/>
        <v>0.33016498212090589</v>
      </c>
      <c r="DT37" s="1071"/>
      <c r="DU37" s="596">
        <v>210</v>
      </c>
      <c r="DV37" s="596">
        <v>400</v>
      </c>
      <c r="DW37" s="596">
        <f t="shared" si="38"/>
        <v>600</v>
      </c>
      <c r="DX37" s="596">
        <f t="shared" si="18"/>
        <v>10</v>
      </c>
      <c r="DY37" s="592">
        <f t="shared" si="95"/>
        <v>1.4620481540180008E-2</v>
      </c>
      <c r="DZ37" s="596">
        <f t="shared" si="96"/>
        <v>200</v>
      </c>
      <c r="EA37" s="592">
        <f t="shared" si="97"/>
        <v>1.3206599284836236E-2</v>
      </c>
      <c r="EB37" s="1041"/>
      <c r="EC37" s="448">
        <v>205</v>
      </c>
      <c r="ED37" s="449"/>
      <c r="EE37" s="449">
        <f t="shared" si="39"/>
        <v>205</v>
      </c>
      <c r="EF37" s="449">
        <f t="shared" si="19"/>
        <v>0</v>
      </c>
      <c r="EG37" s="450">
        <f t="shared" si="98"/>
        <v>0</v>
      </c>
      <c r="EH37" s="449">
        <f t="shared" si="99"/>
        <v>110</v>
      </c>
      <c r="EI37" s="450">
        <f t="shared" si="100"/>
        <v>7.2636296066599295E-3</v>
      </c>
      <c r="EJ37" s="1035"/>
      <c r="EK37" s="426">
        <v>3846</v>
      </c>
      <c r="EL37" s="427">
        <v>1200</v>
      </c>
      <c r="EM37" s="427">
        <f t="shared" si="40"/>
        <v>4920</v>
      </c>
      <c r="EN37" s="427">
        <f t="shared" si="20"/>
        <v>126</v>
      </c>
      <c r="EO37" s="427">
        <f t="shared" si="41"/>
        <v>10152</v>
      </c>
      <c r="EP37" s="456">
        <v>56</v>
      </c>
      <c r="EQ37" s="457"/>
      <c r="ER37" s="457">
        <f t="shared" si="42"/>
        <v>42</v>
      </c>
      <c r="ES37" s="457">
        <f t="shared" si="21"/>
        <v>14</v>
      </c>
      <c r="ET37" s="457">
        <f t="shared" si="43"/>
        <v>112</v>
      </c>
      <c r="EU37" s="409">
        <v>20</v>
      </c>
      <c r="EV37" s="43">
        <v>200</v>
      </c>
      <c r="EW37" s="43">
        <f t="shared" si="44"/>
        <v>220</v>
      </c>
      <c r="EX37" s="43">
        <f t="shared" si="22"/>
        <v>0</v>
      </c>
      <c r="EY37" s="43">
        <f t="shared" si="45"/>
        <v>180</v>
      </c>
      <c r="EZ37" s="436">
        <v>100</v>
      </c>
      <c r="FA37" s="437"/>
      <c r="FB37" s="437">
        <f t="shared" si="46"/>
        <v>100</v>
      </c>
      <c r="FC37" s="437">
        <f t="shared" si="23"/>
        <v>0</v>
      </c>
      <c r="FD37" s="437">
        <f t="shared" si="47"/>
        <v>290</v>
      </c>
      <c r="FE37" s="442">
        <v>150</v>
      </c>
      <c r="FF37" s="443"/>
      <c r="FG37" s="443">
        <f t="shared" si="48"/>
        <v>150</v>
      </c>
      <c r="FH37" s="443">
        <f t="shared" si="24"/>
        <v>0</v>
      </c>
      <c r="FI37" s="443">
        <f t="shared" si="49"/>
        <v>250</v>
      </c>
      <c r="FJ37" s="392">
        <v>0</v>
      </c>
      <c r="FK37" s="298"/>
      <c r="FL37" s="298">
        <f t="shared" si="50"/>
        <v>0</v>
      </c>
      <c r="FM37" s="298">
        <f t="shared" si="25"/>
        <v>0</v>
      </c>
      <c r="FN37" s="498">
        <f t="shared" si="51"/>
        <v>900</v>
      </c>
      <c r="HC37" s="402"/>
      <c r="HD37" s="52"/>
      <c r="HE37" s="52">
        <f t="shared" si="52"/>
        <v>0</v>
      </c>
      <c r="HF37" s="52">
        <f t="shared" si="26"/>
        <v>0</v>
      </c>
      <c r="HG37" s="51"/>
      <c r="HH37" s="52">
        <f t="shared" si="101"/>
        <v>400</v>
      </c>
      <c r="HI37" s="51"/>
      <c r="HJ37" s="1047"/>
    </row>
    <row r="38" spans="1:218" ht="15" customHeight="1">
      <c r="A38" s="30">
        <v>44701</v>
      </c>
      <c r="B38" s="390">
        <v>603857</v>
      </c>
      <c r="C38" s="18">
        <f t="shared" si="118"/>
        <v>15747801</v>
      </c>
      <c r="D38" s="376">
        <v>7988.3</v>
      </c>
      <c r="E38" s="417">
        <f t="shared" si="109"/>
        <v>221376.27999999997</v>
      </c>
      <c r="F38" s="397">
        <v>48601</v>
      </c>
      <c r="G38" s="37"/>
      <c r="H38" s="37">
        <f t="shared" si="110"/>
        <v>45274</v>
      </c>
      <c r="I38" s="37">
        <f t="shared" si="111"/>
        <v>3327</v>
      </c>
      <c r="J38" s="37">
        <f t="shared" si="2"/>
        <v>416.48410800796165</v>
      </c>
      <c r="K38" s="37">
        <f t="shared" si="119"/>
        <v>112153</v>
      </c>
      <c r="L38" s="37">
        <f t="shared" si="112"/>
        <v>506.61705942479483</v>
      </c>
      <c r="M38" s="1098"/>
      <c r="N38" s="422">
        <v>200</v>
      </c>
      <c r="O38" s="423"/>
      <c r="P38" s="423">
        <f t="shared" si="113"/>
        <v>125</v>
      </c>
      <c r="Q38" s="423">
        <f t="shared" si="114"/>
        <v>75</v>
      </c>
      <c r="R38" s="423">
        <f t="shared" si="120"/>
        <v>2275</v>
      </c>
      <c r="S38" s="68">
        <v>5.34</v>
      </c>
      <c r="T38" s="67">
        <v>24</v>
      </c>
      <c r="U38" s="68">
        <f t="shared" si="53"/>
        <v>64.08</v>
      </c>
      <c r="V38" s="68">
        <f t="shared" si="6"/>
        <v>8.0217317827322461</v>
      </c>
      <c r="W38" s="423">
        <f t="shared" si="54"/>
        <v>2232.384</v>
      </c>
      <c r="X38" s="68">
        <f t="shared" si="115"/>
        <v>10.084115606242911</v>
      </c>
      <c r="Y38" s="1073"/>
      <c r="Z38" s="424">
        <v>150</v>
      </c>
      <c r="AA38" s="425"/>
      <c r="AB38" s="425">
        <f t="shared" si="55"/>
        <v>150</v>
      </c>
      <c r="AC38" s="425">
        <f t="shared" si="56"/>
        <v>0</v>
      </c>
      <c r="AD38" s="425">
        <f t="shared" si="57"/>
        <v>425</v>
      </c>
      <c r="AE38" s="72">
        <v>1.95</v>
      </c>
      <c r="AF38" s="71">
        <v>12</v>
      </c>
      <c r="AG38" s="72">
        <f t="shared" si="58"/>
        <v>11.7</v>
      </c>
      <c r="AH38" s="72">
        <f t="shared" si="8"/>
        <v>1.4646420389820112</v>
      </c>
      <c r="AI38" s="425">
        <f t="shared" si="59"/>
        <v>389.81999999999994</v>
      </c>
      <c r="AJ38" s="72">
        <f t="shared" si="116"/>
        <v>1.7608932628193048</v>
      </c>
      <c r="AK38" s="1075"/>
      <c r="AL38" s="491">
        <v>12396</v>
      </c>
      <c r="AM38" s="491"/>
      <c r="AN38" s="492">
        <f t="shared" si="105"/>
        <v>12396</v>
      </c>
      <c r="AO38" s="492">
        <f t="shared" si="106"/>
        <v>0</v>
      </c>
      <c r="AP38" s="492">
        <f t="shared" si="107"/>
        <v>20227</v>
      </c>
      <c r="AQ38" s="493">
        <f t="shared" si="117"/>
        <v>91.369319242332566</v>
      </c>
      <c r="AR38" s="1078"/>
      <c r="AS38" s="413">
        <v>49235</v>
      </c>
      <c r="AT38" s="64"/>
      <c r="AU38" s="66">
        <f t="shared" si="61"/>
        <v>49235</v>
      </c>
      <c r="AV38" s="66">
        <f t="shared" si="11"/>
        <v>0</v>
      </c>
      <c r="AW38" s="412">
        <f t="shared" si="62"/>
        <v>0</v>
      </c>
      <c r="AX38" s="66">
        <f t="shared" si="63"/>
        <v>0</v>
      </c>
      <c r="AY38" s="412">
        <f t="shared" ref="AY38:AY69" si="121">AX38*1000/C38</f>
        <v>0</v>
      </c>
      <c r="AZ38" s="1071"/>
      <c r="BA38" s="419">
        <v>45495</v>
      </c>
      <c r="BB38" s="419"/>
      <c r="BC38" s="407"/>
      <c r="BD38" s="419">
        <f t="shared" si="33"/>
        <v>45495</v>
      </c>
      <c r="BE38" s="419">
        <f t="shared" si="34"/>
        <v>0</v>
      </c>
      <c r="BF38" s="407">
        <f t="shared" si="65"/>
        <v>0</v>
      </c>
      <c r="BG38" s="419">
        <f t="shared" si="108"/>
        <v>0</v>
      </c>
      <c r="BH38" s="407">
        <f t="shared" ref="BH38:BH69" si="122">BG38*1000/C38</f>
        <v>0</v>
      </c>
      <c r="BI38" s="407">
        <f t="shared" si="68"/>
        <v>0</v>
      </c>
      <c r="BJ38" s="1089"/>
      <c r="BK38" s="1084"/>
      <c r="BL38" s="49">
        <v>1422</v>
      </c>
      <c r="BM38" s="50"/>
      <c r="BN38" s="52">
        <f t="shared" si="69"/>
        <v>1217</v>
      </c>
      <c r="BO38" s="52">
        <f t="shared" si="12"/>
        <v>205</v>
      </c>
      <c r="BP38" s="406">
        <f t="shared" si="70"/>
        <v>0.33948434811553069</v>
      </c>
      <c r="BQ38" s="52">
        <f t="shared" si="71"/>
        <v>5883</v>
      </c>
      <c r="BR38" s="406">
        <f t="shared" ref="BR38:BR69" si="123">BQ38*1000/C38</f>
        <v>0.37357596784465336</v>
      </c>
      <c r="BS38" s="1047"/>
      <c r="BT38" s="409">
        <v>1565</v>
      </c>
      <c r="BU38" s="43"/>
      <c r="BV38" s="43">
        <f t="shared" si="102"/>
        <v>1545</v>
      </c>
      <c r="BW38" s="43">
        <f t="shared" si="103"/>
        <v>20</v>
      </c>
      <c r="BX38" s="42">
        <f t="shared" si="74"/>
        <v>3.3120424206393238E-2</v>
      </c>
      <c r="BY38" s="43">
        <f t="shared" si="104"/>
        <v>1842</v>
      </c>
      <c r="BZ38" s="42">
        <f t="shared" ref="BZ38:BZ69" si="124">BY38*1000/C38</f>
        <v>0.11696871201255338</v>
      </c>
      <c r="CA38" s="1058"/>
      <c r="CB38" s="392">
        <v>1495</v>
      </c>
      <c r="CC38" s="298"/>
      <c r="CD38" s="298">
        <f t="shared" si="35"/>
        <v>1127</v>
      </c>
      <c r="CE38" s="298">
        <f t="shared" si="14"/>
        <v>368</v>
      </c>
      <c r="CF38" s="297">
        <f t="shared" si="77"/>
        <v>0.60941580539763551</v>
      </c>
      <c r="CG38" s="298">
        <f t="shared" si="78"/>
        <v>19573</v>
      </c>
      <c r="CH38" s="297">
        <f t="shared" ref="CH38:CH69" si="125">CG38*1000/C38</f>
        <v>1.2429036917598844</v>
      </c>
      <c r="CI38" s="1061"/>
      <c r="CJ38" s="651"/>
      <c r="CK38" s="651"/>
      <c r="CL38" s="651"/>
      <c r="CM38" s="651"/>
      <c r="CN38" s="651"/>
      <c r="CO38" s="464">
        <v>0</v>
      </c>
      <c r="CP38" s="465"/>
      <c r="CQ38" s="465">
        <f t="shared" si="36"/>
        <v>0</v>
      </c>
      <c r="CR38" s="465">
        <f t="shared" si="15"/>
        <v>0</v>
      </c>
      <c r="CS38" s="486">
        <f t="shared" si="80"/>
        <v>0</v>
      </c>
      <c r="CT38" s="465">
        <f t="shared" si="81"/>
        <v>180</v>
      </c>
      <c r="CU38" s="486">
        <f t="shared" ref="CU38:CU69" si="126">CT38*1000/C38</f>
        <v>1.1430167297643653E-2</v>
      </c>
      <c r="CV38" s="1069"/>
      <c r="CW38" s="427">
        <v>5</v>
      </c>
      <c r="CX38" s="427"/>
      <c r="CY38" s="427">
        <f t="shared" si="83"/>
        <v>5</v>
      </c>
      <c r="CZ38" s="427">
        <f t="shared" si="84"/>
        <v>0</v>
      </c>
      <c r="DA38" s="607">
        <f t="shared" si="85"/>
        <v>0</v>
      </c>
      <c r="DB38" s="607">
        <f t="shared" si="86"/>
        <v>0</v>
      </c>
      <c r="DC38" s="607">
        <f t="shared" ref="DC38:DC68" si="127">DB38*1000/C38</f>
        <v>0</v>
      </c>
      <c r="DD38" s="607"/>
      <c r="DE38" s="471">
        <v>5.6</v>
      </c>
      <c r="DF38" s="473"/>
      <c r="DG38" s="473">
        <f t="shared" si="37"/>
        <v>5.6</v>
      </c>
      <c r="DH38" s="473">
        <f t="shared" si="16"/>
        <v>0</v>
      </c>
      <c r="DI38" s="227">
        <f t="shared" si="88"/>
        <v>0</v>
      </c>
      <c r="DJ38" s="473">
        <f t="shared" si="89"/>
        <v>5.6</v>
      </c>
      <c r="DK38" s="227">
        <f t="shared" ref="DK38:DK69" si="128">DJ38*1000/C38</f>
        <v>3.5560520481558029E-4</v>
      </c>
      <c r="DL38" s="1038"/>
      <c r="DM38" s="63">
        <v>1000</v>
      </c>
      <c r="DN38" s="64"/>
      <c r="DO38" s="66">
        <f t="shared" si="91"/>
        <v>880</v>
      </c>
      <c r="DP38" s="66">
        <f t="shared" si="17"/>
        <v>120</v>
      </c>
      <c r="DQ38" s="412">
        <f t="shared" si="92"/>
        <v>0.19872254523835942</v>
      </c>
      <c r="DR38" s="66">
        <f t="shared" si="93"/>
        <v>5120</v>
      </c>
      <c r="DS38" s="412">
        <f t="shared" ref="DS38:DS69" si="129">DR38*1000/C38</f>
        <v>0.32512475868853052</v>
      </c>
      <c r="DT38" s="1071"/>
      <c r="DU38" s="596">
        <v>600</v>
      </c>
      <c r="DV38" s="596"/>
      <c r="DW38" s="596">
        <f t="shared" si="38"/>
        <v>600</v>
      </c>
      <c r="DX38" s="596">
        <f t="shared" si="18"/>
        <v>0</v>
      </c>
      <c r="DY38" s="592">
        <f t="shared" si="95"/>
        <v>0</v>
      </c>
      <c r="DZ38" s="596">
        <f t="shared" si="96"/>
        <v>200</v>
      </c>
      <c r="EA38" s="592">
        <f t="shared" ref="EA38:EA68" si="130">DZ38*1000/C38</f>
        <v>1.2700185886270724E-2</v>
      </c>
      <c r="EB38" s="1041"/>
      <c r="EC38" s="448">
        <v>205</v>
      </c>
      <c r="ED38" s="449"/>
      <c r="EE38" s="449">
        <f t="shared" si="39"/>
        <v>155</v>
      </c>
      <c r="EF38" s="449">
        <f t="shared" si="19"/>
        <v>50</v>
      </c>
      <c r="EG38" s="450">
        <f t="shared" si="98"/>
        <v>8.2801060515983085E-2</v>
      </c>
      <c r="EH38" s="449">
        <f t="shared" si="99"/>
        <v>160</v>
      </c>
      <c r="EI38" s="450">
        <f t="shared" ref="EI38:EI69" si="131">EH38*1000/C38</f>
        <v>1.0160148709016579E-2</v>
      </c>
      <c r="EJ38" s="1035"/>
      <c r="EK38" s="426">
        <v>4920</v>
      </c>
      <c r="EL38" s="427"/>
      <c r="EM38" s="427">
        <f t="shared" si="40"/>
        <v>4920</v>
      </c>
      <c r="EN38" s="427">
        <f t="shared" si="20"/>
        <v>0</v>
      </c>
      <c r="EO38" s="427">
        <f t="shared" si="41"/>
        <v>10152</v>
      </c>
      <c r="EP38" s="456">
        <v>42</v>
      </c>
      <c r="EQ38" s="457"/>
      <c r="ER38" s="457">
        <f t="shared" si="42"/>
        <v>42</v>
      </c>
      <c r="ES38" s="457">
        <f t="shared" si="21"/>
        <v>0</v>
      </c>
      <c r="ET38" s="457">
        <f t="shared" si="43"/>
        <v>112</v>
      </c>
      <c r="EU38" s="409">
        <v>220</v>
      </c>
      <c r="EV38" s="43"/>
      <c r="EW38" s="43">
        <f t="shared" si="44"/>
        <v>220</v>
      </c>
      <c r="EX38" s="43">
        <f t="shared" si="22"/>
        <v>0</v>
      </c>
      <c r="EY38" s="43">
        <f t="shared" si="45"/>
        <v>180</v>
      </c>
      <c r="EZ38" s="436">
        <v>100</v>
      </c>
      <c r="FA38" s="437"/>
      <c r="FB38" s="437">
        <f t="shared" si="46"/>
        <v>100</v>
      </c>
      <c r="FC38" s="437">
        <f t="shared" si="23"/>
        <v>0</v>
      </c>
      <c r="FD38" s="437">
        <f t="shared" si="47"/>
        <v>290</v>
      </c>
      <c r="FE38" s="442">
        <v>150</v>
      </c>
      <c r="FF38" s="443"/>
      <c r="FG38" s="443">
        <f t="shared" si="48"/>
        <v>150</v>
      </c>
      <c r="FH38" s="443">
        <f t="shared" si="24"/>
        <v>0</v>
      </c>
      <c r="FI38" s="443">
        <f t="shared" si="49"/>
        <v>250</v>
      </c>
      <c r="FJ38" s="392">
        <v>0</v>
      </c>
      <c r="FK38" s="298"/>
      <c r="FL38" s="298">
        <f t="shared" si="50"/>
        <v>0</v>
      </c>
      <c r="FM38" s="298">
        <f t="shared" si="25"/>
        <v>0</v>
      </c>
      <c r="FN38" s="498">
        <f t="shared" si="51"/>
        <v>900</v>
      </c>
      <c r="HC38" s="402"/>
      <c r="HD38" s="52"/>
      <c r="HE38" s="52">
        <f t="shared" si="52"/>
        <v>0</v>
      </c>
      <c r="HF38" s="52">
        <f t="shared" si="26"/>
        <v>0</v>
      </c>
      <c r="HG38" s="51"/>
      <c r="HH38" s="52">
        <f t="shared" si="101"/>
        <v>400</v>
      </c>
      <c r="HI38" s="51"/>
      <c r="HJ38" s="1047"/>
    </row>
    <row r="39" spans="1:218" ht="15" customHeight="1">
      <c r="A39" s="30">
        <v>44702</v>
      </c>
      <c r="B39" s="390">
        <v>508426</v>
      </c>
      <c r="C39" s="18">
        <f t="shared" si="118"/>
        <v>16256227</v>
      </c>
      <c r="D39" s="376">
        <v>5894.28</v>
      </c>
      <c r="E39" s="417">
        <f t="shared" si="109"/>
        <v>227270.55999999997</v>
      </c>
      <c r="F39" s="397">
        <v>45274</v>
      </c>
      <c r="G39" s="37"/>
      <c r="H39" s="37">
        <f t="shared" si="110"/>
        <v>43056</v>
      </c>
      <c r="I39" s="37">
        <f t="shared" si="111"/>
        <v>2218</v>
      </c>
      <c r="J39" s="37">
        <f t="shared" si="2"/>
        <v>376.2970201619197</v>
      </c>
      <c r="K39" s="37">
        <f t="shared" si="119"/>
        <v>114371</v>
      </c>
      <c r="L39" s="37">
        <f t="shared" si="112"/>
        <v>503.23719886992848</v>
      </c>
      <c r="M39" s="1098"/>
      <c r="N39" s="422">
        <v>125</v>
      </c>
      <c r="O39" s="423"/>
      <c r="P39" s="423">
        <f t="shared" si="113"/>
        <v>50</v>
      </c>
      <c r="Q39" s="423">
        <f t="shared" si="114"/>
        <v>75</v>
      </c>
      <c r="R39" s="423">
        <f t="shared" si="120"/>
        <v>2350</v>
      </c>
      <c r="S39" s="68">
        <v>5.38</v>
      </c>
      <c r="T39" s="67">
        <v>24</v>
      </c>
      <c r="U39" s="68">
        <f t="shared" si="53"/>
        <v>64.56</v>
      </c>
      <c r="V39" s="68">
        <f t="shared" si="6"/>
        <v>10.952991714000692</v>
      </c>
      <c r="W39" s="423">
        <f t="shared" si="54"/>
        <v>2296.944</v>
      </c>
      <c r="X39" s="68">
        <f t="shared" si="115"/>
        <v>10.106649977014182</v>
      </c>
      <c r="Y39" s="1073"/>
      <c r="Z39" s="424">
        <v>150</v>
      </c>
      <c r="AA39" s="425"/>
      <c r="AB39" s="425">
        <f t="shared" si="55"/>
        <v>150</v>
      </c>
      <c r="AC39" s="425">
        <f t="shared" si="56"/>
        <v>0</v>
      </c>
      <c r="AD39" s="425">
        <f t="shared" si="57"/>
        <v>425</v>
      </c>
      <c r="AE39" s="72">
        <v>1.74</v>
      </c>
      <c r="AF39" s="71">
        <v>12</v>
      </c>
      <c r="AG39" s="72">
        <f t="shared" si="58"/>
        <v>10.44</v>
      </c>
      <c r="AH39" s="72">
        <f t="shared" si="8"/>
        <v>1.7712086972454653</v>
      </c>
      <c r="AI39" s="425">
        <f t="shared" si="59"/>
        <v>400.25999999999993</v>
      </c>
      <c r="AJ39" s="72">
        <f t="shared" si="116"/>
        <v>1.7611607944293357</v>
      </c>
      <c r="AK39" s="1075"/>
      <c r="AL39" s="491">
        <v>12396</v>
      </c>
      <c r="AM39" s="491"/>
      <c r="AN39" s="492">
        <f t="shared" si="105"/>
        <v>12396</v>
      </c>
      <c r="AO39" s="492">
        <f t="shared" si="106"/>
        <v>0</v>
      </c>
      <c r="AP39" s="492">
        <f t="shared" si="107"/>
        <v>20227</v>
      </c>
      <c r="AQ39" s="493">
        <f t="shared" si="117"/>
        <v>88.999648700650027</v>
      </c>
      <c r="AR39" s="1078"/>
      <c r="AS39" s="413">
        <v>49235</v>
      </c>
      <c r="AT39" s="64"/>
      <c r="AU39" s="66">
        <f t="shared" si="61"/>
        <v>49235</v>
      </c>
      <c r="AV39" s="66">
        <f t="shared" si="11"/>
        <v>0</v>
      </c>
      <c r="AW39" s="412">
        <f t="shared" si="62"/>
        <v>0</v>
      </c>
      <c r="AX39" s="66">
        <f t="shared" si="63"/>
        <v>0</v>
      </c>
      <c r="AY39" s="412">
        <f t="shared" si="121"/>
        <v>0</v>
      </c>
      <c r="AZ39" s="1071"/>
      <c r="BA39" s="419">
        <v>45495</v>
      </c>
      <c r="BB39" s="419"/>
      <c r="BC39" s="407"/>
      <c r="BD39" s="419">
        <f t="shared" si="33"/>
        <v>45495</v>
      </c>
      <c r="BE39" s="419">
        <f t="shared" si="34"/>
        <v>0</v>
      </c>
      <c r="BF39" s="407">
        <f t="shared" si="65"/>
        <v>0</v>
      </c>
      <c r="BG39" s="419">
        <f t="shared" si="108"/>
        <v>0</v>
      </c>
      <c r="BH39" s="407">
        <f t="shared" si="122"/>
        <v>0</v>
      </c>
      <c r="BI39" s="407">
        <f t="shared" si="68"/>
        <v>0</v>
      </c>
      <c r="BJ39" s="1089"/>
      <c r="BK39" s="1084"/>
      <c r="BL39" s="49">
        <v>1217</v>
      </c>
      <c r="BM39" s="50"/>
      <c r="BN39" s="52">
        <f t="shared" si="69"/>
        <v>1084</v>
      </c>
      <c r="BO39" s="52">
        <f t="shared" si="12"/>
        <v>133</v>
      </c>
      <c r="BP39" s="406">
        <f t="shared" si="70"/>
        <v>0.26159165738966927</v>
      </c>
      <c r="BQ39" s="52">
        <f t="shared" si="71"/>
        <v>6016</v>
      </c>
      <c r="BR39" s="406">
        <f t="shared" si="123"/>
        <v>0.37007357242243233</v>
      </c>
      <c r="BS39" s="1047"/>
      <c r="BT39" s="409">
        <v>1545</v>
      </c>
      <c r="BU39" s="43"/>
      <c r="BV39" s="43">
        <f t="shared" si="102"/>
        <v>1485</v>
      </c>
      <c r="BW39" s="43">
        <f t="shared" si="103"/>
        <v>60</v>
      </c>
      <c r="BX39" s="42">
        <f t="shared" si="74"/>
        <v>0.11801127401037713</v>
      </c>
      <c r="BY39" s="43">
        <f t="shared" si="104"/>
        <v>1902</v>
      </c>
      <c r="BZ39" s="42">
        <f t="shared" si="124"/>
        <v>0.11700131894073576</v>
      </c>
      <c r="CA39" s="1058"/>
      <c r="CB39" s="392">
        <v>1127</v>
      </c>
      <c r="CC39" s="298"/>
      <c r="CD39" s="298">
        <f t="shared" si="35"/>
        <v>828</v>
      </c>
      <c r="CE39" s="298">
        <f t="shared" si="14"/>
        <v>299</v>
      </c>
      <c r="CF39" s="297">
        <f t="shared" si="77"/>
        <v>0.58808951548504595</v>
      </c>
      <c r="CG39" s="298">
        <f t="shared" si="78"/>
        <v>19872</v>
      </c>
      <c r="CH39" s="297">
        <f t="shared" si="125"/>
        <v>1.2224238748634599</v>
      </c>
      <c r="CI39" s="1061"/>
      <c r="CJ39" s="651"/>
      <c r="CK39" s="651"/>
      <c r="CL39" s="651"/>
      <c r="CM39" s="651"/>
      <c r="CN39" s="651"/>
      <c r="CO39" s="464">
        <v>0</v>
      </c>
      <c r="CP39" s="465"/>
      <c r="CQ39" s="465">
        <f t="shared" si="36"/>
        <v>0</v>
      </c>
      <c r="CR39" s="465">
        <f t="shared" si="15"/>
        <v>0</v>
      </c>
      <c r="CS39" s="486">
        <f t="shared" si="80"/>
        <v>0</v>
      </c>
      <c r="CT39" s="465">
        <f t="shared" si="81"/>
        <v>180</v>
      </c>
      <c r="CU39" s="486">
        <f t="shared" si="126"/>
        <v>1.1072680025937138E-2</v>
      </c>
      <c r="CV39" s="1069"/>
      <c r="CW39" s="427">
        <v>5</v>
      </c>
      <c r="CX39" s="427"/>
      <c r="CY39" s="427">
        <f t="shared" si="83"/>
        <v>5</v>
      </c>
      <c r="CZ39" s="427">
        <f t="shared" si="84"/>
        <v>0</v>
      </c>
      <c r="DA39" s="607">
        <f t="shared" si="85"/>
        <v>0</v>
      </c>
      <c r="DB39" s="607">
        <f t="shared" si="86"/>
        <v>0</v>
      </c>
      <c r="DC39" s="607">
        <f t="shared" si="127"/>
        <v>0</v>
      </c>
      <c r="DD39" s="607"/>
      <c r="DE39" s="471">
        <v>5.6</v>
      </c>
      <c r="DF39" s="473"/>
      <c r="DG39" s="473">
        <f t="shared" si="37"/>
        <v>5.6</v>
      </c>
      <c r="DH39" s="473">
        <f t="shared" si="16"/>
        <v>0</v>
      </c>
      <c r="DI39" s="227">
        <f t="shared" si="88"/>
        <v>0</v>
      </c>
      <c r="DJ39" s="473">
        <f t="shared" si="89"/>
        <v>5.6</v>
      </c>
      <c r="DK39" s="227">
        <f t="shared" si="128"/>
        <v>3.4448337858471097E-4</v>
      </c>
      <c r="DL39" s="1038"/>
      <c r="DM39" s="63">
        <v>880</v>
      </c>
      <c r="DN39" s="64"/>
      <c r="DO39" s="66">
        <f t="shared" si="91"/>
        <v>690</v>
      </c>
      <c r="DP39" s="66">
        <f t="shared" si="17"/>
        <v>190</v>
      </c>
      <c r="DQ39" s="412">
        <f t="shared" si="92"/>
        <v>0.37370236769952758</v>
      </c>
      <c r="DR39" s="66">
        <f t="shared" si="93"/>
        <v>5310</v>
      </c>
      <c r="DS39" s="412">
        <f t="shared" si="129"/>
        <v>0.32664406076514557</v>
      </c>
      <c r="DT39" s="1071"/>
      <c r="DU39" s="596">
        <v>600</v>
      </c>
      <c r="DV39" s="596"/>
      <c r="DW39" s="596">
        <f t="shared" si="38"/>
        <v>400</v>
      </c>
      <c r="DX39" s="596">
        <f t="shared" si="18"/>
        <v>200</v>
      </c>
      <c r="DY39" s="592">
        <f t="shared" si="95"/>
        <v>0.39337091336792374</v>
      </c>
      <c r="DZ39" s="596">
        <f t="shared" si="96"/>
        <v>400</v>
      </c>
      <c r="EA39" s="592">
        <f t="shared" si="130"/>
        <v>2.460595561319364E-2</v>
      </c>
      <c r="EB39" s="1041"/>
      <c r="EC39" s="448">
        <v>155</v>
      </c>
      <c r="ED39" s="449"/>
      <c r="EE39" s="449">
        <f t="shared" si="39"/>
        <v>155</v>
      </c>
      <c r="EF39" s="449">
        <f t="shared" si="19"/>
        <v>0</v>
      </c>
      <c r="EG39" s="450">
        <f t="shared" si="98"/>
        <v>0</v>
      </c>
      <c r="EH39" s="449">
        <f t="shared" si="99"/>
        <v>160</v>
      </c>
      <c r="EI39" s="450">
        <f t="shared" si="131"/>
        <v>9.8423822452774565E-3</v>
      </c>
      <c r="EJ39" s="1035"/>
      <c r="EK39" s="426">
        <v>4920</v>
      </c>
      <c r="EL39" s="427"/>
      <c r="EM39" s="427">
        <f t="shared" si="40"/>
        <v>4920</v>
      </c>
      <c r="EN39" s="427">
        <f t="shared" si="20"/>
        <v>0</v>
      </c>
      <c r="EO39" s="427">
        <f t="shared" si="41"/>
        <v>10152</v>
      </c>
      <c r="EP39" s="456">
        <v>42</v>
      </c>
      <c r="EQ39" s="457"/>
      <c r="ER39" s="457">
        <f t="shared" si="42"/>
        <v>42</v>
      </c>
      <c r="ES39" s="457">
        <f t="shared" si="21"/>
        <v>0</v>
      </c>
      <c r="ET39" s="457">
        <f t="shared" si="43"/>
        <v>112</v>
      </c>
      <c r="EU39" s="409">
        <v>220</v>
      </c>
      <c r="EV39" s="43"/>
      <c r="EW39" s="43">
        <f t="shared" si="44"/>
        <v>220</v>
      </c>
      <c r="EX39" s="43">
        <f t="shared" si="22"/>
        <v>0</v>
      </c>
      <c r="EY39" s="43">
        <f t="shared" si="45"/>
        <v>180</v>
      </c>
      <c r="EZ39" s="436">
        <v>100</v>
      </c>
      <c r="FA39" s="437"/>
      <c r="FB39" s="437">
        <f t="shared" si="46"/>
        <v>100</v>
      </c>
      <c r="FC39" s="437">
        <f t="shared" si="23"/>
        <v>0</v>
      </c>
      <c r="FD39" s="437">
        <f t="shared" si="47"/>
        <v>290</v>
      </c>
      <c r="FE39" s="442">
        <v>150</v>
      </c>
      <c r="FF39" s="443"/>
      <c r="FG39" s="443">
        <f t="shared" si="48"/>
        <v>150</v>
      </c>
      <c r="FH39" s="443">
        <f t="shared" si="24"/>
        <v>0</v>
      </c>
      <c r="FI39" s="443">
        <f t="shared" si="49"/>
        <v>250</v>
      </c>
      <c r="FJ39" s="392">
        <v>0</v>
      </c>
      <c r="FK39" s="298"/>
      <c r="FL39" s="298">
        <f t="shared" si="50"/>
        <v>0</v>
      </c>
      <c r="FM39" s="298">
        <f t="shared" si="25"/>
        <v>0</v>
      </c>
      <c r="FN39" s="498">
        <f t="shared" si="51"/>
        <v>900</v>
      </c>
      <c r="HC39" s="402"/>
      <c r="HD39" s="52"/>
      <c r="HE39" s="52">
        <f t="shared" si="52"/>
        <v>0</v>
      </c>
      <c r="HF39" s="52">
        <f t="shared" si="26"/>
        <v>0</v>
      </c>
      <c r="HG39" s="51"/>
      <c r="HH39" s="52">
        <f t="shared" si="101"/>
        <v>400</v>
      </c>
      <c r="HI39" s="51"/>
      <c r="HJ39" s="1047"/>
    </row>
    <row r="40" spans="1:218" ht="15" customHeight="1">
      <c r="A40" s="30">
        <v>44703</v>
      </c>
      <c r="B40" s="390">
        <v>494513</v>
      </c>
      <c r="C40" s="18">
        <f t="shared" si="118"/>
        <v>16750740</v>
      </c>
      <c r="D40" s="376">
        <v>6386.24</v>
      </c>
      <c r="E40" s="417">
        <f t="shared" si="109"/>
        <v>233656.79999999996</v>
      </c>
      <c r="F40" s="397">
        <v>43056</v>
      </c>
      <c r="G40" s="37"/>
      <c r="H40" s="37">
        <f t="shared" si="110"/>
        <v>41762</v>
      </c>
      <c r="I40" s="37">
        <f t="shared" si="111"/>
        <v>1294</v>
      </c>
      <c r="J40" s="37">
        <f t="shared" si="2"/>
        <v>202.62313975046351</v>
      </c>
      <c r="K40" s="37">
        <f t="shared" si="119"/>
        <v>115665</v>
      </c>
      <c r="L40" s="37">
        <f t="shared" si="112"/>
        <v>495.02090245180119</v>
      </c>
      <c r="M40" s="1098"/>
      <c r="N40" s="422">
        <v>50</v>
      </c>
      <c r="O40" s="423"/>
      <c r="P40" s="423">
        <f t="shared" si="113"/>
        <v>0</v>
      </c>
      <c r="Q40" s="423">
        <f t="shared" si="114"/>
        <v>50</v>
      </c>
      <c r="R40" s="423">
        <f t="shared" si="120"/>
        <v>2400</v>
      </c>
      <c r="S40" s="68">
        <v>5.66</v>
      </c>
      <c r="T40" s="67">
        <v>24</v>
      </c>
      <c r="U40" s="68">
        <f t="shared" si="53"/>
        <v>67.92</v>
      </c>
      <c r="V40" s="68">
        <f t="shared" si="6"/>
        <v>10.635366036979507</v>
      </c>
      <c r="W40" s="423">
        <f t="shared" si="54"/>
        <v>2364.864</v>
      </c>
      <c r="X40" s="68">
        <f t="shared" si="115"/>
        <v>10.121100691270275</v>
      </c>
      <c r="Y40" s="1073"/>
      <c r="Z40" s="424">
        <v>150</v>
      </c>
      <c r="AA40" s="425"/>
      <c r="AB40" s="425">
        <f t="shared" si="55"/>
        <v>125</v>
      </c>
      <c r="AC40" s="425">
        <f t="shared" si="56"/>
        <v>25</v>
      </c>
      <c r="AD40" s="425">
        <f t="shared" si="57"/>
        <v>450</v>
      </c>
      <c r="AE40" s="72">
        <v>1.79</v>
      </c>
      <c r="AF40" s="71">
        <v>12</v>
      </c>
      <c r="AG40" s="72">
        <f t="shared" si="58"/>
        <v>10.74</v>
      </c>
      <c r="AH40" s="72">
        <f t="shared" si="8"/>
        <v>1.6817407425965827</v>
      </c>
      <c r="AI40" s="425">
        <f t="shared" si="59"/>
        <v>410.99999999999994</v>
      </c>
      <c r="AJ40" s="72">
        <f t="shared" si="116"/>
        <v>1.7589901085694917</v>
      </c>
      <c r="AK40" s="1075"/>
      <c r="AL40" s="491">
        <v>12396</v>
      </c>
      <c r="AM40" s="491"/>
      <c r="AN40" s="492">
        <f t="shared" si="105"/>
        <v>12396</v>
      </c>
      <c r="AO40" s="492">
        <f t="shared" si="106"/>
        <v>0</v>
      </c>
      <c r="AP40" s="492">
        <f t="shared" si="107"/>
        <v>20227</v>
      </c>
      <c r="AQ40" s="493">
        <f t="shared" si="117"/>
        <v>86.567136073078132</v>
      </c>
      <c r="AR40" s="1078"/>
      <c r="AS40" s="413">
        <v>49235</v>
      </c>
      <c r="AT40" s="64"/>
      <c r="AU40" s="66">
        <f t="shared" si="61"/>
        <v>49235</v>
      </c>
      <c r="AV40" s="66">
        <f t="shared" si="11"/>
        <v>0</v>
      </c>
      <c r="AW40" s="412">
        <f t="shared" si="62"/>
        <v>0</v>
      </c>
      <c r="AX40" s="66">
        <f t="shared" si="63"/>
        <v>0</v>
      </c>
      <c r="AY40" s="412">
        <f t="shared" si="121"/>
        <v>0</v>
      </c>
      <c r="AZ40" s="1071"/>
      <c r="BA40" s="419">
        <v>45495</v>
      </c>
      <c r="BB40" s="419"/>
      <c r="BC40" s="407"/>
      <c r="BD40" s="419">
        <f t="shared" si="33"/>
        <v>45495</v>
      </c>
      <c r="BE40" s="419">
        <f t="shared" si="34"/>
        <v>0</v>
      </c>
      <c r="BF40" s="407">
        <f t="shared" si="65"/>
        <v>0</v>
      </c>
      <c r="BG40" s="419">
        <f t="shared" si="108"/>
        <v>0</v>
      </c>
      <c r="BH40" s="407">
        <f t="shared" si="122"/>
        <v>0</v>
      </c>
      <c r="BI40" s="407">
        <f t="shared" si="68"/>
        <v>0</v>
      </c>
      <c r="BJ40" s="1089"/>
      <c r="BK40" s="1084"/>
      <c r="BL40" s="49">
        <v>1084</v>
      </c>
      <c r="BM40" s="50"/>
      <c r="BN40" s="52">
        <f t="shared" si="69"/>
        <v>890</v>
      </c>
      <c r="BO40" s="52">
        <f t="shared" si="12"/>
        <v>194</v>
      </c>
      <c r="BP40" s="406">
        <f t="shared" si="70"/>
        <v>0.39230515679062028</v>
      </c>
      <c r="BQ40" s="52">
        <f t="shared" si="71"/>
        <v>6210</v>
      </c>
      <c r="BR40" s="406">
        <f t="shared" si="123"/>
        <v>0.37072989014216684</v>
      </c>
      <c r="BS40" s="1047"/>
      <c r="BT40" s="409">
        <v>1485</v>
      </c>
      <c r="BU40" s="43"/>
      <c r="BV40" s="43">
        <f t="shared" si="102"/>
        <v>1465</v>
      </c>
      <c r="BW40" s="43">
        <f t="shared" si="103"/>
        <v>20</v>
      </c>
      <c r="BX40" s="42">
        <f t="shared" si="74"/>
        <v>4.044383059697116E-2</v>
      </c>
      <c r="BY40" s="43">
        <f t="shared" si="104"/>
        <v>1922</v>
      </c>
      <c r="BZ40" s="42">
        <f t="shared" si="124"/>
        <v>0.11474119949327612</v>
      </c>
      <c r="CA40" s="1058"/>
      <c r="CB40" s="392">
        <v>828</v>
      </c>
      <c r="CC40" s="298"/>
      <c r="CD40" s="298">
        <f t="shared" si="35"/>
        <v>598</v>
      </c>
      <c r="CE40" s="298">
        <f t="shared" si="14"/>
        <v>230</v>
      </c>
      <c r="CF40" s="297">
        <f t="shared" si="77"/>
        <v>0.46510405186516834</v>
      </c>
      <c r="CG40" s="298">
        <f t="shared" si="78"/>
        <v>20102</v>
      </c>
      <c r="CH40" s="297">
        <f t="shared" si="125"/>
        <v>1.200066385126866</v>
      </c>
      <c r="CI40" s="1061"/>
      <c r="CJ40" s="651"/>
      <c r="CK40" s="651"/>
      <c r="CL40" s="651"/>
      <c r="CM40" s="651"/>
      <c r="CN40" s="651"/>
      <c r="CO40" s="464">
        <v>0</v>
      </c>
      <c r="CP40" s="465"/>
      <c r="CQ40" s="465">
        <f t="shared" si="36"/>
        <v>0</v>
      </c>
      <c r="CR40" s="465">
        <f t="shared" si="15"/>
        <v>0</v>
      </c>
      <c r="CS40" s="486">
        <f t="shared" si="80"/>
        <v>0</v>
      </c>
      <c r="CT40" s="465">
        <f t="shared" si="81"/>
        <v>180</v>
      </c>
      <c r="CU40" s="486">
        <f t="shared" si="126"/>
        <v>1.0745793917164256E-2</v>
      </c>
      <c r="CV40" s="1069"/>
      <c r="CW40" s="427">
        <v>5</v>
      </c>
      <c r="CX40" s="427"/>
      <c r="CY40" s="427">
        <f t="shared" si="83"/>
        <v>5</v>
      </c>
      <c r="CZ40" s="427">
        <f t="shared" si="84"/>
        <v>0</v>
      </c>
      <c r="DA40" s="607">
        <f t="shared" si="85"/>
        <v>0</v>
      </c>
      <c r="DB40" s="607">
        <f t="shared" si="86"/>
        <v>0</v>
      </c>
      <c r="DC40" s="607">
        <f t="shared" si="127"/>
        <v>0</v>
      </c>
      <c r="DD40" s="607"/>
      <c r="DE40" s="471">
        <v>5.6</v>
      </c>
      <c r="DF40" s="473"/>
      <c r="DG40" s="473">
        <f t="shared" si="37"/>
        <v>5.6</v>
      </c>
      <c r="DH40" s="473">
        <f t="shared" si="16"/>
        <v>0</v>
      </c>
      <c r="DI40" s="227">
        <f t="shared" si="88"/>
        <v>0</v>
      </c>
      <c r="DJ40" s="473">
        <f t="shared" si="89"/>
        <v>5.6</v>
      </c>
      <c r="DK40" s="227">
        <f t="shared" si="128"/>
        <v>3.3431358853399908E-4</v>
      </c>
      <c r="DL40" s="1038"/>
      <c r="DM40" s="63">
        <v>690</v>
      </c>
      <c r="DN40" s="64"/>
      <c r="DO40" s="66">
        <f t="shared" si="91"/>
        <v>590</v>
      </c>
      <c r="DP40" s="66">
        <f t="shared" si="17"/>
        <v>100</v>
      </c>
      <c r="DQ40" s="412">
        <f t="shared" si="92"/>
        <v>0.20221915298485582</v>
      </c>
      <c r="DR40" s="66">
        <f t="shared" si="93"/>
        <v>5410</v>
      </c>
      <c r="DS40" s="412">
        <f t="shared" si="129"/>
        <v>0.32297080606588124</v>
      </c>
      <c r="DT40" s="1071"/>
      <c r="DU40" s="596">
        <v>400</v>
      </c>
      <c r="DV40" s="596"/>
      <c r="DW40" s="596">
        <f t="shared" si="38"/>
        <v>200</v>
      </c>
      <c r="DX40" s="596">
        <f t="shared" si="18"/>
        <v>200</v>
      </c>
      <c r="DY40" s="592">
        <f t="shared" si="95"/>
        <v>0.40443830596971164</v>
      </c>
      <c r="DZ40" s="596">
        <f t="shared" si="96"/>
        <v>600</v>
      </c>
      <c r="EA40" s="592">
        <f t="shared" si="130"/>
        <v>3.581931305721419E-2</v>
      </c>
      <c r="EB40" s="1041"/>
      <c r="EC40" s="448">
        <v>155</v>
      </c>
      <c r="ED40" s="449"/>
      <c r="EE40" s="449">
        <f t="shared" si="39"/>
        <v>155</v>
      </c>
      <c r="EF40" s="449">
        <f t="shared" si="19"/>
        <v>0</v>
      </c>
      <c r="EG40" s="450">
        <f t="shared" si="98"/>
        <v>0</v>
      </c>
      <c r="EH40" s="449">
        <f t="shared" si="99"/>
        <v>160</v>
      </c>
      <c r="EI40" s="450">
        <f t="shared" si="131"/>
        <v>9.5518168152571165E-3</v>
      </c>
      <c r="EJ40" s="1035"/>
      <c r="EK40" s="426">
        <v>4920</v>
      </c>
      <c r="EL40" s="427"/>
      <c r="EM40" s="427">
        <f t="shared" si="40"/>
        <v>4200</v>
      </c>
      <c r="EN40" s="427">
        <f t="shared" si="20"/>
        <v>720</v>
      </c>
      <c r="EO40" s="427">
        <f t="shared" si="41"/>
        <v>10872</v>
      </c>
      <c r="EP40" s="456">
        <v>42</v>
      </c>
      <c r="EQ40" s="457"/>
      <c r="ER40" s="457">
        <f t="shared" si="42"/>
        <v>42</v>
      </c>
      <c r="ES40" s="457">
        <f t="shared" si="21"/>
        <v>0</v>
      </c>
      <c r="ET40" s="457">
        <f t="shared" si="43"/>
        <v>112</v>
      </c>
      <c r="EU40" s="409">
        <v>220</v>
      </c>
      <c r="EV40" s="43"/>
      <c r="EW40" s="43">
        <f t="shared" si="44"/>
        <v>200</v>
      </c>
      <c r="EX40" s="43">
        <f t="shared" si="22"/>
        <v>20</v>
      </c>
      <c r="EY40" s="43">
        <f t="shared" si="45"/>
        <v>200</v>
      </c>
      <c r="EZ40" s="436">
        <v>100</v>
      </c>
      <c r="FA40" s="437"/>
      <c r="FB40" s="437">
        <f t="shared" si="46"/>
        <v>50</v>
      </c>
      <c r="FC40" s="437">
        <f t="shared" si="23"/>
        <v>50</v>
      </c>
      <c r="FD40" s="437">
        <f t="shared" si="47"/>
        <v>340</v>
      </c>
      <c r="FE40" s="442">
        <v>150</v>
      </c>
      <c r="FF40" s="443"/>
      <c r="FG40" s="443">
        <f t="shared" si="48"/>
        <v>65</v>
      </c>
      <c r="FH40" s="443">
        <f t="shared" si="24"/>
        <v>85</v>
      </c>
      <c r="FI40" s="443">
        <f t="shared" si="49"/>
        <v>335</v>
      </c>
      <c r="FJ40" s="392">
        <v>0</v>
      </c>
      <c r="FK40" s="298"/>
      <c r="FL40" s="298">
        <f t="shared" si="50"/>
        <v>0</v>
      </c>
      <c r="FM40" s="298">
        <f t="shared" si="25"/>
        <v>0</v>
      </c>
      <c r="FN40" s="498">
        <f t="shared" si="51"/>
        <v>900</v>
      </c>
      <c r="HC40" s="402"/>
      <c r="HD40" s="52"/>
      <c r="HE40" s="52">
        <f t="shared" si="52"/>
        <v>0</v>
      </c>
      <c r="HF40" s="52">
        <f t="shared" si="26"/>
        <v>0</v>
      </c>
      <c r="HG40" s="51"/>
      <c r="HH40" s="52">
        <f t="shared" si="101"/>
        <v>400</v>
      </c>
      <c r="HI40" s="51"/>
      <c r="HJ40" s="1047"/>
    </row>
    <row r="41" spans="1:218" ht="15" customHeight="1">
      <c r="A41" s="30">
        <v>44704</v>
      </c>
      <c r="B41" s="390">
        <v>493876</v>
      </c>
      <c r="C41" s="18">
        <f t="shared" si="118"/>
        <v>17244616</v>
      </c>
      <c r="D41" s="376">
        <v>6208.74</v>
      </c>
      <c r="E41" s="417">
        <f t="shared" si="109"/>
        <v>239865.53999999995</v>
      </c>
      <c r="F41" s="397">
        <v>41762</v>
      </c>
      <c r="G41" s="37"/>
      <c r="H41" s="37">
        <f t="shared" si="110"/>
        <v>34553</v>
      </c>
      <c r="I41" s="37">
        <f t="shared" si="111"/>
        <v>7209</v>
      </c>
      <c r="J41" s="37">
        <f t="shared" si="2"/>
        <v>1161.1051517699243</v>
      </c>
      <c r="K41" s="37">
        <f t="shared" si="119"/>
        <v>122874</v>
      </c>
      <c r="L41" s="37">
        <f t="shared" si="112"/>
        <v>512.26199478257706</v>
      </c>
      <c r="M41" s="1098"/>
      <c r="N41" s="422">
        <v>0</v>
      </c>
      <c r="O41" s="423">
        <v>250</v>
      </c>
      <c r="P41" s="423">
        <f t="shared" si="113"/>
        <v>200</v>
      </c>
      <c r="Q41" s="423">
        <f t="shared" si="114"/>
        <v>50</v>
      </c>
      <c r="R41" s="423">
        <f t="shared" si="120"/>
        <v>2450</v>
      </c>
      <c r="S41" s="68">
        <v>5.2</v>
      </c>
      <c r="T41" s="67">
        <v>24</v>
      </c>
      <c r="U41" s="68">
        <f t="shared" si="53"/>
        <v>62.400000000000006</v>
      </c>
      <c r="V41" s="68">
        <f t="shared" si="6"/>
        <v>10.050348379864515</v>
      </c>
      <c r="W41" s="423">
        <f t="shared" si="54"/>
        <v>2427.2640000000001</v>
      </c>
      <c r="X41" s="68">
        <f t="shared" si="115"/>
        <v>10.119269320636889</v>
      </c>
      <c r="Y41" s="1073"/>
      <c r="Z41" s="424">
        <v>125</v>
      </c>
      <c r="AA41" s="425">
        <v>125</v>
      </c>
      <c r="AB41" s="425">
        <f t="shared" si="55"/>
        <v>250</v>
      </c>
      <c r="AC41" s="425">
        <f t="shared" si="56"/>
        <v>0</v>
      </c>
      <c r="AD41" s="425">
        <f t="shared" si="57"/>
        <v>450</v>
      </c>
      <c r="AE41" s="72">
        <v>1.68</v>
      </c>
      <c r="AF41" s="71">
        <v>12</v>
      </c>
      <c r="AG41" s="72">
        <f t="shared" si="58"/>
        <v>10.08</v>
      </c>
      <c r="AH41" s="72">
        <f t="shared" si="8"/>
        <v>1.6235178152088829</v>
      </c>
      <c r="AI41" s="425">
        <f t="shared" si="59"/>
        <v>421.07999999999993</v>
      </c>
      <c r="AJ41" s="72">
        <f t="shared" si="116"/>
        <v>1.7554835096362738</v>
      </c>
      <c r="AK41" s="1075"/>
      <c r="AL41" s="491">
        <v>12396</v>
      </c>
      <c r="AM41" s="491"/>
      <c r="AN41" s="492">
        <f t="shared" si="105"/>
        <v>12396</v>
      </c>
      <c r="AO41" s="492">
        <f t="shared" si="106"/>
        <v>0</v>
      </c>
      <c r="AP41" s="492">
        <f t="shared" si="107"/>
        <v>20227</v>
      </c>
      <c r="AQ41" s="493">
        <f t="shared" si="117"/>
        <v>84.326410538170691</v>
      </c>
      <c r="AR41" s="1078"/>
      <c r="AS41" s="413">
        <v>49235</v>
      </c>
      <c r="AT41" s="64"/>
      <c r="AU41" s="66">
        <f t="shared" si="61"/>
        <v>49235</v>
      </c>
      <c r="AV41" s="66">
        <f t="shared" si="11"/>
        <v>0</v>
      </c>
      <c r="AW41" s="412">
        <f t="shared" si="62"/>
        <v>0</v>
      </c>
      <c r="AX41" s="66">
        <f t="shared" si="63"/>
        <v>0</v>
      </c>
      <c r="AY41" s="412">
        <f t="shared" si="121"/>
        <v>0</v>
      </c>
      <c r="AZ41" s="1071"/>
      <c r="BA41" s="419">
        <v>45495</v>
      </c>
      <c r="BB41" s="419"/>
      <c r="BC41" s="407"/>
      <c r="BD41" s="419">
        <f t="shared" si="33"/>
        <v>45495</v>
      </c>
      <c r="BE41" s="419">
        <f t="shared" si="34"/>
        <v>0</v>
      </c>
      <c r="BF41" s="407">
        <f t="shared" si="65"/>
        <v>0</v>
      </c>
      <c r="BG41" s="419">
        <f t="shared" si="108"/>
        <v>0</v>
      </c>
      <c r="BH41" s="407">
        <f t="shared" si="122"/>
        <v>0</v>
      </c>
      <c r="BI41" s="407">
        <f t="shared" si="68"/>
        <v>0</v>
      </c>
      <c r="BJ41" s="1089"/>
      <c r="BK41" s="1084"/>
      <c r="BL41" s="49">
        <v>890</v>
      </c>
      <c r="BM41" s="50">
        <v>900</v>
      </c>
      <c r="BN41" s="52">
        <f t="shared" si="69"/>
        <v>1480</v>
      </c>
      <c r="BO41" s="52">
        <f t="shared" si="12"/>
        <v>310</v>
      </c>
      <c r="BP41" s="406">
        <f t="shared" si="70"/>
        <v>0.62768792166454734</v>
      </c>
      <c r="BQ41" s="52">
        <f t="shared" si="71"/>
        <v>6520</v>
      </c>
      <c r="BR41" s="406">
        <f t="shared" si="123"/>
        <v>0.37808902210405843</v>
      </c>
      <c r="BS41" s="1047"/>
      <c r="BT41" s="409">
        <v>1465</v>
      </c>
      <c r="BU41" s="43"/>
      <c r="BV41" s="43">
        <f t="shared" si="102"/>
        <v>1405</v>
      </c>
      <c r="BW41" s="43">
        <f t="shared" si="103"/>
        <v>60</v>
      </c>
      <c r="BX41" s="42">
        <f t="shared" si="74"/>
        <v>0.12148798483829949</v>
      </c>
      <c r="BY41" s="43">
        <f t="shared" si="104"/>
        <v>1982</v>
      </c>
      <c r="BZ41" s="42">
        <f t="shared" si="124"/>
        <v>0.1149344235905282</v>
      </c>
      <c r="CA41" s="1058"/>
      <c r="CB41" s="392">
        <v>598</v>
      </c>
      <c r="CC41" s="298">
        <v>1150</v>
      </c>
      <c r="CD41" s="298">
        <f t="shared" si="35"/>
        <v>1518</v>
      </c>
      <c r="CE41" s="298">
        <f t="shared" si="14"/>
        <v>230</v>
      </c>
      <c r="CF41" s="297">
        <f t="shared" si="77"/>
        <v>0.46570394188014808</v>
      </c>
      <c r="CG41" s="298">
        <f t="shared" si="78"/>
        <v>20332</v>
      </c>
      <c r="CH41" s="297">
        <f t="shared" si="125"/>
        <v>1.179034662180938</v>
      </c>
      <c r="CI41" s="1061"/>
      <c r="CJ41" s="651"/>
      <c r="CK41" s="651"/>
      <c r="CL41" s="651"/>
      <c r="CM41" s="651"/>
      <c r="CN41" s="651"/>
      <c r="CO41" s="464">
        <v>0</v>
      </c>
      <c r="CP41" s="465">
        <v>75</v>
      </c>
      <c r="CQ41" s="465">
        <f t="shared" si="36"/>
        <v>15</v>
      </c>
      <c r="CR41" s="465">
        <f t="shared" si="15"/>
        <v>60</v>
      </c>
      <c r="CS41" s="486">
        <f t="shared" si="80"/>
        <v>0.12148798483829949</v>
      </c>
      <c r="CT41" s="465">
        <f t="shared" si="81"/>
        <v>240</v>
      </c>
      <c r="CU41" s="486">
        <f t="shared" si="126"/>
        <v>1.3917387316713808E-2</v>
      </c>
      <c r="CV41" s="1069"/>
      <c r="CW41" s="427">
        <v>5</v>
      </c>
      <c r="CX41" s="427"/>
      <c r="CY41" s="427">
        <f t="shared" si="83"/>
        <v>5</v>
      </c>
      <c r="CZ41" s="427">
        <f t="shared" si="84"/>
        <v>0</v>
      </c>
      <c r="DA41" s="607">
        <f t="shared" si="85"/>
        <v>0</v>
      </c>
      <c r="DB41" s="607">
        <f t="shared" si="86"/>
        <v>0</v>
      </c>
      <c r="DC41" s="607">
        <f t="shared" si="127"/>
        <v>0</v>
      </c>
      <c r="DD41" s="607"/>
      <c r="DE41" s="471">
        <v>5.6</v>
      </c>
      <c r="DF41" s="473"/>
      <c r="DG41" s="473">
        <f t="shared" si="37"/>
        <v>5.6</v>
      </c>
      <c r="DH41" s="473">
        <f t="shared" si="16"/>
        <v>0</v>
      </c>
      <c r="DI41" s="227">
        <f t="shared" si="88"/>
        <v>0</v>
      </c>
      <c r="DJ41" s="473">
        <f t="shared" si="89"/>
        <v>5.6</v>
      </c>
      <c r="DK41" s="227">
        <f t="shared" si="128"/>
        <v>3.2473903738998883E-4</v>
      </c>
      <c r="DL41" s="1038"/>
      <c r="DM41" s="63">
        <v>590</v>
      </c>
      <c r="DN41" s="64">
        <v>1000</v>
      </c>
      <c r="DO41" s="66">
        <f t="shared" si="91"/>
        <v>1450</v>
      </c>
      <c r="DP41" s="66">
        <f t="shared" si="17"/>
        <v>140</v>
      </c>
      <c r="DQ41" s="412">
        <f t="shared" si="92"/>
        <v>0.2834719646226988</v>
      </c>
      <c r="DR41" s="66">
        <f t="shared" si="93"/>
        <v>5550</v>
      </c>
      <c r="DS41" s="412">
        <f t="shared" si="129"/>
        <v>0.32183958169900678</v>
      </c>
      <c r="DT41" s="1071"/>
      <c r="DU41" s="596">
        <v>200</v>
      </c>
      <c r="DV41" s="596">
        <v>400</v>
      </c>
      <c r="DW41" s="596">
        <f t="shared" si="38"/>
        <v>520</v>
      </c>
      <c r="DX41" s="596">
        <f t="shared" si="18"/>
        <v>80</v>
      </c>
      <c r="DY41" s="592">
        <f t="shared" si="95"/>
        <v>0.16198397978439932</v>
      </c>
      <c r="DZ41" s="596">
        <f t="shared" si="96"/>
        <v>680</v>
      </c>
      <c r="EA41" s="592">
        <f t="shared" si="130"/>
        <v>3.9432597397355787E-2</v>
      </c>
      <c r="EB41" s="1041"/>
      <c r="EC41" s="448">
        <v>155</v>
      </c>
      <c r="ED41" s="449"/>
      <c r="EE41" s="449">
        <f t="shared" si="39"/>
        <v>155</v>
      </c>
      <c r="EF41" s="449">
        <f t="shared" si="19"/>
        <v>0</v>
      </c>
      <c r="EG41" s="450">
        <f t="shared" si="98"/>
        <v>0</v>
      </c>
      <c r="EH41" s="449">
        <f t="shared" si="99"/>
        <v>160</v>
      </c>
      <c r="EI41" s="450">
        <f t="shared" si="131"/>
        <v>9.2782582111425385E-3</v>
      </c>
      <c r="EJ41" s="1035"/>
      <c r="EK41" s="426">
        <v>4200</v>
      </c>
      <c r="EL41" s="427"/>
      <c r="EM41" s="427">
        <f t="shared" si="40"/>
        <v>3600</v>
      </c>
      <c r="EN41" s="427">
        <f t="shared" si="20"/>
        <v>600</v>
      </c>
      <c r="EO41" s="427">
        <f t="shared" si="41"/>
        <v>11472</v>
      </c>
      <c r="EP41" s="456">
        <v>42</v>
      </c>
      <c r="EQ41" s="457">
        <v>14</v>
      </c>
      <c r="ER41" s="457">
        <f t="shared" si="42"/>
        <v>56</v>
      </c>
      <c r="ES41" s="457">
        <f t="shared" si="21"/>
        <v>0</v>
      </c>
      <c r="ET41" s="457">
        <f t="shared" si="43"/>
        <v>112</v>
      </c>
      <c r="EU41" s="409">
        <v>200</v>
      </c>
      <c r="EV41" s="43"/>
      <c r="EW41" s="43">
        <f t="shared" si="44"/>
        <v>200</v>
      </c>
      <c r="EX41" s="43">
        <f t="shared" si="22"/>
        <v>0</v>
      </c>
      <c r="EY41" s="43">
        <f t="shared" si="45"/>
        <v>200</v>
      </c>
      <c r="EZ41" s="436">
        <v>50</v>
      </c>
      <c r="FA41" s="437">
        <v>50</v>
      </c>
      <c r="FB41" s="437">
        <f t="shared" si="46"/>
        <v>50</v>
      </c>
      <c r="FC41" s="437">
        <f t="shared" si="23"/>
        <v>50</v>
      </c>
      <c r="FD41" s="437">
        <f t="shared" si="47"/>
        <v>390</v>
      </c>
      <c r="FE41" s="442">
        <v>65</v>
      </c>
      <c r="FF41" s="443">
        <v>200</v>
      </c>
      <c r="FG41" s="443">
        <f t="shared" si="48"/>
        <v>240</v>
      </c>
      <c r="FH41" s="443">
        <f t="shared" si="24"/>
        <v>25</v>
      </c>
      <c r="FI41" s="443">
        <f t="shared" si="49"/>
        <v>360</v>
      </c>
      <c r="FJ41" s="392">
        <v>0</v>
      </c>
      <c r="FK41" s="298"/>
      <c r="FL41" s="298">
        <f t="shared" si="50"/>
        <v>0</v>
      </c>
      <c r="FM41" s="298">
        <f t="shared" si="25"/>
        <v>0</v>
      </c>
      <c r="FN41" s="498">
        <f t="shared" si="51"/>
        <v>900</v>
      </c>
      <c r="HC41" s="402"/>
      <c r="HD41" s="52"/>
      <c r="HE41" s="52">
        <f t="shared" si="52"/>
        <v>0</v>
      </c>
      <c r="HF41" s="52">
        <f t="shared" si="26"/>
        <v>0</v>
      </c>
      <c r="HG41" s="51"/>
      <c r="HH41" s="52">
        <f t="shared" si="101"/>
        <v>400</v>
      </c>
      <c r="HI41" s="51"/>
      <c r="HJ41" s="1047"/>
    </row>
    <row r="42" spans="1:218" ht="15" customHeight="1">
      <c r="A42" s="30">
        <v>44705</v>
      </c>
      <c r="B42" s="390">
        <v>312538</v>
      </c>
      <c r="C42" s="18">
        <f t="shared" si="118"/>
        <v>17557154</v>
      </c>
      <c r="D42" s="376">
        <v>4748.34</v>
      </c>
      <c r="E42" s="417">
        <f t="shared" si="109"/>
        <v>244613.87999999995</v>
      </c>
      <c r="F42" s="397">
        <v>34553</v>
      </c>
      <c r="G42" s="37"/>
      <c r="H42" s="37">
        <f t="shared" si="110"/>
        <v>34091</v>
      </c>
      <c r="I42" s="37">
        <f t="shared" si="111"/>
        <v>462</v>
      </c>
      <c r="J42" s="37">
        <f t="shared" si="2"/>
        <v>97.297160691947084</v>
      </c>
      <c r="K42" s="37">
        <f t="shared" si="119"/>
        <v>123336</v>
      </c>
      <c r="L42" s="37">
        <f t="shared" si="112"/>
        <v>504.20687493285345</v>
      </c>
      <c r="M42" s="1098"/>
      <c r="N42" s="422">
        <v>200</v>
      </c>
      <c r="O42" s="423"/>
      <c r="P42" s="423">
        <f t="shared" si="113"/>
        <v>175</v>
      </c>
      <c r="Q42" s="423">
        <f t="shared" si="114"/>
        <v>25</v>
      </c>
      <c r="R42" s="423">
        <f t="shared" si="120"/>
        <v>2475</v>
      </c>
      <c r="S42" s="68">
        <v>4.57</v>
      </c>
      <c r="T42" s="67">
        <v>24</v>
      </c>
      <c r="U42" s="68">
        <f t="shared" si="53"/>
        <v>54.84</v>
      </c>
      <c r="V42" s="68">
        <f t="shared" si="6"/>
        <v>11.549299334083068</v>
      </c>
      <c r="W42" s="423">
        <f t="shared" si="54"/>
        <v>2482.1040000000003</v>
      </c>
      <c r="X42" s="68">
        <f t="shared" si="115"/>
        <v>10.147028451533499</v>
      </c>
      <c r="Y42" s="1073"/>
      <c r="Z42" s="424">
        <v>250</v>
      </c>
      <c r="AA42" s="425"/>
      <c r="AB42" s="425">
        <f t="shared" si="55"/>
        <v>250</v>
      </c>
      <c r="AC42" s="425">
        <f t="shared" si="56"/>
        <v>0</v>
      </c>
      <c r="AD42" s="425">
        <f t="shared" si="57"/>
        <v>450</v>
      </c>
      <c r="AE42" s="72">
        <v>1.68</v>
      </c>
      <c r="AF42" s="71">
        <v>12</v>
      </c>
      <c r="AG42" s="72">
        <f t="shared" si="58"/>
        <v>10.08</v>
      </c>
      <c r="AH42" s="72">
        <f t="shared" si="8"/>
        <v>2.1228471423697544</v>
      </c>
      <c r="AI42" s="425">
        <f t="shared" si="59"/>
        <v>431.15999999999991</v>
      </c>
      <c r="AJ42" s="72">
        <f t="shared" si="116"/>
        <v>1.7626146153276339</v>
      </c>
      <c r="AK42" s="1075"/>
      <c r="AL42" s="491">
        <v>12396</v>
      </c>
      <c r="AM42" s="491"/>
      <c r="AN42" s="492">
        <f t="shared" si="105"/>
        <v>12396</v>
      </c>
      <c r="AO42" s="492">
        <f t="shared" si="106"/>
        <v>0</v>
      </c>
      <c r="AP42" s="492">
        <f t="shared" si="107"/>
        <v>20227</v>
      </c>
      <c r="AQ42" s="493">
        <f t="shared" si="117"/>
        <v>82.689502329140126</v>
      </c>
      <c r="AR42" s="1078"/>
      <c r="AS42" s="413">
        <v>49235</v>
      </c>
      <c r="AT42" s="64"/>
      <c r="AU42" s="66">
        <f t="shared" si="61"/>
        <v>49235</v>
      </c>
      <c r="AV42" s="66">
        <f t="shared" si="11"/>
        <v>0</v>
      </c>
      <c r="AW42" s="412">
        <f t="shared" si="62"/>
        <v>0</v>
      </c>
      <c r="AX42" s="66">
        <f t="shared" si="63"/>
        <v>0</v>
      </c>
      <c r="AY42" s="412">
        <f t="shared" si="121"/>
        <v>0</v>
      </c>
      <c r="AZ42" s="1071"/>
      <c r="BA42" s="419">
        <v>45495</v>
      </c>
      <c r="BB42" s="419"/>
      <c r="BC42" s="407"/>
      <c r="BD42" s="419">
        <f t="shared" si="33"/>
        <v>45495</v>
      </c>
      <c r="BE42" s="419">
        <f t="shared" si="34"/>
        <v>0</v>
      </c>
      <c r="BF42" s="407">
        <f t="shared" si="65"/>
        <v>0</v>
      </c>
      <c r="BG42" s="419">
        <f t="shared" si="108"/>
        <v>0</v>
      </c>
      <c r="BH42" s="407">
        <f t="shared" si="122"/>
        <v>0</v>
      </c>
      <c r="BI42" s="407">
        <f t="shared" si="68"/>
        <v>0</v>
      </c>
      <c r="BJ42" s="1089"/>
      <c r="BK42" s="1084"/>
      <c r="BL42" s="49">
        <v>1480</v>
      </c>
      <c r="BM42" s="50"/>
      <c r="BN42" s="52">
        <f t="shared" si="69"/>
        <v>1340</v>
      </c>
      <c r="BO42" s="52">
        <f t="shared" si="12"/>
        <v>140</v>
      </c>
      <c r="BP42" s="406">
        <f t="shared" si="70"/>
        <v>0.44794552982357344</v>
      </c>
      <c r="BQ42" s="52">
        <f t="shared" si="71"/>
        <v>6660</v>
      </c>
      <c r="BR42" s="406">
        <f t="shared" si="123"/>
        <v>0.37933255013882089</v>
      </c>
      <c r="BS42" s="1047"/>
      <c r="BT42" s="409">
        <v>1405</v>
      </c>
      <c r="BU42" s="43"/>
      <c r="BV42" s="43">
        <f t="shared" si="102"/>
        <v>1366</v>
      </c>
      <c r="BW42" s="43">
        <f t="shared" si="103"/>
        <v>39</v>
      </c>
      <c r="BX42" s="42">
        <f t="shared" si="74"/>
        <v>0.12478482616513832</v>
      </c>
      <c r="BY42" s="43">
        <f t="shared" si="104"/>
        <v>2021</v>
      </c>
      <c r="BZ42" s="42">
        <f t="shared" si="124"/>
        <v>0.11510977234693048</v>
      </c>
      <c r="CA42" s="1058"/>
      <c r="CB42" s="392">
        <v>1518</v>
      </c>
      <c r="CC42" s="298"/>
      <c r="CD42" s="298">
        <f t="shared" si="35"/>
        <v>1323</v>
      </c>
      <c r="CE42" s="298">
        <f t="shared" si="14"/>
        <v>195</v>
      </c>
      <c r="CF42" s="297">
        <f t="shared" si="77"/>
        <v>0.62392413082569165</v>
      </c>
      <c r="CG42" s="298">
        <f t="shared" si="78"/>
        <v>20527</v>
      </c>
      <c r="CH42" s="297">
        <f t="shared" si="125"/>
        <v>1.169153041546483</v>
      </c>
      <c r="CI42" s="1061"/>
      <c r="CJ42" s="651"/>
      <c r="CK42" s="651"/>
      <c r="CL42" s="651"/>
      <c r="CM42" s="651"/>
      <c r="CN42" s="651"/>
      <c r="CO42" s="464">
        <v>15</v>
      </c>
      <c r="CP42" s="465"/>
      <c r="CQ42" s="465">
        <f t="shared" si="36"/>
        <v>15</v>
      </c>
      <c r="CR42" s="465">
        <f t="shared" si="15"/>
        <v>0</v>
      </c>
      <c r="CS42" s="486">
        <f t="shared" si="80"/>
        <v>0</v>
      </c>
      <c r="CT42" s="465">
        <f t="shared" si="81"/>
        <v>240</v>
      </c>
      <c r="CU42" s="486">
        <f t="shared" si="126"/>
        <v>1.3669641446443996E-2</v>
      </c>
      <c r="CV42" s="1069"/>
      <c r="CW42" s="427">
        <v>5</v>
      </c>
      <c r="CX42" s="427"/>
      <c r="CY42" s="427">
        <f t="shared" si="83"/>
        <v>5</v>
      </c>
      <c r="CZ42" s="427">
        <f t="shared" si="84"/>
        <v>0</v>
      </c>
      <c r="DA42" s="607">
        <f t="shared" si="85"/>
        <v>0</v>
      </c>
      <c r="DB42" s="607">
        <f t="shared" si="86"/>
        <v>0</v>
      </c>
      <c r="DC42" s="607">
        <f t="shared" si="127"/>
        <v>0</v>
      </c>
      <c r="DD42" s="607"/>
      <c r="DE42" s="471">
        <v>5.6</v>
      </c>
      <c r="DF42" s="473"/>
      <c r="DG42" s="473">
        <f t="shared" si="37"/>
        <v>5.6</v>
      </c>
      <c r="DH42" s="473">
        <f t="shared" si="16"/>
        <v>0</v>
      </c>
      <c r="DI42" s="227">
        <f t="shared" si="88"/>
        <v>0</v>
      </c>
      <c r="DJ42" s="473">
        <f t="shared" si="89"/>
        <v>5.6</v>
      </c>
      <c r="DK42" s="227">
        <f t="shared" si="128"/>
        <v>3.1895830041702659E-4</v>
      </c>
      <c r="DL42" s="1038"/>
      <c r="DM42" s="63">
        <v>1450</v>
      </c>
      <c r="DN42" s="64"/>
      <c r="DO42" s="66">
        <f t="shared" si="91"/>
        <v>1380</v>
      </c>
      <c r="DP42" s="66">
        <f t="shared" si="17"/>
        <v>70</v>
      </c>
      <c r="DQ42" s="412">
        <f t="shared" si="92"/>
        <v>0.22397276491178672</v>
      </c>
      <c r="DR42" s="66">
        <f t="shared" si="93"/>
        <v>5620</v>
      </c>
      <c r="DS42" s="412">
        <f t="shared" si="129"/>
        <v>0.32009743720423023</v>
      </c>
      <c r="DT42" s="1071"/>
      <c r="DU42" s="596">
        <v>520</v>
      </c>
      <c r="DV42" s="596"/>
      <c r="DW42" s="596">
        <f t="shared" si="38"/>
        <v>400</v>
      </c>
      <c r="DX42" s="596">
        <f t="shared" si="18"/>
        <v>120</v>
      </c>
      <c r="DY42" s="592">
        <f t="shared" si="95"/>
        <v>0.38395331127734866</v>
      </c>
      <c r="DZ42" s="596">
        <f t="shared" si="96"/>
        <v>800</v>
      </c>
      <c r="EA42" s="592">
        <f t="shared" si="130"/>
        <v>4.5565471488146658E-2</v>
      </c>
      <c r="EB42" s="1041"/>
      <c r="EC42" s="448">
        <v>155</v>
      </c>
      <c r="ED42" s="449"/>
      <c r="EE42" s="449">
        <f t="shared" si="39"/>
        <v>155</v>
      </c>
      <c r="EF42" s="449">
        <f t="shared" si="19"/>
        <v>0</v>
      </c>
      <c r="EG42" s="450">
        <f t="shared" si="98"/>
        <v>0</v>
      </c>
      <c r="EH42" s="449">
        <f t="shared" si="99"/>
        <v>160</v>
      </c>
      <c r="EI42" s="450">
        <f t="shared" si="131"/>
        <v>9.1130942976293313E-3</v>
      </c>
      <c r="EJ42" s="1035"/>
      <c r="EK42" s="426">
        <v>3600</v>
      </c>
      <c r="EL42" s="427"/>
      <c r="EM42" s="427">
        <f t="shared" si="40"/>
        <v>3060</v>
      </c>
      <c r="EN42" s="427">
        <f t="shared" si="20"/>
        <v>540</v>
      </c>
      <c r="EO42" s="427">
        <f t="shared" si="41"/>
        <v>12012</v>
      </c>
      <c r="EP42" s="456">
        <v>56</v>
      </c>
      <c r="EQ42" s="457"/>
      <c r="ER42" s="457">
        <f t="shared" si="42"/>
        <v>56</v>
      </c>
      <c r="ES42" s="457">
        <f t="shared" si="21"/>
        <v>0</v>
      </c>
      <c r="ET42" s="457">
        <f t="shared" si="43"/>
        <v>112</v>
      </c>
      <c r="EU42" s="409">
        <v>200</v>
      </c>
      <c r="EV42" s="43"/>
      <c r="EW42" s="43">
        <f t="shared" si="44"/>
        <v>200</v>
      </c>
      <c r="EX42" s="43">
        <f t="shared" si="22"/>
        <v>0</v>
      </c>
      <c r="EY42" s="43">
        <f t="shared" si="45"/>
        <v>200</v>
      </c>
      <c r="EZ42" s="436">
        <v>50</v>
      </c>
      <c r="FA42" s="437"/>
      <c r="FB42" s="437">
        <f t="shared" si="46"/>
        <v>50</v>
      </c>
      <c r="FC42" s="437">
        <f t="shared" si="23"/>
        <v>0</v>
      </c>
      <c r="FD42" s="437">
        <f t="shared" si="47"/>
        <v>390</v>
      </c>
      <c r="FE42" s="442">
        <v>240</v>
      </c>
      <c r="FF42" s="443"/>
      <c r="FG42" s="443">
        <f t="shared" si="48"/>
        <v>240</v>
      </c>
      <c r="FH42" s="443">
        <f t="shared" si="24"/>
        <v>0</v>
      </c>
      <c r="FI42" s="443">
        <f t="shared" si="49"/>
        <v>360</v>
      </c>
      <c r="FJ42" s="392">
        <v>0</v>
      </c>
      <c r="FK42" s="298"/>
      <c r="FL42" s="298">
        <f t="shared" si="50"/>
        <v>0</v>
      </c>
      <c r="FM42" s="298">
        <f t="shared" si="25"/>
        <v>0</v>
      </c>
      <c r="FN42" s="498">
        <f t="shared" si="51"/>
        <v>900</v>
      </c>
      <c r="HC42" s="402"/>
      <c r="HD42" s="52"/>
      <c r="HE42" s="52">
        <f t="shared" si="52"/>
        <v>0</v>
      </c>
      <c r="HF42" s="52">
        <f t="shared" si="26"/>
        <v>0</v>
      </c>
      <c r="HG42" s="51"/>
      <c r="HH42" s="52">
        <f t="shared" si="101"/>
        <v>400</v>
      </c>
      <c r="HI42" s="51"/>
      <c r="HJ42" s="1047"/>
    </row>
    <row r="43" spans="1:218" ht="15" customHeight="1">
      <c r="A43" s="30">
        <v>44706</v>
      </c>
      <c r="B43" s="390">
        <v>555871</v>
      </c>
      <c r="C43" s="18">
        <f t="shared" si="118"/>
        <v>18113025</v>
      </c>
      <c r="D43" s="376">
        <v>7564.98</v>
      </c>
      <c r="E43" s="417">
        <f t="shared" si="109"/>
        <v>252178.85999999996</v>
      </c>
      <c r="F43" s="397">
        <v>34091</v>
      </c>
      <c r="G43" s="37"/>
      <c r="H43" s="37">
        <f t="shared" si="110"/>
        <v>31253</v>
      </c>
      <c r="I43" s="37">
        <f t="shared" si="111"/>
        <v>2838</v>
      </c>
      <c r="J43" s="37">
        <f t="shared" si="2"/>
        <v>375.14970297343814</v>
      </c>
      <c r="K43" s="37">
        <f t="shared" si="119"/>
        <v>126174</v>
      </c>
      <c r="L43" s="37">
        <f t="shared" si="112"/>
        <v>500.33535721432014</v>
      </c>
      <c r="M43" s="1098"/>
      <c r="N43" s="422">
        <v>175</v>
      </c>
      <c r="O43" s="423"/>
      <c r="P43" s="423">
        <f t="shared" si="113"/>
        <v>100</v>
      </c>
      <c r="Q43" s="423">
        <f t="shared" si="114"/>
        <v>75</v>
      </c>
      <c r="R43" s="423">
        <f t="shared" si="120"/>
        <v>2550</v>
      </c>
      <c r="S43" s="68">
        <v>6.26</v>
      </c>
      <c r="T43" s="67">
        <v>24</v>
      </c>
      <c r="U43" s="68">
        <f t="shared" si="53"/>
        <v>75.12</v>
      </c>
      <c r="V43" s="68">
        <f t="shared" si="6"/>
        <v>9.9299667679227177</v>
      </c>
      <c r="W43" s="423">
        <f t="shared" si="54"/>
        <v>2557.2240000000002</v>
      </c>
      <c r="X43" s="68">
        <f t="shared" si="115"/>
        <v>10.14051693310058</v>
      </c>
      <c r="Y43" s="1073"/>
      <c r="Z43" s="424">
        <v>250</v>
      </c>
      <c r="AA43" s="425"/>
      <c r="AB43" s="425">
        <f t="shared" si="55"/>
        <v>250</v>
      </c>
      <c r="AC43" s="425">
        <f t="shared" si="56"/>
        <v>0</v>
      </c>
      <c r="AD43" s="425">
        <f t="shared" si="57"/>
        <v>450</v>
      </c>
      <c r="AE43" s="72">
        <v>1.97</v>
      </c>
      <c r="AF43" s="71">
        <v>12</v>
      </c>
      <c r="AG43" s="72">
        <f t="shared" si="58"/>
        <v>11.82</v>
      </c>
      <c r="AH43" s="72">
        <f t="shared" si="8"/>
        <v>1.5624628221092456</v>
      </c>
      <c r="AI43" s="425">
        <f t="shared" si="59"/>
        <v>442.9799999999999</v>
      </c>
      <c r="AJ43" s="72">
        <f t="shared" si="116"/>
        <v>1.7566103677366134</v>
      </c>
      <c r="AK43" s="1075"/>
      <c r="AL43" s="491">
        <v>12396</v>
      </c>
      <c r="AM43" s="491"/>
      <c r="AN43" s="492">
        <f t="shared" si="105"/>
        <v>12396</v>
      </c>
      <c r="AO43" s="492">
        <f t="shared" si="106"/>
        <v>0</v>
      </c>
      <c r="AP43" s="492">
        <f t="shared" si="107"/>
        <v>20227</v>
      </c>
      <c r="AQ43" s="493">
        <f t="shared" si="117"/>
        <v>80.208943763168747</v>
      </c>
      <c r="AR43" s="1078"/>
      <c r="AS43" s="413">
        <v>49235</v>
      </c>
      <c r="AT43" s="64"/>
      <c r="AU43" s="66">
        <f t="shared" si="61"/>
        <v>49235</v>
      </c>
      <c r="AV43" s="66">
        <f t="shared" si="11"/>
        <v>0</v>
      </c>
      <c r="AW43" s="412">
        <f t="shared" si="62"/>
        <v>0</v>
      </c>
      <c r="AX43" s="66">
        <f t="shared" si="63"/>
        <v>0</v>
      </c>
      <c r="AY43" s="412">
        <f t="shared" si="121"/>
        <v>0</v>
      </c>
      <c r="AZ43" s="1071"/>
      <c r="BA43" s="419">
        <v>45495</v>
      </c>
      <c r="BB43" s="419"/>
      <c r="BC43" s="407"/>
      <c r="BD43" s="419">
        <f t="shared" si="33"/>
        <v>45495</v>
      </c>
      <c r="BE43" s="419">
        <f t="shared" si="34"/>
        <v>0</v>
      </c>
      <c r="BF43" s="407">
        <f t="shared" si="65"/>
        <v>0</v>
      </c>
      <c r="BG43" s="419">
        <f t="shared" si="108"/>
        <v>0</v>
      </c>
      <c r="BH43" s="407">
        <f t="shared" si="122"/>
        <v>0</v>
      </c>
      <c r="BI43" s="407">
        <f t="shared" si="68"/>
        <v>0</v>
      </c>
      <c r="BJ43" s="1089"/>
      <c r="BK43" s="1084"/>
      <c r="BL43" s="49">
        <v>1340</v>
      </c>
      <c r="BM43" s="50"/>
      <c r="BN43" s="52">
        <f t="shared" si="69"/>
        <v>1266</v>
      </c>
      <c r="BO43" s="52">
        <f t="shared" si="12"/>
        <v>74</v>
      </c>
      <c r="BP43" s="406">
        <f t="shared" si="70"/>
        <v>0.13312441195888974</v>
      </c>
      <c r="BQ43" s="52">
        <f t="shared" si="71"/>
        <v>6734</v>
      </c>
      <c r="BR43" s="406">
        <f t="shared" si="123"/>
        <v>0.37177666347835331</v>
      </c>
      <c r="BS43" s="1047"/>
      <c r="BT43" s="409">
        <v>1366</v>
      </c>
      <c r="BU43" s="43"/>
      <c r="BV43" s="43">
        <f t="shared" si="102"/>
        <v>1288</v>
      </c>
      <c r="BW43" s="43">
        <f t="shared" si="103"/>
        <v>78</v>
      </c>
      <c r="BX43" s="42">
        <f t="shared" si="74"/>
        <v>0.14032032611882972</v>
      </c>
      <c r="BY43" s="43">
        <f t="shared" si="104"/>
        <v>2099</v>
      </c>
      <c r="BZ43" s="42">
        <f t="shared" si="124"/>
        <v>0.11588345955465749</v>
      </c>
      <c r="CA43" s="1058"/>
      <c r="CB43" s="392">
        <v>1323</v>
      </c>
      <c r="CC43" s="298"/>
      <c r="CD43" s="298">
        <f t="shared" si="35"/>
        <v>1127</v>
      </c>
      <c r="CE43" s="298">
        <f t="shared" si="14"/>
        <v>196</v>
      </c>
      <c r="CF43" s="297">
        <f t="shared" si="77"/>
        <v>0.35259979383705931</v>
      </c>
      <c r="CG43" s="298">
        <f t="shared" si="78"/>
        <v>20723</v>
      </c>
      <c r="CH43" s="297">
        <f t="shared" si="125"/>
        <v>1.1440938219872163</v>
      </c>
      <c r="CI43" s="1061"/>
      <c r="CJ43" s="651"/>
      <c r="CK43" s="651"/>
      <c r="CL43" s="651"/>
      <c r="CM43" s="651"/>
      <c r="CN43" s="651"/>
      <c r="CO43" s="464">
        <v>15</v>
      </c>
      <c r="CP43" s="465"/>
      <c r="CQ43" s="465">
        <f t="shared" si="36"/>
        <v>15</v>
      </c>
      <c r="CR43" s="465">
        <f t="shared" si="15"/>
        <v>0</v>
      </c>
      <c r="CS43" s="486">
        <f t="shared" si="80"/>
        <v>0</v>
      </c>
      <c r="CT43" s="465">
        <f t="shared" si="81"/>
        <v>240</v>
      </c>
      <c r="CU43" s="486">
        <f t="shared" si="126"/>
        <v>1.3250133536502048E-2</v>
      </c>
      <c r="CV43" s="1069"/>
      <c r="CW43" s="427">
        <v>5</v>
      </c>
      <c r="CX43" s="427"/>
      <c r="CY43" s="427">
        <f t="shared" si="83"/>
        <v>5</v>
      </c>
      <c r="CZ43" s="427">
        <f t="shared" si="84"/>
        <v>0</v>
      </c>
      <c r="DA43" s="607">
        <f t="shared" si="85"/>
        <v>0</v>
      </c>
      <c r="DB43" s="607">
        <f t="shared" si="86"/>
        <v>0</v>
      </c>
      <c r="DC43" s="607">
        <f t="shared" si="127"/>
        <v>0</v>
      </c>
      <c r="DD43" s="607"/>
      <c r="DE43" s="471">
        <v>5.6</v>
      </c>
      <c r="DF43" s="473"/>
      <c r="DG43" s="473">
        <f t="shared" si="37"/>
        <v>5.6</v>
      </c>
      <c r="DH43" s="473">
        <f t="shared" si="16"/>
        <v>0</v>
      </c>
      <c r="DI43" s="227">
        <f t="shared" si="88"/>
        <v>0</v>
      </c>
      <c r="DJ43" s="473">
        <f t="shared" si="89"/>
        <v>5.6</v>
      </c>
      <c r="DK43" s="227">
        <f t="shared" si="128"/>
        <v>3.0916978251838113E-4</v>
      </c>
      <c r="DL43" s="1038"/>
      <c r="DM43" s="63">
        <v>1380</v>
      </c>
      <c r="DN43" s="64"/>
      <c r="DO43" s="66">
        <f t="shared" si="91"/>
        <v>1220</v>
      </c>
      <c r="DP43" s="66">
        <f t="shared" si="17"/>
        <v>160</v>
      </c>
      <c r="DQ43" s="412">
        <f t="shared" si="92"/>
        <v>0.28783656639759947</v>
      </c>
      <c r="DR43" s="66">
        <f t="shared" si="93"/>
        <v>5780</v>
      </c>
      <c r="DS43" s="412">
        <f t="shared" si="129"/>
        <v>0.31910738267075767</v>
      </c>
      <c r="DT43" s="1071"/>
      <c r="DU43" s="596">
        <v>400</v>
      </c>
      <c r="DV43" s="596"/>
      <c r="DW43" s="596">
        <f t="shared" si="38"/>
        <v>200</v>
      </c>
      <c r="DX43" s="596">
        <f t="shared" si="18"/>
        <v>200</v>
      </c>
      <c r="DY43" s="592">
        <f t="shared" si="95"/>
        <v>0.35979570799699928</v>
      </c>
      <c r="DZ43" s="596">
        <f t="shared" si="96"/>
        <v>1000</v>
      </c>
      <c r="EA43" s="592">
        <f t="shared" si="130"/>
        <v>5.5208889735425197E-2</v>
      </c>
      <c r="EB43" s="1041"/>
      <c r="EC43" s="448">
        <v>155</v>
      </c>
      <c r="ED43" s="449"/>
      <c r="EE43" s="449">
        <f t="shared" si="39"/>
        <v>155</v>
      </c>
      <c r="EF43" s="449">
        <f t="shared" si="19"/>
        <v>0</v>
      </c>
      <c r="EG43" s="450">
        <f t="shared" si="98"/>
        <v>0</v>
      </c>
      <c r="EH43" s="449">
        <f t="shared" si="99"/>
        <v>160</v>
      </c>
      <c r="EI43" s="450">
        <f t="shared" si="131"/>
        <v>8.8334223576680311E-3</v>
      </c>
      <c r="EJ43" s="1035"/>
      <c r="EK43" s="426">
        <v>3060</v>
      </c>
      <c r="EL43" s="427"/>
      <c r="EM43" s="427">
        <f t="shared" si="40"/>
        <v>2400</v>
      </c>
      <c r="EN43" s="427">
        <f t="shared" si="20"/>
        <v>660</v>
      </c>
      <c r="EO43" s="427">
        <f t="shared" si="41"/>
        <v>12672</v>
      </c>
      <c r="EP43" s="456">
        <v>56</v>
      </c>
      <c r="EQ43" s="457"/>
      <c r="ER43" s="457">
        <f t="shared" si="42"/>
        <v>56</v>
      </c>
      <c r="ES43" s="457">
        <f t="shared" si="21"/>
        <v>0</v>
      </c>
      <c r="ET43" s="457">
        <f t="shared" si="43"/>
        <v>112</v>
      </c>
      <c r="EU43" s="409">
        <v>200</v>
      </c>
      <c r="EV43" s="43"/>
      <c r="EW43" s="43">
        <f t="shared" si="44"/>
        <v>200</v>
      </c>
      <c r="EX43" s="43">
        <f t="shared" si="22"/>
        <v>0</v>
      </c>
      <c r="EY43" s="43">
        <f t="shared" si="45"/>
        <v>200</v>
      </c>
      <c r="EZ43" s="436">
        <v>50</v>
      </c>
      <c r="FA43" s="437"/>
      <c r="FB43" s="437">
        <f t="shared" si="46"/>
        <v>50</v>
      </c>
      <c r="FC43" s="437">
        <f t="shared" si="23"/>
        <v>0</v>
      </c>
      <c r="FD43" s="437">
        <f t="shared" si="47"/>
        <v>390</v>
      </c>
      <c r="FE43" s="442">
        <v>240</v>
      </c>
      <c r="FF43" s="443"/>
      <c r="FG43" s="443">
        <f t="shared" si="48"/>
        <v>215</v>
      </c>
      <c r="FH43" s="443">
        <f t="shared" si="24"/>
        <v>25</v>
      </c>
      <c r="FI43" s="443">
        <f t="shared" si="49"/>
        <v>385</v>
      </c>
      <c r="FJ43" s="392">
        <v>0</v>
      </c>
      <c r="FK43" s="298"/>
      <c r="FL43" s="298">
        <f t="shared" si="50"/>
        <v>0</v>
      </c>
      <c r="FM43" s="298">
        <f t="shared" si="25"/>
        <v>0</v>
      </c>
      <c r="FN43" s="498">
        <f t="shared" si="51"/>
        <v>900</v>
      </c>
      <c r="HC43" s="402"/>
      <c r="HD43" s="52"/>
      <c r="HE43" s="52">
        <f t="shared" si="52"/>
        <v>0</v>
      </c>
      <c r="HF43" s="52">
        <f t="shared" si="26"/>
        <v>0</v>
      </c>
      <c r="HG43" s="51"/>
      <c r="HH43" s="52">
        <f t="shared" si="101"/>
        <v>400</v>
      </c>
      <c r="HI43" s="51"/>
      <c r="HJ43" s="1047"/>
    </row>
    <row r="44" spans="1:218" ht="15" customHeight="1">
      <c r="A44" s="30">
        <v>44707</v>
      </c>
      <c r="B44" s="390">
        <v>571072</v>
      </c>
      <c r="C44" s="18">
        <f t="shared" si="118"/>
        <v>18684097</v>
      </c>
      <c r="D44" s="376">
        <v>7893.8</v>
      </c>
      <c r="E44" s="417">
        <f t="shared" si="109"/>
        <v>260072.65999999995</v>
      </c>
      <c r="F44" s="397">
        <v>31253</v>
      </c>
      <c r="G44" s="37"/>
      <c r="H44" s="37">
        <f t="shared" si="110"/>
        <v>29233</v>
      </c>
      <c r="I44" s="37">
        <f t="shared" si="111"/>
        <v>2020</v>
      </c>
      <c r="J44" s="37">
        <f t="shared" si="2"/>
        <v>255.89703311459627</v>
      </c>
      <c r="K44" s="37">
        <f t="shared" si="119"/>
        <v>128194</v>
      </c>
      <c r="L44" s="37">
        <f t="shared" si="112"/>
        <v>492.91609506358731</v>
      </c>
      <c r="M44" s="1098"/>
      <c r="N44" s="422">
        <v>100</v>
      </c>
      <c r="O44" s="423">
        <v>300</v>
      </c>
      <c r="P44" s="423">
        <f t="shared" si="113"/>
        <v>300</v>
      </c>
      <c r="Q44" s="423">
        <f t="shared" si="114"/>
        <v>100</v>
      </c>
      <c r="R44" s="423">
        <f t="shared" si="120"/>
        <v>2650</v>
      </c>
      <c r="S44" s="68">
        <v>6.12</v>
      </c>
      <c r="T44" s="67">
        <v>24</v>
      </c>
      <c r="U44" s="68">
        <f t="shared" si="53"/>
        <v>73.44</v>
      </c>
      <c r="V44" s="68">
        <f t="shared" si="6"/>
        <v>9.3035040158098763</v>
      </c>
      <c r="W44" s="423">
        <f t="shared" si="54"/>
        <v>2630.6640000000002</v>
      </c>
      <c r="X44" s="68">
        <f t="shared" si="115"/>
        <v>10.115111676867537</v>
      </c>
      <c r="Y44" s="1073"/>
      <c r="Z44" s="424">
        <v>250</v>
      </c>
      <c r="AA44" s="425"/>
      <c r="AB44" s="425">
        <f t="shared" si="55"/>
        <v>250</v>
      </c>
      <c r="AC44" s="425">
        <f t="shared" si="56"/>
        <v>0</v>
      </c>
      <c r="AD44" s="425">
        <f t="shared" si="57"/>
        <v>450</v>
      </c>
      <c r="AE44" s="72">
        <v>2.52</v>
      </c>
      <c r="AF44" s="71">
        <v>12</v>
      </c>
      <c r="AG44" s="72">
        <f t="shared" si="58"/>
        <v>15.120000000000001</v>
      </c>
      <c r="AH44" s="72">
        <f t="shared" si="8"/>
        <v>1.9154272973726216</v>
      </c>
      <c r="AI44" s="425">
        <f t="shared" si="59"/>
        <v>458.09999999999991</v>
      </c>
      <c r="AJ44" s="72">
        <f t="shared" si="116"/>
        <v>1.7614308247548973</v>
      </c>
      <c r="AK44" s="1075"/>
      <c r="AL44" s="491">
        <v>12396</v>
      </c>
      <c r="AM44" s="491"/>
      <c r="AN44" s="492">
        <f t="shared" si="105"/>
        <v>12396</v>
      </c>
      <c r="AO44" s="492">
        <f t="shared" si="106"/>
        <v>0</v>
      </c>
      <c r="AP44" s="492">
        <f t="shared" si="107"/>
        <v>20227</v>
      </c>
      <c r="AQ44" s="493">
        <f t="shared" si="117"/>
        <v>77.774418887398639</v>
      </c>
      <c r="AR44" s="1078"/>
      <c r="AS44" s="413">
        <v>49235</v>
      </c>
      <c r="AT44" s="64"/>
      <c r="AU44" s="66">
        <f t="shared" si="61"/>
        <v>49235</v>
      </c>
      <c r="AV44" s="66">
        <f t="shared" si="11"/>
        <v>0</v>
      </c>
      <c r="AW44" s="412">
        <f t="shared" si="62"/>
        <v>0</v>
      </c>
      <c r="AX44" s="66">
        <f t="shared" si="63"/>
        <v>0</v>
      </c>
      <c r="AY44" s="412">
        <f t="shared" si="121"/>
        <v>0</v>
      </c>
      <c r="AZ44" s="1071"/>
      <c r="BA44" s="419">
        <v>45495</v>
      </c>
      <c r="BB44" s="419"/>
      <c r="BC44" s="407"/>
      <c r="BD44" s="419">
        <f t="shared" si="33"/>
        <v>45495</v>
      </c>
      <c r="BE44" s="419">
        <f t="shared" si="34"/>
        <v>0</v>
      </c>
      <c r="BF44" s="407">
        <f t="shared" si="65"/>
        <v>0</v>
      </c>
      <c r="BG44" s="419">
        <f t="shared" si="108"/>
        <v>0</v>
      </c>
      <c r="BH44" s="407">
        <f t="shared" si="122"/>
        <v>0</v>
      </c>
      <c r="BI44" s="407">
        <f t="shared" si="68"/>
        <v>0</v>
      </c>
      <c r="BJ44" s="1089"/>
      <c r="BK44" s="1084"/>
      <c r="BL44" s="49">
        <v>1266</v>
      </c>
      <c r="BM44" s="50"/>
      <c r="BN44" s="52">
        <f t="shared" si="69"/>
        <v>1108</v>
      </c>
      <c r="BO44" s="52">
        <f t="shared" si="12"/>
        <v>158</v>
      </c>
      <c r="BP44" s="406">
        <f t="shared" si="70"/>
        <v>0.27667264372968731</v>
      </c>
      <c r="BQ44" s="52">
        <f t="shared" si="71"/>
        <v>6892</v>
      </c>
      <c r="BR44" s="406">
        <f t="shared" si="123"/>
        <v>0.36886984690777402</v>
      </c>
      <c r="BS44" s="1047"/>
      <c r="BT44" s="409">
        <v>1288</v>
      </c>
      <c r="BU44" s="43"/>
      <c r="BV44" s="43">
        <f t="shared" si="102"/>
        <v>1212</v>
      </c>
      <c r="BW44" s="43">
        <f t="shared" si="103"/>
        <v>76</v>
      </c>
      <c r="BX44" s="42">
        <f t="shared" si="74"/>
        <v>0.13308304381934327</v>
      </c>
      <c r="BY44" s="43">
        <f t="shared" si="104"/>
        <v>2175</v>
      </c>
      <c r="BZ44" s="42">
        <f t="shared" si="124"/>
        <v>0.1164091580128277</v>
      </c>
      <c r="CA44" s="1058"/>
      <c r="CB44" s="392">
        <v>1127</v>
      </c>
      <c r="CC44" s="298">
        <v>1150</v>
      </c>
      <c r="CD44" s="298">
        <f t="shared" si="35"/>
        <v>2012</v>
      </c>
      <c r="CE44" s="298">
        <f t="shared" si="14"/>
        <v>265</v>
      </c>
      <c r="CF44" s="297">
        <f t="shared" si="77"/>
        <v>0.46403956068586799</v>
      </c>
      <c r="CG44" s="298">
        <f t="shared" si="78"/>
        <v>20988</v>
      </c>
      <c r="CH44" s="297">
        <f t="shared" si="125"/>
        <v>1.1233082337348175</v>
      </c>
      <c r="CI44" s="1061"/>
      <c r="CJ44" s="651"/>
      <c r="CK44" s="651"/>
      <c r="CL44" s="651"/>
      <c r="CM44" s="651"/>
      <c r="CN44" s="651"/>
      <c r="CO44" s="464">
        <v>15</v>
      </c>
      <c r="CP44" s="465"/>
      <c r="CQ44" s="465">
        <f t="shared" si="36"/>
        <v>15</v>
      </c>
      <c r="CR44" s="465">
        <f t="shared" si="15"/>
        <v>0</v>
      </c>
      <c r="CS44" s="486">
        <f t="shared" si="80"/>
        <v>0</v>
      </c>
      <c r="CT44" s="465">
        <f t="shared" si="81"/>
        <v>240</v>
      </c>
      <c r="CU44" s="486">
        <f t="shared" si="126"/>
        <v>1.2845148470380988E-2</v>
      </c>
      <c r="CV44" s="1069"/>
      <c r="CW44" s="427">
        <v>5</v>
      </c>
      <c r="CX44" s="427"/>
      <c r="CY44" s="427">
        <f t="shared" si="83"/>
        <v>5</v>
      </c>
      <c r="CZ44" s="427">
        <f t="shared" si="84"/>
        <v>0</v>
      </c>
      <c r="DA44" s="607">
        <f t="shared" si="85"/>
        <v>0</v>
      </c>
      <c r="DB44" s="607">
        <f t="shared" si="86"/>
        <v>0</v>
      </c>
      <c r="DC44" s="607">
        <f t="shared" si="127"/>
        <v>0</v>
      </c>
      <c r="DD44" s="607"/>
      <c r="DE44" s="471">
        <v>5.6</v>
      </c>
      <c r="DF44" s="473"/>
      <c r="DG44" s="473">
        <f t="shared" si="37"/>
        <v>5.6</v>
      </c>
      <c r="DH44" s="473">
        <f t="shared" si="16"/>
        <v>0</v>
      </c>
      <c r="DI44" s="227">
        <f t="shared" si="88"/>
        <v>0</v>
      </c>
      <c r="DJ44" s="473">
        <f t="shared" si="89"/>
        <v>5.6</v>
      </c>
      <c r="DK44" s="227">
        <f t="shared" si="128"/>
        <v>2.9972013097555637E-4</v>
      </c>
      <c r="DL44" s="1038"/>
      <c r="DM44" s="63">
        <v>1220</v>
      </c>
      <c r="DN44" s="64"/>
      <c r="DO44" s="66">
        <f t="shared" si="91"/>
        <v>1000</v>
      </c>
      <c r="DP44" s="66">
        <f t="shared" si="17"/>
        <v>220</v>
      </c>
      <c r="DQ44" s="412">
        <f t="shared" si="92"/>
        <v>0.38524039000336208</v>
      </c>
      <c r="DR44" s="66">
        <f t="shared" si="93"/>
        <v>6000</v>
      </c>
      <c r="DS44" s="412">
        <f t="shared" si="129"/>
        <v>0.32112871175952468</v>
      </c>
      <c r="DT44" s="1071"/>
      <c r="DU44" s="596">
        <v>200</v>
      </c>
      <c r="DV44" s="596">
        <v>800</v>
      </c>
      <c r="DW44" s="596">
        <f t="shared" si="38"/>
        <v>800</v>
      </c>
      <c r="DX44" s="596">
        <f t="shared" si="18"/>
        <v>200</v>
      </c>
      <c r="DY44" s="592">
        <f t="shared" si="95"/>
        <v>0.35021853636669281</v>
      </c>
      <c r="DZ44" s="596">
        <f t="shared" si="96"/>
        <v>1200</v>
      </c>
      <c r="EA44" s="592">
        <f t="shared" si="130"/>
        <v>6.4225742351904938E-2</v>
      </c>
      <c r="EB44" s="1041"/>
      <c r="EC44" s="448">
        <v>155</v>
      </c>
      <c r="ED44" s="449"/>
      <c r="EE44" s="449">
        <f t="shared" si="39"/>
        <v>155</v>
      </c>
      <c r="EF44" s="449">
        <f t="shared" si="19"/>
        <v>0</v>
      </c>
      <c r="EG44" s="450">
        <f t="shared" si="98"/>
        <v>0</v>
      </c>
      <c r="EH44" s="449">
        <f t="shared" si="99"/>
        <v>160</v>
      </c>
      <c r="EI44" s="450">
        <f t="shared" si="131"/>
        <v>8.5634323135873255E-3</v>
      </c>
      <c r="EJ44" s="1035"/>
      <c r="EK44" s="426">
        <v>2400</v>
      </c>
      <c r="EL44" s="427">
        <v>1200</v>
      </c>
      <c r="EM44" s="427">
        <f t="shared" si="40"/>
        <v>3000</v>
      </c>
      <c r="EN44" s="427">
        <f t="shared" si="20"/>
        <v>600</v>
      </c>
      <c r="EO44" s="427">
        <f t="shared" si="41"/>
        <v>13272</v>
      </c>
      <c r="EP44" s="456">
        <v>56</v>
      </c>
      <c r="EQ44" s="457"/>
      <c r="ER44" s="457">
        <f t="shared" si="42"/>
        <v>42</v>
      </c>
      <c r="ES44" s="457">
        <f t="shared" si="21"/>
        <v>14</v>
      </c>
      <c r="ET44" s="457">
        <f t="shared" si="43"/>
        <v>126</v>
      </c>
      <c r="EU44" s="409">
        <v>200</v>
      </c>
      <c r="EV44" s="43"/>
      <c r="EW44" s="43">
        <f t="shared" si="44"/>
        <v>180</v>
      </c>
      <c r="EX44" s="43">
        <f t="shared" si="22"/>
        <v>20</v>
      </c>
      <c r="EY44" s="43">
        <f t="shared" si="45"/>
        <v>220</v>
      </c>
      <c r="EZ44" s="436">
        <v>50</v>
      </c>
      <c r="FA44" s="437">
        <v>50</v>
      </c>
      <c r="FB44" s="437">
        <f t="shared" si="46"/>
        <v>50</v>
      </c>
      <c r="FC44" s="437">
        <f t="shared" si="23"/>
        <v>50</v>
      </c>
      <c r="FD44" s="437">
        <f t="shared" si="47"/>
        <v>440</v>
      </c>
      <c r="FE44" s="442">
        <v>215</v>
      </c>
      <c r="FF44" s="443"/>
      <c r="FG44" s="443">
        <f t="shared" si="48"/>
        <v>215</v>
      </c>
      <c r="FH44" s="443">
        <f t="shared" si="24"/>
        <v>0</v>
      </c>
      <c r="FI44" s="443">
        <f t="shared" si="49"/>
        <v>385</v>
      </c>
      <c r="FJ44" s="392">
        <v>0</v>
      </c>
      <c r="FK44" s="298"/>
      <c r="FL44" s="298">
        <f t="shared" si="50"/>
        <v>0</v>
      </c>
      <c r="FM44" s="298">
        <f t="shared" si="25"/>
        <v>0</v>
      </c>
      <c r="FN44" s="498">
        <f t="shared" si="51"/>
        <v>900</v>
      </c>
      <c r="HC44" s="402"/>
      <c r="HD44" s="52"/>
      <c r="HE44" s="52">
        <f t="shared" si="52"/>
        <v>0</v>
      </c>
      <c r="HF44" s="52">
        <f t="shared" si="26"/>
        <v>0</v>
      </c>
      <c r="HG44" s="51"/>
      <c r="HH44" s="52">
        <f t="shared" si="101"/>
        <v>400</v>
      </c>
      <c r="HI44" s="51"/>
      <c r="HJ44" s="1047"/>
    </row>
    <row r="45" spans="1:218" ht="15" customHeight="1">
      <c r="A45" s="30">
        <v>44708</v>
      </c>
      <c r="B45" s="390">
        <v>594926</v>
      </c>
      <c r="C45" s="18">
        <f t="shared" si="118"/>
        <v>19279023</v>
      </c>
      <c r="D45" s="376">
        <v>7936.06</v>
      </c>
      <c r="E45" s="417">
        <f t="shared" si="109"/>
        <v>268008.71999999997</v>
      </c>
      <c r="F45" s="397">
        <v>29233</v>
      </c>
      <c r="G45" s="37">
        <v>32020</v>
      </c>
      <c r="H45" s="37">
        <f t="shared" si="110"/>
        <v>56443</v>
      </c>
      <c r="I45" s="37">
        <f t="shared" si="111"/>
        <v>4810</v>
      </c>
      <c r="J45" s="37">
        <f t="shared" si="2"/>
        <v>606.09420795709707</v>
      </c>
      <c r="K45" s="37">
        <f t="shared" si="119"/>
        <v>133004</v>
      </c>
      <c r="L45" s="37">
        <f t="shared" si="112"/>
        <v>496.26743488047708</v>
      </c>
      <c r="M45" s="1098"/>
      <c r="N45" s="422">
        <v>300</v>
      </c>
      <c r="O45" s="423"/>
      <c r="P45" s="423">
        <f t="shared" si="113"/>
        <v>250</v>
      </c>
      <c r="Q45" s="423">
        <f t="shared" si="114"/>
        <v>50</v>
      </c>
      <c r="R45" s="423">
        <f t="shared" si="120"/>
        <v>2700</v>
      </c>
      <c r="S45" s="68">
        <v>6.77</v>
      </c>
      <c r="T45" s="67">
        <v>24</v>
      </c>
      <c r="U45" s="68">
        <f t="shared" si="53"/>
        <v>81.239999999999995</v>
      </c>
      <c r="V45" s="68">
        <f t="shared" si="6"/>
        <v>10.236817765994711</v>
      </c>
      <c r="W45" s="423">
        <f t="shared" si="54"/>
        <v>2711.904</v>
      </c>
      <c r="X45" s="68">
        <f t="shared" si="115"/>
        <v>10.118715540300332</v>
      </c>
      <c r="Y45" s="1073"/>
      <c r="Z45" s="424">
        <v>250</v>
      </c>
      <c r="AA45" s="425"/>
      <c r="AB45" s="425">
        <f t="shared" si="55"/>
        <v>225</v>
      </c>
      <c r="AC45" s="425">
        <f t="shared" si="56"/>
        <v>25</v>
      </c>
      <c r="AD45" s="425">
        <f t="shared" si="57"/>
        <v>475</v>
      </c>
      <c r="AE45" s="72">
        <v>1.86</v>
      </c>
      <c r="AF45" s="71">
        <v>12</v>
      </c>
      <c r="AG45" s="72">
        <f t="shared" si="58"/>
        <v>11.16</v>
      </c>
      <c r="AH45" s="72">
        <f t="shared" si="8"/>
        <v>1.4062393681499383</v>
      </c>
      <c r="AI45" s="425">
        <f t="shared" si="59"/>
        <v>469.25999999999993</v>
      </c>
      <c r="AJ45" s="72">
        <f t="shared" si="116"/>
        <v>1.7509131792428245</v>
      </c>
      <c r="AK45" s="1075"/>
      <c r="AL45" s="491">
        <v>12396</v>
      </c>
      <c r="AM45" s="491"/>
      <c r="AN45" s="492">
        <f t="shared" si="105"/>
        <v>12396</v>
      </c>
      <c r="AO45" s="492">
        <f t="shared" si="106"/>
        <v>0</v>
      </c>
      <c r="AP45" s="492">
        <f t="shared" si="107"/>
        <v>20227</v>
      </c>
      <c r="AQ45" s="493">
        <f t="shared" si="117"/>
        <v>75.471424959605798</v>
      </c>
      <c r="AR45" s="1078"/>
      <c r="AS45" s="413">
        <v>49235</v>
      </c>
      <c r="AT45" s="64"/>
      <c r="AU45" s="66">
        <f t="shared" si="61"/>
        <v>49235</v>
      </c>
      <c r="AV45" s="66">
        <f t="shared" si="11"/>
        <v>0</v>
      </c>
      <c r="AW45" s="412">
        <f t="shared" si="62"/>
        <v>0</v>
      </c>
      <c r="AX45" s="66">
        <f t="shared" si="63"/>
        <v>0</v>
      </c>
      <c r="AY45" s="412">
        <f t="shared" si="121"/>
        <v>0</v>
      </c>
      <c r="AZ45" s="1071"/>
      <c r="BA45" s="419">
        <v>45495</v>
      </c>
      <c r="BB45" s="419"/>
      <c r="BC45" s="407"/>
      <c r="BD45" s="419">
        <f t="shared" si="33"/>
        <v>45495</v>
      </c>
      <c r="BE45" s="419">
        <f t="shared" si="34"/>
        <v>0</v>
      </c>
      <c r="BF45" s="407">
        <f t="shared" si="65"/>
        <v>0</v>
      </c>
      <c r="BG45" s="419">
        <f t="shared" si="108"/>
        <v>0</v>
      </c>
      <c r="BH45" s="407">
        <f t="shared" si="122"/>
        <v>0</v>
      </c>
      <c r="BI45" s="407">
        <f t="shared" si="68"/>
        <v>0</v>
      </c>
      <c r="BJ45" s="1089"/>
      <c r="BK45" s="1084"/>
      <c r="BL45" s="49">
        <v>1108</v>
      </c>
      <c r="BM45" s="50"/>
      <c r="BN45" s="52">
        <f t="shared" si="69"/>
        <v>560</v>
      </c>
      <c r="BO45" s="52">
        <f t="shared" si="12"/>
        <v>548</v>
      </c>
      <c r="BP45" s="406">
        <f t="shared" si="70"/>
        <v>0.92112296319206088</v>
      </c>
      <c r="BQ45" s="52">
        <f t="shared" si="71"/>
        <v>7440</v>
      </c>
      <c r="BR45" s="406">
        <f t="shared" si="123"/>
        <v>0.3859116719763237</v>
      </c>
      <c r="BS45" s="1047"/>
      <c r="BT45" s="409">
        <v>1212</v>
      </c>
      <c r="BU45" s="43"/>
      <c r="BV45" s="43">
        <f t="shared" si="102"/>
        <v>1212</v>
      </c>
      <c r="BW45" s="43">
        <f t="shared" si="103"/>
        <v>0</v>
      </c>
      <c r="BX45" s="42">
        <f t="shared" si="74"/>
        <v>0</v>
      </c>
      <c r="BY45" s="43">
        <f t="shared" si="104"/>
        <v>2175</v>
      </c>
      <c r="BZ45" s="42">
        <f t="shared" si="124"/>
        <v>0.11281692023501398</v>
      </c>
      <c r="CA45" s="1058"/>
      <c r="CB45" s="392">
        <v>2012</v>
      </c>
      <c r="CC45" s="298"/>
      <c r="CD45" s="298">
        <f t="shared" si="35"/>
        <v>1943</v>
      </c>
      <c r="CE45" s="298">
        <f t="shared" si="14"/>
        <v>69</v>
      </c>
      <c r="CF45" s="297">
        <f t="shared" si="77"/>
        <v>0.11598081105885438</v>
      </c>
      <c r="CG45" s="298">
        <f t="shared" si="78"/>
        <v>21057</v>
      </c>
      <c r="CH45" s="297">
        <f t="shared" si="125"/>
        <v>1.092223397420087</v>
      </c>
      <c r="CI45" s="1061"/>
      <c r="CJ45" s="651"/>
      <c r="CK45" s="651"/>
      <c r="CL45" s="651"/>
      <c r="CM45" s="651"/>
      <c r="CN45" s="651"/>
      <c r="CO45" s="464">
        <v>15</v>
      </c>
      <c r="CP45" s="465"/>
      <c r="CQ45" s="465">
        <f t="shared" si="36"/>
        <v>15</v>
      </c>
      <c r="CR45" s="465">
        <f t="shared" si="15"/>
        <v>0</v>
      </c>
      <c r="CS45" s="486">
        <f t="shared" si="80"/>
        <v>0</v>
      </c>
      <c r="CT45" s="465">
        <f t="shared" si="81"/>
        <v>240</v>
      </c>
      <c r="CU45" s="486">
        <f t="shared" si="126"/>
        <v>1.2448763612139474E-2</v>
      </c>
      <c r="CV45" s="1069"/>
      <c r="CW45" s="427">
        <v>5</v>
      </c>
      <c r="CX45" s="427"/>
      <c r="CY45" s="427">
        <f t="shared" si="83"/>
        <v>5</v>
      </c>
      <c r="CZ45" s="427">
        <f t="shared" si="84"/>
        <v>0</v>
      </c>
      <c r="DA45" s="607">
        <f t="shared" si="85"/>
        <v>0</v>
      </c>
      <c r="DB45" s="607">
        <f t="shared" si="86"/>
        <v>0</v>
      </c>
      <c r="DC45" s="607">
        <f t="shared" si="127"/>
        <v>0</v>
      </c>
      <c r="DD45" s="607"/>
      <c r="DE45" s="471">
        <v>5.6</v>
      </c>
      <c r="DF45" s="473"/>
      <c r="DG45" s="473">
        <f t="shared" si="37"/>
        <v>5.6</v>
      </c>
      <c r="DH45" s="473">
        <f t="shared" si="16"/>
        <v>0</v>
      </c>
      <c r="DI45" s="227">
        <f t="shared" si="88"/>
        <v>0</v>
      </c>
      <c r="DJ45" s="473">
        <f t="shared" si="89"/>
        <v>5.6</v>
      </c>
      <c r="DK45" s="227">
        <f t="shared" si="128"/>
        <v>2.9047115094992106E-4</v>
      </c>
      <c r="DL45" s="1038"/>
      <c r="DM45" s="63">
        <v>1000</v>
      </c>
      <c r="DN45" s="64"/>
      <c r="DO45" s="66">
        <f t="shared" si="91"/>
        <v>880</v>
      </c>
      <c r="DP45" s="66">
        <f t="shared" si="17"/>
        <v>120</v>
      </c>
      <c r="DQ45" s="412">
        <f t="shared" si="92"/>
        <v>0.20170575836322502</v>
      </c>
      <c r="DR45" s="66">
        <f t="shared" si="93"/>
        <v>6120</v>
      </c>
      <c r="DS45" s="412">
        <f t="shared" si="129"/>
        <v>0.31744347210955659</v>
      </c>
      <c r="DT45" s="1071"/>
      <c r="DU45" s="596">
        <v>800</v>
      </c>
      <c r="DV45" s="596"/>
      <c r="DW45" s="596">
        <f t="shared" si="38"/>
        <v>600</v>
      </c>
      <c r="DX45" s="596">
        <f t="shared" si="18"/>
        <v>200</v>
      </c>
      <c r="DY45" s="592">
        <f t="shared" si="95"/>
        <v>0.33617626393870836</v>
      </c>
      <c r="DZ45" s="596">
        <f t="shared" si="96"/>
        <v>1400</v>
      </c>
      <c r="EA45" s="592">
        <f t="shared" si="130"/>
        <v>7.2617787737480261E-2</v>
      </c>
      <c r="EB45" s="1041"/>
      <c r="EC45" s="448">
        <v>155</v>
      </c>
      <c r="ED45" s="449"/>
      <c r="EE45" s="449">
        <f t="shared" si="39"/>
        <v>155</v>
      </c>
      <c r="EF45" s="449">
        <f t="shared" si="19"/>
        <v>0</v>
      </c>
      <c r="EG45" s="450">
        <f t="shared" si="98"/>
        <v>0</v>
      </c>
      <c r="EH45" s="449">
        <f t="shared" si="99"/>
        <v>160</v>
      </c>
      <c r="EI45" s="450">
        <f t="shared" si="131"/>
        <v>8.2991757414263168E-3</v>
      </c>
      <c r="EJ45" s="1035"/>
      <c r="EK45" s="426">
        <v>3000</v>
      </c>
      <c r="EL45" s="427"/>
      <c r="EM45" s="427">
        <f t="shared" si="40"/>
        <v>2410</v>
      </c>
      <c r="EN45" s="427">
        <f t="shared" si="20"/>
        <v>590</v>
      </c>
      <c r="EO45" s="427">
        <f t="shared" si="41"/>
        <v>13862</v>
      </c>
      <c r="EP45" s="456">
        <v>42</v>
      </c>
      <c r="EQ45" s="457">
        <v>140</v>
      </c>
      <c r="ER45" s="457">
        <f t="shared" si="42"/>
        <v>154</v>
      </c>
      <c r="ES45" s="457">
        <f t="shared" si="21"/>
        <v>28</v>
      </c>
      <c r="ET45" s="457">
        <f t="shared" si="43"/>
        <v>154</v>
      </c>
      <c r="EU45" s="409">
        <v>180</v>
      </c>
      <c r="EV45" s="43"/>
      <c r="EW45" s="43">
        <f t="shared" si="44"/>
        <v>180</v>
      </c>
      <c r="EX45" s="43">
        <f t="shared" si="22"/>
        <v>0</v>
      </c>
      <c r="EY45" s="43">
        <f t="shared" si="45"/>
        <v>220</v>
      </c>
      <c r="EZ45" s="436">
        <v>50</v>
      </c>
      <c r="FA45" s="437"/>
      <c r="FB45" s="437">
        <f t="shared" si="46"/>
        <v>50</v>
      </c>
      <c r="FC45" s="437">
        <f t="shared" si="23"/>
        <v>0</v>
      </c>
      <c r="FD45" s="437">
        <f t="shared" si="47"/>
        <v>440</v>
      </c>
      <c r="FE45" s="442">
        <v>215</v>
      </c>
      <c r="FF45" s="443"/>
      <c r="FG45" s="443">
        <f t="shared" si="48"/>
        <v>215</v>
      </c>
      <c r="FH45" s="443">
        <f t="shared" si="24"/>
        <v>0</v>
      </c>
      <c r="FI45" s="443">
        <f t="shared" si="49"/>
        <v>385</v>
      </c>
      <c r="FJ45" s="392">
        <v>0</v>
      </c>
      <c r="FK45" s="298"/>
      <c r="FL45" s="298">
        <f t="shared" si="50"/>
        <v>0</v>
      </c>
      <c r="FM45" s="298">
        <f t="shared" si="25"/>
        <v>0</v>
      </c>
      <c r="FN45" s="498">
        <f t="shared" si="51"/>
        <v>900</v>
      </c>
      <c r="HC45" s="402"/>
      <c r="HD45" s="52"/>
      <c r="HE45" s="52">
        <f t="shared" si="52"/>
        <v>0</v>
      </c>
      <c r="HF45" s="52">
        <f t="shared" si="26"/>
        <v>0</v>
      </c>
      <c r="HG45" s="51"/>
      <c r="HH45" s="52">
        <f t="shared" si="101"/>
        <v>400</v>
      </c>
      <c r="HI45" s="51"/>
      <c r="HJ45" s="1047"/>
    </row>
    <row r="46" spans="1:218" ht="15" customHeight="1">
      <c r="A46" s="30">
        <v>44709</v>
      </c>
      <c r="B46" s="390">
        <v>626372</v>
      </c>
      <c r="C46" s="18">
        <f t="shared" si="118"/>
        <v>19905395</v>
      </c>
      <c r="D46" s="376">
        <v>8127.72</v>
      </c>
      <c r="E46" s="417">
        <f t="shared" si="109"/>
        <v>276136.43999999994</v>
      </c>
      <c r="F46" s="397">
        <v>56443</v>
      </c>
      <c r="G46" s="37"/>
      <c r="H46" s="37">
        <f t="shared" si="110"/>
        <v>50019</v>
      </c>
      <c r="I46" s="37">
        <f t="shared" si="111"/>
        <v>6424</v>
      </c>
      <c r="J46" s="37">
        <f t="shared" si="2"/>
        <v>790.38155841982746</v>
      </c>
      <c r="K46" s="37">
        <f t="shared" si="119"/>
        <v>139428</v>
      </c>
      <c r="L46" s="37">
        <f t="shared" si="112"/>
        <v>504.92430481105657</v>
      </c>
      <c r="M46" s="1098"/>
      <c r="N46" s="422">
        <v>250</v>
      </c>
      <c r="O46" s="423"/>
      <c r="P46" s="423">
        <f t="shared" si="113"/>
        <v>125</v>
      </c>
      <c r="Q46" s="423">
        <f t="shared" si="114"/>
        <v>125</v>
      </c>
      <c r="R46" s="423">
        <f t="shared" si="120"/>
        <v>2825</v>
      </c>
      <c r="S46" s="68">
        <v>7.48</v>
      </c>
      <c r="T46" s="67">
        <v>24</v>
      </c>
      <c r="U46" s="68">
        <f t="shared" si="53"/>
        <v>89.76</v>
      </c>
      <c r="V46" s="68">
        <f t="shared" si="6"/>
        <v>11.043687528605808</v>
      </c>
      <c r="W46" s="423">
        <f t="shared" si="54"/>
        <v>2801.6640000000002</v>
      </c>
      <c r="X46" s="68">
        <f t="shared" si="115"/>
        <v>10.145940897912643</v>
      </c>
      <c r="Y46" s="1073"/>
      <c r="Z46" s="424">
        <v>225</v>
      </c>
      <c r="AA46" s="425"/>
      <c r="AB46" s="425">
        <f t="shared" si="55"/>
        <v>200</v>
      </c>
      <c r="AC46" s="425">
        <f t="shared" si="56"/>
        <v>25</v>
      </c>
      <c r="AD46" s="425">
        <f t="shared" si="57"/>
        <v>500</v>
      </c>
      <c r="AE46" s="72">
        <v>2.0299999999999998</v>
      </c>
      <c r="AF46" s="71">
        <v>12</v>
      </c>
      <c r="AG46" s="72">
        <f t="shared" si="58"/>
        <v>12.18</v>
      </c>
      <c r="AH46" s="72">
        <f t="shared" si="8"/>
        <v>1.4985752461945048</v>
      </c>
      <c r="AI46" s="425">
        <f t="shared" si="59"/>
        <v>481.43999999999994</v>
      </c>
      <c r="AJ46" s="72">
        <f t="shared" si="116"/>
        <v>1.7434859376038889</v>
      </c>
      <c r="AK46" s="1075"/>
      <c r="AL46" s="491">
        <v>12396</v>
      </c>
      <c r="AM46" s="491"/>
      <c r="AN46" s="492">
        <f t="shared" si="105"/>
        <v>12396</v>
      </c>
      <c r="AO46" s="492">
        <f t="shared" si="106"/>
        <v>0</v>
      </c>
      <c r="AP46" s="492">
        <f t="shared" si="107"/>
        <v>20227</v>
      </c>
      <c r="AQ46" s="493">
        <f t="shared" si="117"/>
        <v>73.250020895467486</v>
      </c>
      <c r="AR46" s="1078"/>
      <c r="AS46" s="413">
        <v>49235</v>
      </c>
      <c r="AT46" s="64"/>
      <c r="AU46" s="66">
        <f t="shared" si="61"/>
        <v>49235</v>
      </c>
      <c r="AV46" s="66">
        <f t="shared" si="11"/>
        <v>0</v>
      </c>
      <c r="AW46" s="412">
        <f t="shared" si="62"/>
        <v>0</v>
      </c>
      <c r="AX46" s="66">
        <f t="shared" si="63"/>
        <v>0</v>
      </c>
      <c r="AY46" s="412">
        <f t="shared" si="121"/>
        <v>0</v>
      </c>
      <c r="AZ46" s="1071"/>
      <c r="BA46" s="419">
        <v>45495</v>
      </c>
      <c r="BB46" s="419"/>
      <c r="BC46" s="407"/>
      <c r="BD46" s="419">
        <f t="shared" si="33"/>
        <v>45495</v>
      </c>
      <c r="BE46" s="419">
        <f t="shared" si="34"/>
        <v>0</v>
      </c>
      <c r="BF46" s="407">
        <f t="shared" si="65"/>
        <v>0</v>
      </c>
      <c r="BG46" s="419">
        <f t="shared" si="108"/>
        <v>0</v>
      </c>
      <c r="BH46" s="407">
        <f t="shared" si="122"/>
        <v>0</v>
      </c>
      <c r="BI46" s="407">
        <f t="shared" si="68"/>
        <v>0</v>
      </c>
      <c r="BJ46" s="1089"/>
      <c r="BK46" s="1084"/>
      <c r="BL46" s="49">
        <v>560</v>
      </c>
      <c r="BM46" s="50">
        <v>900</v>
      </c>
      <c r="BN46" s="52">
        <f t="shared" si="69"/>
        <v>977</v>
      </c>
      <c r="BO46" s="52">
        <f t="shared" si="12"/>
        <v>483</v>
      </c>
      <c r="BP46" s="406">
        <f t="shared" si="70"/>
        <v>0.77110726533114504</v>
      </c>
      <c r="BQ46" s="52">
        <f t="shared" si="71"/>
        <v>7923</v>
      </c>
      <c r="BR46" s="406">
        <f t="shared" si="123"/>
        <v>0.39803279462678332</v>
      </c>
      <c r="BS46" s="1047"/>
      <c r="BT46" s="409">
        <v>1212</v>
      </c>
      <c r="BU46" s="43"/>
      <c r="BV46" s="43">
        <f t="shared" si="102"/>
        <v>1174</v>
      </c>
      <c r="BW46" s="43">
        <f t="shared" si="103"/>
        <v>38</v>
      </c>
      <c r="BX46" s="42">
        <f t="shared" si="74"/>
        <v>6.0666824187543503E-2</v>
      </c>
      <c r="BY46" s="43">
        <f t="shared" si="104"/>
        <v>2213</v>
      </c>
      <c r="BZ46" s="42">
        <f t="shared" si="124"/>
        <v>0.11117588975250177</v>
      </c>
      <c r="CA46" s="1058"/>
      <c r="CB46" s="392">
        <v>1943</v>
      </c>
      <c r="CC46" s="298"/>
      <c r="CD46" s="298">
        <f t="shared" si="35"/>
        <v>1380</v>
      </c>
      <c r="CE46" s="298">
        <f t="shared" si="14"/>
        <v>563</v>
      </c>
      <c r="CF46" s="297">
        <f t="shared" si="77"/>
        <v>0.89882689519965775</v>
      </c>
      <c r="CG46" s="298">
        <f t="shared" si="78"/>
        <v>21620</v>
      </c>
      <c r="CH46" s="297">
        <f t="shared" si="125"/>
        <v>1.086137702868996</v>
      </c>
      <c r="CI46" s="1061"/>
      <c r="CJ46" s="651"/>
      <c r="CK46" s="651"/>
      <c r="CL46" s="651"/>
      <c r="CM46" s="651"/>
      <c r="CN46" s="651"/>
      <c r="CO46" s="464">
        <v>15</v>
      </c>
      <c r="CP46" s="465"/>
      <c r="CQ46" s="465">
        <f t="shared" si="36"/>
        <v>15</v>
      </c>
      <c r="CR46" s="465">
        <f t="shared" si="15"/>
        <v>0</v>
      </c>
      <c r="CS46" s="486">
        <f t="shared" si="80"/>
        <v>0</v>
      </c>
      <c r="CT46" s="465">
        <f t="shared" si="81"/>
        <v>240</v>
      </c>
      <c r="CU46" s="486">
        <f t="shared" si="126"/>
        <v>1.2057032779304304E-2</v>
      </c>
      <c r="CV46" s="1069"/>
      <c r="CW46" s="427">
        <v>5</v>
      </c>
      <c r="CX46" s="427"/>
      <c r="CY46" s="427">
        <f t="shared" si="83"/>
        <v>5</v>
      </c>
      <c r="CZ46" s="427">
        <f t="shared" si="84"/>
        <v>0</v>
      </c>
      <c r="DA46" s="607">
        <f t="shared" si="85"/>
        <v>0</v>
      </c>
      <c r="DB46" s="607">
        <f t="shared" si="86"/>
        <v>0</v>
      </c>
      <c r="DC46" s="607">
        <f t="shared" si="127"/>
        <v>0</v>
      </c>
      <c r="DD46" s="607"/>
      <c r="DE46" s="471">
        <v>5.6</v>
      </c>
      <c r="DF46" s="473"/>
      <c r="DG46" s="473">
        <f t="shared" si="37"/>
        <v>5.6</v>
      </c>
      <c r="DH46" s="473">
        <f t="shared" si="16"/>
        <v>0</v>
      </c>
      <c r="DI46" s="227">
        <f t="shared" si="88"/>
        <v>0</v>
      </c>
      <c r="DJ46" s="473">
        <f t="shared" si="89"/>
        <v>5.6</v>
      </c>
      <c r="DK46" s="227">
        <f t="shared" si="128"/>
        <v>2.8133076485043374E-4</v>
      </c>
      <c r="DL46" s="1038"/>
      <c r="DM46" s="63">
        <v>880</v>
      </c>
      <c r="DN46" s="64"/>
      <c r="DO46" s="66">
        <f t="shared" si="91"/>
        <v>720</v>
      </c>
      <c r="DP46" s="66">
        <f t="shared" si="17"/>
        <v>160</v>
      </c>
      <c r="DQ46" s="412">
        <f t="shared" si="92"/>
        <v>0.2554392597370253</v>
      </c>
      <c r="DR46" s="66">
        <f t="shared" si="93"/>
        <v>6280</v>
      </c>
      <c r="DS46" s="412">
        <f t="shared" si="129"/>
        <v>0.31549235772512929</v>
      </c>
      <c r="DT46" s="1071"/>
      <c r="DU46" s="596">
        <v>600</v>
      </c>
      <c r="DV46" s="596"/>
      <c r="DW46" s="596">
        <f t="shared" si="38"/>
        <v>400</v>
      </c>
      <c r="DX46" s="596">
        <f t="shared" si="18"/>
        <v>200</v>
      </c>
      <c r="DY46" s="592">
        <f t="shared" si="95"/>
        <v>0.3192990746712816</v>
      </c>
      <c r="DZ46" s="596">
        <f t="shared" si="96"/>
        <v>1600</v>
      </c>
      <c r="EA46" s="592">
        <f t="shared" si="130"/>
        <v>8.0380218528695355E-2</v>
      </c>
      <c r="EB46" s="1041"/>
      <c r="EC46" s="448">
        <v>155</v>
      </c>
      <c r="ED46" s="449"/>
      <c r="EE46" s="449">
        <f t="shared" si="39"/>
        <v>155</v>
      </c>
      <c r="EF46" s="449">
        <f t="shared" si="19"/>
        <v>0</v>
      </c>
      <c r="EG46" s="450">
        <f t="shared" si="98"/>
        <v>0</v>
      </c>
      <c r="EH46" s="449">
        <f t="shared" si="99"/>
        <v>160</v>
      </c>
      <c r="EI46" s="450">
        <f t="shared" si="131"/>
        <v>8.0380218528695365E-3</v>
      </c>
      <c r="EJ46" s="1035"/>
      <c r="EK46" s="426">
        <v>2410</v>
      </c>
      <c r="EL46" s="427"/>
      <c r="EM46" s="427">
        <f t="shared" si="40"/>
        <v>1700</v>
      </c>
      <c r="EN46" s="427">
        <f t="shared" si="20"/>
        <v>710</v>
      </c>
      <c r="EO46" s="427">
        <f t="shared" si="41"/>
        <v>14572</v>
      </c>
      <c r="EP46" s="456">
        <v>154</v>
      </c>
      <c r="EQ46" s="457"/>
      <c r="ER46" s="457">
        <f t="shared" si="42"/>
        <v>140</v>
      </c>
      <c r="ES46" s="457">
        <f t="shared" si="21"/>
        <v>14</v>
      </c>
      <c r="ET46" s="457">
        <f t="shared" si="43"/>
        <v>168</v>
      </c>
      <c r="EU46" s="409">
        <v>180</v>
      </c>
      <c r="EV46" s="43"/>
      <c r="EW46" s="43">
        <f t="shared" si="44"/>
        <v>180</v>
      </c>
      <c r="EX46" s="43">
        <f t="shared" si="22"/>
        <v>0</v>
      </c>
      <c r="EY46" s="43">
        <f t="shared" si="45"/>
        <v>220</v>
      </c>
      <c r="EZ46" s="436">
        <v>50</v>
      </c>
      <c r="FA46" s="437"/>
      <c r="FB46" s="437">
        <f t="shared" si="46"/>
        <v>50</v>
      </c>
      <c r="FC46" s="437">
        <f t="shared" si="23"/>
        <v>0</v>
      </c>
      <c r="FD46" s="437">
        <f t="shared" si="47"/>
        <v>440</v>
      </c>
      <c r="FE46" s="442">
        <v>215</v>
      </c>
      <c r="FF46" s="443"/>
      <c r="FG46" s="443">
        <f t="shared" si="48"/>
        <v>215</v>
      </c>
      <c r="FH46" s="443">
        <f t="shared" si="24"/>
        <v>0</v>
      </c>
      <c r="FI46" s="443">
        <f t="shared" si="49"/>
        <v>385</v>
      </c>
      <c r="FJ46" s="392">
        <v>0</v>
      </c>
      <c r="FK46" s="298"/>
      <c r="FL46" s="298">
        <f t="shared" si="50"/>
        <v>0</v>
      </c>
      <c r="FM46" s="298">
        <f t="shared" si="25"/>
        <v>0</v>
      </c>
      <c r="FN46" s="498">
        <f t="shared" si="51"/>
        <v>900</v>
      </c>
      <c r="HC46" s="402"/>
      <c r="HD46" s="52"/>
      <c r="HE46" s="52">
        <f t="shared" si="52"/>
        <v>0</v>
      </c>
      <c r="HF46" s="52">
        <f t="shared" si="26"/>
        <v>0</v>
      </c>
      <c r="HG46" s="51"/>
      <c r="HH46" s="52">
        <f t="shared" si="101"/>
        <v>400</v>
      </c>
      <c r="HI46" s="51"/>
      <c r="HJ46" s="1047"/>
    </row>
    <row r="47" spans="1:218" ht="15" customHeight="1">
      <c r="A47" s="30">
        <v>44710</v>
      </c>
      <c r="B47" s="390">
        <v>619948</v>
      </c>
      <c r="C47" s="18">
        <f t="shared" si="118"/>
        <v>20525343</v>
      </c>
      <c r="D47" s="376">
        <v>7787.06</v>
      </c>
      <c r="E47" s="417">
        <f t="shared" si="109"/>
        <v>283923.49999999994</v>
      </c>
      <c r="F47" s="397">
        <v>50019</v>
      </c>
      <c r="G47" s="37"/>
      <c r="H47" s="37">
        <f t="shared" si="110"/>
        <v>44719</v>
      </c>
      <c r="I47" s="37">
        <f t="shared" si="111"/>
        <v>5300</v>
      </c>
      <c r="J47" s="37">
        <f t="shared" si="2"/>
        <v>680.61630448461938</v>
      </c>
      <c r="K47" s="37">
        <f t="shared" si="119"/>
        <v>144728</v>
      </c>
      <c r="L47" s="37">
        <f t="shared" si="112"/>
        <v>509.7429413204614</v>
      </c>
      <c r="M47" s="1098"/>
      <c r="N47" s="422">
        <v>125</v>
      </c>
      <c r="O47" s="423"/>
      <c r="P47" s="423">
        <f t="shared" si="113"/>
        <v>75</v>
      </c>
      <c r="Q47" s="423">
        <f t="shared" si="114"/>
        <v>50</v>
      </c>
      <c r="R47" s="423">
        <f t="shared" si="120"/>
        <v>2875</v>
      </c>
      <c r="S47" s="68">
        <v>6.73</v>
      </c>
      <c r="T47" s="67">
        <v>24</v>
      </c>
      <c r="U47" s="68">
        <f t="shared" si="53"/>
        <v>80.760000000000005</v>
      </c>
      <c r="V47" s="68">
        <f t="shared" si="6"/>
        <v>10.371051462297709</v>
      </c>
      <c r="W47" s="423">
        <f t="shared" si="54"/>
        <v>2882.4240000000004</v>
      </c>
      <c r="X47" s="68">
        <f t="shared" si="115"/>
        <v>10.152114918279047</v>
      </c>
      <c r="Y47" s="1073"/>
      <c r="Z47" s="424">
        <v>200</v>
      </c>
      <c r="AA47" s="425"/>
      <c r="AB47" s="425">
        <f t="shared" si="55"/>
        <v>200</v>
      </c>
      <c r="AC47" s="425">
        <f t="shared" si="56"/>
        <v>0</v>
      </c>
      <c r="AD47" s="425">
        <f t="shared" si="57"/>
        <v>500</v>
      </c>
      <c r="AE47" s="72">
        <v>2.0699999999999998</v>
      </c>
      <c r="AF47" s="71">
        <v>12</v>
      </c>
      <c r="AG47" s="72">
        <f t="shared" si="58"/>
        <v>12.419999999999998</v>
      </c>
      <c r="AH47" s="72">
        <f t="shared" si="8"/>
        <v>1.5949536795658434</v>
      </c>
      <c r="AI47" s="425">
        <f t="shared" si="59"/>
        <v>493.85999999999996</v>
      </c>
      <c r="AJ47" s="72">
        <f t="shared" si="116"/>
        <v>1.7394122008217003</v>
      </c>
      <c r="AK47" s="1075"/>
      <c r="AL47" s="491">
        <v>12396</v>
      </c>
      <c r="AM47" s="491"/>
      <c r="AN47" s="492">
        <f t="shared" si="105"/>
        <v>12396</v>
      </c>
      <c r="AO47" s="492">
        <f t="shared" si="106"/>
        <v>0</v>
      </c>
      <c r="AP47" s="492">
        <f t="shared" si="107"/>
        <v>20227</v>
      </c>
      <c r="AQ47" s="493">
        <f t="shared" si="117"/>
        <v>71.241020908801147</v>
      </c>
      <c r="AR47" s="1078"/>
      <c r="AS47" s="413">
        <v>49235</v>
      </c>
      <c r="AT47" s="64"/>
      <c r="AU47" s="66">
        <f t="shared" si="61"/>
        <v>49235</v>
      </c>
      <c r="AV47" s="66">
        <f t="shared" si="11"/>
        <v>0</v>
      </c>
      <c r="AW47" s="412">
        <f t="shared" si="62"/>
        <v>0</v>
      </c>
      <c r="AX47" s="66">
        <f t="shared" si="63"/>
        <v>0</v>
      </c>
      <c r="AY47" s="412">
        <f t="shared" si="121"/>
        <v>0</v>
      </c>
      <c r="AZ47" s="1071"/>
      <c r="BA47" s="419">
        <v>45495</v>
      </c>
      <c r="BB47" s="419"/>
      <c r="BC47" s="407"/>
      <c r="BD47" s="419">
        <f t="shared" si="33"/>
        <v>45495</v>
      </c>
      <c r="BE47" s="419">
        <f t="shared" si="34"/>
        <v>0</v>
      </c>
      <c r="BF47" s="407">
        <f t="shared" si="65"/>
        <v>0</v>
      </c>
      <c r="BG47" s="419">
        <f t="shared" si="108"/>
        <v>0</v>
      </c>
      <c r="BH47" s="407">
        <f t="shared" si="122"/>
        <v>0</v>
      </c>
      <c r="BI47" s="407">
        <f t="shared" si="68"/>
        <v>0</v>
      </c>
      <c r="BJ47" s="1089"/>
      <c r="BK47" s="1084"/>
      <c r="BL47" s="49">
        <v>977</v>
      </c>
      <c r="BM47" s="50"/>
      <c r="BN47" s="52">
        <f t="shared" si="69"/>
        <v>739</v>
      </c>
      <c r="BO47" s="52">
        <f t="shared" si="12"/>
        <v>238</v>
      </c>
      <c r="BP47" s="406">
        <f t="shared" si="70"/>
        <v>0.38390316607199315</v>
      </c>
      <c r="BQ47" s="52">
        <f t="shared" si="71"/>
        <v>8161</v>
      </c>
      <c r="BR47" s="406">
        <f t="shared" si="123"/>
        <v>0.39760602295415964</v>
      </c>
      <c r="BS47" s="1047"/>
      <c r="BT47" s="409">
        <v>1174</v>
      </c>
      <c r="BU47" s="43"/>
      <c r="BV47" s="43">
        <f t="shared" si="102"/>
        <v>1084</v>
      </c>
      <c r="BW47" s="43">
        <f t="shared" si="103"/>
        <v>90</v>
      </c>
      <c r="BX47" s="42">
        <f t="shared" si="74"/>
        <v>0.14517346616167809</v>
      </c>
      <c r="BY47" s="43">
        <f t="shared" si="104"/>
        <v>2303</v>
      </c>
      <c r="BZ47" s="42">
        <f t="shared" si="124"/>
        <v>0.11220275344485107</v>
      </c>
      <c r="CA47" s="1058"/>
      <c r="CB47" s="392">
        <v>1380</v>
      </c>
      <c r="CC47" s="298"/>
      <c r="CD47" s="298">
        <f t="shared" si="35"/>
        <v>1139</v>
      </c>
      <c r="CE47" s="298">
        <f t="shared" si="14"/>
        <v>241</v>
      </c>
      <c r="CF47" s="297">
        <f t="shared" si="77"/>
        <v>0.38874228161071572</v>
      </c>
      <c r="CG47" s="298">
        <f t="shared" si="78"/>
        <v>21861</v>
      </c>
      <c r="CH47" s="297">
        <f t="shared" si="125"/>
        <v>1.065073553216626</v>
      </c>
      <c r="CI47" s="1061"/>
      <c r="CJ47" s="651"/>
      <c r="CK47" s="651"/>
      <c r="CL47" s="651"/>
      <c r="CM47" s="651"/>
      <c r="CN47" s="651"/>
      <c r="CO47" s="464">
        <v>15</v>
      </c>
      <c r="CP47" s="465"/>
      <c r="CQ47" s="465">
        <f t="shared" si="36"/>
        <v>15</v>
      </c>
      <c r="CR47" s="465">
        <f t="shared" si="15"/>
        <v>0</v>
      </c>
      <c r="CS47" s="486">
        <f t="shared" si="80"/>
        <v>0</v>
      </c>
      <c r="CT47" s="465">
        <f t="shared" si="81"/>
        <v>240</v>
      </c>
      <c r="CU47" s="486">
        <f t="shared" si="126"/>
        <v>1.1692861844014007E-2</v>
      </c>
      <c r="CV47" s="1069"/>
      <c r="CW47" s="427">
        <v>5</v>
      </c>
      <c r="CX47" s="427"/>
      <c r="CY47" s="427">
        <f t="shared" si="83"/>
        <v>5</v>
      </c>
      <c r="CZ47" s="427">
        <f t="shared" si="84"/>
        <v>0</v>
      </c>
      <c r="DA47" s="607">
        <f t="shared" si="85"/>
        <v>0</v>
      </c>
      <c r="DB47" s="607">
        <f t="shared" si="86"/>
        <v>0</v>
      </c>
      <c r="DC47" s="607">
        <f t="shared" si="127"/>
        <v>0</v>
      </c>
      <c r="DD47" s="607"/>
      <c r="DE47" s="471">
        <v>5.6</v>
      </c>
      <c r="DF47" s="473"/>
      <c r="DG47" s="473">
        <f t="shared" si="37"/>
        <v>5.6</v>
      </c>
      <c r="DH47" s="473">
        <f t="shared" si="16"/>
        <v>0</v>
      </c>
      <c r="DI47" s="227">
        <f t="shared" si="88"/>
        <v>0</v>
      </c>
      <c r="DJ47" s="473">
        <f t="shared" si="89"/>
        <v>5.6</v>
      </c>
      <c r="DK47" s="227">
        <f t="shared" si="128"/>
        <v>2.728334430269935E-4</v>
      </c>
      <c r="DL47" s="1038"/>
      <c r="DM47" s="63">
        <v>720</v>
      </c>
      <c r="DN47" s="64"/>
      <c r="DO47" s="66">
        <f t="shared" si="91"/>
        <v>590</v>
      </c>
      <c r="DP47" s="66">
        <f t="shared" si="17"/>
        <v>130</v>
      </c>
      <c r="DQ47" s="412">
        <f t="shared" si="92"/>
        <v>0.20969500667797944</v>
      </c>
      <c r="DR47" s="66">
        <f t="shared" si="93"/>
        <v>6410</v>
      </c>
      <c r="DS47" s="412">
        <f t="shared" si="129"/>
        <v>0.31229685175054078</v>
      </c>
      <c r="DT47" s="1071"/>
      <c r="DU47" s="596">
        <v>400</v>
      </c>
      <c r="DV47" s="596"/>
      <c r="DW47" s="596">
        <f t="shared" si="38"/>
        <v>200</v>
      </c>
      <c r="DX47" s="596">
        <f t="shared" si="18"/>
        <v>200</v>
      </c>
      <c r="DY47" s="592">
        <f t="shared" si="95"/>
        <v>0.32260770258150684</v>
      </c>
      <c r="DZ47" s="596">
        <f t="shared" si="96"/>
        <v>1800</v>
      </c>
      <c r="EA47" s="592">
        <f t="shared" si="130"/>
        <v>8.7696463830105056E-2</v>
      </c>
      <c r="EB47" s="1041"/>
      <c r="EC47" s="448">
        <v>155</v>
      </c>
      <c r="ED47" s="449"/>
      <c r="EE47" s="449">
        <f t="shared" si="39"/>
        <v>155</v>
      </c>
      <c r="EF47" s="449">
        <f t="shared" si="19"/>
        <v>0</v>
      </c>
      <c r="EG47" s="450">
        <f t="shared" si="98"/>
        <v>0</v>
      </c>
      <c r="EH47" s="449">
        <f t="shared" si="99"/>
        <v>160</v>
      </c>
      <c r="EI47" s="450">
        <f t="shared" si="131"/>
        <v>7.7952412293426712E-3</v>
      </c>
      <c r="EJ47" s="1035"/>
      <c r="EK47" s="426">
        <v>1700</v>
      </c>
      <c r="EL47" s="427"/>
      <c r="EM47" s="427">
        <f t="shared" si="40"/>
        <v>1340</v>
      </c>
      <c r="EN47" s="427">
        <f t="shared" si="20"/>
        <v>360</v>
      </c>
      <c r="EO47" s="427">
        <f t="shared" si="41"/>
        <v>14932</v>
      </c>
      <c r="EP47" s="456">
        <v>140</v>
      </c>
      <c r="EQ47" s="457"/>
      <c r="ER47" s="457">
        <f t="shared" si="42"/>
        <v>126</v>
      </c>
      <c r="ES47" s="457">
        <f t="shared" si="21"/>
        <v>14</v>
      </c>
      <c r="ET47" s="457">
        <f t="shared" si="43"/>
        <v>182</v>
      </c>
      <c r="EU47" s="409">
        <v>180</v>
      </c>
      <c r="EV47" s="43"/>
      <c r="EW47" s="43">
        <f t="shared" si="44"/>
        <v>180</v>
      </c>
      <c r="EX47" s="43">
        <f t="shared" si="22"/>
        <v>0</v>
      </c>
      <c r="EY47" s="43">
        <f t="shared" si="45"/>
        <v>220</v>
      </c>
      <c r="EZ47" s="436">
        <v>50</v>
      </c>
      <c r="FA47" s="437"/>
      <c r="FB47" s="437">
        <f t="shared" si="46"/>
        <v>0</v>
      </c>
      <c r="FC47" s="437">
        <f t="shared" si="23"/>
        <v>50</v>
      </c>
      <c r="FD47" s="437">
        <f t="shared" si="47"/>
        <v>490</v>
      </c>
      <c r="FE47" s="442">
        <v>215</v>
      </c>
      <c r="FF47" s="443"/>
      <c r="FG47" s="443">
        <f t="shared" si="48"/>
        <v>215</v>
      </c>
      <c r="FH47" s="443">
        <f t="shared" si="24"/>
        <v>0</v>
      </c>
      <c r="FI47" s="443">
        <f t="shared" si="49"/>
        <v>385</v>
      </c>
      <c r="FJ47" s="392">
        <v>0</v>
      </c>
      <c r="FK47" s="298"/>
      <c r="FL47" s="298">
        <f t="shared" si="50"/>
        <v>0</v>
      </c>
      <c r="FM47" s="298">
        <f t="shared" si="25"/>
        <v>0</v>
      </c>
      <c r="FN47" s="498">
        <f t="shared" si="51"/>
        <v>900</v>
      </c>
      <c r="HC47" s="402"/>
      <c r="HD47" s="52"/>
      <c r="HE47" s="52">
        <f t="shared" si="52"/>
        <v>0</v>
      </c>
      <c r="HF47" s="52">
        <f t="shared" si="26"/>
        <v>0</v>
      </c>
      <c r="HG47" s="51"/>
      <c r="HH47" s="52">
        <f t="shared" si="101"/>
        <v>400</v>
      </c>
      <c r="HI47" s="51"/>
      <c r="HJ47" s="1047"/>
    </row>
    <row r="48" spans="1:218" ht="15" customHeight="1">
      <c r="A48" s="30">
        <v>44711</v>
      </c>
      <c r="B48" s="390">
        <v>391416</v>
      </c>
      <c r="C48" s="18">
        <f t="shared" si="118"/>
        <v>20916759</v>
      </c>
      <c r="D48" s="376">
        <v>2025.54</v>
      </c>
      <c r="E48" s="417">
        <f t="shared" si="109"/>
        <v>285949.03999999992</v>
      </c>
      <c r="F48" s="397">
        <v>44719</v>
      </c>
      <c r="G48" s="37"/>
      <c r="H48" s="37">
        <f t="shared" si="110"/>
        <v>43519</v>
      </c>
      <c r="I48" s="37">
        <f t="shared" si="111"/>
        <v>1200</v>
      </c>
      <c r="J48" s="37">
        <f t="shared" si="2"/>
        <v>592.43461002991796</v>
      </c>
      <c r="K48" s="37">
        <f t="shared" si="119"/>
        <v>145928</v>
      </c>
      <c r="L48" s="37">
        <f t="shared" si="112"/>
        <v>510.32869353224629</v>
      </c>
      <c r="M48" s="1098"/>
      <c r="N48" s="422">
        <v>75</v>
      </c>
      <c r="O48" s="423">
        <v>200</v>
      </c>
      <c r="P48" s="423">
        <f t="shared" si="113"/>
        <v>225</v>
      </c>
      <c r="Q48" s="423">
        <f t="shared" si="114"/>
        <v>50</v>
      </c>
      <c r="R48" s="423">
        <f t="shared" si="120"/>
        <v>2925</v>
      </c>
      <c r="S48" s="68">
        <v>3.21</v>
      </c>
      <c r="T48" s="67">
        <v>24</v>
      </c>
      <c r="U48" s="68">
        <f t="shared" si="53"/>
        <v>38.519999999999996</v>
      </c>
      <c r="V48" s="68">
        <f t="shared" si="6"/>
        <v>19.017150981960363</v>
      </c>
      <c r="W48" s="423">
        <f t="shared" si="54"/>
        <v>2920.9440000000004</v>
      </c>
      <c r="X48" s="68">
        <f t="shared" si="115"/>
        <v>10.214911020509113</v>
      </c>
      <c r="Y48" s="1073"/>
      <c r="Z48" s="424">
        <v>200</v>
      </c>
      <c r="AA48" s="425"/>
      <c r="AB48" s="425">
        <f t="shared" si="55"/>
        <v>200</v>
      </c>
      <c r="AC48" s="425">
        <f t="shared" si="56"/>
        <v>0</v>
      </c>
      <c r="AD48" s="425">
        <f t="shared" si="57"/>
        <v>500</v>
      </c>
      <c r="AE48" s="72">
        <v>0.69</v>
      </c>
      <c r="AF48" s="71">
        <v>12</v>
      </c>
      <c r="AG48" s="72">
        <f t="shared" si="58"/>
        <v>4.1399999999999997</v>
      </c>
      <c r="AH48" s="72">
        <f t="shared" si="8"/>
        <v>2.0438994046032168</v>
      </c>
      <c r="AI48" s="425">
        <f t="shared" si="59"/>
        <v>497.99999999999994</v>
      </c>
      <c r="AJ48" s="72">
        <f t="shared" si="116"/>
        <v>1.7415690571998426</v>
      </c>
      <c r="AK48" s="1075"/>
      <c r="AL48" s="491">
        <v>12396</v>
      </c>
      <c r="AM48" s="491"/>
      <c r="AN48" s="492">
        <f t="shared" si="105"/>
        <v>12396</v>
      </c>
      <c r="AO48" s="492">
        <f t="shared" si="106"/>
        <v>0</v>
      </c>
      <c r="AP48" s="492">
        <f t="shared" si="107"/>
        <v>20227</v>
      </c>
      <c r="AQ48" s="493">
        <f t="shared" si="117"/>
        <v>70.736380160604867</v>
      </c>
      <c r="AR48" s="1078"/>
      <c r="AS48" s="413">
        <v>49235</v>
      </c>
      <c r="AT48" s="64"/>
      <c r="AU48" s="66">
        <f t="shared" si="61"/>
        <v>49235</v>
      </c>
      <c r="AV48" s="66">
        <f t="shared" si="11"/>
        <v>0</v>
      </c>
      <c r="AW48" s="412">
        <f t="shared" si="62"/>
        <v>0</v>
      </c>
      <c r="AX48" s="66">
        <f t="shared" si="63"/>
        <v>0</v>
      </c>
      <c r="AY48" s="412">
        <f t="shared" si="121"/>
        <v>0</v>
      </c>
      <c r="AZ48" s="1071"/>
      <c r="BA48" s="419">
        <v>45495</v>
      </c>
      <c r="BB48" s="419"/>
      <c r="BC48" s="407"/>
      <c r="BD48" s="419">
        <f t="shared" si="33"/>
        <v>45495</v>
      </c>
      <c r="BE48" s="419">
        <f t="shared" si="34"/>
        <v>0</v>
      </c>
      <c r="BF48" s="407">
        <f t="shared" si="65"/>
        <v>0</v>
      </c>
      <c r="BG48" s="419">
        <f t="shared" si="108"/>
        <v>0</v>
      </c>
      <c r="BH48" s="407">
        <f t="shared" si="122"/>
        <v>0</v>
      </c>
      <c r="BI48" s="407">
        <f t="shared" si="68"/>
        <v>0</v>
      </c>
      <c r="BJ48" s="1089"/>
      <c r="BK48" s="1084"/>
      <c r="BL48" s="49">
        <v>739</v>
      </c>
      <c r="BM48" s="50">
        <v>900</v>
      </c>
      <c r="BN48" s="52">
        <f t="shared" si="69"/>
        <v>1615</v>
      </c>
      <c r="BO48" s="52">
        <f t="shared" si="12"/>
        <v>24</v>
      </c>
      <c r="BP48" s="406">
        <f t="shared" si="70"/>
        <v>6.1315837880924644E-2</v>
      </c>
      <c r="BQ48" s="52">
        <f t="shared" si="71"/>
        <v>8185</v>
      </c>
      <c r="BR48" s="406">
        <f t="shared" si="123"/>
        <v>0.39131301364613896</v>
      </c>
      <c r="BS48" s="1047"/>
      <c r="BT48" s="409">
        <v>1084</v>
      </c>
      <c r="BU48" s="43"/>
      <c r="BV48" s="43">
        <f t="shared" si="102"/>
        <v>995</v>
      </c>
      <c r="BW48" s="43">
        <f t="shared" si="103"/>
        <v>89</v>
      </c>
      <c r="BX48" s="42">
        <f t="shared" si="74"/>
        <v>0.22737956547509555</v>
      </c>
      <c r="BY48" s="43">
        <f t="shared" si="104"/>
        <v>2392</v>
      </c>
      <c r="BZ48" s="42">
        <f t="shared" si="124"/>
        <v>0.11435806092138845</v>
      </c>
      <c r="CA48" s="1058"/>
      <c r="CB48" s="392">
        <v>1139</v>
      </c>
      <c r="CC48" s="298"/>
      <c r="CD48" s="298">
        <f t="shared" si="35"/>
        <v>793</v>
      </c>
      <c r="CE48" s="298">
        <f t="shared" si="14"/>
        <v>346</v>
      </c>
      <c r="CF48" s="297">
        <f t="shared" si="77"/>
        <v>0.8839699961166636</v>
      </c>
      <c r="CG48" s="298">
        <f t="shared" si="78"/>
        <v>22207</v>
      </c>
      <c r="CH48" s="297">
        <f t="shared" si="125"/>
        <v>1.061684556388492</v>
      </c>
      <c r="CI48" s="1061"/>
      <c r="CJ48" s="651"/>
      <c r="CK48" s="651"/>
      <c r="CL48" s="651"/>
      <c r="CM48" s="651"/>
      <c r="CN48" s="651"/>
      <c r="CO48" s="464">
        <v>15</v>
      </c>
      <c r="CP48" s="465"/>
      <c r="CQ48" s="465">
        <f t="shared" si="36"/>
        <v>15</v>
      </c>
      <c r="CR48" s="465">
        <f t="shared" si="15"/>
        <v>0</v>
      </c>
      <c r="CS48" s="486">
        <f t="shared" si="80"/>
        <v>0</v>
      </c>
      <c r="CT48" s="465">
        <f t="shared" si="81"/>
        <v>240</v>
      </c>
      <c r="CU48" s="486">
        <f t="shared" si="126"/>
        <v>1.1474052935256366E-2</v>
      </c>
      <c r="CV48" s="1069"/>
      <c r="CW48" s="427">
        <v>5</v>
      </c>
      <c r="CX48" s="427"/>
      <c r="CY48" s="427">
        <f t="shared" si="83"/>
        <v>5</v>
      </c>
      <c r="CZ48" s="427">
        <f t="shared" si="84"/>
        <v>0</v>
      </c>
      <c r="DA48" s="607">
        <f t="shared" si="85"/>
        <v>0</v>
      </c>
      <c r="DB48" s="607">
        <f t="shared" si="86"/>
        <v>0</v>
      </c>
      <c r="DC48" s="607">
        <f t="shared" si="127"/>
        <v>0</v>
      </c>
      <c r="DD48" s="607"/>
      <c r="DE48" s="471">
        <v>5.6</v>
      </c>
      <c r="DF48" s="473"/>
      <c r="DG48" s="473">
        <f t="shared" si="37"/>
        <v>5.6</v>
      </c>
      <c r="DH48" s="473">
        <f t="shared" si="16"/>
        <v>0</v>
      </c>
      <c r="DI48" s="227">
        <f t="shared" si="88"/>
        <v>0</v>
      </c>
      <c r="DJ48" s="473">
        <f t="shared" si="89"/>
        <v>5.6</v>
      </c>
      <c r="DK48" s="227">
        <f t="shared" si="128"/>
        <v>2.6772790182264851E-4</v>
      </c>
      <c r="DL48" s="1038"/>
      <c r="DM48" s="63">
        <v>590</v>
      </c>
      <c r="DN48" s="64">
        <v>1000</v>
      </c>
      <c r="DO48" s="66">
        <f t="shared" si="91"/>
        <v>1480</v>
      </c>
      <c r="DP48" s="66">
        <f t="shared" si="17"/>
        <v>110</v>
      </c>
      <c r="DQ48" s="412">
        <f t="shared" si="92"/>
        <v>0.28103092362090459</v>
      </c>
      <c r="DR48" s="66">
        <f t="shared" si="93"/>
        <v>6520</v>
      </c>
      <c r="DS48" s="412">
        <f t="shared" si="129"/>
        <v>0.31171177140779793</v>
      </c>
      <c r="DT48" s="1071"/>
      <c r="DU48" s="596">
        <v>200</v>
      </c>
      <c r="DV48" s="596">
        <v>400</v>
      </c>
      <c r="DW48" s="596">
        <f t="shared" si="38"/>
        <v>600</v>
      </c>
      <c r="DX48" s="596">
        <f t="shared" si="18"/>
        <v>0</v>
      </c>
      <c r="DY48" s="592">
        <f t="shared" si="95"/>
        <v>0</v>
      </c>
      <c r="DZ48" s="596">
        <f t="shared" si="96"/>
        <v>1800</v>
      </c>
      <c r="EA48" s="592">
        <f t="shared" si="130"/>
        <v>8.6055397014422746E-2</v>
      </c>
      <c r="EB48" s="1041"/>
      <c r="EC48" s="448">
        <v>155</v>
      </c>
      <c r="ED48" s="449"/>
      <c r="EE48" s="449">
        <f t="shared" si="39"/>
        <v>155</v>
      </c>
      <c r="EF48" s="449">
        <f t="shared" si="19"/>
        <v>0</v>
      </c>
      <c r="EG48" s="450">
        <f t="shared" si="98"/>
        <v>0</v>
      </c>
      <c r="EH48" s="449">
        <f t="shared" si="99"/>
        <v>160</v>
      </c>
      <c r="EI48" s="450">
        <f t="shared" si="131"/>
        <v>7.649368623504244E-3</v>
      </c>
      <c r="EJ48" s="1035"/>
      <c r="EK48" s="426">
        <v>1340</v>
      </c>
      <c r="EL48" s="427">
        <v>1200</v>
      </c>
      <c r="EM48" s="427">
        <f t="shared" si="40"/>
        <v>2460</v>
      </c>
      <c r="EN48" s="427">
        <f t="shared" si="20"/>
        <v>80</v>
      </c>
      <c r="EO48" s="427">
        <f t="shared" si="41"/>
        <v>15012</v>
      </c>
      <c r="EP48" s="456">
        <v>126</v>
      </c>
      <c r="EQ48" s="457"/>
      <c r="ER48" s="457">
        <f t="shared" si="42"/>
        <v>126</v>
      </c>
      <c r="ES48" s="457">
        <f t="shared" si="21"/>
        <v>0</v>
      </c>
      <c r="ET48" s="457">
        <f t="shared" si="43"/>
        <v>182</v>
      </c>
      <c r="EU48" s="409">
        <v>180</v>
      </c>
      <c r="EV48" s="43"/>
      <c r="EW48" s="43">
        <f t="shared" si="44"/>
        <v>160</v>
      </c>
      <c r="EX48" s="43">
        <f t="shared" si="22"/>
        <v>20</v>
      </c>
      <c r="EY48" s="43">
        <f t="shared" si="45"/>
        <v>240</v>
      </c>
      <c r="EZ48" s="436">
        <v>0</v>
      </c>
      <c r="FA48" s="437"/>
      <c r="FB48" s="437">
        <f t="shared" si="46"/>
        <v>0</v>
      </c>
      <c r="FC48" s="437">
        <f t="shared" si="23"/>
        <v>0</v>
      </c>
      <c r="FD48" s="437">
        <f t="shared" si="47"/>
        <v>490</v>
      </c>
      <c r="FE48" s="442">
        <v>215</v>
      </c>
      <c r="FF48" s="443"/>
      <c r="FG48" s="443">
        <f t="shared" si="48"/>
        <v>190</v>
      </c>
      <c r="FH48" s="443">
        <f t="shared" si="24"/>
        <v>25</v>
      </c>
      <c r="FI48" s="443">
        <f t="shared" si="49"/>
        <v>410</v>
      </c>
      <c r="FJ48" s="392">
        <v>0</v>
      </c>
      <c r="FK48" s="298"/>
      <c r="FL48" s="298">
        <f t="shared" si="50"/>
        <v>0</v>
      </c>
      <c r="FM48" s="298">
        <f t="shared" si="25"/>
        <v>0</v>
      </c>
      <c r="FN48" s="498">
        <f t="shared" si="51"/>
        <v>900</v>
      </c>
      <c r="HC48" s="402"/>
      <c r="HD48" s="52"/>
      <c r="HE48" s="52">
        <f t="shared" si="52"/>
        <v>0</v>
      </c>
      <c r="HF48" s="52">
        <f t="shared" si="26"/>
        <v>0</v>
      </c>
      <c r="HG48" s="51"/>
      <c r="HH48" s="52">
        <f t="shared" si="101"/>
        <v>400</v>
      </c>
      <c r="HI48" s="51"/>
      <c r="HJ48" s="1047"/>
    </row>
    <row r="49" spans="1:218" ht="15" customHeight="1" thickBot="1">
      <c r="A49" s="30">
        <v>44712</v>
      </c>
      <c r="B49" s="390">
        <v>0</v>
      </c>
      <c r="C49" s="18">
        <f t="shared" si="118"/>
        <v>20916759</v>
      </c>
      <c r="D49" s="376">
        <v>0</v>
      </c>
      <c r="E49" s="417">
        <f t="shared" si="109"/>
        <v>285949.03999999992</v>
      </c>
      <c r="F49" s="399">
        <v>43519</v>
      </c>
      <c r="G49" s="400"/>
      <c r="H49" s="400">
        <f t="shared" si="110"/>
        <v>43519</v>
      </c>
      <c r="I49" s="400">
        <f t="shared" si="111"/>
        <v>0</v>
      </c>
      <c r="J49" s="400"/>
      <c r="K49" s="400">
        <f t="shared" si="119"/>
        <v>145928</v>
      </c>
      <c r="L49" s="400">
        <f t="shared" si="112"/>
        <v>510.32869353224629</v>
      </c>
      <c r="M49" s="1099"/>
      <c r="N49" s="477">
        <v>225</v>
      </c>
      <c r="O49" s="478"/>
      <c r="P49" s="478">
        <f t="shared" si="113"/>
        <v>225</v>
      </c>
      <c r="Q49" s="478">
        <f t="shared" si="114"/>
        <v>0</v>
      </c>
      <c r="R49" s="478">
        <f t="shared" si="120"/>
        <v>2925</v>
      </c>
      <c r="S49" s="111">
        <v>0</v>
      </c>
      <c r="T49" s="101">
        <v>24</v>
      </c>
      <c r="U49" s="111">
        <f t="shared" si="53"/>
        <v>0</v>
      </c>
      <c r="V49" s="111"/>
      <c r="W49" s="478">
        <f t="shared" si="54"/>
        <v>2920.9440000000004</v>
      </c>
      <c r="X49" s="111">
        <f t="shared" si="115"/>
        <v>10.214911020509113</v>
      </c>
      <c r="Y49" s="1074"/>
      <c r="Z49" s="479">
        <v>200</v>
      </c>
      <c r="AA49" s="480"/>
      <c r="AB49" s="480">
        <f t="shared" si="55"/>
        <v>200</v>
      </c>
      <c r="AC49" s="480">
        <f t="shared" si="56"/>
        <v>0</v>
      </c>
      <c r="AD49" s="480">
        <f t="shared" si="57"/>
        <v>500</v>
      </c>
      <c r="AE49" s="105">
        <v>0</v>
      </c>
      <c r="AF49" s="104">
        <v>12</v>
      </c>
      <c r="AG49" s="105">
        <f t="shared" si="58"/>
        <v>0</v>
      </c>
      <c r="AH49" s="105"/>
      <c r="AI49" s="480">
        <f t="shared" si="59"/>
        <v>497.99999999999994</v>
      </c>
      <c r="AJ49" s="105">
        <f t="shared" si="116"/>
        <v>1.7415690571998426</v>
      </c>
      <c r="AK49" s="1076"/>
      <c r="AL49" s="494">
        <v>12396</v>
      </c>
      <c r="AM49" s="494"/>
      <c r="AN49" s="495">
        <f t="shared" si="105"/>
        <v>12396</v>
      </c>
      <c r="AO49" s="495">
        <f t="shared" si="106"/>
        <v>0</v>
      </c>
      <c r="AP49" s="495">
        <f t="shared" si="107"/>
        <v>20227</v>
      </c>
      <c r="AQ49" s="496">
        <f t="shared" si="117"/>
        <v>70.736380160604867</v>
      </c>
      <c r="AR49" s="1079"/>
      <c r="AS49" s="414">
        <v>49235</v>
      </c>
      <c r="AT49" s="85"/>
      <c r="AU49" s="415">
        <f t="shared" si="61"/>
        <v>49235</v>
      </c>
      <c r="AV49" s="415">
        <f t="shared" si="11"/>
        <v>0</v>
      </c>
      <c r="AW49" s="481"/>
      <c r="AX49" s="415">
        <f t="shared" si="63"/>
        <v>0</v>
      </c>
      <c r="AY49" s="481">
        <f t="shared" si="121"/>
        <v>0</v>
      </c>
      <c r="AZ49" s="1072"/>
      <c r="BA49" s="421">
        <v>45495</v>
      </c>
      <c r="BB49" s="421"/>
      <c r="BC49" s="408"/>
      <c r="BD49" s="421">
        <f t="shared" si="33"/>
        <v>45495</v>
      </c>
      <c r="BE49" s="421">
        <f t="shared" si="34"/>
        <v>0</v>
      </c>
      <c r="BF49" s="408"/>
      <c r="BG49" s="421">
        <f t="shared" si="108"/>
        <v>0</v>
      </c>
      <c r="BH49" s="408">
        <f t="shared" si="122"/>
        <v>0</v>
      </c>
      <c r="BI49" s="408">
        <f t="shared" si="68"/>
        <v>0</v>
      </c>
      <c r="BJ49" s="1090"/>
      <c r="BK49" s="1085"/>
      <c r="BL49" s="83">
        <v>1615</v>
      </c>
      <c r="BM49" s="82"/>
      <c r="BN49" s="405">
        <f t="shared" si="69"/>
        <v>1615</v>
      </c>
      <c r="BO49" s="405">
        <f t="shared" si="12"/>
        <v>0</v>
      </c>
      <c r="BP49" s="485"/>
      <c r="BQ49" s="405">
        <f t="shared" si="71"/>
        <v>8185</v>
      </c>
      <c r="BR49" s="485">
        <f t="shared" si="123"/>
        <v>0.39131301364613896</v>
      </c>
      <c r="BS49" s="1048"/>
      <c r="BT49" s="432">
        <v>995</v>
      </c>
      <c r="BU49" s="433"/>
      <c r="BV49" s="433">
        <f t="shared" si="102"/>
        <v>995</v>
      </c>
      <c r="BW49" s="433">
        <f t="shared" si="103"/>
        <v>0</v>
      </c>
      <c r="BX49" s="97"/>
      <c r="BY49" s="433">
        <f t="shared" si="104"/>
        <v>2392</v>
      </c>
      <c r="BZ49" s="97">
        <f t="shared" si="124"/>
        <v>0.11435806092138845</v>
      </c>
      <c r="CA49" s="1059"/>
      <c r="CB49" s="393">
        <v>793</v>
      </c>
      <c r="CC49" s="394"/>
      <c r="CD49" s="394">
        <f t="shared" si="35"/>
        <v>793</v>
      </c>
      <c r="CE49" s="394">
        <f t="shared" si="14"/>
        <v>0</v>
      </c>
      <c r="CF49" s="300"/>
      <c r="CG49" s="394">
        <f t="shared" si="78"/>
        <v>22207</v>
      </c>
      <c r="CH49" s="300">
        <f t="shared" si="125"/>
        <v>1.061684556388492</v>
      </c>
      <c r="CI49" s="1062"/>
      <c r="CJ49" s="652"/>
      <c r="CK49" s="652"/>
      <c r="CL49" s="652"/>
      <c r="CM49" s="652"/>
      <c r="CN49" s="652"/>
      <c r="CO49" s="467">
        <v>15</v>
      </c>
      <c r="CP49" s="468"/>
      <c r="CQ49" s="468">
        <f t="shared" si="36"/>
        <v>15</v>
      </c>
      <c r="CR49" s="468">
        <f t="shared" si="15"/>
        <v>0</v>
      </c>
      <c r="CS49" s="487"/>
      <c r="CT49" s="468">
        <f t="shared" si="81"/>
        <v>240</v>
      </c>
      <c r="CU49" s="487">
        <f t="shared" si="126"/>
        <v>1.1474052935256366E-2</v>
      </c>
      <c r="CV49" s="1070"/>
      <c r="CW49" s="428">
        <v>5</v>
      </c>
      <c r="CX49" s="429"/>
      <c r="CY49" s="429">
        <f t="shared" si="83"/>
        <v>5</v>
      </c>
      <c r="CZ49" s="429">
        <f t="shared" si="84"/>
        <v>0</v>
      </c>
      <c r="DA49" s="608"/>
      <c r="DB49" s="608">
        <f t="shared" si="86"/>
        <v>0</v>
      </c>
      <c r="DC49" s="608">
        <f t="shared" si="127"/>
        <v>0</v>
      </c>
      <c r="DD49" s="608"/>
      <c r="DE49" s="472">
        <v>5.6</v>
      </c>
      <c r="DF49" s="474"/>
      <c r="DG49" s="474">
        <f t="shared" si="37"/>
        <v>5.6</v>
      </c>
      <c r="DH49" s="474">
        <f t="shared" si="16"/>
        <v>0</v>
      </c>
      <c r="DI49" s="228"/>
      <c r="DJ49" s="474">
        <f t="shared" si="89"/>
        <v>5.6</v>
      </c>
      <c r="DK49" s="228">
        <f t="shared" si="128"/>
        <v>2.6772790182264851E-4</v>
      </c>
      <c r="DL49" s="1039"/>
      <c r="DM49" s="207">
        <v>1480</v>
      </c>
      <c r="DN49" s="85"/>
      <c r="DO49" s="415">
        <f t="shared" si="91"/>
        <v>1480</v>
      </c>
      <c r="DP49" s="415">
        <f t="shared" si="17"/>
        <v>0</v>
      </c>
      <c r="DQ49" s="481"/>
      <c r="DR49" s="415">
        <f t="shared" si="93"/>
        <v>6520</v>
      </c>
      <c r="DS49" s="481">
        <f t="shared" si="129"/>
        <v>0.31171177140779793</v>
      </c>
      <c r="DT49" s="1072"/>
      <c r="DU49" s="597">
        <v>600</v>
      </c>
      <c r="DV49" s="597"/>
      <c r="DW49" s="597">
        <f t="shared" si="38"/>
        <v>600</v>
      </c>
      <c r="DX49" s="597">
        <f t="shared" si="18"/>
        <v>0</v>
      </c>
      <c r="DY49" s="593"/>
      <c r="DZ49" s="597">
        <f t="shared" si="96"/>
        <v>1800</v>
      </c>
      <c r="EA49" s="593">
        <f t="shared" si="130"/>
        <v>8.6055397014422746E-2</v>
      </c>
      <c r="EB49" s="1042"/>
      <c r="EC49" s="451">
        <v>155</v>
      </c>
      <c r="ED49" s="452"/>
      <c r="EE49" s="452">
        <f t="shared" si="39"/>
        <v>155</v>
      </c>
      <c r="EF49" s="452">
        <f t="shared" si="19"/>
        <v>0</v>
      </c>
      <c r="EG49" s="453"/>
      <c r="EH49" s="452">
        <f t="shared" si="99"/>
        <v>160</v>
      </c>
      <c r="EI49" s="453">
        <f t="shared" si="131"/>
        <v>7.649368623504244E-3</v>
      </c>
      <c r="EJ49" s="1036"/>
      <c r="EK49" s="428">
        <v>2460</v>
      </c>
      <c r="EL49" s="429"/>
      <c r="EM49" s="429">
        <f t="shared" si="40"/>
        <v>2460</v>
      </c>
      <c r="EN49" s="429">
        <f t="shared" si="20"/>
        <v>0</v>
      </c>
      <c r="EO49" s="429">
        <f t="shared" si="41"/>
        <v>15012</v>
      </c>
      <c r="EP49" s="458">
        <v>126</v>
      </c>
      <c r="EQ49" s="459"/>
      <c r="ER49" s="459">
        <f t="shared" si="42"/>
        <v>126</v>
      </c>
      <c r="ES49" s="459">
        <f t="shared" si="21"/>
        <v>0</v>
      </c>
      <c r="ET49" s="459">
        <f t="shared" si="43"/>
        <v>182</v>
      </c>
      <c r="EU49" s="432">
        <v>160</v>
      </c>
      <c r="EV49" s="433"/>
      <c r="EW49" s="433">
        <f t="shared" si="44"/>
        <v>160</v>
      </c>
      <c r="EX49" s="433">
        <f t="shared" si="22"/>
        <v>0</v>
      </c>
      <c r="EY49" s="433">
        <f t="shared" si="45"/>
        <v>240</v>
      </c>
      <c r="EZ49" s="438">
        <v>0</v>
      </c>
      <c r="FA49" s="439"/>
      <c r="FB49" s="439">
        <f t="shared" si="46"/>
        <v>0</v>
      </c>
      <c r="FC49" s="439">
        <f t="shared" si="23"/>
        <v>0</v>
      </c>
      <c r="FD49" s="439">
        <f t="shared" si="47"/>
        <v>490</v>
      </c>
      <c r="FE49" s="444">
        <v>190</v>
      </c>
      <c r="FF49" s="445"/>
      <c r="FG49" s="445">
        <f t="shared" si="48"/>
        <v>190</v>
      </c>
      <c r="FH49" s="445">
        <f t="shared" si="24"/>
        <v>0</v>
      </c>
      <c r="FI49" s="445">
        <f t="shared" si="49"/>
        <v>410</v>
      </c>
      <c r="FJ49" s="393">
        <v>0</v>
      </c>
      <c r="FK49" s="394"/>
      <c r="FL49" s="394">
        <f t="shared" si="50"/>
        <v>0</v>
      </c>
      <c r="FM49" s="394">
        <f t="shared" si="25"/>
        <v>0</v>
      </c>
      <c r="FN49" s="499">
        <f t="shared" si="51"/>
        <v>900</v>
      </c>
      <c r="HC49" s="403"/>
      <c r="HD49" s="405"/>
      <c r="HE49" s="405">
        <f t="shared" si="52"/>
        <v>0</v>
      </c>
      <c r="HF49" s="405">
        <f t="shared" si="26"/>
        <v>0</v>
      </c>
      <c r="HG49" s="84"/>
      <c r="HH49" s="405">
        <f t="shared" si="101"/>
        <v>400</v>
      </c>
      <c r="HI49" s="84"/>
      <c r="HJ49" s="1048"/>
    </row>
    <row r="50" spans="1:218" ht="15" customHeight="1">
      <c r="A50" s="30">
        <v>44713</v>
      </c>
      <c r="B50" s="390">
        <v>0</v>
      </c>
      <c r="C50" s="18">
        <f t="shared" si="118"/>
        <v>20916759</v>
      </c>
      <c r="D50" s="376">
        <v>0</v>
      </c>
      <c r="E50" s="417">
        <f t="shared" si="109"/>
        <v>285949.03999999992</v>
      </c>
      <c r="F50" s="397">
        <v>43519</v>
      </c>
      <c r="G50" s="37"/>
      <c r="H50" s="37">
        <f t="shared" si="110"/>
        <v>43519</v>
      </c>
      <c r="I50" s="37">
        <f t="shared" si="111"/>
        <v>0</v>
      </c>
      <c r="J50" s="37" t="e">
        <f t="shared" ref="J50:J66" si="132">I50*1000/D50</f>
        <v>#DIV/0!</v>
      </c>
      <c r="K50" s="37">
        <f t="shared" si="119"/>
        <v>145928</v>
      </c>
      <c r="L50" s="37">
        <f t="shared" si="112"/>
        <v>510.32869353224629</v>
      </c>
      <c r="M50" s="1063">
        <f>SUM(I50:I79)*1000/SUM(D50:D79)</f>
        <v>438.30700410567516</v>
      </c>
      <c r="N50" s="614">
        <v>225</v>
      </c>
      <c r="O50" s="615"/>
      <c r="P50" s="615">
        <f t="shared" si="113"/>
        <v>225</v>
      </c>
      <c r="Q50" s="615">
        <f t="shared" si="114"/>
        <v>0</v>
      </c>
      <c r="R50" s="615">
        <f t="shared" si="120"/>
        <v>2925</v>
      </c>
      <c r="S50" s="102">
        <v>0</v>
      </c>
      <c r="T50" s="135">
        <v>24</v>
      </c>
      <c r="U50" s="102">
        <f t="shared" si="53"/>
        <v>0</v>
      </c>
      <c r="V50" s="102" t="e">
        <f t="shared" ref="V50:V67" si="133">U50*1000/D50</f>
        <v>#DIV/0!</v>
      </c>
      <c r="W50" s="615">
        <f t="shared" si="54"/>
        <v>2920.9440000000004</v>
      </c>
      <c r="X50" s="102">
        <f t="shared" si="115"/>
        <v>10.214911020509113</v>
      </c>
      <c r="Y50" s="1064">
        <f>SUM(U50:U79)*1000/SUM(D50:D79)</f>
        <v>15.803817717714288</v>
      </c>
      <c r="Z50" s="616">
        <v>200</v>
      </c>
      <c r="AA50" s="617"/>
      <c r="AB50" s="617">
        <f t="shared" si="55"/>
        <v>200</v>
      </c>
      <c r="AC50" s="617">
        <f t="shared" si="56"/>
        <v>0</v>
      </c>
      <c r="AD50" s="617">
        <f t="shared" si="57"/>
        <v>500</v>
      </c>
      <c r="AE50" s="138">
        <v>0</v>
      </c>
      <c r="AF50" s="137">
        <v>12</v>
      </c>
      <c r="AG50" s="138">
        <f t="shared" si="58"/>
        <v>0</v>
      </c>
      <c r="AH50" s="138" t="e">
        <f t="shared" ref="AH50:AH68" si="134">AG50*1000/D50</f>
        <v>#DIV/0!</v>
      </c>
      <c r="AI50" s="617">
        <f t="shared" si="59"/>
        <v>497.99999999999994</v>
      </c>
      <c r="AJ50" s="138">
        <f t="shared" si="116"/>
        <v>1.7415690571998426</v>
      </c>
      <c r="AK50" s="1065">
        <f>SUM(AG50:AG79)*1000/SUM(D50:D79)</f>
        <v>1.9354831266608927</v>
      </c>
      <c r="AL50" s="618">
        <v>12396</v>
      </c>
      <c r="AM50" s="618"/>
      <c r="AN50" s="619">
        <f t="shared" si="105"/>
        <v>7279</v>
      </c>
      <c r="AO50" s="619">
        <f t="shared" si="106"/>
        <v>5117</v>
      </c>
      <c r="AP50" s="619">
        <f t="shared" si="107"/>
        <v>25344</v>
      </c>
      <c r="AQ50" s="620">
        <f t="shared" si="117"/>
        <v>88.631177079664283</v>
      </c>
      <c r="AR50" s="1066">
        <f>SUM(AO50:AO79)*1000/SUM(D50:D79)</f>
        <v>143.4980188185003</v>
      </c>
      <c r="AS50" s="410">
        <v>49235</v>
      </c>
      <c r="AT50" s="132"/>
      <c r="AU50" s="411">
        <f t="shared" si="61"/>
        <v>49235</v>
      </c>
      <c r="AV50" s="411">
        <f t="shared" si="11"/>
        <v>0</v>
      </c>
      <c r="AW50" s="621" t="e">
        <f t="shared" ref="AW50:AW67" si="135">AV50*1000/B50</f>
        <v>#DIV/0!</v>
      </c>
      <c r="AX50" s="411">
        <f t="shared" si="63"/>
        <v>0</v>
      </c>
      <c r="AY50" s="621">
        <f t="shared" si="121"/>
        <v>0</v>
      </c>
      <c r="AZ50" s="1067">
        <f>SUM(AV50:AV79)*1000/SUM(B50:B79)</f>
        <v>0</v>
      </c>
      <c r="BA50" s="622">
        <v>45495</v>
      </c>
      <c r="BB50" s="622"/>
      <c r="BC50" s="613"/>
      <c r="BD50" s="622">
        <f t="shared" si="33"/>
        <v>45495</v>
      </c>
      <c r="BE50" s="622">
        <f t="shared" si="34"/>
        <v>0</v>
      </c>
      <c r="BF50" s="613" t="e">
        <f t="shared" ref="BF50:BF69" si="136">BE50*1000/B50</f>
        <v>#DIV/0!</v>
      </c>
      <c r="BG50" s="622">
        <f t="shared" si="108"/>
        <v>0</v>
      </c>
      <c r="BH50" s="613">
        <f t="shared" si="122"/>
        <v>0</v>
      </c>
      <c r="BI50" s="613">
        <f t="shared" si="68"/>
        <v>0</v>
      </c>
      <c r="BJ50" s="1052">
        <f>SUM(BE50:BE79)*1000/SUM(B50:B79)</f>
        <v>0</v>
      </c>
      <c r="BK50" s="1083">
        <f>BJ50/(98/12)</f>
        <v>0</v>
      </c>
      <c r="BL50" s="121">
        <v>1615</v>
      </c>
      <c r="BM50" s="122"/>
      <c r="BN50" s="404">
        <f t="shared" si="69"/>
        <v>1615</v>
      </c>
      <c r="BO50" s="404">
        <f t="shared" si="12"/>
        <v>0</v>
      </c>
      <c r="BP50" s="623" t="e">
        <f t="shared" ref="BP50:BP69" si="137">BO50*1000/B50</f>
        <v>#DIV/0!</v>
      </c>
      <c r="BQ50" s="404">
        <f t="shared" si="71"/>
        <v>8185</v>
      </c>
      <c r="BR50" s="623">
        <f t="shared" si="123"/>
        <v>0.39131301364613896</v>
      </c>
      <c r="BS50" s="1046">
        <f>SUM(BO50:BO79)*1000/SUM(B50:B79)</f>
        <v>0.49836255935542167</v>
      </c>
      <c r="BT50" s="624">
        <v>995</v>
      </c>
      <c r="BU50" s="625"/>
      <c r="BV50" s="625">
        <f t="shared" si="102"/>
        <v>995</v>
      </c>
      <c r="BW50" s="625">
        <f t="shared" si="103"/>
        <v>0</v>
      </c>
      <c r="BX50" s="126" t="e">
        <f t="shared" ref="BX50:BX69" si="138">BW50*1000/B50</f>
        <v>#DIV/0!</v>
      </c>
      <c r="BY50" s="625">
        <f t="shared" si="104"/>
        <v>2392</v>
      </c>
      <c r="BZ50" s="126">
        <f t="shared" si="124"/>
        <v>0.11435806092138845</v>
      </c>
      <c r="CA50" s="1057">
        <f>SUM(BW50:BW79)*1000/SUM(B50:B79)</f>
        <v>0.22942652017961401</v>
      </c>
      <c r="CB50" s="626">
        <v>793</v>
      </c>
      <c r="CC50" s="627"/>
      <c r="CD50" s="627">
        <f t="shared" si="35"/>
        <v>793</v>
      </c>
      <c r="CE50" s="627">
        <f t="shared" si="14"/>
        <v>0</v>
      </c>
      <c r="CF50" s="304" t="e">
        <f t="shared" ref="CF50:CF69" si="139">CE50*1000/B50</f>
        <v>#DIV/0!</v>
      </c>
      <c r="CG50" s="627">
        <f t="shared" si="78"/>
        <v>22207</v>
      </c>
      <c r="CH50" s="304">
        <f t="shared" si="125"/>
        <v>1.061684556388492</v>
      </c>
      <c r="CI50" s="1060">
        <f>SUM(CE50:CE79)*1000/SUM(B50:B79)</f>
        <v>0.28860601429837623</v>
      </c>
      <c r="CJ50" s="653"/>
      <c r="CK50" s="653"/>
      <c r="CL50" s="653"/>
      <c r="CM50" s="653"/>
      <c r="CN50" s="653"/>
      <c r="CO50" s="628">
        <v>15</v>
      </c>
      <c r="CP50" s="629"/>
      <c r="CQ50" s="629">
        <f t="shared" si="36"/>
        <v>15</v>
      </c>
      <c r="CR50" s="629">
        <f t="shared" si="15"/>
        <v>0</v>
      </c>
      <c r="CS50" s="488" t="e">
        <f t="shared" ref="CS50:CS69" si="140">CR50*1000/B50</f>
        <v>#DIV/0!</v>
      </c>
      <c r="CT50" s="629">
        <f t="shared" si="81"/>
        <v>240</v>
      </c>
      <c r="CU50" s="488">
        <f t="shared" si="126"/>
        <v>1.1474052935256366E-2</v>
      </c>
      <c r="CV50" s="1068">
        <f>SUM(CR50:CR79)*1000/SUM(B50:B79)</f>
        <v>5.6381609726327907E-2</v>
      </c>
      <c r="CW50" s="630">
        <v>5</v>
      </c>
      <c r="CX50" s="630"/>
      <c r="CY50" s="630">
        <f t="shared" si="83"/>
        <v>5</v>
      </c>
      <c r="CZ50" s="630">
        <f t="shared" si="84"/>
        <v>0</v>
      </c>
      <c r="DA50" s="631" t="e">
        <f t="shared" ref="DA50:DA72" si="141">CZ50*1000/B50</f>
        <v>#DIV/0!</v>
      </c>
      <c r="DB50" s="631">
        <f t="shared" si="86"/>
        <v>0</v>
      </c>
      <c r="DC50" s="631">
        <f t="shared" si="127"/>
        <v>0</v>
      </c>
      <c r="DD50" s="1080">
        <f>SUM(CZ50:CZ79)*1000/SUM(B50:B79)</f>
        <v>3.3913750211325058E-3</v>
      </c>
      <c r="DE50" s="632">
        <v>5.6</v>
      </c>
      <c r="DF50" s="633"/>
      <c r="DG50" s="633">
        <f t="shared" si="37"/>
        <v>5.6</v>
      </c>
      <c r="DH50" s="633">
        <f t="shared" si="16"/>
        <v>0</v>
      </c>
      <c r="DI50" s="229" t="e">
        <f t="shared" ref="DI50:DI69" si="142">DH50*1000/B50</f>
        <v>#DIV/0!</v>
      </c>
      <c r="DJ50" s="633">
        <f t="shared" si="89"/>
        <v>5.6</v>
      </c>
      <c r="DK50" s="229">
        <f t="shared" si="128"/>
        <v>2.6772790182264851E-4</v>
      </c>
      <c r="DL50" s="1083">
        <f>SUM(DH50:DH79)*1000/SUM(B50:B79)</f>
        <v>0</v>
      </c>
      <c r="DM50" s="131">
        <v>1480</v>
      </c>
      <c r="DN50" s="132"/>
      <c r="DO50" s="411">
        <f t="shared" si="91"/>
        <v>1480</v>
      </c>
      <c r="DP50" s="411">
        <f t="shared" si="17"/>
        <v>0</v>
      </c>
      <c r="DQ50" s="621" t="e">
        <f t="shared" ref="DQ50:DQ69" si="143">DP50*1000/B50</f>
        <v>#DIV/0!</v>
      </c>
      <c r="DR50" s="411">
        <f t="shared" si="93"/>
        <v>6520</v>
      </c>
      <c r="DS50" s="621">
        <f t="shared" si="129"/>
        <v>0.31171177140779793</v>
      </c>
      <c r="DT50" s="1067">
        <f>SUM(DP50:DP79)*1000/SUM(B50:B79)</f>
        <v>0.18059071987530592</v>
      </c>
      <c r="DU50" s="634">
        <v>600</v>
      </c>
      <c r="DV50" s="634"/>
      <c r="DW50" s="634">
        <f t="shared" si="38"/>
        <v>600</v>
      </c>
      <c r="DX50" s="634">
        <f t="shared" si="18"/>
        <v>0</v>
      </c>
      <c r="DY50" s="635" t="e">
        <f t="shared" ref="DY50:DY68" si="144">DX50*1000/B50</f>
        <v>#DIV/0!</v>
      </c>
      <c r="DZ50" s="634">
        <f t="shared" si="96"/>
        <v>1800</v>
      </c>
      <c r="EA50" s="635">
        <f t="shared" si="130"/>
        <v>8.6055397014422746E-2</v>
      </c>
      <c r="EB50" s="1040">
        <f>SUM(DX50:DX79)*1000/SUM(B50:B79)</f>
        <v>8.1393000507180138E-2</v>
      </c>
      <c r="EC50" s="636">
        <v>155</v>
      </c>
      <c r="ED50" s="637"/>
      <c r="EE50" s="637">
        <f t="shared" si="39"/>
        <v>155</v>
      </c>
      <c r="EF50" s="637">
        <f t="shared" si="19"/>
        <v>0</v>
      </c>
      <c r="EG50" s="497" t="e">
        <f t="shared" ref="EG50:EG70" si="145">EF50*1000/B50</f>
        <v>#DIV/0!</v>
      </c>
      <c r="EH50" s="637">
        <f t="shared" si="99"/>
        <v>160</v>
      </c>
      <c r="EI50" s="497">
        <f t="shared" si="131"/>
        <v>7.649368623504244E-3</v>
      </c>
      <c r="EJ50" s="1034">
        <f>SUM(EF50:EF79)*1000/SUM(B50:B79)</f>
        <v>8.9023594304728278E-3</v>
      </c>
      <c r="EK50" s="638">
        <v>2460</v>
      </c>
      <c r="EL50" s="630"/>
      <c r="EM50" s="630">
        <f t="shared" si="40"/>
        <v>2460</v>
      </c>
      <c r="EN50" s="630">
        <f t="shared" si="20"/>
        <v>0</v>
      </c>
      <c r="EO50" s="630">
        <f t="shared" si="41"/>
        <v>15012</v>
      </c>
      <c r="EP50" s="639">
        <v>126</v>
      </c>
      <c r="EQ50" s="640"/>
      <c r="ER50" s="640">
        <f t="shared" si="42"/>
        <v>126</v>
      </c>
      <c r="ES50" s="640">
        <f t="shared" si="21"/>
        <v>0</v>
      </c>
      <c r="ET50" s="640">
        <f t="shared" si="43"/>
        <v>182</v>
      </c>
      <c r="EU50" s="624">
        <v>160</v>
      </c>
      <c r="EV50" s="625"/>
      <c r="EW50" s="625">
        <f t="shared" si="44"/>
        <v>160</v>
      </c>
      <c r="EX50" s="625">
        <f t="shared" si="22"/>
        <v>0</v>
      </c>
      <c r="EY50" s="625">
        <f t="shared" si="45"/>
        <v>240</v>
      </c>
      <c r="EZ50" s="641">
        <v>0</v>
      </c>
      <c r="FA50" s="642"/>
      <c r="FB50" s="642">
        <f t="shared" si="46"/>
        <v>0</v>
      </c>
      <c r="FC50" s="642">
        <f t="shared" si="23"/>
        <v>0</v>
      </c>
      <c r="FD50" s="642">
        <f t="shared" si="47"/>
        <v>490</v>
      </c>
      <c r="FE50" s="643">
        <v>190</v>
      </c>
      <c r="FF50" s="644"/>
      <c r="FG50" s="644">
        <f t="shared" si="48"/>
        <v>190</v>
      </c>
      <c r="FH50" s="644">
        <f t="shared" si="24"/>
        <v>0</v>
      </c>
      <c r="FI50" s="644">
        <f t="shared" si="49"/>
        <v>410</v>
      </c>
      <c r="FJ50" s="626">
        <v>0</v>
      </c>
      <c r="FK50" s="627"/>
      <c r="FL50" s="627">
        <f t="shared" si="50"/>
        <v>0</v>
      </c>
      <c r="FM50" s="627">
        <f t="shared" si="25"/>
        <v>0</v>
      </c>
      <c r="FN50" s="645">
        <f t="shared" si="51"/>
        <v>900</v>
      </c>
      <c r="HC50" s="402"/>
      <c r="HD50" s="52"/>
      <c r="HE50" s="52">
        <f t="shared" si="52"/>
        <v>0</v>
      </c>
      <c r="HF50" s="52">
        <f t="shared" si="26"/>
        <v>0</v>
      </c>
      <c r="HG50" s="51"/>
      <c r="HH50" s="52">
        <f t="shared" si="101"/>
        <v>400</v>
      </c>
      <c r="HI50" s="51"/>
      <c r="HJ50" s="1046"/>
    </row>
    <row r="51" spans="1:218" ht="15" customHeight="1">
      <c r="A51" s="30">
        <v>44714</v>
      </c>
      <c r="B51" s="390">
        <v>0</v>
      </c>
      <c r="C51" s="18">
        <f t="shared" si="118"/>
        <v>20916759</v>
      </c>
      <c r="D51" s="376">
        <v>0</v>
      </c>
      <c r="E51" s="417">
        <f t="shared" si="109"/>
        <v>285949.03999999992</v>
      </c>
      <c r="F51" s="397">
        <v>43519</v>
      </c>
      <c r="G51" s="37"/>
      <c r="H51" s="37">
        <f t="shared" si="110"/>
        <v>43519</v>
      </c>
      <c r="I51" s="37">
        <f t="shared" si="111"/>
        <v>0</v>
      </c>
      <c r="J51" s="37" t="e">
        <f t="shared" si="132"/>
        <v>#DIV/0!</v>
      </c>
      <c r="K51" s="37">
        <f t="shared" si="119"/>
        <v>145928</v>
      </c>
      <c r="L51" s="37">
        <f t="shared" si="112"/>
        <v>510.32869353224629</v>
      </c>
      <c r="M51" s="1055"/>
      <c r="N51" s="422">
        <v>225</v>
      </c>
      <c r="O51" s="423"/>
      <c r="P51" s="423">
        <f t="shared" si="113"/>
        <v>225</v>
      </c>
      <c r="Q51" s="423">
        <f t="shared" si="114"/>
        <v>0</v>
      </c>
      <c r="R51" s="423">
        <f t="shared" si="120"/>
        <v>2925</v>
      </c>
      <c r="S51" s="68">
        <v>0</v>
      </c>
      <c r="T51" s="67">
        <v>24</v>
      </c>
      <c r="U51" s="68">
        <f t="shared" si="53"/>
        <v>0</v>
      </c>
      <c r="V51" s="68" t="e">
        <f t="shared" si="133"/>
        <v>#DIV/0!</v>
      </c>
      <c r="W51" s="423">
        <f t="shared" si="54"/>
        <v>2920.9440000000004</v>
      </c>
      <c r="X51" s="68">
        <f t="shared" si="115"/>
        <v>10.214911020509113</v>
      </c>
      <c r="Y51" s="1055"/>
      <c r="Z51" s="424">
        <v>200</v>
      </c>
      <c r="AA51" s="425"/>
      <c r="AB51" s="425">
        <f t="shared" si="55"/>
        <v>200</v>
      </c>
      <c r="AC51" s="425">
        <f t="shared" si="56"/>
        <v>0</v>
      </c>
      <c r="AD51" s="425">
        <f t="shared" si="57"/>
        <v>500</v>
      </c>
      <c r="AE51" s="72">
        <v>0</v>
      </c>
      <c r="AF51" s="71">
        <v>12</v>
      </c>
      <c r="AG51" s="72">
        <f t="shared" si="58"/>
        <v>0</v>
      </c>
      <c r="AH51" s="72" t="e">
        <f t="shared" si="134"/>
        <v>#DIV/0!</v>
      </c>
      <c r="AI51" s="425">
        <f t="shared" si="59"/>
        <v>497.99999999999994</v>
      </c>
      <c r="AJ51" s="72">
        <f t="shared" si="116"/>
        <v>1.7415690571998426</v>
      </c>
      <c r="AK51" s="1055"/>
      <c r="AL51" s="491">
        <v>7279</v>
      </c>
      <c r="AM51" s="491"/>
      <c r="AN51" s="492">
        <f t="shared" si="105"/>
        <v>7279</v>
      </c>
      <c r="AO51" s="492">
        <f t="shared" si="106"/>
        <v>0</v>
      </c>
      <c r="AP51" s="492">
        <f t="shared" si="107"/>
        <v>25344</v>
      </c>
      <c r="AQ51" s="493">
        <f t="shared" si="117"/>
        <v>88.631177079664283</v>
      </c>
      <c r="AR51" s="1055"/>
      <c r="AS51" s="413">
        <v>49235</v>
      </c>
      <c r="AT51" s="64"/>
      <c r="AU51" s="66">
        <f t="shared" si="61"/>
        <v>49235</v>
      </c>
      <c r="AV51" s="66">
        <f t="shared" si="11"/>
        <v>0</v>
      </c>
      <c r="AW51" s="412" t="e">
        <f t="shared" si="135"/>
        <v>#DIV/0!</v>
      </c>
      <c r="AX51" s="66">
        <f t="shared" si="63"/>
        <v>0</v>
      </c>
      <c r="AY51" s="412">
        <f t="shared" si="121"/>
        <v>0</v>
      </c>
      <c r="AZ51" s="1055"/>
      <c r="BA51" s="419">
        <v>45495</v>
      </c>
      <c r="BB51" s="419"/>
      <c r="BC51" s="407"/>
      <c r="BD51" s="419">
        <f t="shared" si="33"/>
        <v>45495</v>
      </c>
      <c r="BE51" s="419">
        <f t="shared" si="34"/>
        <v>0</v>
      </c>
      <c r="BF51" s="407" t="e">
        <f t="shared" si="136"/>
        <v>#DIV/0!</v>
      </c>
      <c r="BG51" s="419">
        <f t="shared" si="108"/>
        <v>0</v>
      </c>
      <c r="BH51" s="407">
        <f t="shared" si="122"/>
        <v>0</v>
      </c>
      <c r="BI51" s="407">
        <f t="shared" si="68"/>
        <v>0</v>
      </c>
      <c r="BJ51" s="1053"/>
      <c r="BK51" s="1055"/>
      <c r="BL51" s="49">
        <v>1615</v>
      </c>
      <c r="BM51" s="50"/>
      <c r="BN51" s="52">
        <f t="shared" si="69"/>
        <v>1615</v>
      </c>
      <c r="BO51" s="52">
        <f t="shared" si="12"/>
        <v>0</v>
      </c>
      <c r="BP51" s="406" t="e">
        <f t="shared" si="137"/>
        <v>#DIV/0!</v>
      </c>
      <c r="BQ51" s="52">
        <f t="shared" si="71"/>
        <v>8185</v>
      </c>
      <c r="BR51" s="406">
        <f t="shared" si="123"/>
        <v>0.39131301364613896</v>
      </c>
      <c r="BS51" s="1055"/>
      <c r="BT51" s="409">
        <v>995</v>
      </c>
      <c r="BU51" s="43"/>
      <c r="BV51" s="43">
        <f t="shared" si="102"/>
        <v>995</v>
      </c>
      <c r="BW51" s="43">
        <f t="shared" si="103"/>
        <v>0</v>
      </c>
      <c r="BX51" s="42" t="e">
        <f t="shared" si="138"/>
        <v>#DIV/0!</v>
      </c>
      <c r="BY51" s="43">
        <f t="shared" si="104"/>
        <v>2392</v>
      </c>
      <c r="BZ51" s="42">
        <f t="shared" si="124"/>
        <v>0.11435806092138845</v>
      </c>
      <c r="CA51" s="1058"/>
      <c r="CB51" s="392">
        <v>793</v>
      </c>
      <c r="CC51" s="298"/>
      <c r="CD51" s="298">
        <f t="shared" si="35"/>
        <v>793</v>
      </c>
      <c r="CE51" s="298">
        <f t="shared" si="14"/>
        <v>0</v>
      </c>
      <c r="CF51" s="297" t="e">
        <f t="shared" si="139"/>
        <v>#DIV/0!</v>
      </c>
      <c r="CG51" s="298">
        <f t="shared" si="78"/>
        <v>22207</v>
      </c>
      <c r="CH51" s="297">
        <f t="shared" si="125"/>
        <v>1.061684556388492</v>
      </c>
      <c r="CI51" s="1061"/>
      <c r="CJ51" s="651"/>
      <c r="CK51" s="651"/>
      <c r="CL51" s="651"/>
      <c r="CM51" s="651"/>
      <c r="CN51" s="651"/>
      <c r="CO51" s="464">
        <v>15</v>
      </c>
      <c r="CP51" s="465"/>
      <c r="CQ51" s="465">
        <f t="shared" si="36"/>
        <v>15</v>
      </c>
      <c r="CR51" s="465">
        <f t="shared" si="15"/>
        <v>0</v>
      </c>
      <c r="CS51" s="486" t="e">
        <f t="shared" si="140"/>
        <v>#DIV/0!</v>
      </c>
      <c r="CT51" s="465">
        <f t="shared" si="81"/>
        <v>240</v>
      </c>
      <c r="CU51" s="486">
        <f t="shared" si="126"/>
        <v>1.1474052935256366E-2</v>
      </c>
      <c r="CV51" s="1069"/>
      <c r="CW51" s="427">
        <v>5</v>
      </c>
      <c r="CX51" s="427"/>
      <c r="CY51" s="427">
        <f t="shared" si="83"/>
        <v>5</v>
      </c>
      <c r="CZ51" s="427">
        <f t="shared" si="84"/>
        <v>0</v>
      </c>
      <c r="DA51" s="607" t="e">
        <f t="shared" si="141"/>
        <v>#DIV/0!</v>
      </c>
      <c r="DB51" s="607">
        <f t="shared" si="86"/>
        <v>0</v>
      </c>
      <c r="DC51" s="607">
        <f t="shared" si="127"/>
        <v>0</v>
      </c>
      <c r="DD51" s="1081"/>
      <c r="DE51" s="471">
        <v>5.6</v>
      </c>
      <c r="DF51" s="473"/>
      <c r="DG51" s="473">
        <f t="shared" si="37"/>
        <v>5.6</v>
      </c>
      <c r="DH51" s="473">
        <f t="shared" si="16"/>
        <v>0</v>
      </c>
      <c r="DI51" s="227" t="e">
        <f t="shared" si="142"/>
        <v>#DIV/0!</v>
      </c>
      <c r="DJ51" s="473">
        <f t="shared" si="89"/>
        <v>5.6</v>
      </c>
      <c r="DK51" s="227">
        <f t="shared" si="128"/>
        <v>2.6772790182264851E-4</v>
      </c>
      <c r="DL51" s="1084"/>
      <c r="DM51" s="63">
        <v>1480</v>
      </c>
      <c r="DN51" s="64"/>
      <c r="DO51" s="66">
        <f t="shared" si="91"/>
        <v>1480</v>
      </c>
      <c r="DP51" s="66">
        <f t="shared" si="17"/>
        <v>0</v>
      </c>
      <c r="DQ51" s="412" t="e">
        <f t="shared" si="143"/>
        <v>#DIV/0!</v>
      </c>
      <c r="DR51" s="66">
        <f t="shared" si="93"/>
        <v>6520</v>
      </c>
      <c r="DS51" s="412">
        <f t="shared" si="129"/>
        <v>0.31171177140779793</v>
      </c>
      <c r="DT51" s="1071"/>
      <c r="DU51" s="596">
        <v>600</v>
      </c>
      <c r="DV51" s="596"/>
      <c r="DW51" s="596">
        <f t="shared" si="38"/>
        <v>600</v>
      </c>
      <c r="DX51" s="596">
        <f t="shared" si="18"/>
        <v>0</v>
      </c>
      <c r="DY51" s="592" t="e">
        <f t="shared" si="144"/>
        <v>#DIV/0!</v>
      </c>
      <c r="DZ51" s="596">
        <f t="shared" si="96"/>
        <v>1800</v>
      </c>
      <c r="EA51" s="592">
        <f t="shared" si="130"/>
        <v>8.6055397014422746E-2</v>
      </c>
      <c r="EB51" s="1041"/>
      <c r="EC51" s="448">
        <v>155</v>
      </c>
      <c r="ED51" s="449"/>
      <c r="EE51" s="449">
        <f t="shared" si="39"/>
        <v>155</v>
      </c>
      <c r="EF51" s="449">
        <f t="shared" si="19"/>
        <v>0</v>
      </c>
      <c r="EG51" s="450" t="e">
        <f t="shared" si="145"/>
        <v>#DIV/0!</v>
      </c>
      <c r="EH51" s="449">
        <f t="shared" si="99"/>
        <v>160</v>
      </c>
      <c r="EI51" s="450">
        <f t="shared" si="131"/>
        <v>7.649368623504244E-3</v>
      </c>
      <c r="EJ51" s="1035"/>
      <c r="EK51" s="426">
        <v>2460</v>
      </c>
      <c r="EL51" s="427"/>
      <c r="EM51" s="427">
        <f t="shared" si="40"/>
        <v>2460</v>
      </c>
      <c r="EN51" s="427">
        <f t="shared" si="20"/>
        <v>0</v>
      </c>
      <c r="EO51" s="427">
        <f t="shared" si="41"/>
        <v>15012</v>
      </c>
      <c r="EP51" s="456">
        <v>126</v>
      </c>
      <c r="EQ51" s="457"/>
      <c r="ER51" s="457">
        <f t="shared" si="42"/>
        <v>126</v>
      </c>
      <c r="ES51" s="457">
        <f t="shared" si="21"/>
        <v>0</v>
      </c>
      <c r="ET51" s="457">
        <f t="shared" si="43"/>
        <v>182</v>
      </c>
      <c r="EU51" s="409">
        <v>160</v>
      </c>
      <c r="EV51" s="43"/>
      <c r="EW51" s="43">
        <f t="shared" si="44"/>
        <v>160</v>
      </c>
      <c r="EX51" s="43">
        <f t="shared" si="22"/>
        <v>0</v>
      </c>
      <c r="EY51" s="43">
        <f t="shared" si="45"/>
        <v>240</v>
      </c>
      <c r="EZ51" s="436">
        <v>0</v>
      </c>
      <c r="FA51" s="437"/>
      <c r="FB51" s="437">
        <f t="shared" si="46"/>
        <v>0</v>
      </c>
      <c r="FC51" s="437">
        <f t="shared" si="23"/>
        <v>0</v>
      </c>
      <c r="FD51" s="437">
        <f t="shared" si="47"/>
        <v>490</v>
      </c>
      <c r="FE51" s="442">
        <v>190</v>
      </c>
      <c r="FF51" s="443"/>
      <c r="FG51" s="443">
        <f t="shared" si="48"/>
        <v>190</v>
      </c>
      <c r="FH51" s="443">
        <f t="shared" si="24"/>
        <v>0</v>
      </c>
      <c r="FI51" s="443">
        <f t="shared" si="49"/>
        <v>410</v>
      </c>
      <c r="FJ51" s="392">
        <v>0</v>
      </c>
      <c r="FK51" s="298"/>
      <c r="FL51" s="298">
        <f t="shared" si="50"/>
        <v>0</v>
      </c>
      <c r="FM51" s="298">
        <f t="shared" si="25"/>
        <v>0</v>
      </c>
      <c r="FN51" s="498">
        <f t="shared" si="51"/>
        <v>900</v>
      </c>
      <c r="HC51" s="402"/>
      <c r="HD51" s="52"/>
      <c r="HE51" s="52">
        <f t="shared" si="52"/>
        <v>0</v>
      </c>
      <c r="HF51" s="52">
        <f t="shared" si="26"/>
        <v>0</v>
      </c>
      <c r="HG51" s="51"/>
      <c r="HH51" s="52">
        <f t="shared" si="101"/>
        <v>400</v>
      </c>
      <c r="HI51" s="51"/>
      <c r="HJ51" s="1047"/>
    </row>
    <row r="52" spans="1:218" ht="15" customHeight="1">
      <c r="A52" s="30">
        <v>44715</v>
      </c>
      <c r="B52" s="390">
        <v>28799</v>
      </c>
      <c r="C52" s="18">
        <f t="shared" si="118"/>
        <v>20945558</v>
      </c>
      <c r="D52" s="376">
        <v>1955.38</v>
      </c>
      <c r="E52" s="417">
        <f t="shared" si="109"/>
        <v>287904.41999999993</v>
      </c>
      <c r="F52" s="397">
        <v>43519</v>
      </c>
      <c r="G52" s="37"/>
      <c r="H52" s="37">
        <f t="shared" si="110"/>
        <v>41961</v>
      </c>
      <c r="I52" s="37">
        <f t="shared" si="111"/>
        <v>1558</v>
      </c>
      <c r="J52" s="37">
        <f t="shared" si="132"/>
        <v>796.7760742157534</v>
      </c>
      <c r="K52" s="37">
        <f t="shared" si="119"/>
        <v>147486</v>
      </c>
      <c r="L52" s="37">
        <f t="shared" si="112"/>
        <v>512.27417765937753</v>
      </c>
      <c r="M52" s="1055"/>
      <c r="N52" s="422">
        <v>225</v>
      </c>
      <c r="O52" s="423"/>
      <c r="P52" s="423">
        <f t="shared" si="113"/>
        <v>225</v>
      </c>
      <c r="Q52" s="423">
        <f t="shared" si="114"/>
        <v>0</v>
      </c>
      <c r="R52" s="423">
        <f t="shared" si="120"/>
        <v>2925</v>
      </c>
      <c r="S52" s="68">
        <v>1.75</v>
      </c>
      <c r="T52" s="67">
        <v>24</v>
      </c>
      <c r="U52" s="68">
        <f t="shared" si="53"/>
        <v>21</v>
      </c>
      <c r="V52" s="68">
        <f t="shared" si="133"/>
        <v>10.739600486861889</v>
      </c>
      <c r="W52" s="423">
        <f t="shared" si="54"/>
        <v>2941.9440000000004</v>
      </c>
      <c r="X52" s="68">
        <f t="shared" si="115"/>
        <v>10.218474589587757</v>
      </c>
      <c r="Y52" s="1055"/>
      <c r="Z52" s="424">
        <v>200</v>
      </c>
      <c r="AA52" s="425"/>
      <c r="AB52" s="425">
        <f t="shared" si="55"/>
        <v>200</v>
      </c>
      <c r="AC52" s="425">
        <f t="shared" si="56"/>
        <v>0</v>
      </c>
      <c r="AD52" s="425">
        <f t="shared" si="57"/>
        <v>500</v>
      </c>
      <c r="AE52" s="72">
        <v>0.56000000000000005</v>
      </c>
      <c r="AF52" s="71">
        <v>12</v>
      </c>
      <c r="AG52" s="72">
        <f t="shared" si="58"/>
        <v>3.3600000000000003</v>
      </c>
      <c r="AH52" s="72">
        <f t="shared" si="134"/>
        <v>1.7183360778979024</v>
      </c>
      <c r="AI52" s="425">
        <f t="shared" si="59"/>
        <v>501.35999999999996</v>
      </c>
      <c r="AJ52" s="72">
        <f t="shared" si="116"/>
        <v>1.7414112641966388</v>
      </c>
      <c r="AK52" s="1055"/>
      <c r="AL52" s="491">
        <v>7279</v>
      </c>
      <c r="AM52" s="491"/>
      <c r="AN52" s="492">
        <f t="shared" si="105"/>
        <v>1537</v>
      </c>
      <c r="AO52" s="492">
        <f t="shared" si="106"/>
        <v>5742</v>
      </c>
      <c r="AP52" s="492">
        <f t="shared" si="107"/>
        <v>31086</v>
      </c>
      <c r="AQ52" s="493">
        <f t="shared" si="117"/>
        <v>107.97333365010516</v>
      </c>
      <c r="AR52" s="1055"/>
      <c r="AS52" s="413">
        <v>49235</v>
      </c>
      <c r="AT52" s="64"/>
      <c r="AU52" s="66">
        <f t="shared" si="61"/>
        <v>49235</v>
      </c>
      <c r="AV52" s="66">
        <f t="shared" si="11"/>
        <v>0</v>
      </c>
      <c r="AW52" s="412">
        <f t="shared" si="135"/>
        <v>0</v>
      </c>
      <c r="AX52" s="66">
        <f t="shared" si="63"/>
        <v>0</v>
      </c>
      <c r="AY52" s="412">
        <f t="shared" si="121"/>
        <v>0</v>
      </c>
      <c r="AZ52" s="1055"/>
      <c r="BA52" s="419">
        <v>45495</v>
      </c>
      <c r="BB52" s="419"/>
      <c r="BC52" s="407"/>
      <c r="BD52" s="419">
        <f t="shared" si="33"/>
        <v>45495</v>
      </c>
      <c r="BE52" s="419">
        <f t="shared" si="34"/>
        <v>0</v>
      </c>
      <c r="BF52" s="407">
        <f t="shared" si="136"/>
        <v>0</v>
      </c>
      <c r="BG52" s="419">
        <f t="shared" si="108"/>
        <v>0</v>
      </c>
      <c r="BH52" s="407">
        <f t="shared" si="122"/>
        <v>0</v>
      </c>
      <c r="BI52" s="407">
        <f t="shared" si="68"/>
        <v>0</v>
      </c>
      <c r="BJ52" s="1053"/>
      <c r="BK52" s="1055"/>
      <c r="BL52" s="49">
        <v>1615</v>
      </c>
      <c r="BM52" s="50"/>
      <c r="BN52" s="52">
        <f t="shared" si="69"/>
        <v>1174</v>
      </c>
      <c r="BO52" s="52">
        <f t="shared" si="12"/>
        <v>441</v>
      </c>
      <c r="BP52" s="406">
        <f t="shared" si="137"/>
        <v>15.31303170248967</v>
      </c>
      <c r="BQ52" s="52">
        <f t="shared" si="71"/>
        <v>8626</v>
      </c>
      <c r="BR52" s="406">
        <f t="shared" si="123"/>
        <v>0.41182956309877256</v>
      </c>
      <c r="BS52" s="1055"/>
      <c r="BT52" s="409">
        <v>995</v>
      </c>
      <c r="BU52" s="43"/>
      <c r="BV52" s="43">
        <f t="shared" si="102"/>
        <v>972</v>
      </c>
      <c r="BW52" s="43">
        <f t="shared" si="103"/>
        <v>23</v>
      </c>
      <c r="BX52" s="42">
        <f t="shared" si="138"/>
        <v>0.79863884162644538</v>
      </c>
      <c r="BY52" s="43">
        <f t="shared" si="104"/>
        <v>2415</v>
      </c>
      <c r="BZ52" s="42">
        <f t="shared" si="124"/>
        <v>0.11529890967812842</v>
      </c>
      <c r="CA52" s="1058"/>
      <c r="CB52" s="392">
        <v>793</v>
      </c>
      <c r="CC52" s="298"/>
      <c r="CD52" s="298">
        <f t="shared" si="35"/>
        <v>736</v>
      </c>
      <c r="CE52" s="298">
        <f t="shared" si="14"/>
        <v>57</v>
      </c>
      <c r="CF52" s="297">
        <f t="shared" si="139"/>
        <v>1.9792353901177124</v>
      </c>
      <c r="CG52" s="298">
        <f t="shared" si="78"/>
        <v>22264</v>
      </c>
      <c r="CH52" s="297">
        <f t="shared" si="125"/>
        <v>1.0629461387469363</v>
      </c>
      <c r="CI52" s="1061"/>
      <c r="CJ52" s="651"/>
      <c r="CK52" s="651"/>
      <c r="CL52" s="651"/>
      <c r="CM52" s="651"/>
      <c r="CN52" s="651"/>
      <c r="CO52" s="464">
        <v>15</v>
      </c>
      <c r="CP52" s="465"/>
      <c r="CQ52" s="465">
        <f t="shared" si="36"/>
        <v>15</v>
      </c>
      <c r="CR52" s="465">
        <f t="shared" si="15"/>
        <v>0</v>
      </c>
      <c r="CS52" s="486">
        <f t="shared" si="140"/>
        <v>0</v>
      </c>
      <c r="CT52" s="465">
        <f t="shared" si="81"/>
        <v>240</v>
      </c>
      <c r="CU52" s="486">
        <f t="shared" si="126"/>
        <v>1.1458276738199097E-2</v>
      </c>
      <c r="CV52" s="1069"/>
      <c r="CW52" s="427">
        <v>5</v>
      </c>
      <c r="CX52" s="427">
        <v>40</v>
      </c>
      <c r="CY52" s="427">
        <f t="shared" si="83"/>
        <v>39</v>
      </c>
      <c r="CZ52" s="427">
        <f t="shared" si="84"/>
        <v>6</v>
      </c>
      <c r="DA52" s="607">
        <f t="shared" si="141"/>
        <v>0.20834056738081183</v>
      </c>
      <c r="DB52" s="607">
        <f t="shared" si="86"/>
        <v>6</v>
      </c>
      <c r="DC52" s="607">
        <f t="shared" si="127"/>
        <v>2.8645691845497742E-4</v>
      </c>
      <c r="DD52" s="1081"/>
      <c r="DE52" s="471">
        <v>5.6</v>
      </c>
      <c r="DF52" s="473"/>
      <c r="DG52" s="473">
        <f t="shared" si="37"/>
        <v>5.6</v>
      </c>
      <c r="DH52" s="473">
        <f t="shared" si="16"/>
        <v>0</v>
      </c>
      <c r="DI52" s="227">
        <f t="shared" si="142"/>
        <v>0</v>
      </c>
      <c r="DJ52" s="473">
        <f t="shared" si="89"/>
        <v>5.6</v>
      </c>
      <c r="DK52" s="227">
        <f t="shared" si="128"/>
        <v>2.6735979055797894E-4</v>
      </c>
      <c r="DL52" s="1084"/>
      <c r="DM52" s="63">
        <v>1480</v>
      </c>
      <c r="DN52" s="64"/>
      <c r="DO52" s="66">
        <f t="shared" si="91"/>
        <v>1450</v>
      </c>
      <c r="DP52" s="66">
        <f t="shared" si="17"/>
        <v>30</v>
      </c>
      <c r="DQ52" s="412">
        <f t="shared" si="143"/>
        <v>1.0417028369040591</v>
      </c>
      <c r="DR52" s="66">
        <f t="shared" si="93"/>
        <v>6550</v>
      </c>
      <c r="DS52" s="412">
        <f t="shared" si="129"/>
        <v>0.31271546931335037</v>
      </c>
      <c r="DT52" s="1071"/>
      <c r="DU52" s="596">
        <v>600</v>
      </c>
      <c r="DV52" s="596"/>
      <c r="DW52" s="596">
        <f t="shared" si="38"/>
        <v>600</v>
      </c>
      <c r="DX52" s="596">
        <f t="shared" si="18"/>
        <v>0</v>
      </c>
      <c r="DY52" s="592">
        <f t="shared" si="144"/>
        <v>0</v>
      </c>
      <c r="DZ52" s="596">
        <f t="shared" si="96"/>
        <v>1800</v>
      </c>
      <c r="EA52" s="592">
        <f t="shared" si="130"/>
        <v>8.5937075536493227E-2</v>
      </c>
      <c r="EB52" s="1041"/>
      <c r="EC52" s="448">
        <v>155</v>
      </c>
      <c r="ED52" s="449"/>
      <c r="EE52" s="449">
        <f t="shared" si="39"/>
        <v>155</v>
      </c>
      <c r="EF52" s="449">
        <f t="shared" si="19"/>
        <v>0</v>
      </c>
      <c r="EG52" s="450">
        <f t="shared" si="145"/>
        <v>0</v>
      </c>
      <c r="EH52" s="449">
        <f t="shared" si="99"/>
        <v>160</v>
      </c>
      <c r="EI52" s="450">
        <f t="shared" si="131"/>
        <v>7.6388511587993976E-3</v>
      </c>
      <c r="EJ52" s="1035"/>
      <c r="EK52" s="426">
        <v>2460</v>
      </c>
      <c r="EL52" s="427"/>
      <c r="EM52" s="427">
        <f t="shared" si="40"/>
        <v>2424</v>
      </c>
      <c r="EN52" s="427">
        <f t="shared" si="20"/>
        <v>36</v>
      </c>
      <c r="EO52" s="427">
        <f t="shared" si="41"/>
        <v>15048</v>
      </c>
      <c r="EP52" s="456">
        <v>126</v>
      </c>
      <c r="EQ52" s="457"/>
      <c r="ER52" s="457">
        <f t="shared" si="42"/>
        <v>112</v>
      </c>
      <c r="ES52" s="457">
        <f t="shared" si="21"/>
        <v>14</v>
      </c>
      <c r="ET52" s="457">
        <f t="shared" si="43"/>
        <v>196</v>
      </c>
      <c r="EU52" s="409">
        <v>160</v>
      </c>
      <c r="EV52" s="43"/>
      <c r="EW52" s="43">
        <f t="shared" si="44"/>
        <v>160</v>
      </c>
      <c r="EX52" s="43">
        <f t="shared" si="22"/>
        <v>0</v>
      </c>
      <c r="EY52" s="43">
        <f t="shared" si="45"/>
        <v>240</v>
      </c>
      <c r="EZ52" s="436">
        <v>0</v>
      </c>
      <c r="FA52" s="437"/>
      <c r="FB52" s="437">
        <f t="shared" si="46"/>
        <v>0</v>
      </c>
      <c r="FC52" s="437">
        <f t="shared" si="23"/>
        <v>0</v>
      </c>
      <c r="FD52" s="437">
        <f t="shared" si="47"/>
        <v>490</v>
      </c>
      <c r="FE52" s="442">
        <v>190</v>
      </c>
      <c r="FF52" s="443"/>
      <c r="FG52" s="443">
        <f t="shared" si="48"/>
        <v>190</v>
      </c>
      <c r="FH52" s="443">
        <f t="shared" si="24"/>
        <v>0</v>
      </c>
      <c r="FI52" s="443">
        <f t="shared" si="49"/>
        <v>410</v>
      </c>
      <c r="FJ52" s="392">
        <v>0</v>
      </c>
      <c r="FK52" s="298"/>
      <c r="FL52" s="298">
        <f t="shared" si="50"/>
        <v>0</v>
      </c>
      <c r="FM52" s="298">
        <f t="shared" si="25"/>
        <v>0</v>
      </c>
      <c r="FN52" s="498">
        <f t="shared" si="51"/>
        <v>900</v>
      </c>
      <c r="HC52" s="402"/>
      <c r="HD52" s="52"/>
      <c r="HE52" s="52">
        <f t="shared" si="52"/>
        <v>0</v>
      </c>
      <c r="HF52" s="52">
        <f t="shared" si="26"/>
        <v>0</v>
      </c>
      <c r="HG52" s="51"/>
      <c r="HH52" s="52">
        <f t="shared" si="101"/>
        <v>400</v>
      </c>
      <c r="HI52" s="51"/>
      <c r="HJ52" s="1047"/>
    </row>
    <row r="53" spans="1:218" ht="15" customHeight="1">
      <c r="A53" s="30">
        <v>44716</v>
      </c>
      <c r="B53" s="390">
        <v>477494</v>
      </c>
      <c r="C53" s="18">
        <f t="shared" si="118"/>
        <v>21423052</v>
      </c>
      <c r="D53" s="376">
        <v>7291.44</v>
      </c>
      <c r="E53" s="417">
        <f t="shared" si="109"/>
        <v>295195.85999999993</v>
      </c>
      <c r="F53" s="397">
        <v>41961</v>
      </c>
      <c r="G53" s="37"/>
      <c r="H53" s="37">
        <f t="shared" si="110"/>
        <v>39492</v>
      </c>
      <c r="I53" s="37">
        <f t="shared" si="111"/>
        <v>2469</v>
      </c>
      <c r="J53" s="37">
        <f t="shared" si="132"/>
        <v>338.61624041341628</v>
      </c>
      <c r="K53" s="37">
        <f t="shared" si="119"/>
        <v>149955</v>
      </c>
      <c r="L53" s="37">
        <f t="shared" si="112"/>
        <v>507.9847664530256</v>
      </c>
      <c r="M53" s="1055"/>
      <c r="N53" s="422">
        <v>225</v>
      </c>
      <c r="O53" s="423"/>
      <c r="P53" s="423">
        <f t="shared" si="113"/>
        <v>75</v>
      </c>
      <c r="Q53" s="423">
        <f t="shared" si="114"/>
        <v>150</v>
      </c>
      <c r="R53" s="423">
        <f t="shared" si="120"/>
        <v>3075</v>
      </c>
      <c r="S53" s="68">
        <v>10.1</v>
      </c>
      <c r="T53" s="67">
        <v>24</v>
      </c>
      <c r="U53" s="68">
        <f t="shared" si="53"/>
        <v>121.19999999999999</v>
      </c>
      <c r="V53" s="68">
        <f t="shared" si="133"/>
        <v>16.622230999637932</v>
      </c>
      <c r="W53" s="423">
        <f t="shared" si="54"/>
        <v>3063.1440000000002</v>
      </c>
      <c r="X53" s="68">
        <f t="shared" si="115"/>
        <v>10.376649591223945</v>
      </c>
      <c r="Y53" s="1055"/>
      <c r="Z53" s="424">
        <v>200</v>
      </c>
      <c r="AA53" s="425"/>
      <c r="AB53" s="425">
        <f t="shared" si="55"/>
        <v>175</v>
      </c>
      <c r="AC53" s="425">
        <f t="shared" si="56"/>
        <v>25</v>
      </c>
      <c r="AD53" s="425">
        <f t="shared" si="57"/>
        <v>525</v>
      </c>
      <c r="AE53" s="72">
        <v>1.9</v>
      </c>
      <c r="AF53" s="71">
        <v>12</v>
      </c>
      <c r="AG53" s="72">
        <f t="shared" si="58"/>
        <v>11.399999999999999</v>
      </c>
      <c r="AH53" s="72">
        <f t="shared" si="134"/>
        <v>1.5634771732332706</v>
      </c>
      <c r="AI53" s="425">
        <f t="shared" si="59"/>
        <v>512.76</v>
      </c>
      <c r="AJ53" s="72">
        <f t="shared" si="116"/>
        <v>1.7370162305121764</v>
      </c>
      <c r="AK53" s="1055"/>
      <c r="AL53" s="491">
        <v>1537</v>
      </c>
      <c r="AM53" s="491"/>
      <c r="AN53" s="492">
        <f t="shared" si="105"/>
        <v>1537</v>
      </c>
      <c r="AO53" s="492">
        <f t="shared" si="106"/>
        <v>0</v>
      </c>
      <c r="AP53" s="492">
        <f t="shared" si="107"/>
        <v>31086</v>
      </c>
      <c r="AQ53" s="493">
        <f t="shared" si="117"/>
        <v>105.30635490619689</v>
      </c>
      <c r="AR53" s="1055"/>
      <c r="AS53" s="413">
        <v>49235</v>
      </c>
      <c r="AT53" s="64"/>
      <c r="AU53" s="66">
        <f t="shared" si="61"/>
        <v>49235</v>
      </c>
      <c r="AV53" s="66">
        <f t="shared" si="11"/>
        <v>0</v>
      </c>
      <c r="AW53" s="412">
        <f t="shared" si="135"/>
        <v>0</v>
      </c>
      <c r="AX53" s="66">
        <f t="shared" si="63"/>
        <v>0</v>
      </c>
      <c r="AY53" s="412">
        <f t="shared" si="121"/>
        <v>0</v>
      </c>
      <c r="AZ53" s="1055"/>
      <c r="BA53" s="419">
        <v>45495</v>
      </c>
      <c r="BB53" s="419"/>
      <c r="BC53" s="407"/>
      <c r="BD53" s="419">
        <f t="shared" si="33"/>
        <v>45495</v>
      </c>
      <c r="BE53" s="419">
        <f t="shared" si="34"/>
        <v>0</v>
      </c>
      <c r="BF53" s="407">
        <f t="shared" si="136"/>
        <v>0</v>
      </c>
      <c r="BG53" s="419">
        <f t="shared" si="108"/>
        <v>0</v>
      </c>
      <c r="BH53" s="407">
        <f t="shared" si="122"/>
        <v>0</v>
      </c>
      <c r="BI53" s="407">
        <f t="shared" si="68"/>
        <v>0</v>
      </c>
      <c r="BJ53" s="1053"/>
      <c r="BK53" s="1055"/>
      <c r="BL53" s="49">
        <v>1174</v>
      </c>
      <c r="BM53" s="50"/>
      <c r="BN53" s="52">
        <f t="shared" si="69"/>
        <v>436</v>
      </c>
      <c r="BO53" s="52">
        <f t="shared" si="12"/>
        <v>738</v>
      </c>
      <c r="BP53" s="406">
        <f t="shared" si="137"/>
        <v>1.5455691589841967</v>
      </c>
      <c r="BQ53" s="52">
        <f t="shared" si="71"/>
        <v>9364</v>
      </c>
      <c r="BR53" s="406">
        <f t="shared" si="123"/>
        <v>0.43709925177794462</v>
      </c>
      <c r="BS53" s="1055"/>
      <c r="BT53" s="409">
        <v>972</v>
      </c>
      <c r="BU53" s="43"/>
      <c r="BV53" s="43">
        <f t="shared" si="102"/>
        <v>902</v>
      </c>
      <c r="BW53" s="43">
        <f t="shared" si="103"/>
        <v>70</v>
      </c>
      <c r="BX53" s="42">
        <f t="shared" si="138"/>
        <v>0.14659870071665823</v>
      </c>
      <c r="BY53" s="43">
        <f t="shared" si="104"/>
        <v>2485</v>
      </c>
      <c r="BZ53" s="42">
        <f t="shared" si="124"/>
        <v>0.11599654428323285</v>
      </c>
      <c r="CA53" s="1058"/>
      <c r="CB53" s="392">
        <v>736</v>
      </c>
      <c r="CC53" s="298"/>
      <c r="CD53" s="298">
        <f t="shared" si="35"/>
        <v>720</v>
      </c>
      <c r="CE53" s="298">
        <f t="shared" si="14"/>
        <v>16</v>
      </c>
      <c r="CF53" s="297">
        <f t="shared" si="139"/>
        <v>3.3508274449521876E-2</v>
      </c>
      <c r="CG53" s="298">
        <f t="shared" si="78"/>
        <v>22280</v>
      </c>
      <c r="CH53" s="297">
        <f t="shared" si="125"/>
        <v>1.0400012099116409</v>
      </c>
      <c r="CI53" s="1061"/>
      <c r="CJ53" s="651"/>
      <c r="CK53" s="651"/>
      <c r="CL53" s="651"/>
      <c r="CM53" s="651"/>
      <c r="CN53" s="651"/>
      <c r="CO53" s="464">
        <v>15</v>
      </c>
      <c r="CP53" s="465"/>
      <c r="CQ53" s="465">
        <f t="shared" si="36"/>
        <v>15</v>
      </c>
      <c r="CR53" s="465">
        <f t="shared" si="15"/>
        <v>0</v>
      </c>
      <c r="CS53" s="486">
        <f t="shared" si="140"/>
        <v>0</v>
      </c>
      <c r="CT53" s="465">
        <f t="shared" si="81"/>
        <v>240</v>
      </c>
      <c r="CU53" s="486">
        <f t="shared" si="126"/>
        <v>1.1202885564577819E-2</v>
      </c>
      <c r="CV53" s="1069"/>
      <c r="CW53" s="427">
        <v>39</v>
      </c>
      <c r="CX53" s="427"/>
      <c r="CY53" s="427">
        <f t="shared" si="83"/>
        <v>19</v>
      </c>
      <c r="CZ53" s="427">
        <f t="shared" si="84"/>
        <v>20</v>
      </c>
      <c r="DA53" s="607">
        <f t="shared" si="141"/>
        <v>4.188534306190235E-2</v>
      </c>
      <c r="DB53" s="607">
        <f t="shared" si="86"/>
        <v>26</v>
      </c>
      <c r="DC53" s="607">
        <f t="shared" si="127"/>
        <v>1.2136459361625973E-3</v>
      </c>
      <c r="DD53" s="1081"/>
      <c r="DE53" s="471">
        <v>5.6</v>
      </c>
      <c r="DF53" s="473"/>
      <c r="DG53" s="473">
        <f t="shared" si="37"/>
        <v>5.6</v>
      </c>
      <c r="DH53" s="473">
        <f t="shared" si="16"/>
        <v>0</v>
      </c>
      <c r="DI53" s="227">
        <f t="shared" si="142"/>
        <v>0</v>
      </c>
      <c r="DJ53" s="473">
        <f t="shared" si="89"/>
        <v>5.6</v>
      </c>
      <c r="DK53" s="227">
        <f t="shared" si="128"/>
        <v>2.6140066317348245E-4</v>
      </c>
      <c r="DL53" s="1084"/>
      <c r="DM53" s="63">
        <v>1450</v>
      </c>
      <c r="DN53" s="64"/>
      <c r="DO53" s="66">
        <f t="shared" si="91"/>
        <v>1250</v>
      </c>
      <c r="DP53" s="66">
        <f t="shared" si="17"/>
        <v>200</v>
      </c>
      <c r="DQ53" s="412">
        <f t="shared" si="143"/>
        <v>0.41885343061902347</v>
      </c>
      <c r="DR53" s="66">
        <f t="shared" si="93"/>
        <v>6750</v>
      </c>
      <c r="DS53" s="412">
        <f t="shared" si="129"/>
        <v>0.31508115650375118</v>
      </c>
      <c r="DT53" s="1071"/>
      <c r="DU53" s="596">
        <v>600</v>
      </c>
      <c r="DV53" s="596"/>
      <c r="DW53" s="596">
        <f t="shared" si="38"/>
        <v>400</v>
      </c>
      <c r="DX53" s="596">
        <f t="shared" si="18"/>
        <v>200</v>
      </c>
      <c r="DY53" s="592">
        <f t="shared" si="144"/>
        <v>0.41885343061902347</v>
      </c>
      <c r="DZ53" s="596">
        <f t="shared" si="96"/>
        <v>2000</v>
      </c>
      <c r="EA53" s="592">
        <f t="shared" si="130"/>
        <v>9.3357379704815169E-2</v>
      </c>
      <c r="EB53" s="1041"/>
      <c r="EC53" s="448">
        <v>155</v>
      </c>
      <c r="ED53" s="449"/>
      <c r="EE53" s="449">
        <f t="shared" si="39"/>
        <v>155</v>
      </c>
      <c r="EF53" s="449">
        <f t="shared" si="19"/>
        <v>0</v>
      </c>
      <c r="EG53" s="450">
        <f t="shared" si="145"/>
        <v>0</v>
      </c>
      <c r="EH53" s="449">
        <f t="shared" si="99"/>
        <v>160</v>
      </c>
      <c r="EI53" s="450">
        <f t="shared" si="131"/>
        <v>7.4685903763852136E-3</v>
      </c>
      <c r="EJ53" s="1035"/>
      <c r="EK53" s="426">
        <v>2424</v>
      </c>
      <c r="EL53" s="427"/>
      <c r="EM53" s="427">
        <f t="shared" si="40"/>
        <v>1920</v>
      </c>
      <c r="EN53" s="427">
        <f t="shared" si="20"/>
        <v>504</v>
      </c>
      <c r="EO53" s="427">
        <f t="shared" si="41"/>
        <v>15552</v>
      </c>
      <c r="EP53" s="456">
        <v>112</v>
      </c>
      <c r="EQ53" s="457"/>
      <c r="ER53" s="457">
        <f t="shared" si="42"/>
        <v>70</v>
      </c>
      <c r="ES53" s="457">
        <f t="shared" si="21"/>
        <v>42</v>
      </c>
      <c r="ET53" s="457">
        <f t="shared" si="43"/>
        <v>238</v>
      </c>
      <c r="EU53" s="409">
        <v>160</v>
      </c>
      <c r="EV53" s="43"/>
      <c r="EW53" s="43">
        <f t="shared" si="44"/>
        <v>140</v>
      </c>
      <c r="EX53" s="43">
        <f t="shared" si="22"/>
        <v>20</v>
      </c>
      <c r="EY53" s="43">
        <f t="shared" si="45"/>
        <v>260</v>
      </c>
      <c r="EZ53" s="436">
        <v>0</v>
      </c>
      <c r="FA53" s="437"/>
      <c r="FB53" s="437">
        <f t="shared" si="46"/>
        <v>0</v>
      </c>
      <c r="FC53" s="437">
        <f t="shared" si="23"/>
        <v>0</v>
      </c>
      <c r="FD53" s="437">
        <f t="shared" si="47"/>
        <v>490</v>
      </c>
      <c r="FE53" s="442">
        <v>190</v>
      </c>
      <c r="FF53" s="443"/>
      <c r="FG53" s="443">
        <f t="shared" si="48"/>
        <v>170</v>
      </c>
      <c r="FH53" s="443">
        <f t="shared" si="24"/>
        <v>20</v>
      </c>
      <c r="FI53" s="443">
        <f t="shared" si="49"/>
        <v>430</v>
      </c>
      <c r="FJ53" s="392">
        <v>0</v>
      </c>
      <c r="FK53" s="298"/>
      <c r="FL53" s="298">
        <f t="shared" si="50"/>
        <v>0</v>
      </c>
      <c r="FM53" s="298">
        <f t="shared" si="25"/>
        <v>0</v>
      </c>
      <c r="FN53" s="498">
        <f t="shared" si="51"/>
        <v>900</v>
      </c>
      <c r="HC53" s="402"/>
      <c r="HD53" s="52"/>
      <c r="HE53" s="52">
        <f t="shared" si="52"/>
        <v>0</v>
      </c>
      <c r="HF53" s="52">
        <f t="shared" si="26"/>
        <v>0</v>
      </c>
      <c r="HG53" s="51"/>
      <c r="HH53" s="52">
        <f t="shared" si="101"/>
        <v>400</v>
      </c>
      <c r="HI53" s="51"/>
      <c r="HJ53" s="1047"/>
    </row>
    <row r="54" spans="1:218" ht="15" customHeight="1">
      <c r="A54" s="30">
        <v>44717</v>
      </c>
      <c r="B54" s="390">
        <v>593804</v>
      </c>
      <c r="C54" s="18">
        <f t="shared" si="118"/>
        <v>22016856</v>
      </c>
      <c r="D54" s="376">
        <v>8453.3799999999992</v>
      </c>
      <c r="E54" s="417">
        <f t="shared" si="109"/>
        <v>303649.23999999993</v>
      </c>
      <c r="F54" s="397">
        <v>39492</v>
      </c>
      <c r="G54" s="37"/>
      <c r="H54" s="37">
        <f t="shared" si="110"/>
        <v>33023</v>
      </c>
      <c r="I54" s="37">
        <f t="shared" si="111"/>
        <v>6469</v>
      </c>
      <c r="J54" s="37">
        <f t="shared" si="132"/>
        <v>765.25602776640835</v>
      </c>
      <c r="K54" s="37">
        <f t="shared" si="119"/>
        <v>156424</v>
      </c>
      <c r="L54" s="37">
        <f t="shared" si="112"/>
        <v>515.14701634030121</v>
      </c>
      <c r="M54" s="1055"/>
      <c r="N54" s="422">
        <v>75</v>
      </c>
      <c r="O54" s="423">
        <v>250</v>
      </c>
      <c r="P54" s="423">
        <f t="shared" si="113"/>
        <v>200</v>
      </c>
      <c r="Q54" s="423">
        <f t="shared" si="114"/>
        <v>125</v>
      </c>
      <c r="R54" s="423">
        <f t="shared" si="120"/>
        <v>3200</v>
      </c>
      <c r="S54" s="68">
        <v>9.65</v>
      </c>
      <c r="T54" s="67">
        <v>24</v>
      </c>
      <c r="U54" s="68">
        <f t="shared" si="53"/>
        <v>115.80000000000001</v>
      </c>
      <c r="V54" s="68">
        <f t="shared" si="133"/>
        <v>13.698662546815596</v>
      </c>
      <c r="W54" s="423">
        <f t="shared" si="54"/>
        <v>3178.9440000000004</v>
      </c>
      <c r="X54" s="68">
        <f t="shared" si="115"/>
        <v>10.469132081476644</v>
      </c>
      <c r="Y54" s="1055"/>
      <c r="Z54" s="424">
        <v>175</v>
      </c>
      <c r="AA54" s="425"/>
      <c r="AB54" s="425">
        <f t="shared" si="55"/>
        <v>175</v>
      </c>
      <c r="AC54" s="425">
        <f t="shared" si="56"/>
        <v>0</v>
      </c>
      <c r="AD54" s="425">
        <f t="shared" si="57"/>
        <v>525</v>
      </c>
      <c r="AE54" s="72">
        <v>2</v>
      </c>
      <c r="AF54" s="71">
        <v>12</v>
      </c>
      <c r="AG54" s="72">
        <f t="shared" si="58"/>
        <v>12</v>
      </c>
      <c r="AH54" s="72">
        <f t="shared" si="134"/>
        <v>1.4195505229860719</v>
      </c>
      <c r="AI54" s="425">
        <f t="shared" si="59"/>
        <v>524.76</v>
      </c>
      <c r="AJ54" s="72">
        <f t="shared" si="116"/>
        <v>1.7281782098318446</v>
      </c>
      <c r="AK54" s="1055"/>
      <c r="AL54" s="491">
        <v>1537</v>
      </c>
      <c r="AM54" s="491"/>
      <c r="AN54" s="492">
        <f t="shared" si="105"/>
        <v>1537</v>
      </c>
      <c r="AO54" s="492">
        <f t="shared" si="106"/>
        <v>0</v>
      </c>
      <c r="AP54" s="492">
        <f t="shared" si="107"/>
        <v>31086</v>
      </c>
      <c r="AQ54" s="493">
        <f t="shared" si="117"/>
        <v>102.37470049324018</v>
      </c>
      <c r="AR54" s="1055"/>
      <c r="AS54" s="413">
        <v>49235</v>
      </c>
      <c r="AT54" s="64"/>
      <c r="AU54" s="66">
        <f t="shared" si="61"/>
        <v>49235</v>
      </c>
      <c r="AV54" s="66">
        <f t="shared" si="11"/>
        <v>0</v>
      </c>
      <c r="AW54" s="412">
        <f t="shared" si="135"/>
        <v>0</v>
      </c>
      <c r="AX54" s="66">
        <f t="shared" si="63"/>
        <v>0</v>
      </c>
      <c r="AY54" s="412">
        <f t="shared" si="121"/>
        <v>0</v>
      </c>
      <c r="AZ54" s="1055"/>
      <c r="BA54" s="419">
        <v>45495</v>
      </c>
      <c r="BB54" s="419"/>
      <c r="BC54" s="407"/>
      <c r="BD54" s="419">
        <f t="shared" si="33"/>
        <v>45495</v>
      </c>
      <c r="BE54" s="419">
        <f t="shared" si="34"/>
        <v>0</v>
      </c>
      <c r="BF54" s="407">
        <f t="shared" si="136"/>
        <v>0</v>
      </c>
      <c r="BG54" s="419">
        <f t="shared" si="108"/>
        <v>0</v>
      </c>
      <c r="BH54" s="407">
        <f t="shared" si="122"/>
        <v>0</v>
      </c>
      <c r="BI54" s="407">
        <f t="shared" si="68"/>
        <v>0</v>
      </c>
      <c r="BJ54" s="1053"/>
      <c r="BK54" s="1055"/>
      <c r="BL54" s="49">
        <v>436</v>
      </c>
      <c r="BM54" s="50">
        <v>900</v>
      </c>
      <c r="BN54" s="52">
        <f t="shared" si="69"/>
        <v>791</v>
      </c>
      <c r="BO54" s="52">
        <f t="shared" si="12"/>
        <v>545</v>
      </c>
      <c r="BP54" s="406">
        <f t="shared" si="137"/>
        <v>0.91781126432290794</v>
      </c>
      <c r="BQ54" s="52">
        <f t="shared" si="71"/>
        <v>9909</v>
      </c>
      <c r="BR54" s="406">
        <f t="shared" si="123"/>
        <v>0.45006425985617565</v>
      </c>
      <c r="BS54" s="1055"/>
      <c r="BT54" s="409">
        <v>902</v>
      </c>
      <c r="BU54" s="43"/>
      <c r="BV54" s="43">
        <f t="shared" si="102"/>
        <v>791</v>
      </c>
      <c r="BW54" s="43">
        <f t="shared" si="103"/>
        <v>111</v>
      </c>
      <c r="BX54" s="42">
        <f t="shared" si="138"/>
        <v>0.18693036759604179</v>
      </c>
      <c r="BY54" s="43">
        <f t="shared" si="104"/>
        <v>2596</v>
      </c>
      <c r="BZ54" s="42">
        <f t="shared" si="124"/>
        <v>0.11790965976250196</v>
      </c>
      <c r="CA54" s="1058"/>
      <c r="CB54" s="392">
        <v>720</v>
      </c>
      <c r="CC54" s="298"/>
      <c r="CD54" s="298">
        <f t="shared" si="35"/>
        <v>690</v>
      </c>
      <c r="CE54" s="298">
        <f t="shared" si="14"/>
        <v>30</v>
      </c>
      <c r="CF54" s="297">
        <f t="shared" si="139"/>
        <v>5.0521720971903189E-2</v>
      </c>
      <c r="CG54" s="298">
        <f t="shared" si="78"/>
        <v>22310</v>
      </c>
      <c r="CH54" s="297">
        <f t="shared" si="125"/>
        <v>1.0133145259250458</v>
      </c>
      <c r="CI54" s="1061"/>
      <c r="CJ54" s="651"/>
      <c r="CK54" s="651"/>
      <c r="CL54" s="651"/>
      <c r="CM54" s="651"/>
      <c r="CN54" s="651"/>
      <c r="CO54" s="464">
        <v>15</v>
      </c>
      <c r="CP54" s="465"/>
      <c r="CQ54" s="465">
        <f t="shared" si="36"/>
        <v>15</v>
      </c>
      <c r="CR54" s="465">
        <f t="shared" si="15"/>
        <v>0</v>
      </c>
      <c r="CS54" s="486">
        <f t="shared" si="140"/>
        <v>0</v>
      </c>
      <c r="CT54" s="465">
        <f t="shared" si="81"/>
        <v>240</v>
      </c>
      <c r="CU54" s="486">
        <f t="shared" si="126"/>
        <v>1.0900738961094173E-2</v>
      </c>
      <c r="CV54" s="1069"/>
      <c r="CW54" s="427">
        <v>19</v>
      </c>
      <c r="CX54" s="427"/>
      <c r="CY54" s="427">
        <f t="shared" si="83"/>
        <v>19</v>
      </c>
      <c r="CZ54" s="427">
        <f t="shared" si="84"/>
        <v>0</v>
      </c>
      <c r="DA54" s="607">
        <f t="shared" si="141"/>
        <v>0</v>
      </c>
      <c r="DB54" s="607">
        <f t="shared" si="86"/>
        <v>26</v>
      </c>
      <c r="DC54" s="607">
        <f t="shared" si="127"/>
        <v>1.1809133874518688E-3</v>
      </c>
      <c r="DD54" s="1081"/>
      <c r="DE54" s="471">
        <v>5.6</v>
      </c>
      <c r="DF54" s="473"/>
      <c r="DG54" s="473">
        <f t="shared" si="37"/>
        <v>5.6</v>
      </c>
      <c r="DH54" s="473">
        <f t="shared" si="16"/>
        <v>0</v>
      </c>
      <c r="DI54" s="227">
        <f t="shared" si="142"/>
        <v>0</v>
      </c>
      <c r="DJ54" s="473">
        <f t="shared" si="89"/>
        <v>5.6</v>
      </c>
      <c r="DK54" s="227">
        <f t="shared" si="128"/>
        <v>2.5435057575886401E-4</v>
      </c>
      <c r="DL54" s="1084"/>
      <c r="DM54" s="63">
        <v>1250</v>
      </c>
      <c r="DN54" s="64"/>
      <c r="DO54" s="66">
        <f t="shared" si="91"/>
        <v>1000</v>
      </c>
      <c r="DP54" s="66">
        <f t="shared" si="17"/>
        <v>250</v>
      </c>
      <c r="DQ54" s="412">
        <f t="shared" si="143"/>
        <v>0.42101434143252658</v>
      </c>
      <c r="DR54" s="66">
        <f t="shared" si="93"/>
        <v>7000</v>
      </c>
      <c r="DS54" s="412">
        <f t="shared" si="129"/>
        <v>0.31793821969858005</v>
      </c>
      <c r="DT54" s="1071"/>
      <c r="DU54" s="596">
        <v>400</v>
      </c>
      <c r="DV54" s="596"/>
      <c r="DW54" s="596">
        <f t="shared" si="38"/>
        <v>200</v>
      </c>
      <c r="DX54" s="596">
        <f t="shared" si="18"/>
        <v>200</v>
      </c>
      <c r="DY54" s="592">
        <f t="shared" si="144"/>
        <v>0.33681147314602122</v>
      </c>
      <c r="DZ54" s="596">
        <f t="shared" si="96"/>
        <v>2200</v>
      </c>
      <c r="EA54" s="592">
        <f t="shared" si="130"/>
        <v>9.9923440476696587E-2</v>
      </c>
      <c r="EB54" s="1041"/>
      <c r="EC54" s="448">
        <v>155</v>
      </c>
      <c r="ED54" s="449"/>
      <c r="EE54" s="449">
        <f t="shared" si="39"/>
        <v>155</v>
      </c>
      <c r="EF54" s="449">
        <f t="shared" si="19"/>
        <v>0</v>
      </c>
      <c r="EG54" s="450">
        <f t="shared" si="145"/>
        <v>0</v>
      </c>
      <c r="EH54" s="449">
        <f t="shared" si="99"/>
        <v>160</v>
      </c>
      <c r="EI54" s="450">
        <f t="shared" si="131"/>
        <v>7.2671593073961151E-3</v>
      </c>
      <c r="EJ54" s="1035"/>
      <c r="EK54" s="426">
        <v>1920</v>
      </c>
      <c r="EL54" s="427"/>
      <c r="EM54" s="427">
        <f t="shared" si="40"/>
        <v>1020</v>
      </c>
      <c r="EN54" s="427">
        <f t="shared" si="20"/>
        <v>900</v>
      </c>
      <c r="EO54" s="427">
        <f t="shared" si="41"/>
        <v>16452</v>
      </c>
      <c r="EP54" s="456">
        <v>70</v>
      </c>
      <c r="EQ54" s="457"/>
      <c r="ER54" s="457">
        <f t="shared" si="42"/>
        <v>56</v>
      </c>
      <c r="ES54" s="457">
        <f t="shared" si="21"/>
        <v>14</v>
      </c>
      <c r="ET54" s="457">
        <f t="shared" si="43"/>
        <v>252</v>
      </c>
      <c r="EU54" s="409">
        <v>140</v>
      </c>
      <c r="EV54" s="43"/>
      <c r="EW54" s="43">
        <f t="shared" si="44"/>
        <v>140</v>
      </c>
      <c r="EX54" s="43">
        <f t="shared" si="22"/>
        <v>0</v>
      </c>
      <c r="EY54" s="43">
        <f t="shared" si="45"/>
        <v>260</v>
      </c>
      <c r="EZ54" s="436">
        <v>0</v>
      </c>
      <c r="FA54" s="437"/>
      <c r="FB54" s="437">
        <f t="shared" si="46"/>
        <v>0</v>
      </c>
      <c r="FC54" s="437">
        <f t="shared" si="23"/>
        <v>0</v>
      </c>
      <c r="FD54" s="437">
        <f t="shared" si="47"/>
        <v>490</v>
      </c>
      <c r="FE54" s="442">
        <v>170</v>
      </c>
      <c r="FF54" s="443"/>
      <c r="FG54" s="443">
        <f t="shared" si="48"/>
        <v>170</v>
      </c>
      <c r="FH54" s="443">
        <f t="shared" si="24"/>
        <v>0</v>
      </c>
      <c r="FI54" s="443">
        <f t="shared" si="49"/>
        <v>430</v>
      </c>
      <c r="FJ54" s="392">
        <v>0</v>
      </c>
      <c r="FK54" s="298"/>
      <c r="FL54" s="298">
        <f t="shared" si="50"/>
        <v>0</v>
      </c>
      <c r="FM54" s="298">
        <f t="shared" si="25"/>
        <v>0</v>
      </c>
      <c r="FN54" s="498">
        <f t="shared" si="51"/>
        <v>900</v>
      </c>
      <c r="HC54" s="402"/>
      <c r="HD54" s="52"/>
      <c r="HE54" s="52">
        <f t="shared" si="52"/>
        <v>0</v>
      </c>
      <c r="HF54" s="52">
        <f t="shared" si="26"/>
        <v>0</v>
      </c>
      <c r="HG54" s="51"/>
      <c r="HH54" s="52">
        <f t="shared" si="101"/>
        <v>400</v>
      </c>
      <c r="HI54" s="51"/>
      <c r="HJ54" s="1047"/>
    </row>
    <row r="55" spans="1:218" ht="15" customHeight="1">
      <c r="A55" s="30">
        <v>44718</v>
      </c>
      <c r="B55" s="390">
        <v>591419</v>
      </c>
      <c r="C55" s="18">
        <f t="shared" si="118"/>
        <v>22608275</v>
      </c>
      <c r="D55" s="376">
        <v>6716.66</v>
      </c>
      <c r="E55" s="417">
        <f t="shared" si="109"/>
        <v>310365.89999999991</v>
      </c>
      <c r="F55" s="397">
        <v>33023</v>
      </c>
      <c r="G55" s="37"/>
      <c r="H55" s="37">
        <f t="shared" si="110"/>
        <v>29887</v>
      </c>
      <c r="I55" s="37">
        <f t="shared" si="111"/>
        <v>3136</v>
      </c>
      <c r="J55" s="37">
        <f t="shared" si="132"/>
        <v>466.89872645034882</v>
      </c>
      <c r="K55" s="37">
        <f t="shared" si="119"/>
        <v>159560</v>
      </c>
      <c r="L55" s="37">
        <f t="shared" si="112"/>
        <v>514.10287019289183</v>
      </c>
      <c r="M55" s="1055"/>
      <c r="N55" s="422">
        <v>200</v>
      </c>
      <c r="O55" s="423"/>
      <c r="P55" s="423">
        <f t="shared" si="113"/>
        <v>75</v>
      </c>
      <c r="Q55" s="423">
        <f t="shared" si="114"/>
        <v>125</v>
      </c>
      <c r="R55" s="423">
        <f t="shared" si="120"/>
        <v>3325</v>
      </c>
      <c r="S55" s="68">
        <v>10.199999999999999</v>
      </c>
      <c r="T55" s="67">
        <v>24</v>
      </c>
      <c r="U55" s="68">
        <f t="shared" si="53"/>
        <v>122.39999999999999</v>
      </c>
      <c r="V55" s="68">
        <f t="shared" si="133"/>
        <v>18.223343149720247</v>
      </c>
      <c r="W55" s="423">
        <f t="shared" si="54"/>
        <v>3301.3440000000005</v>
      </c>
      <c r="X55" s="68">
        <f t="shared" si="115"/>
        <v>10.636941751655067</v>
      </c>
      <c r="Y55" s="1055"/>
      <c r="Z55" s="424">
        <v>175</v>
      </c>
      <c r="AA55" s="425"/>
      <c r="AB55" s="425">
        <f t="shared" si="55"/>
        <v>150</v>
      </c>
      <c r="AC55" s="425">
        <f t="shared" si="56"/>
        <v>25</v>
      </c>
      <c r="AD55" s="425">
        <f t="shared" si="57"/>
        <v>550</v>
      </c>
      <c r="AE55" s="72">
        <v>1.79</v>
      </c>
      <c r="AF55" s="71">
        <v>12</v>
      </c>
      <c r="AG55" s="72">
        <f t="shared" si="58"/>
        <v>10.74</v>
      </c>
      <c r="AH55" s="72">
        <f t="shared" si="134"/>
        <v>1.5990090312744727</v>
      </c>
      <c r="AI55" s="425">
        <f t="shared" si="59"/>
        <v>535.5</v>
      </c>
      <c r="AJ55" s="72">
        <f t="shared" si="116"/>
        <v>1.725382846504723</v>
      </c>
      <c r="AK55" s="1055"/>
      <c r="AL55" s="491">
        <v>1537</v>
      </c>
      <c r="AM55" s="491"/>
      <c r="AN55" s="492">
        <f t="shared" si="105"/>
        <v>1105</v>
      </c>
      <c r="AO55" s="492">
        <f t="shared" si="106"/>
        <v>432</v>
      </c>
      <c r="AP55" s="492">
        <f t="shared" si="107"/>
        <v>31518</v>
      </c>
      <c r="AQ55" s="493">
        <f t="shared" si="117"/>
        <v>101.55110467999226</v>
      </c>
      <c r="AR55" s="1055"/>
      <c r="AS55" s="413">
        <v>49235</v>
      </c>
      <c r="AT55" s="64"/>
      <c r="AU55" s="66">
        <f t="shared" si="61"/>
        <v>49235</v>
      </c>
      <c r="AV55" s="66">
        <f t="shared" si="11"/>
        <v>0</v>
      </c>
      <c r="AW55" s="412">
        <f t="shared" si="135"/>
        <v>0</v>
      </c>
      <c r="AX55" s="66">
        <f t="shared" si="63"/>
        <v>0</v>
      </c>
      <c r="AY55" s="412">
        <f t="shared" si="121"/>
        <v>0</v>
      </c>
      <c r="AZ55" s="1055"/>
      <c r="BA55" s="419">
        <v>45495</v>
      </c>
      <c r="BB55" s="419"/>
      <c r="BC55" s="407"/>
      <c r="BD55" s="419">
        <f t="shared" si="33"/>
        <v>45495</v>
      </c>
      <c r="BE55" s="419">
        <f t="shared" si="34"/>
        <v>0</v>
      </c>
      <c r="BF55" s="407">
        <f t="shared" si="136"/>
        <v>0</v>
      </c>
      <c r="BG55" s="419">
        <f t="shared" si="108"/>
        <v>0</v>
      </c>
      <c r="BH55" s="407">
        <f t="shared" si="122"/>
        <v>0</v>
      </c>
      <c r="BI55" s="407">
        <f t="shared" si="68"/>
        <v>0</v>
      </c>
      <c r="BJ55" s="1053"/>
      <c r="BK55" s="1055"/>
      <c r="BL55" s="49">
        <v>791</v>
      </c>
      <c r="BM55" s="50">
        <v>900</v>
      </c>
      <c r="BN55" s="52">
        <f t="shared" si="69"/>
        <v>1377</v>
      </c>
      <c r="BO55" s="52">
        <f t="shared" si="12"/>
        <v>314</v>
      </c>
      <c r="BP55" s="406">
        <f t="shared" si="137"/>
        <v>0.53092646668436416</v>
      </c>
      <c r="BQ55" s="52">
        <f t="shared" si="71"/>
        <v>10223</v>
      </c>
      <c r="BR55" s="406">
        <f t="shared" si="123"/>
        <v>0.4521795669948282</v>
      </c>
      <c r="BS55" s="1055"/>
      <c r="BT55" s="409">
        <v>791</v>
      </c>
      <c r="BU55" s="43"/>
      <c r="BV55" s="43">
        <f t="shared" si="102"/>
        <v>626</v>
      </c>
      <c r="BW55" s="43">
        <f t="shared" si="103"/>
        <v>165</v>
      </c>
      <c r="BX55" s="42">
        <f t="shared" si="138"/>
        <v>0.27899002230229331</v>
      </c>
      <c r="BY55" s="43">
        <f t="shared" si="104"/>
        <v>2761</v>
      </c>
      <c r="BZ55" s="42">
        <f t="shared" si="124"/>
        <v>0.12212342604643654</v>
      </c>
      <c r="CA55" s="1058"/>
      <c r="CB55" s="392">
        <v>690</v>
      </c>
      <c r="CC55" s="298">
        <v>1150</v>
      </c>
      <c r="CD55" s="298">
        <f t="shared" si="35"/>
        <v>1840</v>
      </c>
      <c r="CE55" s="298">
        <f t="shared" si="14"/>
        <v>0</v>
      </c>
      <c r="CF55" s="297">
        <f t="shared" si="139"/>
        <v>0</v>
      </c>
      <c r="CG55" s="298">
        <f t="shared" si="78"/>
        <v>22310</v>
      </c>
      <c r="CH55" s="297">
        <f t="shared" si="125"/>
        <v>0.98680682183846402</v>
      </c>
      <c r="CI55" s="1061"/>
      <c r="CJ55" s="651"/>
      <c r="CK55" s="651"/>
      <c r="CL55" s="651"/>
      <c r="CM55" s="651"/>
      <c r="CN55" s="651"/>
      <c r="CO55" s="464">
        <v>15</v>
      </c>
      <c r="CP55" s="465"/>
      <c r="CQ55" s="465">
        <f t="shared" si="36"/>
        <v>15</v>
      </c>
      <c r="CR55" s="465">
        <f t="shared" si="15"/>
        <v>0</v>
      </c>
      <c r="CS55" s="486">
        <f t="shared" si="140"/>
        <v>0</v>
      </c>
      <c r="CT55" s="465">
        <f t="shared" si="81"/>
        <v>240</v>
      </c>
      <c r="CU55" s="486">
        <f t="shared" si="126"/>
        <v>1.061558212645591E-2</v>
      </c>
      <c r="CV55" s="1069"/>
      <c r="CW55" s="427">
        <v>19</v>
      </c>
      <c r="CX55" s="427"/>
      <c r="CY55" s="427">
        <f t="shared" si="83"/>
        <v>19</v>
      </c>
      <c r="CZ55" s="427">
        <f t="shared" si="84"/>
        <v>0</v>
      </c>
      <c r="DA55" s="607">
        <f t="shared" si="141"/>
        <v>0</v>
      </c>
      <c r="DB55" s="607">
        <f t="shared" si="86"/>
        <v>26</v>
      </c>
      <c r="DC55" s="607">
        <f t="shared" si="127"/>
        <v>1.1500213970327237E-3</v>
      </c>
      <c r="DD55" s="1081"/>
      <c r="DE55" s="471">
        <v>5.6</v>
      </c>
      <c r="DF55" s="473"/>
      <c r="DG55" s="473">
        <f t="shared" si="37"/>
        <v>5.6</v>
      </c>
      <c r="DH55" s="473">
        <f t="shared" si="16"/>
        <v>0</v>
      </c>
      <c r="DI55" s="227">
        <f t="shared" si="142"/>
        <v>0</v>
      </c>
      <c r="DJ55" s="473">
        <f t="shared" si="89"/>
        <v>5.6</v>
      </c>
      <c r="DK55" s="227">
        <f t="shared" si="128"/>
        <v>2.4769691628397122E-4</v>
      </c>
      <c r="DL55" s="1084"/>
      <c r="DM55" s="63">
        <v>1000</v>
      </c>
      <c r="DN55" s="64">
        <v>1000</v>
      </c>
      <c r="DO55" s="66">
        <f t="shared" si="91"/>
        <v>1850</v>
      </c>
      <c r="DP55" s="66">
        <f t="shared" si="17"/>
        <v>150</v>
      </c>
      <c r="DQ55" s="412">
        <f t="shared" si="143"/>
        <v>0.25362729300208481</v>
      </c>
      <c r="DR55" s="66">
        <f t="shared" si="93"/>
        <v>7150</v>
      </c>
      <c r="DS55" s="412">
        <f t="shared" si="129"/>
        <v>0.31625588418399903</v>
      </c>
      <c r="DT55" s="1071"/>
      <c r="DU55" s="596">
        <v>200</v>
      </c>
      <c r="DV55" s="596"/>
      <c r="DW55" s="596">
        <f t="shared" si="38"/>
        <v>0</v>
      </c>
      <c r="DX55" s="596">
        <f t="shared" si="18"/>
        <v>200</v>
      </c>
      <c r="DY55" s="592">
        <f t="shared" si="144"/>
        <v>0.33816972400277978</v>
      </c>
      <c r="DZ55" s="596">
        <f t="shared" si="96"/>
        <v>2400</v>
      </c>
      <c r="EA55" s="592">
        <f t="shared" si="130"/>
        <v>0.10615582126455911</v>
      </c>
      <c r="EB55" s="1041"/>
      <c r="EC55" s="448">
        <v>155</v>
      </c>
      <c r="ED55" s="449"/>
      <c r="EE55" s="449">
        <f t="shared" si="39"/>
        <v>155</v>
      </c>
      <c r="EF55" s="449">
        <f t="shared" si="19"/>
        <v>0</v>
      </c>
      <c r="EG55" s="450">
        <f t="shared" si="145"/>
        <v>0</v>
      </c>
      <c r="EH55" s="449">
        <f t="shared" si="99"/>
        <v>160</v>
      </c>
      <c r="EI55" s="450">
        <f t="shared" si="131"/>
        <v>7.077054750970607E-3</v>
      </c>
      <c r="EJ55" s="1035"/>
      <c r="EK55" s="426">
        <v>1020</v>
      </c>
      <c r="EL55" s="427">
        <v>1200</v>
      </c>
      <c r="EM55" s="427">
        <f t="shared" si="40"/>
        <v>1930</v>
      </c>
      <c r="EN55" s="427">
        <f t="shared" si="20"/>
        <v>290</v>
      </c>
      <c r="EO55" s="427">
        <f t="shared" si="41"/>
        <v>16742</v>
      </c>
      <c r="EP55" s="456">
        <v>56</v>
      </c>
      <c r="EQ55" s="457">
        <v>70</v>
      </c>
      <c r="ER55" s="457">
        <f t="shared" si="42"/>
        <v>126</v>
      </c>
      <c r="ES55" s="457">
        <f t="shared" si="21"/>
        <v>0</v>
      </c>
      <c r="ET55" s="457">
        <f t="shared" si="43"/>
        <v>252</v>
      </c>
      <c r="EU55" s="409">
        <v>140</v>
      </c>
      <c r="EV55" s="43"/>
      <c r="EW55" s="43">
        <f t="shared" si="44"/>
        <v>140</v>
      </c>
      <c r="EX55" s="43">
        <f t="shared" si="22"/>
        <v>0</v>
      </c>
      <c r="EY55" s="43">
        <f t="shared" si="45"/>
        <v>260</v>
      </c>
      <c r="EZ55" s="436">
        <v>0</v>
      </c>
      <c r="FA55" s="437"/>
      <c r="FB55" s="437">
        <f t="shared" si="46"/>
        <v>0</v>
      </c>
      <c r="FC55" s="437">
        <f t="shared" si="23"/>
        <v>0</v>
      </c>
      <c r="FD55" s="437">
        <f t="shared" si="47"/>
        <v>490</v>
      </c>
      <c r="FE55" s="442">
        <v>170</v>
      </c>
      <c r="FF55" s="443"/>
      <c r="FG55" s="443">
        <f t="shared" si="48"/>
        <v>150</v>
      </c>
      <c r="FH55" s="443">
        <f t="shared" si="24"/>
        <v>20</v>
      </c>
      <c r="FI55" s="443">
        <f t="shared" si="49"/>
        <v>450</v>
      </c>
      <c r="FJ55" s="392">
        <v>0</v>
      </c>
      <c r="FK55" s="298"/>
      <c r="FL55" s="298">
        <f t="shared" si="50"/>
        <v>0</v>
      </c>
      <c r="FM55" s="298">
        <f t="shared" si="25"/>
        <v>0</v>
      </c>
      <c r="FN55" s="498">
        <f t="shared" si="51"/>
        <v>900</v>
      </c>
      <c r="HC55" s="402"/>
      <c r="HD55" s="52"/>
      <c r="HE55" s="52">
        <f t="shared" si="52"/>
        <v>0</v>
      </c>
      <c r="HF55" s="52">
        <f t="shared" si="26"/>
        <v>0</v>
      </c>
      <c r="HG55" s="51"/>
      <c r="HH55" s="52">
        <f t="shared" si="101"/>
        <v>400</v>
      </c>
      <c r="HI55" s="51"/>
      <c r="HJ55" s="1047"/>
    </row>
    <row r="56" spans="1:218" ht="15" customHeight="1">
      <c r="A56" s="30">
        <v>44719</v>
      </c>
      <c r="B56" s="390">
        <v>559435</v>
      </c>
      <c r="C56" s="18">
        <f t="shared" si="118"/>
        <v>23167710</v>
      </c>
      <c r="D56" s="376">
        <v>6359.92</v>
      </c>
      <c r="E56" s="417">
        <f t="shared" si="109"/>
        <v>316725.81999999989</v>
      </c>
      <c r="F56" s="397">
        <v>29887</v>
      </c>
      <c r="G56" s="37"/>
      <c r="H56" s="37">
        <f t="shared" si="110"/>
        <v>27478</v>
      </c>
      <c r="I56" s="37">
        <f t="shared" si="111"/>
        <v>2409</v>
      </c>
      <c r="J56" s="37">
        <f t="shared" si="132"/>
        <v>378.77834941320015</v>
      </c>
      <c r="K56" s="37">
        <f t="shared" si="119"/>
        <v>161969</v>
      </c>
      <c r="L56" s="37">
        <f t="shared" si="112"/>
        <v>511.3855258153568</v>
      </c>
      <c r="M56" s="1055"/>
      <c r="N56" s="422">
        <v>75</v>
      </c>
      <c r="O56" s="423">
        <v>525</v>
      </c>
      <c r="P56" s="423">
        <f t="shared" si="113"/>
        <v>475</v>
      </c>
      <c r="Q56" s="423">
        <f t="shared" si="114"/>
        <v>125</v>
      </c>
      <c r="R56" s="423">
        <f t="shared" si="120"/>
        <v>3450</v>
      </c>
      <c r="S56" s="68">
        <v>9.82</v>
      </c>
      <c r="T56" s="67">
        <v>24</v>
      </c>
      <c r="U56" s="68">
        <f t="shared" si="53"/>
        <v>117.84</v>
      </c>
      <c r="V56" s="68">
        <f t="shared" si="133"/>
        <v>18.528534950125159</v>
      </c>
      <c r="W56" s="423">
        <f t="shared" si="54"/>
        <v>3419.1840000000007</v>
      </c>
      <c r="X56" s="68">
        <f t="shared" si="115"/>
        <v>10.795406575946355</v>
      </c>
      <c r="Y56" s="1055"/>
      <c r="Z56" s="424">
        <v>150</v>
      </c>
      <c r="AA56" s="425">
        <v>100</v>
      </c>
      <c r="AB56" s="425">
        <f t="shared" si="55"/>
        <v>250</v>
      </c>
      <c r="AC56" s="425">
        <f t="shared" si="56"/>
        <v>0</v>
      </c>
      <c r="AD56" s="425">
        <f t="shared" si="57"/>
        <v>550</v>
      </c>
      <c r="AE56" s="72">
        <v>1.6</v>
      </c>
      <c r="AF56" s="71">
        <v>12</v>
      </c>
      <c r="AG56" s="72">
        <f t="shared" si="58"/>
        <v>9.6000000000000014</v>
      </c>
      <c r="AH56" s="72">
        <f t="shared" si="134"/>
        <v>1.5094529490936996</v>
      </c>
      <c r="AI56" s="425">
        <f t="shared" si="59"/>
        <v>545.1</v>
      </c>
      <c r="AJ56" s="72">
        <f t="shared" si="116"/>
        <v>1.7210469294862041</v>
      </c>
      <c r="AK56" s="1055"/>
      <c r="AL56" s="491">
        <v>1105</v>
      </c>
      <c r="AM56" s="491"/>
      <c r="AN56" s="492">
        <f t="shared" si="105"/>
        <v>1105</v>
      </c>
      <c r="AO56" s="492">
        <f t="shared" si="106"/>
        <v>0</v>
      </c>
      <c r="AP56" s="492">
        <f t="shared" si="107"/>
        <v>31518</v>
      </c>
      <c r="AQ56" s="493">
        <f t="shared" si="117"/>
        <v>99.511937485867151</v>
      </c>
      <c r="AR56" s="1055"/>
      <c r="AS56" s="413">
        <v>49235</v>
      </c>
      <c r="AT56" s="64"/>
      <c r="AU56" s="66">
        <f t="shared" si="61"/>
        <v>49235</v>
      </c>
      <c r="AV56" s="66">
        <f t="shared" si="11"/>
        <v>0</v>
      </c>
      <c r="AW56" s="412">
        <f t="shared" si="135"/>
        <v>0</v>
      </c>
      <c r="AX56" s="66">
        <f t="shared" si="63"/>
        <v>0</v>
      </c>
      <c r="AY56" s="412">
        <f t="shared" si="121"/>
        <v>0</v>
      </c>
      <c r="AZ56" s="1055"/>
      <c r="BA56" s="419">
        <v>45495</v>
      </c>
      <c r="BB56" s="419"/>
      <c r="BC56" s="407"/>
      <c r="BD56" s="419">
        <f t="shared" si="33"/>
        <v>45495</v>
      </c>
      <c r="BE56" s="419">
        <f t="shared" si="34"/>
        <v>0</v>
      </c>
      <c r="BF56" s="407">
        <f t="shared" si="136"/>
        <v>0</v>
      </c>
      <c r="BG56" s="419">
        <f t="shared" si="108"/>
        <v>0</v>
      </c>
      <c r="BH56" s="407">
        <f t="shared" si="122"/>
        <v>0</v>
      </c>
      <c r="BI56" s="407">
        <f t="shared" si="68"/>
        <v>0</v>
      </c>
      <c r="BJ56" s="1053"/>
      <c r="BK56" s="1055"/>
      <c r="BL56" s="49">
        <v>1377</v>
      </c>
      <c r="BM56" s="50"/>
      <c r="BN56" s="52">
        <f t="shared" si="69"/>
        <v>1057</v>
      </c>
      <c r="BO56" s="52">
        <f t="shared" si="12"/>
        <v>320</v>
      </c>
      <c r="BP56" s="406">
        <f t="shared" si="137"/>
        <v>0.57200568430648779</v>
      </c>
      <c r="BQ56" s="52">
        <f t="shared" si="71"/>
        <v>10543</v>
      </c>
      <c r="BR56" s="406">
        <f t="shared" si="123"/>
        <v>0.45507303052394904</v>
      </c>
      <c r="BS56" s="1055"/>
      <c r="BT56" s="409">
        <v>626</v>
      </c>
      <c r="BU56" s="43"/>
      <c r="BV56" s="43">
        <f t="shared" si="102"/>
        <v>433</v>
      </c>
      <c r="BW56" s="43">
        <f t="shared" si="103"/>
        <v>193</v>
      </c>
      <c r="BX56" s="42">
        <f t="shared" si="138"/>
        <v>0.34499092834735046</v>
      </c>
      <c r="BY56" s="43">
        <f t="shared" si="104"/>
        <v>2954</v>
      </c>
      <c r="BZ56" s="42">
        <f t="shared" si="124"/>
        <v>0.12750504905318652</v>
      </c>
      <c r="CA56" s="1058"/>
      <c r="CB56" s="392">
        <v>1840</v>
      </c>
      <c r="CC56" s="298"/>
      <c r="CD56" s="298">
        <f t="shared" si="35"/>
        <v>1840</v>
      </c>
      <c r="CE56" s="298">
        <f t="shared" si="14"/>
        <v>0</v>
      </c>
      <c r="CF56" s="297">
        <f t="shared" si="139"/>
        <v>0</v>
      </c>
      <c r="CG56" s="298">
        <f t="shared" si="78"/>
        <v>22310</v>
      </c>
      <c r="CH56" s="297">
        <f t="shared" si="125"/>
        <v>0.96297821407467543</v>
      </c>
      <c r="CI56" s="1061"/>
      <c r="CJ56" s="651"/>
      <c r="CK56" s="651"/>
      <c r="CL56" s="651"/>
      <c r="CM56" s="651"/>
      <c r="CN56" s="651"/>
      <c r="CO56" s="464">
        <v>15</v>
      </c>
      <c r="CP56" s="465"/>
      <c r="CQ56" s="465">
        <f t="shared" si="36"/>
        <v>15</v>
      </c>
      <c r="CR56" s="465">
        <f t="shared" si="15"/>
        <v>0</v>
      </c>
      <c r="CS56" s="486">
        <f t="shared" si="140"/>
        <v>0</v>
      </c>
      <c r="CT56" s="465">
        <f t="shared" si="81"/>
        <v>240</v>
      </c>
      <c r="CU56" s="486">
        <f t="shared" si="126"/>
        <v>1.0359245691524972E-2</v>
      </c>
      <c r="CV56" s="1069"/>
      <c r="CW56" s="427">
        <v>19</v>
      </c>
      <c r="CX56" s="427"/>
      <c r="CY56" s="427">
        <f t="shared" si="83"/>
        <v>19</v>
      </c>
      <c r="CZ56" s="427">
        <f t="shared" si="84"/>
        <v>0</v>
      </c>
      <c r="DA56" s="607">
        <f t="shared" si="141"/>
        <v>0</v>
      </c>
      <c r="DB56" s="607">
        <f t="shared" si="86"/>
        <v>26</v>
      </c>
      <c r="DC56" s="607">
        <f t="shared" si="127"/>
        <v>1.1222516165818718E-3</v>
      </c>
      <c r="DD56" s="1081"/>
      <c r="DE56" s="471">
        <v>5.6</v>
      </c>
      <c r="DF56" s="473"/>
      <c r="DG56" s="473">
        <f t="shared" si="37"/>
        <v>5.6</v>
      </c>
      <c r="DH56" s="473">
        <f t="shared" si="16"/>
        <v>0</v>
      </c>
      <c r="DI56" s="227">
        <f t="shared" si="142"/>
        <v>0</v>
      </c>
      <c r="DJ56" s="473">
        <f t="shared" si="89"/>
        <v>5.6</v>
      </c>
      <c r="DK56" s="227">
        <f t="shared" si="128"/>
        <v>2.4171573280224934E-4</v>
      </c>
      <c r="DL56" s="1084"/>
      <c r="DM56" s="63">
        <v>1850</v>
      </c>
      <c r="DN56" s="64"/>
      <c r="DO56" s="66">
        <f t="shared" si="91"/>
        <v>1650</v>
      </c>
      <c r="DP56" s="66">
        <f t="shared" si="17"/>
        <v>200</v>
      </c>
      <c r="DQ56" s="412">
        <f t="shared" si="143"/>
        <v>0.35750355269155487</v>
      </c>
      <c r="DR56" s="66">
        <f t="shared" si="93"/>
        <v>7350</v>
      </c>
      <c r="DS56" s="412">
        <f t="shared" si="129"/>
        <v>0.31725189930295228</v>
      </c>
      <c r="DT56" s="1071"/>
      <c r="DU56" s="596">
        <v>0</v>
      </c>
      <c r="DV56" s="596"/>
      <c r="DW56" s="596">
        <f t="shared" si="38"/>
        <v>0</v>
      </c>
      <c r="DX56" s="596">
        <f t="shared" si="18"/>
        <v>0</v>
      </c>
      <c r="DY56" s="592">
        <f t="shared" si="144"/>
        <v>0</v>
      </c>
      <c r="DZ56" s="596">
        <f t="shared" si="96"/>
        <v>2400</v>
      </c>
      <c r="EA56" s="592">
        <f t="shared" si="130"/>
        <v>0.10359245691524972</v>
      </c>
      <c r="EB56" s="1041"/>
      <c r="EC56" s="448">
        <v>155</v>
      </c>
      <c r="ED56" s="449"/>
      <c r="EE56" s="449">
        <f t="shared" si="39"/>
        <v>155</v>
      </c>
      <c r="EF56" s="449">
        <f t="shared" si="19"/>
        <v>0</v>
      </c>
      <c r="EG56" s="450">
        <f t="shared" si="145"/>
        <v>0</v>
      </c>
      <c r="EH56" s="449">
        <f t="shared" si="99"/>
        <v>160</v>
      </c>
      <c r="EI56" s="450">
        <f t="shared" si="131"/>
        <v>6.9061637943499806E-3</v>
      </c>
      <c r="EJ56" s="1035"/>
      <c r="EK56" s="426">
        <v>1930</v>
      </c>
      <c r="EL56" s="427"/>
      <c r="EM56" s="427">
        <f t="shared" si="40"/>
        <v>1590</v>
      </c>
      <c r="EN56" s="427">
        <f t="shared" si="20"/>
        <v>340</v>
      </c>
      <c r="EO56" s="427">
        <f t="shared" si="41"/>
        <v>17082</v>
      </c>
      <c r="EP56" s="456">
        <v>126</v>
      </c>
      <c r="EQ56" s="457"/>
      <c r="ER56" s="457">
        <f t="shared" si="42"/>
        <v>112</v>
      </c>
      <c r="ES56" s="457">
        <f t="shared" si="21"/>
        <v>14</v>
      </c>
      <c r="ET56" s="457">
        <f t="shared" si="43"/>
        <v>266</v>
      </c>
      <c r="EU56" s="409">
        <v>140</v>
      </c>
      <c r="EV56" s="43"/>
      <c r="EW56" s="43">
        <f t="shared" si="44"/>
        <v>140</v>
      </c>
      <c r="EX56" s="43">
        <f t="shared" si="22"/>
        <v>0</v>
      </c>
      <c r="EY56" s="43">
        <f t="shared" si="45"/>
        <v>260</v>
      </c>
      <c r="EZ56" s="436">
        <v>0</v>
      </c>
      <c r="FA56" s="437"/>
      <c r="FB56" s="437">
        <f t="shared" si="46"/>
        <v>0</v>
      </c>
      <c r="FC56" s="437">
        <f t="shared" si="23"/>
        <v>0</v>
      </c>
      <c r="FD56" s="437">
        <f t="shared" si="47"/>
        <v>490</v>
      </c>
      <c r="FE56" s="442">
        <v>150</v>
      </c>
      <c r="FF56" s="443"/>
      <c r="FG56" s="443">
        <f t="shared" si="48"/>
        <v>150</v>
      </c>
      <c r="FH56" s="443">
        <f t="shared" si="24"/>
        <v>0</v>
      </c>
      <c r="FI56" s="443">
        <f t="shared" si="49"/>
        <v>450</v>
      </c>
      <c r="FJ56" s="392">
        <v>0</v>
      </c>
      <c r="FK56" s="298"/>
      <c r="FL56" s="298">
        <f t="shared" si="50"/>
        <v>0</v>
      </c>
      <c r="FM56" s="298">
        <f t="shared" si="25"/>
        <v>0</v>
      </c>
      <c r="FN56" s="498">
        <f t="shared" si="51"/>
        <v>900</v>
      </c>
      <c r="HC56" s="402"/>
      <c r="HD56" s="52"/>
      <c r="HE56" s="52">
        <f t="shared" si="52"/>
        <v>0</v>
      </c>
      <c r="HF56" s="52">
        <f t="shared" si="26"/>
        <v>0</v>
      </c>
      <c r="HG56" s="51"/>
      <c r="HH56" s="52">
        <f t="shared" si="101"/>
        <v>400</v>
      </c>
      <c r="HI56" s="51"/>
      <c r="HJ56" s="1047"/>
    </row>
    <row r="57" spans="1:218" ht="15" customHeight="1">
      <c r="A57" s="30">
        <v>44720</v>
      </c>
      <c r="B57" s="390">
        <v>522859</v>
      </c>
      <c r="C57" s="18">
        <f t="shared" si="118"/>
        <v>23690569</v>
      </c>
      <c r="D57" s="376">
        <v>7534.68</v>
      </c>
      <c r="E57" s="417">
        <f t="shared" si="109"/>
        <v>324260.49999999988</v>
      </c>
      <c r="F57" s="397">
        <v>27478</v>
      </c>
      <c r="G57" s="37"/>
      <c r="H57" s="37">
        <f t="shared" si="110"/>
        <v>23781</v>
      </c>
      <c r="I57" s="37">
        <f t="shared" si="111"/>
        <v>3697</v>
      </c>
      <c r="J57" s="37">
        <f t="shared" si="132"/>
        <v>490.66450068217893</v>
      </c>
      <c r="K57" s="37">
        <f t="shared" si="119"/>
        <v>165666</v>
      </c>
      <c r="L57" s="37">
        <f t="shared" si="112"/>
        <v>510.90404165786475</v>
      </c>
      <c r="M57" s="1055"/>
      <c r="N57" s="422">
        <v>475</v>
      </c>
      <c r="O57" s="423"/>
      <c r="P57" s="423">
        <f t="shared" si="113"/>
        <v>350</v>
      </c>
      <c r="Q57" s="423">
        <f t="shared" si="114"/>
        <v>125</v>
      </c>
      <c r="R57" s="423">
        <f t="shared" si="120"/>
        <v>3575</v>
      </c>
      <c r="S57" s="68">
        <v>9.4499999999999993</v>
      </c>
      <c r="T57" s="67">
        <v>24</v>
      </c>
      <c r="U57" s="68">
        <f t="shared" si="53"/>
        <v>113.39999999999999</v>
      </c>
      <c r="V57" s="68">
        <f t="shared" si="133"/>
        <v>15.050406918409273</v>
      </c>
      <c r="W57" s="423">
        <f t="shared" si="54"/>
        <v>3532.5840000000007</v>
      </c>
      <c r="X57" s="68">
        <f t="shared" si="115"/>
        <v>10.894277903105689</v>
      </c>
      <c r="Y57" s="1055"/>
      <c r="Z57" s="424">
        <v>250</v>
      </c>
      <c r="AA57" s="425"/>
      <c r="AB57" s="425">
        <f t="shared" si="55"/>
        <v>225</v>
      </c>
      <c r="AC57" s="425">
        <f t="shared" si="56"/>
        <v>25</v>
      </c>
      <c r="AD57" s="425">
        <f t="shared" si="57"/>
        <v>575</v>
      </c>
      <c r="AE57" s="72">
        <v>1.9</v>
      </c>
      <c r="AF57" s="71">
        <v>12</v>
      </c>
      <c r="AG57" s="72">
        <f t="shared" si="58"/>
        <v>11.399999999999999</v>
      </c>
      <c r="AH57" s="72">
        <f t="shared" si="134"/>
        <v>1.5130038701046358</v>
      </c>
      <c r="AI57" s="425">
        <f t="shared" si="59"/>
        <v>556.5</v>
      </c>
      <c r="AJ57" s="72">
        <f t="shared" si="116"/>
        <v>1.7162127363647444</v>
      </c>
      <c r="AK57" s="1055"/>
      <c r="AL57" s="491">
        <v>1105</v>
      </c>
      <c r="AM57" s="491"/>
      <c r="AN57" s="492">
        <f t="shared" si="105"/>
        <v>1105</v>
      </c>
      <c r="AO57" s="492">
        <f t="shared" si="106"/>
        <v>0</v>
      </c>
      <c r="AP57" s="492">
        <f t="shared" si="107"/>
        <v>31518</v>
      </c>
      <c r="AQ57" s="493">
        <f t="shared" si="117"/>
        <v>97.199628076808651</v>
      </c>
      <c r="AR57" s="1055"/>
      <c r="AS57" s="413">
        <v>49235</v>
      </c>
      <c r="AT57" s="64"/>
      <c r="AU57" s="66">
        <f t="shared" si="61"/>
        <v>49235</v>
      </c>
      <c r="AV57" s="66">
        <f t="shared" si="11"/>
        <v>0</v>
      </c>
      <c r="AW57" s="412">
        <f t="shared" si="135"/>
        <v>0</v>
      </c>
      <c r="AX57" s="66">
        <f t="shared" si="63"/>
        <v>0</v>
      </c>
      <c r="AY57" s="412">
        <f t="shared" si="121"/>
        <v>0</v>
      </c>
      <c r="AZ57" s="1055"/>
      <c r="BA57" s="419">
        <v>45495</v>
      </c>
      <c r="BB57" s="419"/>
      <c r="BC57" s="407"/>
      <c r="BD57" s="419">
        <f t="shared" si="33"/>
        <v>45495</v>
      </c>
      <c r="BE57" s="419">
        <f t="shared" si="34"/>
        <v>0</v>
      </c>
      <c r="BF57" s="407">
        <f t="shared" si="136"/>
        <v>0</v>
      </c>
      <c r="BG57" s="419">
        <f t="shared" si="108"/>
        <v>0</v>
      </c>
      <c r="BH57" s="407">
        <f t="shared" si="122"/>
        <v>0</v>
      </c>
      <c r="BI57" s="407">
        <f t="shared" si="68"/>
        <v>0</v>
      </c>
      <c r="BJ57" s="1053"/>
      <c r="BK57" s="1055"/>
      <c r="BL57" s="49">
        <v>1057</v>
      </c>
      <c r="BM57" s="50"/>
      <c r="BN57" s="52">
        <f t="shared" si="69"/>
        <v>830</v>
      </c>
      <c r="BO57" s="52">
        <f t="shared" si="12"/>
        <v>227</v>
      </c>
      <c r="BP57" s="406">
        <f t="shared" si="137"/>
        <v>0.43415146339644151</v>
      </c>
      <c r="BQ57" s="52">
        <f t="shared" si="71"/>
        <v>10770</v>
      </c>
      <c r="BR57" s="406">
        <f t="shared" si="123"/>
        <v>0.45461128434694836</v>
      </c>
      <c r="BS57" s="1055"/>
      <c r="BT57" s="409">
        <v>433</v>
      </c>
      <c r="BU57" s="43"/>
      <c r="BV57" s="43">
        <f t="shared" si="102"/>
        <v>192</v>
      </c>
      <c r="BW57" s="43">
        <f t="shared" si="103"/>
        <v>241</v>
      </c>
      <c r="BX57" s="42">
        <f t="shared" si="138"/>
        <v>0.46092732457507662</v>
      </c>
      <c r="BY57" s="43">
        <f t="shared" si="104"/>
        <v>3195</v>
      </c>
      <c r="BZ57" s="42">
        <f t="shared" si="124"/>
        <v>0.13486379326727019</v>
      </c>
      <c r="CA57" s="1058"/>
      <c r="CB57" s="392">
        <v>1840</v>
      </c>
      <c r="CC57" s="298"/>
      <c r="CD57" s="298">
        <f t="shared" si="35"/>
        <v>1840</v>
      </c>
      <c r="CE57" s="298">
        <f t="shared" si="14"/>
        <v>0</v>
      </c>
      <c r="CF57" s="297">
        <f t="shared" si="139"/>
        <v>0</v>
      </c>
      <c r="CG57" s="298">
        <f t="shared" si="78"/>
        <v>22310</v>
      </c>
      <c r="CH57" s="297">
        <f t="shared" si="125"/>
        <v>0.94172495392575839</v>
      </c>
      <c r="CI57" s="1061"/>
      <c r="CJ57" s="651"/>
      <c r="CK57" s="651"/>
      <c r="CL57" s="651"/>
      <c r="CM57" s="651"/>
      <c r="CN57" s="651"/>
      <c r="CO57" s="464">
        <v>15</v>
      </c>
      <c r="CP57" s="465"/>
      <c r="CQ57" s="465">
        <f t="shared" si="36"/>
        <v>15</v>
      </c>
      <c r="CR57" s="465">
        <f t="shared" si="15"/>
        <v>0</v>
      </c>
      <c r="CS57" s="486">
        <f t="shared" si="140"/>
        <v>0</v>
      </c>
      <c r="CT57" s="465">
        <f t="shared" si="81"/>
        <v>240</v>
      </c>
      <c r="CU57" s="486">
        <f t="shared" si="126"/>
        <v>1.013061357876208E-2</v>
      </c>
      <c r="CV57" s="1069"/>
      <c r="CW57" s="427">
        <v>19</v>
      </c>
      <c r="CX57" s="427"/>
      <c r="CY57" s="427">
        <f t="shared" si="83"/>
        <v>19</v>
      </c>
      <c r="CZ57" s="427">
        <f t="shared" si="84"/>
        <v>0</v>
      </c>
      <c r="DA57" s="607">
        <f t="shared" si="141"/>
        <v>0</v>
      </c>
      <c r="DB57" s="607">
        <f t="shared" si="86"/>
        <v>26</v>
      </c>
      <c r="DC57" s="607">
        <f t="shared" si="127"/>
        <v>1.0974831376992253E-3</v>
      </c>
      <c r="DD57" s="1081"/>
      <c r="DE57" s="471">
        <v>5.6</v>
      </c>
      <c r="DF57" s="473"/>
      <c r="DG57" s="473">
        <f t="shared" si="37"/>
        <v>5.6</v>
      </c>
      <c r="DH57" s="473">
        <f t="shared" si="16"/>
        <v>0</v>
      </c>
      <c r="DI57" s="227">
        <f t="shared" si="142"/>
        <v>0</v>
      </c>
      <c r="DJ57" s="473">
        <f t="shared" si="89"/>
        <v>5.6</v>
      </c>
      <c r="DK57" s="227">
        <f t="shared" si="128"/>
        <v>2.3638098350444855E-4</v>
      </c>
      <c r="DL57" s="1084"/>
      <c r="DM57" s="63">
        <v>1650</v>
      </c>
      <c r="DN57" s="64"/>
      <c r="DO57" s="66">
        <f t="shared" si="91"/>
        <v>1450</v>
      </c>
      <c r="DP57" s="66">
        <f t="shared" si="17"/>
        <v>200</v>
      </c>
      <c r="DQ57" s="412">
        <f t="shared" si="143"/>
        <v>0.38251230255193081</v>
      </c>
      <c r="DR57" s="66">
        <f t="shared" si="93"/>
        <v>7550</v>
      </c>
      <c r="DS57" s="412">
        <f t="shared" si="129"/>
        <v>0.31869221883189047</v>
      </c>
      <c r="DT57" s="1071"/>
      <c r="DU57" s="596">
        <v>0</v>
      </c>
      <c r="DV57" s="596"/>
      <c r="DW57" s="596">
        <f t="shared" si="38"/>
        <v>0</v>
      </c>
      <c r="DX57" s="596">
        <f t="shared" si="18"/>
        <v>0</v>
      </c>
      <c r="DY57" s="592">
        <f t="shared" si="144"/>
        <v>0</v>
      </c>
      <c r="DZ57" s="596">
        <f t="shared" si="96"/>
        <v>2400</v>
      </c>
      <c r="EA57" s="592">
        <f t="shared" si="130"/>
        <v>0.10130613578762081</v>
      </c>
      <c r="EB57" s="1041"/>
      <c r="EC57" s="448">
        <v>155</v>
      </c>
      <c r="ED57" s="449"/>
      <c r="EE57" s="449">
        <f t="shared" si="39"/>
        <v>155</v>
      </c>
      <c r="EF57" s="449">
        <f t="shared" si="19"/>
        <v>0</v>
      </c>
      <c r="EG57" s="450">
        <f t="shared" si="145"/>
        <v>0</v>
      </c>
      <c r="EH57" s="449">
        <f t="shared" si="99"/>
        <v>160</v>
      </c>
      <c r="EI57" s="450">
        <f t="shared" si="131"/>
        <v>6.7537423858413867E-3</v>
      </c>
      <c r="EJ57" s="1035"/>
      <c r="EK57" s="426">
        <v>1590</v>
      </c>
      <c r="EL57" s="427"/>
      <c r="EM57" s="427">
        <f t="shared" si="40"/>
        <v>1260</v>
      </c>
      <c r="EN57" s="427">
        <f t="shared" si="20"/>
        <v>330</v>
      </c>
      <c r="EO57" s="427">
        <f t="shared" si="41"/>
        <v>17412</v>
      </c>
      <c r="EP57" s="456">
        <v>112</v>
      </c>
      <c r="EQ57" s="457"/>
      <c r="ER57" s="457">
        <f t="shared" si="42"/>
        <v>98</v>
      </c>
      <c r="ES57" s="457">
        <f t="shared" si="21"/>
        <v>14</v>
      </c>
      <c r="ET57" s="457">
        <f t="shared" si="43"/>
        <v>280</v>
      </c>
      <c r="EU57" s="409">
        <v>140</v>
      </c>
      <c r="EV57" s="43"/>
      <c r="EW57" s="43">
        <f t="shared" si="44"/>
        <v>120</v>
      </c>
      <c r="EX57" s="43">
        <f t="shared" si="22"/>
        <v>20</v>
      </c>
      <c r="EY57" s="43">
        <f t="shared" si="45"/>
        <v>280</v>
      </c>
      <c r="EZ57" s="436">
        <v>0</v>
      </c>
      <c r="FA57" s="437"/>
      <c r="FB57" s="437">
        <f t="shared" si="46"/>
        <v>0</v>
      </c>
      <c r="FC57" s="437">
        <f t="shared" si="23"/>
        <v>0</v>
      </c>
      <c r="FD57" s="437">
        <f t="shared" si="47"/>
        <v>490</v>
      </c>
      <c r="FE57" s="442">
        <v>150</v>
      </c>
      <c r="FF57" s="443"/>
      <c r="FG57" s="443">
        <f t="shared" si="48"/>
        <v>125</v>
      </c>
      <c r="FH57" s="443">
        <f t="shared" si="24"/>
        <v>25</v>
      </c>
      <c r="FI57" s="443">
        <f t="shared" si="49"/>
        <v>475</v>
      </c>
      <c r="FJ57" s="392">
        <v>0</v>
      </c>
      <c r="FK57" s="298"/>
      <c r="FL57" s="298">
        <f t="shared" si="50"/>
        <v>0</v>
      </c>
      <c r="FM57" s="298">
        <f t="shared" si="25"/>
        <v>0</v>
      </c>
      <c r="FN57" s="498">
        <f t="shared" si="51"/>
        <v>900</v>
      </c>
      <c r="HC57" s="402"/>
      <c r="HD57" s="52"/>
      <c r="HE57" s="52">
        <f t="shared" si="52"/>
        <v>0</v>
      </c>
      <c r="HF57" s="52">
        <f t="shared" si="26"/>
        <v>0</v>
      </c>
      <c r="HG57" s="51"/>
      <c r="HH57" s="52">
        <f t="shared" si="101"/>
        <v>400</v>
      </c>
      <c r="HI57" s="51"/>
      <c r="HJ57" s="1047"/>
    </row>
    <row r="58" spans="1:218" ht="15" customHeight="1">
      <c r="A58" s="30">
        <v>44721</v>
      </c>
      <c r="B58" s="390">
        <v>557676</v>
      </c>
      <c r="C58" s="18">
        <f t="shared" si="118"/>
        <v>24248245</v>
      </c>
      <c r="D58" s="376">
        <v>6262.22</v>
      </c>
      <c r="E58" s="417">
        <f t="shared" si="109"/>
        <v>330522.71999999986</v>
      </c>
      <c r="F58" s="397">
        <v>23781</v>
      </c>
      <c r="G58" s="37"/>
      <c r="H58" s="37">
        <f t="shared" si="110"/>
        <v>20084</v>
      </c>
      <c r="I58" s="37">
        <f t="shared" si="111"/>
        <v>3697</v>
      </c>
      <c r="J58" s="37">
        <f t="shared" si="132"/>
        <v>590.36571695021894</v>
      </c>
      <c r="K58" s="37">
        <f t="shared" si="119"/>
        <v>169363</v>
      </c>
      <c r="L58" s="37">
        <f t="shared" si="112"/>
        <v>512.40955538548178</v>
      </c>
      <c r="M58" s="1055"/>
      <c r="N58" s="422">
        <v>350</v>
      </c>
      <c r="O58" s="423"/>
      <c r="P58" s="423">
        <f t="shared" si="113"/>
        <v>250</v>
      </c>
      <c r="Q58" s="423">
        <f t="shared" si="114"/>
        <v>100</v>
      </c>
      <c r="R58" s="423">
        <f t="shared" si="120"/>
        <v>3675</v>
      </c>
      <c r="S58" s="68">
        <v>10.84</v>
      </c>
      <c r="T58" s="67">
        <v>24</v>
      </c>
      <c r="U58" s="68">
        <f t="shared" si="53"/>
        <v>130.07999999999998</v>
      </c>
      <c r="V58" s="68">
        <f t="shared" si="133"/>
        <v>20.772186221499719</v>
      </c>
      <c r="W58" s="423">
        <f t="shared" si="54"/>
        <v>3662.6640000000007</v>
      </c>
      <c r="X58" s="68">
        <f t="shared" si="115"/>
        <v>11.081428834907332</v>
      </c>
      <c r="Y58" s="1055"/>
      <c r="Z58" s="424">
        <v>225</v>
      </c>
      <c r="AA58" s="425"/>
      <c r="AB58" s="425">
        <f t="shared" si="55"/>
        <v>225</v>
      </c>
      <c r="AC58" s="425">
        <f t="shared" si="56"/>
        <v>0</v>
      </c>
      <c r="AD58" s="425">
        <f t="shared" si="57"/>
        <v>575</v>
      </c>
      <c r="AE58" s="72">
        <v>1.8</v>
      </c>
      <c r="AF58" s="71">
        <v>12</v>
      </c>
      <c r="AG58" s="72">
        <f t="shared" si="58"/>
        <v>10.8</v>
      </c>
      <c r="AH58" s="72">
        <f t="shared" si="134"/>
        <v>1.7246280073200877</v>
      </c>
      <c r="AI58" s="425">
        <f t="shared" si="59"/>
        <v>567.29999999999995</v>
      </c>
      <c r="AJ58" s="72">
        <f t="shared" si="116"/>
        <v>1.7163721755648151</v>
      </c>
      <c r="AK58" s="1055"/>
      <c r="AL58" s="491">
        <v>1105</v>
      </c>
      <c r="AM58" s="491">
        <v>15610</v>
      </c>
      <c r="AN58" s="492">
        <f t="shared" si="105"/>
        <v>16715</v>
      </c>
      <c r="AO58" s="492">
        <f t="shared" si="106"/>
        <v>0</v>
      </c>
      <c r="AP58" s="492">
        <f t="shared" si="107"/>
        <v>31518</v>
      </c>
      <c r="AQ58" s="493">
        <f t="shared" si="117"/>
        <v>95.358043767762808</v>
      </c>
      <c r="AR58" s="1055"/>
      <c r="AS58" s="413">
        <v>49235</v>
      </c>
      <c r="AT58" s="64"/>
      <c r="AU58" s="66">
        <f t="shared" si="61"/>
        <v>49235</v>
      </c>
      <c r="AV58" s="66">
        <f t="shared" si="11"/>
        <v>0</v>
      </c>
      <c r="AW58" s="412">
        <f t="shared" si="135"/>
        <v>0</v>
      </c>
      <c r="AX58" s="66">
        <f t="shared" si="63"/>
        <v>0</v>
      </c>
      <c r="AY58" s="412">
        <f t="shared" si="121"/>
        <v>0</v>
      </c>
      <c r="AZ58" s="1055"/>
      <c r="BA58" s="419">
        <v>45495</v>
      </c>
      <c r="BB58" s="419"/>
      <c r="BC58" s="407"/>
      <c r="BD58" s="419">
        <f t="shared" si="33"/>
        <v>45495</v>
      </c>
      <c r="BE58" s="419">
        <f t="shared" si="34"/>
        <v>0</v>
      </c>
      <c r="BF58" s="407">
        <f t="shared" si="136"/>
        <v>0</v>
      </c>
      <c r="BG58" s="419">
        <f t="shared" si="108"/>
        <v>0</v>
      </c>
      <c r="BH58" s="407">
        <f t="shared" si="122"/>
        <v>0</v>
      </c>
      <c r="BI58" s="407">
        <f t="shared" si="68"/>
        <v>0</v>
      </c>
      <c r="BJ58" s="1053"/>
      <c r="BK58" s="1055"/>
      <c r="BL58" s="49">
        <v>830</v>
      </c>
      <c r="BM58" s="50">
        <v>900</v>
      </c>
      <c r="BN58" s="52">
        <f t="shared" si="69"/>
        <v>1570</v>
      </c>
      <c r="BO58" s="52">
        <f t="shared" si="12"/>
        <v>160</v>
      </c>
      <c r="BP58" s="406">
        <f t="shared" si="137"/>
        <v>0.28690494122035015</v>
      </c>
      <c r="BQ58" s="52">
        <f t="shared" si="71"/>
        <v>10930</v>
      </c>
      <c r="BR58" s="406">
        <f t="shared" si="123"/>
        <v>0.45075427108229893</v>
      </c>
      <c r="BS58" s="1055"/>
      <c r="BT58" s="409">
        <v>192</v>
      </c>
      <c r="BU58" s="43">
        <v>400</v>
      </c>
      <c r="BV58" s="43">
        <f t="shared" si="102"/>
        <v>394</v>
      </c>
      <c r="BW58" s="43">
        <f t="shared" si="103"/>
        <v>198</v>
      </c>
      <c r="BX58" s="42">
        <f t="shared" si="138"/>
        <v>0.35504486476018332</v>
      </c>
      <c r="BY58" s="43">
        <f t="shared" si="104"/>
        <v>3393</v>
      </c>
      <c r="BZ58" s="42">
        <f t="shared" si="124"/>
        <v>0.13992765249608785</v>
      </c>
      <c r="CA58" s="1058"/>
      <c r="CB58" s="392">
        <v>1840</v>
      </c>
      <c r="CC58" s="298"/>
      <c r="CD58" s="298">
        <f t="shared" si="35"/>
        <v>1472</v>
      </c>
      <c r="CE58" s="298">
        <f t="shared" si="14"/>
        <v>368</v>
      </c>
      <c r="CF58" s="297">
        <f t="shared" si="139"/>
        <v>0.65988136480680537</v>
      </c>
      <c r="CG58" s="298">
        <f t="shared" si="78"/>
        <v>22678</v>
      </c>
      <c r="CH58" s="297">
        <f t="shared" si="125"/>
        <v>0.93524294232427951</v>
      </c>
      <c r="CI58" s="1061"/>
      <c r="CJ58" s="651"/>
      <c r="CK58" s="651"/>
      <c r="CL58" s="651"/>
      <c r="CM58" s="651"/>
      <c r="CN58" s="651"/>
      <c r="CO58" s="464">
        <v>15</v>
      </c>
      <c r="CP58" s="465"/>
      <c r="CQ58" s="465">
        <f t="shared" si="36"/>
        <v>15</v>
      </c>
      <c r="CR58" s="465">
        <f t="shared" si="15"/>
        <v>0</v>
      </c>
      <c r="CS58" s="486">
        <f t="shared" si="140"/>
        <v>0</v>
      </c>
      <c r="CT58" s="465">
        <f t="shared" si="81"/>
        <v>240</v>
      </c>
      <c r="CU58" s="486">
        <f t="shared" si="126"/>
        <v>9.8976235187330057E-3</v>
      </c>
      <c r="CV58" s="1069"/>
      <c r="CW58" s="427">
        <v>19</v>
      </c>
      <c r="CX58" s="427"/>
      <c r="CY58" s="427">
        <f t="shared" si="83"/>
        <v>19</v>
      </c>
      <c r="CZ58" s="427">
        <f t="shared" si="84"/>
        <v>0</v>
      </c>
      <c r="DA58" s="607">
        <f t="shared" si="141"/>
        <v>0</v>
      </c>
      <c r="DB58" s="607">
        <f t="shared" si="86"/>
        <v>26</v>
      </c>
      <c r="DC58" s="607">
        <f t="shared" si="127"/>
        <v>1.0722425478627423E-3</v>
      </c>
      <c r="DD58" s="1081"/>
      <c r="DE58" s="471">
        <v>5.6</v>
      </c>
      <c r="DF58" s="473"/>
      <c r="DG58" s="473">
        <f t="shared" si="37"/>
        <v>5.6</v>
      </c>
      <c r="DH58" s="473">
        <f t="shared" si="16"/>
        <v>0</v>
      </c>
      <c r="DI58" s="227">
        <f t="shared" si="142"/>
        <v>0</v>
      </c>
      <c r="DJ58" s="473">
        <f t="shared" si="89"/>
        <v>5.6</v>
      </c>
      <c r="DK58" s="227">
        <f t="shared" si="128"/>
        <v>2.309445487704368E-4</v>
      </c>
      <c r="DL58" s="1084"/>
      <c r="DM58" s="63">
        <v>1450</v>
      </c>
      <c r="DN58" s="64"/>
      <c r="DO58" s="66">
        <f t="shared" si="91"/>
        <v>1290</v>
      </c>
      <c r="DP58" s="66">
        <f t="shared" si="17"/>
        <v>160</v>
      </c>
      <c r="DQ58" s="412">
        <f t="shared" si="143"/>
        <v>0.28690494122035015</v>
      </c>
      <c r="DR58" s="66">
        <f t="shared" si="93"/>
        <v>7710</v>
      </c>
      <c r="DS58" s="412">
        <f t="shared" si="129"/>
        <v>0.31796115553929777</v>
      </c>
      <c r="DT58" s="1071"/>
      <c r="DU58" s="596">
        <v>0</v>
      </c>
      <c r="DV58" s="596"/>
      <c r="DW58" s="596">
        <f t="shared" si="38"/>
        <v>0</v>
      </c>
      <c r="DX58" s="596">
        <f t="shared" si="18"/>
        <v>0</v>
      </c>
      <c r="DY58" s="592">
        <f t="shared" si="144"/>
        <v>0</v>
      </c>
      <c r="DZ58" s="596">
        <f t="shared" si="96"/>
        <v>2400</v>
      </c>
      <c r="EA58" s="592">
        <f t="shared" si="130"/>
        <v>9.897623518733005E-2</v>
      </c>
      <c r="EB58" s="1041"/>
      <c r="EC58" s="448">
        <v>155</v>
      </c>
      <c r="ED58" s="449"/>
      <c r="EE58" s="449">
        <f t="shared" si="39"/>
        <v>155</v>
      </c>
      <c r="EF58" s="449">
        <f t="shared" si="19"/>
        <v>0</v>
      </c>
      <c r="EG58" s="450">
        <f t="shared" si="145"/>
        <v>0</v>
      </c>
      <c r="EH58" s="449">
        <f t="shared" si="99"/>
        <v>160</v>
      </c>
      <c r="EI58" s="450">
        <f t="shared" si="131"/>
        <v>6.5984156791553368E-3</v>
      </c>
      <c r="EJ58" s="1035"/>
      <c r="EK58" s="426">
        <v>1260</v>
      </c>
      <c r="EL58" s="427">
        <v>1200</v>
      </c>
      <c r="EM58" s="427">
        <f t="shared" si="40"/>
        <v>1844</v>
      </c>
      <c r="EN58" s="427">
        <f t="shared" si="20"/>
        <v>616</v>
      </c>
      <c r="EO58" s="427">
        <f t="shared" si="41"/>
        <v>18028</v>
      </c>
      <c r="EP58" s="456">
        <v>98</v>
      </c>
      <c r="EQ58" s="457"/>
      <c r="ER58" s="457">
        <f t="shared" si="42"/>
        <v>98</v>
      </c>
      <c r="ES58" s="457">
        <f t="shared" si="21"/>
        <v>0</v>
      </c>
      <c r="ET58" s="457">
        <f t="shared" si="43"/>
        <v>280</v>
      </c>
      <c r="EU58" s="409">
        <v>120</v>
      </c>
      <c r="EV58" s="43"/>
      <c r="EW58" s="43">
        <f t="shared" si="44"/>
        <v>120</v>
      </c>
      <c r="EX58" s="43">
        <f t="shared" si="22"/>
        <v>0</v>
      </c>
      <c r="EY58" s="43">
        <f t="shared" si="45"/>
        <v>280</v>
      </c>
      <c r="EZ58" s="436">
        <v>0</v>
      </c>
      <c r="FA58" s="437"/>
      <c r="FB58" s="437">
        <f t="shared" si="46"/>
        <v>0</v>
      </c>
      <c r="FC58" s="437">
        <f t="shared" si="23"/>
        <v>0</v>
      </c>
      <c r="FD58" s="437">
        <f t="shared" si="47"/>
        <v>490</v>
      </c>
      <c r="FE58" s="442">
        <v>125</v>
      </c>
      <c r="FF58" s="443"/>
      <c r="FG58" s="443">
        <f t="shared" si="48"/>
        <v>125</v>
      </c>
      <c r="FH58" s="443">
        <f t="shared" si="24"/>
        <v>0</v>
      </c>
      <c r="FI58" s="443">
        <f t="shared" si="49"/>
        <v>475</v>
      </c>
      <c r="FJ58" s="392">
        <v>0</v>
      </c>
      <c r="FK58" s="298"/>
      <c r="FL58" s="298">
        <f t="shared" si="50"/>
        <v>0</v>
      </c>
      <c r="FM58" s="298">
        <f t="shared" si="25"/>
        <v>0</v>
      </c>
      <c r="FN58" s="498">
        <f t="shared" si="51"/>
        <v>900</v>
      </c>
      <c r="HC58" s="402"/>
      <c r="HD58" s="52"/>
      <c r="HE58" s="52">
        <f t="shared" si="52"/>
        <v>0</v>
      </c>
      <c r="HF58" s="52">
        <f t="shared" si="26"/>
        <v>0</v>
      </c>
      <c r="HG58" s="51"/>
      <c r="HH58" s="52">
        <f t="shared" si="101"/>
        <v>400</v>
      </c>
      <c r="HI58" s="51"/>
      <c r="HJ58" s="1047"/>
    </row>
    <row r="59" spans="1:218" ht="15" customHeight="1">
      <c r="A59" s="30">
        <v>44722</v>
      </c>
      <c r="B59" s="390">
        <v>68651</v>
      </c>
      <c r="C59" s="18">
        <f t="shared" si="118"/>
        <v>24316896</v>
      </c>
      <c r="D59" s="376">
        <v>0</v>
      </c>
      <c r="E59" s="417">
        <f t="shared" si="109"/>
        <v>330522.71999999986</v>
      </c>
      <c r="F59" s="397">
        <v>20084</v>
      </c>
      <c r="G59" s="37"/>
      <c r="H59" s="37">
        <f t="shared" si="110"/>
        <v>20084</v>
      </c>
      <c r="I59" s="37">
        <f t="shared" si="111"/>
        <v>0</v>
      </c>
      <c r="J59" s="37" t="e">
        <f t="shared" si="132"/>
        <v>#DIV/0!</v>
      </c>
      <c r="K59" s="37">
        <f t="shared" si="119"/>
        <v>169363</v>
      </c>
      <c r="L59" s="37">
        <f t="shared" si="112"/>
        <v>512.40955538548178</v>
      </c>
      <c r="M59" s="1055"/>
      <c r="N59" s="422">
        <v>250</v>
      </c>
      <c r="O59" s="423"/>
      <c r="P59" s="423">
        <f t="shared" si="113"/>
        <v>250</v>
      </c>
      <c r="Q59" s="423">
        <f t="shared" si="114"/>
        <v>0</v>
      </c>
      <c r="R59" s="423">
        <f t="shared" si="120"/>
        <v>3675</v>
      </c>
      <c r="S59" s="68">
        <v>0.14000000000000001</v>
      </c>
      <c r="T59" s="67">
        <v>24</v>
      </c>
      <c r="U59" s="68">
        <f t="shared" si="53"/>
        <v>1.6800000000000002</v>
      </c>
      <c r="V59" s="68" t="e">
        <f t="shared" si="133"/>
        <v>#DIV/0!</v>
      </c>
      <c r="W59" s="423">
        <f t="shared" si="54"/>
        <v>3664.3440000000005</v>
      </c>
      <c r="X59" s="68">
        <f t="shared" si="115"/>
        <v>11.086511692751415</v>
      </c>
      <c r="Y59" s="1055"/>
      <c r="Z59" s="424">
        <v>225</v>
      </c>
      <c r="AA59" s="425"/>
      <c r="AB59" s="425">
        <f t="shared" si="55"/>
        <v>225</v>
      </c>
      <c r="AC59" s="425">
        <f t="shared" si="56"/>
        <v>0</v>
      </c>
      <c r="AD59" s="425">
        <f t="shared" si="57"/>
        <v>575</v>
      </c>
      <c r="AE59" s="72">
        <v>0</v>
      </c>
      <c r="AF59" s="71">
        <v>12</v>
      </c>
      <c r="AG59" s="72">
        <f t="shared" si="58"/>
        <v>0</v>
      </c>
      <c r="AH59" s="72" t="e">
        <f t="shared" si="134"/>
        <v>#DIV/0!</v>
      </c>
      <c r="AI59" s="425">
        <f t="shared" si="59"/>
        <v>567.29999999999995</v>
      </c>
      <c r="AJ59" s="72">
        <f t="shared" si="116"/>
        <v>1.7163721755648151</v>
      </c>
      <c r="AK59" s="1055"/>
      <c r="AL59" s="491">
        <v>16715</v>
      </c>
      <c r="AM59" s="491"/>
      <c r="AN59" s="492">
        <f t="shared" si="105"/>
        <v>16715</v>
      </c>
      <c r="AO59" s="492">
        <f t="shared" si="106"/>
        <v>0</v>
      </c>
      <c r="AP59" s="492">
        <f t="shared" si="107"/>
        <v>31518</v>
      </c>
      <c r="AQ59" s="493">
        <f t="shared" si="117"/>
        <v>95.358043767762808</v>
      </c>
      <c r="AR59" s="1055"/>
      <c r="AS59" s="413">
        <v>49235</v>
      </c>
      <c r="AT59" s="64"/>
      <c r="AU59" s="66">
        <f t="shared" si="61"/>
        <v>49235</v>
      </c>
      <c r="AV59" s="66">
        <f t="shared" si="11"/>
        <v>0</v>
      </c>
      <c r="AW59" s="412">
        <f t="shared" si="135"/>
        <v>0</v>
      </c>
      <c r="AX59" s="66">
        <f t="shared" si="63"/>
        <v>0</v>
      </c>
      <c r="AY59" s="412">
        <f t="shared" si="121"/>
        <v>0</v>
      </c>
      <c r="AZ59" s="1055"/>
      <c r="BA59" s="419">
        <v>45495</v>
      </c>
      <c r="BB59" s="419"/>
      <c r="BC59" s="407"/>
      <c r="BD59" s="419">
        <f t="shared" si="33"/>
        <v>45495</v>
      </c>
      <c r="BE59" s="419">
        <f t="shared" si="34"/>
        <v>0</v>
      </c>
      <c r="BF59" s="407">
        <f t="shared" si="136"/>
        <v>0</v>
      </c>
      <c r="BG59" s="419">
        <f t="shared" si="108"/>
        <v>0</v>
      </c>
      <c r="BH59" s="407">
        <f t="shared" si="122"/>
        <v>0</v>
      </c>
      <c r="BI59" s="407">
        <f t="shared" si="68"/>
        <v>0</v>
      </c>
      <c r="BJ59" s="1053"/>
      <c r="BK59" s="1055"/>
      <c r="BL59" s="49">
        <v>1570</v>
      </c>
      <c r="BM59" s="50"/>
      <c r="BN59" s="52">
        <f t="shared" si="69"/>
        <v>1570</v>
      </c>
      <c r="BO59" s="52">
        <f t="shared" si="12"/>
        <v>0</v>
      </c>
      <c r="BP59" s="406">
        <f t="shared" si="137"/>
        <v>0</v>
      </c>
      <c r="BQ59" s="52">
        <f t="shared" si="71"/>
        <v>10930</v>
      </c>
      <c r="BR59" s="406">
        <f t="shared" si="123"/>
        <v>0.44948171016563954</v>
      </c>
      <c r="BS59" s="1055"/>
      <c r="BT59" s="409">
        <v>394</v>
      </c>
      <c r="BU59" s="43"/>
      <c r="BV59" s="43">
        <f t="shared" si="102"/>
        <v>352</v>
      </c>
      <c r="BW59" s="43">
        <f t="shared" si="103"/>
        <v>42</v>
      </c>
      <c r="BX59" s="42">
        <f t="shared" si="138"/>
        <v>0.61179006860788632</v>
      </c>
      <c r="BY59" s="43">
        <f t="shared" si="104"/>
        <v>3435</v>
      </c>
      <c r="BZ59" s="42">
        <f t="shared" si="124"/>
        <v>0.14125980552781078</v>
      </c>
      <c r="CA59" s="1058"/>
      <c r="CB59" s="392">
        <v>1472</v>
      </c>
      <c r="CC59" s="298"/>
      <c r="CD59" s="298">
        <f t="shared" si="35"/>
        <v>1472</v>
      </c>
      <c r="CE59" s="298">
        <f t="shared" si="14"/>
        <v>0</v>
      </c>
      <c r="CF59" s="297">
        <f t="shared" si="139"/>
        <v>0</v>
      </c>
      <c r="CG59" s="298">
        <f t="shared" si="78"/>
        <v>22678</v>
      </c>
      <c r="CH59" s="297">
        <f t="shared" si="125"/>
        <v>0.93260258217167191</v>
      </c>
      <c r="CI59" s="1061"/>
      <c r="CJ59" s="651"/>
      <c r="CK59" s="651"/>
      <c r="CL59" s="651"/>
      <c r="CM59" s="651"/>
      <c r="CN59" s="651"/>
      <c r="CO59" s="464">
        <v>15</v>
      </c>
      <c r="CP59" s="465"/>
      <c r="CQ59" s="465">
        <f t="shared" si="36"/>
        <v>15</v>
      </c>
      <c r="CR59" s="465">
        <f t="shared" si="15"/>
        <v>0</v>
      </c>
      <c r="CS59" s="486">
        <f t="shared" si="140"/>
        <v>0</v>
      </c>
      <c r="CT59" s="465">
        <f t="shared" si="81"/>
        <v>240</v>
      </c>
      <c r="CU59" s="486">
        <f t="shared" si="126"/>
        <v>9.8696807355675657E-3</v>
      </c>
      <c r="CV59" s="1069"/>
      <c r="CW59" s="427">
        <v>19</v>
      </c>
      <c r="CX59" s="427"/>
      <c r="CY59" s="427">
        <f t="shared" si="83"/>
        <v>19</v>
      </c>
      <c r="CZ59" s="427">
        <f t="shared" si="84"/>
        <v>0</v>
      </c>
      <c r="DA59" s="607">
        <f t="shared" si="141"/>
        <v>0</v>
      </c>
      <c r="DB59" s="607">
        <f t="shared" si="86"/>
        <v>26</v>
      </c>
      <c r="DC59" s="607">
        <f t="shared" si="127"/>
        <v>1.0692154130198196E-3</v>
      </c>
      <c r="DD59" s="1081"/>
      <c r="DE59" s="471">
        <v>5.6</v>
      </c>
      <c r="DF59" s="473"/>
      <c r="DG59" s="473">
        <f t="shared" si="37"/>
        <v>5.6</v>
      </c>
      <c r="DH59" s="473">
        <f t="shared" si="16"/>
        <v>0</v>
      </c>
      <c r="DI59" s="227">
        <f t="shared" si="142"/>
        <v>0</v>
      </c>
      <c r="DJ59" s="473">
        <f t="shared" si="89"/>
        <v>5.6</v>
      </c>
      <c r="DK59" s="227">
        <f t="shared" si="128"/>
        <v>2.3029255049657654E-4</v>
      </c>
      <c r="DL59" s="1084"/>
      <c r="DM59" s="63">
        <v>1290</v>
      </c>
      <c r="DN59" s="64"/>
      <c r="DO59" s="66">
        <f t="shared" si="91"/>
        <v>1200</v>
      </c>
      <c r="DP59" s="66">
        <f t="shared" si="17"/>
        <v>90</v>
      </c>
      <c r="DQ59" s="412">
        <f t="shared" si="143"/>
        <v>1.3109787184454706</v>
      </c>
      <c r="DR59" s="66">
        <f t="shared" si="93"/>
        <v>7800</v>
      </c>
      <c r="DS59" s="412">
        <f t="shared" si="129"/>
        <v>0.3207646239059459</v>
      </c>
      <c r="DT59" s="1071"/>
      <c r="DU59" s="596">
        <v>0</v>
      </c>
      <c r="DV59" s="596"/>
      <c r="DW59" s="596">
        <f t="shared" si="38"/>
        <v>0</v>
      </c>
      <c r="DX59" s="596">
        <f t="shared" si="18"/>
        <v>0</v>
      </c>
      <c r="DY59" s="592">
        <f t="shared" si="144"/>
        <v>0</v>
      </c>
      <c r="DZ59" s="596">
        <f t="shared" si="96"/>
        <v>2400</v>
      </c>
      <c r="EA59" s="592">
        <f t="shared" si="130"/>
        <v>9.8696807355675653E-2</v>
      </c>
      <c r="EB59" s="1041"/>
      <c r="EC59" s="448">
        <v>155</v>
      </c>
      <c r="ED59" s="449"/>
      <c r="EE59" s="449">
        <f t="shared" si="39"/>
        <v>155</v>
      </c>
      <c r="EF59" s="449">
        <f t="shared" si="19"/>
        <v>0</v>
      </c>
      <c r="EG59" s="450">
        <f t="shared" si="145"/>
        <v>0</v>
      </c>
      <c r="EH59" s="449">
        <f t="shared" si="99"/>
        <v>160</v>
      </c>
      <c r="EI59" s="450">
        <f t="shared" si="131"/>
        <v>6.5797871570450438E-3</v>
      </c>
      <c r="EJ59" s="1035"/>
      <c r="EK59" s="426">
        <v>1844</v>
      </c>
      <c r="EL59" s="427">
        <v>1200</v>
      </c>
      <c r="EM59" s="427">
        <f t="shared" si="40"/>
        <v>2220</v>
      </c>
      <c r="EN59" s="427">
        <f t="shared" si="20"/>
        <v>824</v>
      </c>
      <c r="EO59" s="427">
        <f t="shared" si="41"/>
        <v>18852</v>
      </c>
      <c r="EP59" s="456">
        <v>98</v>
      </c>
      <c r="EQ59" s="457"/>
      <c r="ER59" s="457">
        <f t="shared" si="42"/>
        <v>84</v>
      </c>
      <c r="ES59" s="457">
        <f t="shared" si="21"/>
        <v>14</v>
      </c>
      <c r="ET59" s="457">
        <f t="shared" si="43"/>
        <v>294</v>
      </c>
      <c r="EU59" s="409">
        <v>120</v>
      </c>
      <c r="EV59" s="43"/>
      <c r="EW59" s="43">
        <f t="shared" si="44"/>
        <v>120</v>
      </c>
      <c r="EX59" s="43">
        <f t="shared" si="22"/>
        <v>0</v>
      </c>
      <c r="EY59" s="43">
        <f t="shared" si="45"/>
        <v>280</v>
      </c>
      <c r="EZ59" s="436">
        <v>0</v>
      </c>
      <c r="FA59" s="437"/>
      <c r="FB59" s="437">
        <f t="shared" si="46"/>
        <v>0</v>
      </c>
      <c r="FC59" s="437">
        <f t="shared" si="23"/>
        <v>0</v>
      </c>
      <c r="FD59" s="437">
        <f t="shared" si="47"/>
        <v>490</v>
      </c>
      <c r="FE59" s="442">
        <v>125</v>
      </c>
      <c r="FF59" s="443"/>
      <c r="FG59" s="443">
        <f t="shared" si="48"/>
        <v>125</v>
      </c>
      <c r="FH59" s="443">
        <f t="shared" si="24"/>
        <v>0</v>
      </c>
      <c r="FI59" s="443">
        <f t="shared" si="49"/>
        <v>475</v>
      </c>
      <c r="FJ59" s="392">
        <v>0</v>
      </c>
      <c r="FK59" s="298"/>
      <c r="FL59" s="298">
        <f t="shared" si="50"/>
        <v>0</v>
      </c>
      <c r="FM59" s="298">
        <f t="shared" si="25"/>
        <v>0</v>
      </c>
      <c r="FN59" s="498">
        <f t="shared" si="51"/>
        <v>900</v>
      </c>
      <c r="HC59" s="402"/>
      <c r="HD59" s="52"/>
      <c r="HE59" s="52">
        <f t="shared" si="52"/>
        <v>0</v>
      </c>
      <c r="HF59" s="52">
        <f t="shared" si="26"/>
        <v>0</v>
      </c>
      <c r="HG59" s="51"/>
      <c r="HH59" s="52">
        <f t="shared" si="101"/>
        <v>400</v>
      </c>
      <c r="HI59" s="51"/>
      <c r="HJ59" s="1047"/>
    </row>
    <row r="60" spans="1:218" ht="15" customHeight="1">
      <c r="A60" s="30">
        <v>44723</v>
      </c>
      <c r="B60" s="390">
        <v>23877</v>
      </c>
      <c r="C60" s="18">
        <f t="shared" si="118"/>
        <v>24340773</v>
      </c>
      <c r="D60" s="376">
        <v>2055.2199999999998</v>
      </c>
      <c r="E60" s="417">
        <f t="shared" si="109"/>
        <v>332577.93999999983</v>
      </c>
      <c r="F60" s="397">
        <v>20084</v>
      </c>
      <c r="G60" s="37"/>
      <c r="H60" s="37">
        <f t="shared" si="110"/>
        <v>17312</v>
      </c>
      <c r="I60" s="37">
        <f t="shared" si="111"/>
        <v>2772</v>
      </c>
      <c r="J60" s="37">
        <f t="shared" si="132"/>
        <v>1348.7607166142798</v>
      </c>
      <c r="K60" s="37">
        <f t="shared" si="119"/>
        <v>172135</v>
      </c>
      <c r="L60" s="37">
        <f t="shared" si="112"/>
        <v>517.57792474149096</v>
      </c>
      <c r="M60" s="1055"/>
      <c r="N60" s="422">
        <v>250</v>
      </c>
      <c r="O60" s="423"/>
      <c r="P60" s="423">
        <f t="shared" si="113"/>
        <v>150</v>
      </c>
      <c r="Q60" s="423">
        <f t="shared" si="114"/>
        <v>100</v>
      </c>
      <c r="R60" s="423">
        <f t="shared" si="120"/>
        <v>3775</v>
      </c>
      <c r="S60" s="68">
        <v>1.55</v>
      </c>
      <c r="T60" s="67">
        <v>24</v>
      </c>
      <c r="U60" s="68">
        <f t="shared" si="53"/>
        <v>18.600000000000001</v>
      </c>
      <c r="V60" s="68">
        <f t="shared" si="133"/>
        <v>9.0501260205720087</v>
      </c>
      <c r="W60" s="423">
        <f t="shared" si="54"/>
        <v>3682.9440000000004</v>
      </c>
      <c r="X60" s="68">
        <f t="shared" si="115"/>
        <v>11.073927513051535</v>
      </c>
      <c r="Y60" s="1055"/>
      <c r="Z60" s="424">
        <v>225</v>
      </c>
      <c r="AA60" s="425"/>
      <c r="AB60" s="425">
        <f t="shared" si="55"/>
        <v>200</v>
      </c>
      <c r="AC60" s="425">
        <f t="shared" si="56"/>
        <v>25</v>
      </c>
      <c r="AD60" s="425">
        <f t="shared" si="57"/>
        <v>600</v>
      </c>
      <c r="AE60" s="72">
        <v>0.67</v>
      </c>
      <c r="AF60" s="71">
        <v>12</v>
      </c>
      <c r="AG60" s="72">
        <f t="shared" si="58"/>
        <v>4.0200000000000005</v>
      </c>
      <c r="AH60" s="72">
        <f t="shared" si="134"/>
        <v>1.9559949786397568</v>
      </c>
      <c r="AI60" s="425">
        <f t="shared" si="59"/>
        <v>571.31999999999994</v>
      </c>
      <c r="AJ60" s="72">
        <f t="shared" si="116"/>
        <v>1.7178529640300262</v>
      </c>
      <c r="AK60" s="1055"/>
      <c r="AL60" s="491">
        <v>16715</v>
      </c>
      <c r="AM60" s="491"/>
      <c r="AN60" s="492">
        <f t="shared" si="105"/>
        <v>16715</v>
      </c>
      <c r="AO60" s="492">
        <f t="shared" si="106"/>
        <v>0</v>
      </c>
      <c r="AP60" s="492">
        <f t="shared" si="107"/>
        <v>31518</v>
      </c>
      <c r="AQ60" s="493">
        <f t="shared" si="117"/>
        <v>94.768763075506499</v>
      </c>
      <c r="AR60" s="1055"/>
      <c r="AS60" s="413">
        <v>49235</v>
      </c>
      <c r="AT60" s="64"/>
      <c r="AU60" s="66">
        <f t="shared" si="61"/>
        <v>49235</v>
      </c>
      <c r="AV60" s="66">
        <f t="shared" si="11"/>
        <v>0</v>
      </c>
      <c r="AW60" s="412">
        <f t="shared" si="135"/>
        <v>0</v>
      </c>
      <c r="AX60" s="66">
        <f t="shared" si="63"/>
        <v>0</v>
      </c>
      <c r="AY60" s="412">
        <f t="shared" si="121"/>
        <v>0</v>
      </c>
      <c r="AZ60" s="1055"/>
      <c r="BA60" s="419">
        <v>45495</v>
      </c>
      <c r="BB60" s="419"/>
      <c r="BC60" s="407"/>
      <c r="BD60" s="419">
        <f t="shared" si="33"/>
        <v>45495</v>
      </c>
      <c r="BE60" s="419">
        <f t="shared" si="34"/>
        <v>0</v>
      </c>
      <c r="BF60" s="407">
        <f t="shared" si="136"/>
        <v>0</v>
      </c>
      <c r="BG60" s="419">
        <f t="shared" si="108"/>
        <v>0</v>
      </c>
      <c r="BH60" s="407">
        <f t="shared" si="122"/>
        <v>0</v>
      </c>
      <c r="BI60" s="407">
        <f t="shared" si="68"/>
        <v>0</v>
      </c>
      <c r="BJ60" s="1053"/>
      <c r="BK60" s="1055"/>
      <c r="BL60" s="49">
        <v>1570</v>
      </c>
      <c r="BM60" s="50"/>
      <c r="BN60" s="52">
        <f t="shared" si="69"/>
        <v>1376</v>
      </c>
      <c r="BO60" s="52">
        <f t="shared" si="12"/>
        <v>194</v>
      </c>
      <c r="BP60" s="406">
        <f t="shared" si="137"/>
        <v>8.124973824182268</v>
      </c>
      <c r="BQ60" s="52">
        <f t="shared" si="71"/>
        <v>11124</v>
      </c>
      <c r="BR60" s="406">
        <f t="shared" si="123"/>
        <v>0.45701095852625551</v>
      </c>
      <c r="BS60" s="1055"/>
      <c r="BT60" s="409">
        <v>352</v>
      </c>
      <c r="BU60" s="43"/>
      <c r="BV60" s="43">
        <f t="shared" si="102"/>
        <v>352</v>
      </c>
      <c r="BW60" s="43">
        <f t="shared" si="103"/>
        <v>0</v>
      </c>
      <c r="BX60" s="42">
        <f t="shared" si="138"/>
        <v>0</v>
      </c>
      <c r="BY60" s="43">
        <f t="shared" si="104"/>
        <v>3435</v>
      </c>
      <c r="BZ60" s="42">
        <f t="shared" si="124"/>
        <v>0.14112123719324773</v>
      </c>
      <c r="CA60" s="1058"/>
      <c r="CB60" s="392">
        <v>1472</v>
      </c>
      <c r="CC60" s="298"/>
      <c r="CD60" s="298">
        <f t="shared" si="35"/>
        <v>1472</v>
      </c>
      <c r="CE60" s="298">
        <f t="shared" si="14"/>
        <v>0</v>
      </c>
      <c r="CF60" s="297">
        <f t="shared" si="139"/>
        <v>0</v>
      </c>
      <c r="CG60" s="298">
        <f t="shared" si="78"/>
        <v>22678</v>
      </c>
      <c r="CH60" s="297">
        <f t="shared" si="125"/>
        <v>0.93168774878267013</v>
      </c>
      <c r="CI60" s="1061"/>
      <c r="CJ60" s="651"/>
      <c r="CK60" s="651"/>
      <c r="CL60" s="651"/>
      <c r="CM60" s="651"/>
      <c r="CN60" s="651"/>
      <c r="CO60" s="464">
        <v>15</v>
      </c>
      <c r="CP60" s="465"/>
      <c r="CQ60" s="465">
        <f t="shared" si="36"/>
        <v>15</v>
      </c>
      <c r="CR60" s="465">
        <f t="shared" si="15"/>
        <v>0</v>
      </c>
      <c r="CS60" s="486">
        <f t="shared" si="140"/>
        <v>0</v>
      </c>
      <c r="CT60" s="465">
        <f t="shared" si="81"/>
        <v>240</v>
      </c>
      <c r="CU60" s="486">
        <f t="shared" si="126"/>
        <v>9.859999105205082E-3</v>
      </c>
      <c r="CV60" s="1069"/>
      <c r="CW60" s="427">
        <v>19</v>
      </c>
      <c r="CX60" s="427"/>
      <c r="CY60" s="427">
        <f t="shared" si="83"/>
        <v>19</v>
      </c>
      <c r="CZ60" s="427">
        <f t="shared" si="84"/>
        <v>0</v>
      </c>
      <c r="DA60" s="607">
        <f t="shared" si="141"/>
        <v>0</v>
      </c>
      <c r="DB60" s="607">
        <f t="shared" si="86"/>
        <v>26</v>
      </c>
      <c r="DC60" s="607">
        <f t="shared" si="127"/>
        <v>1.0681665697305504E-3</v>
      </c>
      <c r="DD60" s="1081"/>
      <c r="DE60" s="471">
        <v>5.6</v>
      </c>
      <c r="DF60" s="473"/>
      <c r="DG60" s="473">
        <f t="shared" si="37"/>
        <v>5.6</v>
      </c>
      <c r="DH60" s="473">
        <f t="shared" si="16"/>
        <v>0</v>
      </c>
      <c r="DI60" s="227">
        <f t="shared" si="142"/>
        <v>0</v>
      </c>
      <c r="DJ60" s="473">
        <f t="shared" si="89"/>
        <v>5.6</v>
      </c>
      <c r="DK60" s="227">
        <f t="shared" si="128"/>
        <v>2.3006664578811855E-4</v>
      </c>
      <c r="DL60" s="1084"/>
      <c r="DM60" s="63">
        <v>1200</v>
      </c>
      <c r="DN60" s="64"/>
      <c r="DO60" s="66">
        <f t="shared" si="91"/>
        <v>1200</v>
      </c>
      <c r="DP60" s="66">
        <f t="shared" si="17"/>
        <v>0</v>
      </c>
      <c r="DQ60" s="412">
        <f t="shared" si="143"/>
        <v>0</v>
      </c>
      <c r="DR60" s="66">
        <f t="shared" si="93"/>
        <v>7800</v>
      </c>
      <c r="DS60" s="412">
        <f t="shared" si="129"/>
        <v>0.32044997091916516</v>
      </c>
      <c r="DT60" s="1071"/>
      <c r="DU60" s="596">
        <v>0</v>
      </c>
      <c r="DV60" s="596"/>
      <c r="DW60" s="596">
        <f t="shared" si="38"/>
        <v>0</v>
      </c>
      <c r="DX60" s="596">
        <f t="shared" si="18"/>
        <v>0</v>
      </c>
      <c r="DY60" s="592">
        <f t="shared" si="144"/>
        <v>0</v>
      </c>
      <c r="DZ60" s="596">
        <f t="shared" si="96"/>
        <v>2400</v>
      </c>
      <c r="EA60" s="592">
        <f t="shared" si="130"/>
        <v>9.8599991052050806E-2</v>
      </c>
      <c r="EB60" s="1041"/>
      <c r="EC60" s="448">
        <v>155</v>
      </c>
      <c r="ED60" s="449"/>
      <c r="EE60" s="449">
        <f t="shared" si="39"/>
        <v>155</v>
      </c>
      <c r="EF60" s="449">
        <f t="shared" si="19"/>
        <v>0</v>
      </c>
      <c r="EG60" s="450">
        <f t="shared" si="145"/>
        <v>0</v>
      </c>
      <c r="EH60" s="449">
        <f t="shared" si="99"/>
        <v>160</v>
      </c>
      <c r="EI60" s="450">
        <f t="shared" si="131"/>
        <v>6.5733327368033877E-3</v>
      </c>
      <c r="EJ60" s="1035"/>
      <c r="EK60" s="426">
        <v>2220</v>
      </c>
      <c r="EL60" s="427"/>
      <c r="EM60" s="427">
        <f t="shared" si="40"/>
        <v>2220</v>
      </c>
      <c r="EN60" s="427">
        <f t="shared" si="20"/>
        <v>0</v>
      </c>
      <c r="EO60" s="427">
        <f t="shared" si="41"/>
        <v>18852</v>
      </c>
      <c r="EP60" s="456">
        <v>84</v>
      </c>
      <c r="EQ60" s="457"/>
      <c r="ER60" s="457">
        <f t="shared" si="42"/>
        <v>70</v>
      </c>
      <c r="ES60" s="457">
        <f t="shared" si="21"/>
        <v>14</v>
      </c>
      <c r="ET60" s="457">
        <f t="shared" si="43"/>
        <v>308</v>
      </c>
      <c r="EU60" s="409">
        <v>120</v>
      </c>
      <c r="EV60" s="43"/>
      <c r="EW60" s="43">
        <f t="shared" si="44"/>
        <v>120</v>
      </c>
      <c r="EX60" s="43">
        <f t="shared" si="22"/>
        <v>0</v>
      </c>
      <c r="EY60" s="43">
        <f t="shared" si="45"/>
        <v>280</v>
      </c>
      <c r="EZ60" s="436">
        <v>0</v>
      </c>
      <c r="FA60" s="437"/>
      <c r="FB60" s="437">
        <f t="shared" si="46"/>
        <v>0</v>
      </c>
      <c r="FC60" s="437">
        <f t="shared" si="23"/>
        <v>0</v>
      </c>
      <c r="FD60" s="437">
        <f t="shared" si="47"/>
        <v>490</v>
      </c>
      <c r="FE60" s="442">
        <v>125</v>
      </c>
      <c r="FF60" s="443"/>
      <c r="FG60" s="443">
        <f t="shared" si="48"/>
        <v>125</v>
      </c>
      <c r="FH60" s="443">
        <f t="shared" si="24"/>
        <v>0</v>
      </c>
      <c r="FI60" s="443">
        <f t="shared" si="49"/>
        <v>475</v>
      </c>
      <c r="FJ60" s="392">
        <v>0</v>
      </c>
      <c r="FK60" s="298"/>
      <c r="FL60" s="298">
        <f t="shared" si="50"/>
        <v>0</v>
      </c>
      <c r="FM60" s="298">
        <f t="shared" si="25"/>
        <v>0</v>
      </c>
      <c r="FN60" s="498">
        <f t="shared" si="51"/>
        <v>900</v>
      </c>
      <c r="HC60" s="402"/>
      <c r="HD60" s="52"/>
      <c r="HE60" s="52">
        <f t="shared" si="52"/>
        <v>0</v>
      </c>
      <c r="HF60" s="52">
        <f t="shared" si="26"/>
        <v>0</v>
      </c>
      <c r="HG60" s="51"/>
      <c r="HH60" s="52">
        <f t="shared" si="101"/>
        <v>400</v>
      </c>
      <c r="HI60" s="51"/>
      <c r="HJ60" s="1047"/>
    </row>
    <row r="61" spans="1:218">
      <c r="A61" s="30">
        <v>44724</v>
      </c>
      <c r="B61" s="390">
        <v>471060</v>
      </c>
      <c r="C61" s="18">
        <f t="shared" si="118"/>
        <v>24811833</v>
      </c>
      <c r="D61" s="376">
        <v>7304.64</v>
      </c>
      <c r="E61" s="417">
        <f t="shared" si="109"/>
        <v>339882.57999999984</v>
      </c>
      <c r="F61" s="397">
        <v>17312</v>
      </c>
      <c r="G61" s="37"/>
      <c r="H61" s="37">
        <f t="shared" si="110"/>
        <v>16223</v>
      </c>
      <c r="I61" s="37">
        <f t="shared" si="111"/>
        <v>1089</v>
      </c>
      <c r="J61" s="37">
        <f t="shared" si="132"/>
        <v>149.08332238139045</v>
      </c>
      <c r="K61" s="37">
        <f t="shared" si="119"/>
        <v>173224</v>
      </c>
      <c r="L61" s="37">
        <f t="shared" si="112"/>
        <v>509.65836495650962</v>
      </c>
      <c r="M61" s="1055"/>
      <c r="N61" s="422">
        <v>150</v>
      </c>
      <c r="O61" s="423"/>
      <c r="P61" s="423">
        <f t="shared" si="113"/>
        <v>75</v>
      </c>
      <c r="Q61" s="423">
        <f t="shared" si="114"/>
        <v>75</v>
      </c>
      <c r="R61" s="423">
        <f t="shared" si="120"/>
        <v>3850</v>
      </c>
      <c r="S61" s="68">
        <v>11.54</v>
      </c>
      <c r="T61" s="67">
        <v>24</v>
      </c>
      <c r="U61" s="68">
        <f t="shared" si="53"/>
        <v>138.47999999999999</v>
      </c>
      <c r="V61" s="68">
        <f t="shared" si="133"/>
        <v>18.957813116046786</v>
      </c>
      <c r="W61" s="423">
        <f t="shared" si="54"/>
        <v>3821.4240000000004</v>
      </c>
      <c r="X61" s="68">
        <f t="shared" si="115"/>
        <v>11.243365282210116</v>
      </c>
      <c r="Y61" s="1055"/>
      <c r="Z61" s="424">
        <v>200</v>
      </c>
      <c r="AA61" s="425"/>
      <c r="AB61" s="425">
        <f t="shared" si="55"/>
        <v>200</v>
      </c>
      <c r="AC61" s="425">
        <f t="shared" si="56"/>
        <v>0</v>
      </c>
      <c r="AD61" s="425">
        <f t="shared" si="57"/>
        <v>600</v>
      </c>
      <c r="AE61" s="72">
        <v>2.46</v>
      </c>
      <c r="AF61" s="71">
        <v>12</v>
      </c>
      <c r="AG61" s="72">
        <f t="shared" si="58"/>
        <v>14.76</v>
      </c>
      <c r="AH61" s="72">
        <f t="shared" si="134"/>
        <v>2.0206334603758704</v>
      </c>
      <c r="AI61" s="425">
        <f t="shared" si="59"/>
        <v>586.07999999999993</v>
      </c>
      <c r="AJ61" s="72">
        <f t="shared" si="116"/>
        <v>1.7243602187555482</v>
      </c>
      <c r="AK61" s="1055"/>
      <c r="AL61" s="491">
        <v>16715</v>
      </c>
      <c r="AM61" s="491"/>
      <c r="AN61" s="492">
        <f t="shared" si="105"/>
        <v>16715</v>
      </c>
      <c r="AO61" s="492">
        <f t="shared" si="106"/>
        <v>0</v>
      </c>
      <c r="AP61" s="492">
        <f t="shared" si="107"/>
        <v>31518</v>
      </c>
      <c r="AQ61" s="493">
        <f t="shared" si="117"/>
        <v>92.732025277670942</v>
      </c>
      <c r="AR61" s="1055"/>
      <c r="AS61" s="413">
        <v>49235</v>
      </c>
      <c r="AT61" s="64"/>
      <c r="AU61" s="66">
        <f t="shared" si="61"/>
        <v>49235</v>
      </c>
      <c r="AV61" s="66">
        <f t="shared" si="11"/>
        <v>0</v>
      </c>
      <c r="AW61" s="412">
        <f t="shared" si="135"/>
        <v>0</v>
      </c>
      <c r="AX61" s="66">
        <f t="shared" si="63"/>
        <v>0</v>
      </c>
      <c r="AY61" s="412">
        <f t="shared" si="121"/>
        <v>0</v>
      </c>
      <c r="AZ61" s="1055"/>
      <c r="BA61" s="419">
        <v>45495</v>
      </c>
      <c r="BB61" s="419"/>
      <c r="BC61" s="407"/>
      <c r="BD61" s="419">
        <f t="shared" si="33"/>
        <v>45495</v>
      </c>
      <c r="BE61" s="419">
        <f t="shared" si="34"/>
        <v>0</v>
      </c>
      <c r="BF61" s="407">
        <f t="shared" si="136"/>
        <v>0</v>
      </c>
      <c r="BG61" s="419">
        <f t="shared" si="108"/>
        <v>0</v>
      </c>
      <c r="BH61" s="407">
        <f t="shared" si="122"/>
        <v>0</v>
      </c>
      <c r="BI61" s="407">
        <f t="shared" si="68"/>
        <v>0</v>
      </c>
      <c r="BJ61" s="1053"/>
      <c r="BK61" s="1055"/>
      <c r="BL61" s="49">
        <v>1376</v>
      </c>
      <c r="BM61" s="50"/>
      <c r="BN61" s="52">
        <f t="shared" si="69"/>
        <v>1261</v>
      </c>
      <c r="BO61" s="52">
        <f t="shared" si="12"/>
        <v>115</v>
      </c>
      <c r="BP61" s="406">
        <f t="shared" si="137"/>
        <v>0.24413025941493652</v>
      </c>
      <c r="BQ61" s="52">
        <f t="shared" si="71"/>
        <v>11239</v>
      </c>
      <c r="BR61" s="406">
        <f t="shared" si="123"/>
        <v>0.4529693553878103</v>
      </c>
      <c r="BS61" s="1055"/>
      <c r="BT61" s="409">
        <v>352</v>
      </c>
      <c r="BU61" s="43"/>
      <c r="BV61" s="43">
        <f t="shared" si="102"/>
        <v>249</v>
      </c>
      <c r="BW61" s="43">
        <f t="shared" si="103"/>
        <v>103</v>
      </c>
      <c r="BX61" s="42">
        <f t="shared" si="138"/>
        <v>0.21865579756294315</v>
      </c>
      <c r="BY61" s="43">
        <f t="shared" si="104"/>
        <v>3538</v>
      </c>
      <c r="BZ61" s="42">
        <f t="shared" si="124"/>
        <v>0.14259325379144702</v>
      </c>
      <c r="CA61" s="1058"/>
      <c r="CB61" s="392">
        <v>1472</v>
      </c>
      <c r="CC61" s="298"/>
      <c r="CD61" s="298">
        <f t="shared" si="35"/>
        <v>920</v>
      </c>
      <c r="CE61" s="298">
        <f t="shared" si="14"/>
        <v>552</v>
      </c>
      <c r="CF61" s="297">
        <f t="shared" si="139"/>
        <v>1.1718252451916953</v>
      </c>
      <c r="CG61" s="298">
        <f t="shared" si="78"/>
        <v>23230</v>
      </c>
      <c r="CH61" s="297">
        <f t="shared" si="125"/>
        <v>0.9362468302926269</v>
      </c>
      <c r="CI61" s="1061"/>
      <c r="CJ61" s="651"/>
      <c r="CK61" s="651"/>
      <c r="CL61" s="651"/>
      <c r="CM61" s="651"/>
      <c r="CN61" s="651"/>
      <c r="CO61" s="464">
        <v>15</v>
      </c>
      <c r="CP61" s="465"/>
      <c r="CQ61" s="465">
        <f t="shared" si="36"/>
        <v>15</v>
      </c>
      <c r="CR61" s="465">
        <f t="shared" si="15"/>
        <v>0</v>
      </c>
      <c r="CS61" s="486">
        <f t="shared" si="140"/>
        <v>0</v>
      </c>
      <c r="CT61" s="465">
        <f t="shared" si="81"/>
        <v>240</v>
      </c>
      <c r="CU61" s="486">
        <f t="shared" si="126"/>
        <v>9.6728041011722114E-3</v>
      </c>
      <c r="CV61" s="1069"/>
      <c r="CW61" s="427">
        <v>19</v>
      </c>
      <c r="CX61" s="427"/>
      <c r="CY61" s="427">
        <f t="shared" si="83"/>
        <v>19</v>
      </c>
      <c r="CZ61" s="427">
        <f t="shared" si="84"/>
        <v>0</v>
      </c>
      <c r="DA61" s="607">
        <f t="shared" si="141"/>
        <v>0</v>
      </c>
      <c r="DB61" s="607">
        <f t="shared" si="86"/>
        <v>26</v>
      </c>
      <c r="DC61" s="607">
        <f t="shared" si="127"/>
        <v>1.0478871109603229E-3</v>
      </c>
      <c r="DD61" s="1081"/>
      <c r="DE61" s="471">
        <v>5.6</v>
      </c>
      <c r="DF61" s="473"/>
      <c r="DG61" s="473">
        <f t="shared" si="37"/>
        <v>5.6</v>
      </c>
      <c r="DH61" s="473">
        <f t="shared" si="16"/>
        <v>0</v>
      </c>
      <c r="DI61" s="227">
        <f t="shared" si="142"/>
        <v>0</v>
      </c>
      <c r="DJ61" s="473">
        <f t="shared" si="89"/>
        <v>5.6</v>
      </c>
      <c r="DK61" s="227">
        <f t="shared" si="128"/>
        <v>2.2569876236068492E-4</v>
      </c>
      <c r="DL61" s="1084"/>
      <c r="DM61" s="63">
        <v>1200</v>
      </c>
      <c r="DN61" s="64"/>
      <c r="DO61" s="66">
        <f t="shared" si="91"/>
        <v>1000</v>
      </c>
      <c r="DP61" s="66">
        <f t="shared" si="17"/>
        <v>200</v>
      </c>
      <c r="DQ61" s="412">
        <f t="shared" si="143"/>
        <v>0.42457436419988959</v>
      </c>
      <c r="DR61" s="66">
        <f t="shared" si="93"/>
        <v>8000</v>
      </c>
      <c r="DS61" s="412">
        <f t="shared" si="129"/>
        <v>0.32242680337240703</v>
      </c>
      <c r="DT61" s="1071"/>
      <c r="DU61" s="596">
        <v>0</v>
      </c>
      <c r="DV61" s="596"/>
      <c r="DW61" s="596">
        <f t="shared" si="38"/>
        <v>0</v>
      </c>
      <c r="DX61" s="596">
        <f t="shared" si="18"/>
        <v>0</v>
      </c>
      <c r="DY61" s="592">
        <f t="shared" si="144"/>
        <v>0</v>
      </c>
      <c r="DZ61" s="596">
        <f t="shared" si="96"/>
        <v>2400</v>
      </c>
      <c r="EA61" s="592">
        <f t="shared" si="130"/>
        <v>9.672804101172211E-2</v>
      </c>
      <c r="EB61" s="1041"/>
      <c r="EC61" s="448">
        <v>155</v>
      </c>
      <c r="ED61" s="449"/>
      <c r="EE61" s="449">
        <f t="shared" si="39"/>
        <v>155</v>
      </c>
      <c r="EF61" s="449">
        <f t="shared" si="19"/>
        <v>0</v>
      </c>
      <c r="EG61" s="450">
        <f t="shared" si="145"/>
        <v>0</v>
      </c>
      <c r="EH61" s="449">
        <f t="shared" si="99"/>
        <v>160</v>
      </c>
      <c r="EI61" s="450">
        <f t="shared" si="131"/>
        <v>6.4485360674481403E-3</v>
      </c>
      <c r="EJ61" s="1035"/>
      <c r="EK61" s="426">
        <v>2220</v>
      </c>
      <c r="EL61" s="427"/>
      <c r="EM61" s="427">
        <f t="shared" si="40"/>
        <v>1560</v>
      </c>
      <c r="EN61" s="427">
        <f t="shared" si="20"/>
        <v>660</v>
      </c>
      <c r="EO61" s="427">
        <f t="shared" si="41"/>
        <v>19512</v>
      </c>
      <c r="EP61" s="456">
        <v>70</v>
      </c>
      <c r="EQ61" s="457"/>
      <c r="ER61" s="457">
        <f t="shared" si="42"/>
        <v>56</v>
      </c>
      <c r="ES61" s="457">
        <f t="shared" si="21"/>
        <v>14</v>
      </c>
      <c r="ET61" s="457">
        <f t="shared" si="43"/>
        <v>322</v>
      </c>
      <c r="EU61" s="409">
        <v>120</v>
      </c>
      <c r="EV61" s="43"/>
      <c r="EW61" s="43">
        <f t="shared" si="44"/>
        <v>120</v>
      </c>
      <c r="EX61" s="43">
        <f t="shared" si="22"/>
        <v>0</v>
      </c>
      <c r="EY61" s="43">
        <f t="shared" si="45"/>
        <v>280</v>
      </c>
      <c r="EZ61" s="436">
        <v>0</v>
      </c>
      <c r="FA61" s="437"/>
      <c r="FB61" s="437">
        <f t="shared" si="46"/>
        <v>0</v>
      </c>
      <c r="FC61" s="437">
        <f t="shared" si="23"/>
        <v>0</v>
      </c>
      <c r="FD61" s="437">
        <f t="shared" si="47"/>
        <v>490</v>
      </c>
      <c r="FE61" s="442">
        <v>125</v>
      </c>
      <c r="FF61" s="443"/>
      <c r="FG61" s="443">
        <f t="shared" si="48"/>
        <v>125</v>
      </c>
      <c r="FH61" s="443">
        <f t="shared" si="24"/>
        <v>0</v>
      </c>
      <c r="FI61" s="443">
        <f t="shared" si="49"/>
        <v>475</v>
      </c>
      <c r="FJ61" s="392">
        <v>0</v>
      </c>
      <c r="FK61" s="298"/>
      <c r="FL61" s="298">
        <f t="shared" si="50"/>
        <v>0</v>
      </c>
      <c r="FM61" s="298">
        <f t="shared" si="25"/>
        <v>0</v>
      </c>
      <c r="FN61" s="498">
        <f t="shared" si="51"/>
        <v>900</v>
      </c>
      <c r="HC61" s="402"/>
      <c r="HD61" s="52"/>
      <c r="HE61" s="52">
        <f t="shared" si="52"/>
        <v>0</v>
      </c>
      <c r="HF61" s="52">
        <f t="shared" si="26"/>
        <v>0</v>
      </c>
      <c r="HG61" s="51"/>
      <c r="HH61" s="52">
        <f t="shared" si="101"/>
        <v>400</v>
      </c>
      <c r="HI61" s="51"/>
      <c r="HJ61" s="1047"/>
    </row>
    <row r="62" spans="1:218">
      <c r="A62" s="30">
        <v>44725</v>
      </c>
      <c r="B62" s="390">
        <v>546347</v>
      </c>
      <c r="C62" s="18">
        <f t="shared" si="118"/>
        <v>25358180</v>
      </c>
      <c r="D62" s="376">
        <v>7633.94</v>
      </c>
      <c r="E62" s="417">
        <f t="shared" si="109"/>
        <v>347516.51999999984</v>
      </c>
      <c r="F62" s="397">
        <v>16223</v>
      </c>
      <c r="G62" s="37">
        <v>35260</v>
      </c>
      <c r="H62" s="37">
        <f t="shared" si="110"/>
        <v>50723</v>
      </c>
      <c r="I62" s="37">
        <f t="shared" si="111"/>
        <v>760</v>
      </c>
      <c r="J62" s="37">
        <f t="shared" si="132"/>
        <v>99.555406513543474</v>
      </c>
      <c r="K62" s="37">
        <f t="shared" si="119"/>
        <v>173984</v>
      </c>
      <c r="L62" s="37">
        <f t="shared" si="112"/>
        <v>500.64958063000881</v>
      </c>
      <c r="M62" s="1055"/>
      <c r="N62" s="422">
        <v>75</v>
      </c>
      <c r="O62" s="423">
        <v>250</v>
      </c>
      <c r="P62" s="423">
        <f t="shared" si="113"/>
        <v>200</v>
      </c>
      <c r="Q62" s="423">
        <f t="shared" si="114"/>
        <v>125</v>
      </c>
      <c r="R62" s="423">
        <f t="shared" si="120"/>
        <v>3975</v>
      </c>
      <c r="S62" s="68">
        <v>9.6</v>
      </c>
      <c r="T62" s="67">
        <v>24</v>
      </c>
      <c r="U62" s="68">
        <f t="shared" si="53"/>
        <v>115.19999999999999</v>
      </c>
      <c r="V62" s="68">
        <f t="shared" si="133"/>
        <v>15.090503724158166</v>
      </c>
      <c r="W62" s="423">
        <f t="shared" si="54"/>
        <v>3936.6240000000003</v>
      </c>
      <c r="X62" s="68">
        <f t="shared" si="115"/>
        <v>11.327875866160268</v>
      </c>
      <c r="Y62" s="1055"/>
      <c r="Z62" s="424">
        <v>200</v>
      </c>
      <c r="AA62" s="425"/>
      <c r="AB62" s="425">
        <f t="shared" si="55"/>
        <v>175</v>
      </c>
      <c r="AC62" s="425">
        <f t="shared" si="56"/>
        <v>25</v>
      </c>
      <c r="AD62" s="425">
        <f t="shared" si="57"/>
        <v>625</v>
      </c>
      <c r="AE62" s="72">
        <v>2.38</v>
      </c>
      <c r="AF62" s="71">
        <v>12</v>
      </c>
      <c r="AG62" s="72">
        <f t="shared" si="58"/>
        <v>14.28</v>
      </c>
      <c r="AH62" s="72">
        <f t="shared" si="134"/>
        <v>1.8705936908071064</v>
      </c>
      <c r="AI62" s="425">
        <f t="shared" si="59"/>
        <v>600.3599999999999</v>
      </c>
      <c r="AJ62" s="72">
        <f t="shared" si="116"/>
        <v>1.7275725482057662</v>
      </c>
      <c r="AK62" s="1055"/>
      <c r="AL62" s="491">
        <v>16715</v>
      </c>
      <c r="AM62" s="491"/>
      <c r="AN62" s="492">
        <f t="shared" si="105"/>
        <v>16715</v>
      </c>
      <c r="AO62" s="492">
        <f t="shared" si="106"/>
        <v>0</v>
      </c>
      <c r="AP62" s="492">
        <f t="shared" si="107"/>
        <v>31518</v>
      </c>
      <c r="AQ62" s="493">
        <f t="shared" si="117"/>
        <v>90.694968975863404</v>
      </c>
      <c r="AR62" s="1055"/>
      <c r="AS62" s="413">
        <v>49235</v>
      </c>
      <c r="AT62" s="64"/>
      <c r="AU62" s="66">
        <f t="shared" si="61"/>
        <v>49235</v>
      </c>
      <c r="AV62" s="66">
        <f t="shared" si="11"/>
        <v>0</v>
      </c>
      <c r="AW62" s="412">
        <f t="shared" si="135"/>
        <v>0</v>
      </c>
      <c r="AX62" s="66">
        <f t="shared" si="63"/>
        <v>0</v>
      </c>
      <c r="AY62" s="412">
        <f t="shared" si="121"/>
        <v>0</v>
      </c>
      <c r="AZ62" s="1055"/>
      <c r="BA62" s="419">
        <v>45495</v>
      </c>
      <c r="BB62" s="419"/>
      <c r="BC62" s="407"/>
      <c r="BD62" s="419">
        <f t="shared" si="33"/>
        <v>45495</v>
      </c>
      <c r="BE62" s="419">
        <f t="shared" si="34"/>
        <v>0</v>
      </c>
      <c r="BF62" s="407">
        <f t="shared" si="136"/>
        <v>0</v>
      </c>
      <c r="BG62" s="419">
        <f t="shared" si="108"/>
        <v>0</v>
      </c>
      <c r="BH62" s="407">
        <f t="shared" si="122"/>
        <v>0</v>
      </c>
      <c r="BI62" s="407">
        <f t="shared" si="68"/>
        <v>0</v>
      </c>
      <c r="BJ62" s="1053"/>
      <c r="BK62" s="1055"/>
      <c r="BL62" s="49">
        <v>1261</v>
      </c>
      <c r="BM62" s="50">
        <v>900</v>
      </c>
      <c r="BN62" s="52">
        <f t="shared" si="69"/>
        <v>1782</v>
      </c>
      <c r="BO62" s="52">
        <f t="shared" si="12"/>
        <v>379</v>
      </c>
      <c r="BP62" s="406">
        <f t="shared" si="137"/>
        <v>0.69369832725355862</v>
      </c>
      <c r="BQ62" s="52">
        <f t="shared" si="71"/>
        <v>11618</v>
      </c>
      <c r="BR62" s="406">
        <f t="shared" si="123"/>
        <v>0.45815590866536954</v>
      </c>
      <c r="BS62" s="1055"/>
      <c r="BT62" s="409">
        <v>249</v>
      </c>
      <c r="BU62" s="43">
        <v>1000</v>
      </c>
      <c r="BV62" s="43">
        <f t="shared" si="102"/>
        <v>1081</v>
      </c>
      <c r="BW62" s="43">
        <f t="shared" si="103"/>
        <v>168</v>
      </c>
      <c r="BX62" s="42">
        <f t="shared" si="138"/>
        <v>0.30749688384854312</v>
      </c>
      <c r="BY62" s="43">
        <f t="shared" si="104"/>
        <v>3706</v>
      </c>
      <c r="BZ62" s="42">
        <f t="shared" si="124"/>
        <v>0.14614613509329138</v>
      </c>
      <c r="CA62" s="1058"/>
      <c r="CB62" s="392">
        <v>920</v>
      </c>
      <c r="CC62" s="298"/>
      <c r="CD62" s="298">
        <f t="shared" si="35"/>
        <v>288</v>
      </c>
      <c r="CE62" s="298">
        <f t="shared" si="14"/>
        <v>632</v>
      </c>
      <c r="CF62" s="297">
        <f t="shared" si="139"/>
        <v>1.1567739916207098</v>
      </c>
      <c r="CG62" s="298">
        <f t="shared" si="78"/>
        <v>23862</v>
      </c>
      <c r="CH62" s="297">
        <f t="shared" si="125"/>
        <v>0.94099813156937917</v>
      </c>
      <c r="CI62" s="1061"/>
      <c r="CJ62" s="651"/>
      <c r="CK62" s="651"/>
      <c r="CL62" s="651"/>
      <c r="CM62" s="651"/>
      <c r="CN62" s="651"/>
      <c r="CO62" s="464">
        <v>15</v>
      </c>
      <c r="CP62" s="465">
        <v>520</v>
      </c>
      <c r="CQ62" s="465">
        <f t="shared" si="36"/>
        <v>482</v>
      </c>
      <c r="CR62" s="465">
        <f t="shared" si="15"/>
        <v>53</v>
      </c>
      <c r="CS62" s="486">
        <f t="shared" si="140"/>
        <v>9.7007945499838016E-2</v>
      </c>
      <c r="CT62" s="465">
        <f t="shared" si="81"/>
        <v>293</v>
      </c>
      <c r="CU62" s="486">
        <f t="shared" si="126"/>
        <v>1.1554456983900264E-2</v>
      </c>
      <c r="CV62" s="1069"/>
      <c r="CW62" s="427">
        <v>19</v>
      </c>
      <c r="CX62" s="427"/>
      <c r="CY62" s="427">
        <f t="shared" si="83"/>
        <v>19</v>
      </c>
      <c r="CZ62" s="427">
        <f t="shared" si="84"/>
        <v>0</v>
      </c>
      <c r="DA62" s="607">
        <f t="shared" si="141"/>
        <v>0</v>
      </c>
      <c r="DB62" s="607">
        <f t="shared" si="86"/>
        <v>26</v>
      </c>
      <c r="DC62" s="607">
        <f t="shared" si="127"/>
        <v>1.0253101760457572E-3</v>
      </c>
      <c r="DD62" s="1081"/>
      <c r="DE62" s="471">
        <v>5.6</v>
      </c>
      <c r="DF62" s="473"/>
      <c r="DG62" s="473">
        <f t="shared" si="37"/>
        <v>5.6</v>
      </c>
      <c r="DH62" s="473">
        <f t="shared" si="16"/>
        <v>0</v>
      </c>
      <c r="DI62" s="227">
        <f t="shared" si="142"/>
        <v>0</v>
      </c>
      <c r="DJ62" s="473">
        <f t="shared" si="89"/>
        <v>5.6</v>
      </c>
      <c r="DK62" s="227">
        <f t="shared" si="128"/>
        <v>2.2083603791754771E-4</v>
      </c>
      <c r="DL62" s="1084"/>
      <c r="DM62" s="63">
        <v>1000</v>
      </c>
      <c r="DN62" s="64"/>
      <c r="DO62" s="66">
        <f t="shared" si="91"/>
        <v>950</v>
      </c>
      <c r="DP62" s="66">
        <f t="shared" si="17"/>
        <v>50</v>
      </c>
      <c r="DQ62" s="412">
        <f t="shared" si="143"/>
        <v>9.1516929716828316E-2</v>
      </c>
      <c r="DR62" s="66">
        <f t="shared" si="93"/>
        <v>8050</v>
      </c>
      <c r="DS62" s="412">
        <f t="shared" si="129"/>
        <v>0.31745180450647481</v>
      </c>
      <c r="DT62" s="1071"/>
      <c r="DU62" s="596">
        <v>0</v>
      </c>
      <c r="DV62" s="596"/>
      <c r="DW62" s="596">
        <f t="shared" si="38"/>
        <v>0</v>
      </c>
      <c r="DX62" s="596">
        <f t="shared" si="18"/>
        <v>0</v>
      </c>
      <c r="DY62" s="592">
        <f t="shared" si="144"/>
        <v>0</v>
      </c>
      <c r="DZ62" s="596">
        <f t="shared" si="96"/>
        <v>2400</v>
      </c>
      <c r="EA62" s="592">
        <f t="shared" si="130"/>
        <v>9.4644016250377591E-2</v>
      </c>
      <c r="EB62" s="1041"/>
      <c r="EC62" s="448">
        <v>155</v>
      </c>
      <c r="ED62" s="449"/>
      <c r="EE62" s="449">
        <f t="shared" si="39"/>
        <v>155</v>
      </c>
      <c r="EF62" s="449">
        <f t="shared" si="19"/>
        <v>0</v>
      </c>
      <c r="EG62" s="450">
        <f t="shared" si="145"/>
        <v>0</v>
      </c>
      <c r="EH62" s="449">
        <f t="shared" si="99"/>
        <v>160</v>
      </c>
      <c r="EI62" s="450">
        <f t="shared" si="131"/>
        <v>6.3096010833585056E-3</v>
      </c>
      <c r="EJ62" s="1035"/>
      <c r="EK62" s="426">
        <v>1560</v>
      </c>
      <c r="EL62" s="427"/>
      <c r="EM62" s="427">
        <f t="shared" si="40"/>
        <v>960</v>
      </c>
      <c r="EN62" s="427">
        <f t="shared" si="20"/>
        <v>600</v>
      </c>
      <c r="EO62" s="427">
        <f t="shared" si="41"/>
        <v>20112</v>
      </c>
      <c r="EP62" s="456">
        <v>56</v>
      </c>
      <c r="EQ62" s="457">
        <v>70</v>
      </c>
      <c r="ER62" s="457">
        <f t="shared" si="42"/>
        <v>98</v>
      </c>
      <c r="ES62" s="457">
        <f t="shared" si="21"/>
        <v>28</v>
      </c>
      <c r="ET62" s="457">
        <f t="shared" si="43"/>
        <v>350</v>
      </c>
      <c r="EU62" s="409">
        <v>120</v>
      </c>
      <c r="EV62" s="43"/>
      <c r="EW62" s="43">
        <f t="shared" si="44"/>
        <v>100</v>
      </c>
      <c r="EX62" s="43">
        <f t="shared" si="22"/>
        <v>20</v>
      </c>
      <c r="EY62" s="43">
        <f t="shared" si="45"/>
        <v>300</v>
      </c>
      <c r="EZ62" s="436">
        <v>0</v>
      </c>
      <c r="FA62" s="437"/>
      <c r="FB62" s="437">
        <f t="shared" si="46"/>
        <v>0</v>
      </c>
      <c r="FC62" s="437">
        <f t="shared" si="23"/>
        <v>0</v>
      </c>
      <c r="FD62" s="437">
        <f t="shared" si="47"/>
        <v>490</v>
      </c>
      <c r="FE62" s="442">
        <v>125</v>
      </c>
      <c r="FF62" s="443"/>
      <c r="FG62" s="443">
        <f t="shared" si="48"/>
        <v>100</v>
      </c>
      <c r="FH62" s="443">
        <f t="shared" si="24"/>
        <v>25</v>
      </c>
      <c r="FI62" s="443">
        <f t="shared" si="49"/>
        <v>500</v>
      </c>
      <c r="FJ62" s="392">
        <v>0</v>
      </c>
      <c r="FK62" s="298"/>
      <c r="FL62" s="298">
        <f t="shared" si="50"/>
        <v>0</v>
      </c>
      <c r="FM62" s="298">
        <f t="shared" si="25"/>
        <v>0</v>
      </c>
      <c r="FN62" s="498">
        <f t="shared" si="51"/>
        <v>900</v>
      </c>
      <c r="HC62" s="402"/>
      <c r="HD62" s="52"/>
      <c r="HE62" s="52">
        <f t="shared" si="52"/>
        <v>0</v>
      </c>
      <c r="HF62" s="52">
        <f t="shared" si="26"/>
        <v>0</v>
      </c>
      <c r="HG62" s="51"/>
      <c r="HH62" s="52">
        <f t="shared" si="101"/>
        <v>400</v>
      </c>
      <c r="HI62" s="51"/>
      <c r="HJ62" s="1047"/>
    </row>
    <row r="63" spans="1:218">
      <c r="A63" s="30">
        <v>44726</v>
      </c>
      <c r="B63" s="390">
        <v>512603</v>
      </c>
      <c r="C63" s="18">
        <f t="shared" si="118"/>
        <v>25870783</v>
      </c>
      <c r="D63" s="376">
        <v>5760.38</v>
      </c>
      <c r="E63" s="417">
        <f t="shared" si="109"/>
        <v>353276.89999999985</v>
      </c>
      <c r="F63" s="397">
        <v>50723</v>
      </c>
      <c r="G63" s="37"/>
      <c r="H63" s="37">
        <f t="shared" si="110"/>
        <v>49799</v>
      </c>
      <c r="I63" s="37">
        <f t="shared" si="111"/>
        <v>924</v>
      </c>
      <c r="J63" s="37">
        <f t="shared" si="132"/>
        <v>160.40608432082604</v>
      </c>
      <c r="K63" s="37">
        <f t="shared" si="119"/>
        <v>174908</v>
      </c>
      <c r="L63" s="37">
        <f t="shared" si="112"/>
        <v>495.10171766113234</v>
      </c>
      <c r="M63" s="1055"/>
      <c r="N63" s="422">
        <v>200</v>
      </c>
      <c r="O63" s="423"/>
      <c r="P63" s="423">
        <f t="shared" si="113"/>
        <v>150</v>
      </c>
      <c r="Q63" s="423">
        <f t="shared" si="114"/>
        <v>50</v>
      </c>
      <c r="R63" s="423">
        <f t="shared" si="120"/>
        <v>4025</v>
      </c>
      <c r="S63" s="68">
        <v>8.18</v>
      </c>
      <c r="T63" s="67">
        <v>24</v>
      </c>
      <c r="U63" s="68">
        <f t="shared" si="53"/>
        <v>98.16</v>
      </c>
      <c r="V63" s="68">
        <f t="shared" si="133"/>
        <v>17.040542464212429</v>
      </c>
      <c r="W63" s="423">
        <f t="shared" si="54"/>
        <v>4034.7840000000001</v>
      </c>
      <c r="X63" s="68">
        <f t="shared" si="115"/>
        <v>11.421024131495724</v>
      </c>
      <c r="Y63" s="1055"/>
      <c r="Z63" s="424">
        <v>175</v>
      </c>
      <c r="AA63" s="425"/>
      <c r="AB63" s="425">
        <f t="shared" si="55"/>
        <v>175</v>
      </c>
      <c r="AC63" s="425">
        <f t="shared" si="56"/>
        <v>0</v>
      </c>
      <c r="AD63" s="425">
        <f t="shared" si="57"/>
        <v>625</v>
      </c>
      <c r="AE63" s="72">
        <v>1.98</v>
      </c>
      <c r="AF63" s="71">
        <v>12</v>
      </c>
      <c r="AG63" s="72">
        <f t="shared" si="58"/>
        <v>11.879999999999999</v>
      </c>
      <c r="AH63" s="72">
        <f t="shared" si="134"/>
        <v>2.0623639412677632</v>
      </c>
      <c r="AI63" s="425">
        <f t="shared" si="59"/>
        <v>612.2399999999999</v>
      </c>
      <c r="AJ63" s="72">
        <f t="shared" si="116"/>
        <v>1.7330315115423629</v>
      </c>
      <c r="AK63" s="1055"/>
      <c r="AL63" s="491">
        <v>16715</v>
      </c>
      <c r="AM63" s="491"/>
      <c r="AN63" s="492">
        <f t="shared" si="105"/>
        <v>9131</v>
      </c>
      <c r="AO63" s="492">
        <f t="shared" si="106"/>
        <v>7584</v>
      </c>
      <c r="AP63" s="492">
        <f t="shared" si="107"/>
        <v>39102</v>
      </c>
      <c r="AQ63" s="493">
        <f t="shared" si="117"/>
        <v>110.68371580479793</v>
      </c>
      <c r="AR63" s="1055"/>
      <c r="AS63" s="413">
        <v>49235</v>
      </c>
      <c r="AT63" s="64"/>
      <c r="AU63" s="66">
        <f t="shared" si="61"/>
        <v>49235</v>
      </c>
      <c r="AV63" s="66">
        <f t="shared" si="11"/>
        <v>0</v>
      </c>
      <c r="AW63" s="412">
        <f t="shared" si="135"/>
        <v>0</v>
      </c>
      <c r="AX63" s="66">
        <f t="shared" si="63"/>
        <v>0</v>
      </c>
      <c r="AY63" s="412">
        <f t="shared" si="121"/>
        <v>0</v>
      </c>
      <c r="AZ63" s="1055"/>
      <c r="BA63" s="419">
        <v>45495</v>
      </c>
      <c r="BB63" s="419"/>
      <c r="BC63" s="407"/>
      <c r="BD63" s="419">
        <f t="shared" si="33"/>
        <v>45495</v>
      </c>
      <c r="BE63" s="419">
        <f t="shared" si="34"/>
        <v>0</v>
      </c>
      <c r="BF63" s="407">
        <f t="shared" si="136"/>
        <v>0</v>
      </c>
      <c r="BG63" s="419">
        <f t="shared" si="108"/>
        <v>0</v>
      </c>
      <c r="BH63" s="407">
        <f t="shared" si="122"/>
        <v>0</v>
      </c>
      <c r="BI63" s="407">
        <f t="shared" si="68"/>
        <v>0</v>
      </c>
      <c r="BJ63" s="1053"/>
      <c r="BK63" s="1055"/>
      <c r="BL63" s="49">
        <v>1782</v>
      </c>
      <c r="BM63" s="50"/>
      <c r="BN63" s="52">
        <f t="shared" si="69"/>
        <v>1665</v>
      </c>
      <c r="BO63" s="52">
        <f t="shared" si="12"/>
        <v>117</v>
      </c>
      <c r="BP63" s="406">
        <f t="shared" si="137"/>
        <v>0.22824681088483681</v>
      </c>
      <c r="BQ63" s="52">
        <f t="shared" si="71"/>
        <v>11735</v>
      </c>
      <c r="BR63" s="406">
        <f t="shared" si="123"/>
        <v>0.45360049597261898</v>
      </c>
      <c r="BS63" s="1055"/>
      <c r="BT63" s="409">
        <v>1081</v>
      </c>
      <c r="BU63" s="43"/>
      <c r="BV63" s="43">
        <f t="shared" si="102"/>
        <v>805</v>
      </c>
      <c r="BW63" s="43">
        <f t="shared" si="103"/>
        <v>276</v>
      </c>
      <c r="BX63" s="42">
        <f t="shared" si="138"/>
        <v>0.53842837439499969</v>
      </c>
      <c r="BY63" s="43">
        <f t="shared" si="104"/>
        <v>3982</v>
      </c>
      <c r="BZ63" s="42">
        <f t="shared" si="124"/>
        <v>0.15391880485410897</v>
      </c>
      <c r="CA63" s="1058"/>
      <c r="CB63" s="392">
        <v>288</v>
      </c>
      <c r="CC63" s="298">
        <v>1150</v>
      </c>
      <c r="CD63" s="298">
        <f t="shared" si="35"/>
        <v>1093</v>
      </c>
      <c r="CE63" s="298">
        <f t="shared" si="14"/>
        <v>345</v>
      </c>
      <c r="CF63" s="297">
        <f t="shared" si="139"/>
        <v>0.67303546799374958</v>
      </c>
      <c r="CG63" s="298">
        <f t="shared" si="78"/>
        <v>24207</v>
      </c>
      <c r="CH63" s="297">
        <f t="shared" si="125"/>
        <v>0.93568872654530788</v>
      </c>
      <c r="CI63" s="1061"/>
      <c r="CJ63" s="651"/>
      <c r="CK63" s="651"/>
      <c r="CL63" s="651"/>
      <c r="CM63" s="651"/>
      <c r="CN63" s="651"/>
      <c r="CO63" s="464">
        <v>482</v>
      </c>
      <c r="CP63" s="465"/>
      <c r="CQ63" s="465">
        <f t="shared" si="36"/>
        <v>415</v>
      </c>
      <c r="CR63" s="465">
        <f t="shared" si="15"/>
        <v>67</v>
      </c>
      <c r="CS63" s="486">
        <f t="shared" si="140"/>
        <v>0.13070543871182963</v>
      </c>
      <c r="CT63" s="465">
        <f t="shared" si="81"/>
        <v>360</v>
      </c>
      <c r="CU63" s="486">
        <f t="shared" si="126"/>
        <v>1.3915311337890314E-2</v>
      </c>
      <c r="CV63" s="1069"/>
      <c r="CW63" s="427">
        <v>19</v>
      </c>
      <c r="CX63" s="427"/>
      <c r="CY63" s="427">
        <f t="shared" si="83"/>
        <v>19</v>
      </c>
      <c r="CZ63" s="427">
        <f t="shared" si="84"/>
        <v>0</v>
      </c>
      <c r="DA63" s="607">
        <f t="shared" si="141"/>
        <v>0</v>
      </c>
      <c r="DB63" s="607">
        <f t="shared" si="86"/>
        <v>26</v>
      </c>
      <c r="DC63" s="607">
        <f t="shared" si="127"/>
        <v>1.0049947077365228E-3</v>
      </c>
      <c r="DD63" s="1081"/>
      <c r="DE63" s="471">
        <v>5.6</v>
      </c>
      <c r="DF63" s="473"/>
      <c r="DG63" s="473">
        <f t="shared" si="37"/>
        <v>5.6</v>
      </c>
      <c r="DH63" s="473">
        <f t="shared" si="16"/>
        <v>0</v>
      </c>
      <c r="DI63" s="227">
        <f t="shared" si="142"/>
        <v>0</v>
      </c>
      <c r="DJ63" s="473">
        <f t="shared" si="89"/>
        <v>5.6</v>
      </c>
      <c r="DK63" s="227">
        <f t="shared" si="128"/>
        <v>2.1646039858940489E-4</v>
      </c>
      <c r="DL63" s="1084"/>
      <c r="DM63" s="63">
        <v>950</v>
      </c>
      <c r="DN63" s="64"/>
      <c r="DO63" s="66">
        <f t="shared" si="91"/>
        <v>950</v>
      </c>
      <c r="DP63" s="66">
        <f t="shared" si="17"/>
        <v>0</v>
      </c>
      <c r="DQ63" s="412">
        <f t="shared" si="143"/>
        <v>0</v>
      </c>
      <c r="DR63" s="66">
        <f t="shared" si="93"/>
        <v>8050</v>
      </c>
      <c r="DS63" s="412">
        <f t="shared" si="129"/>
        <v>0.31116182297226952</v>
      </c>
      <c r="DT63" s="1071"/>
      <c r="DU63" s="596">
        <v>0</v>
      </c>
      <c r="DV63" s="596">
        <v>400</v>
      </c>
      <c r="DW63" s="596">
        <f t="shared" si="38"/>
        <v>200</v>
      </c>
      <c r="DX63" s="596">
        <f t="shared" si="18"/>
        <v>200</v>
      </c>
      <c r="DY63" s="592">
        <f t="shared" si="144"/>
        <v>0.39016548869202872</v>
      </c>
      <c r="DZ63" s="596">
        <f t="shared" si="96"/>
        <v>2600</v>
      </c>
      <c r="EA63" s="592">
        <f t="shared" si="130"/>
        <v>0.10049947077365227</v>
      </c>
      <c r="EB63" s="1041"/>
      <c r="EC63" s="448">
        <v>155</v>
      </c>
      <c r="ED63" s="449"/>
      <c r="EE63" s="449">
        <f t="shared" si="39"/>
        <v>155</v>
      </c>
      <c r="EF63" s="449">
        <f t="shared" si="19"/>
        <v>0</v>
      </c>
      <c r="EG63" s="450">
        <f t="shared" si="145"/>
        <v>0</v>
      </c>
      <c r="EH63" s="449">
        <f t="shared" si="99"/>
        <v>160</v>
      </c>
      <c r="EI63" s="450">
        <f t="shared" si="131"/>
        <v>6.1845828168401399E-3</v>
      </c>
      <c r="EJ63" s="1035"/>
      <c r="EK63" s="426">
        <v>960</v>
      </c>
      <c r="EL63" s="427"/>
      <c r="EM63" s="427">
        <f t="shared" si="40"/>
        <v>420</v>
      </c>
      <c r="EN63" s="427">
        <f t="shared" si="20"/>
        <v>540</v>
      </c>
      <c r="EO63" s="427">
        <f t="shared" si="41"/>
        <v>20652</v>
      </c>
      <c r="EP63" s="456">
        <v>98</v>
      </c>
      <c r="EQ63" s="457"/>
      <c r="ER63" s="457">
        <f t="shared" si="42"/>
        <v>84</v>
      </c>
      <c r="ES63" s="457">
        <f t="shared" si="21"/>
        <v>14</v>
      </c>
      <c r="ET63" s="457">
        <f t="shared" si="43"/>
        <v>364</v>
      </c>
      <c r="EU63" s="409">
        <v>100</v>
      </c>
      <c r="EV63" s="43"/>
      <c r="EW63" s="43">
        <f t="shared" si="44"/>
        <v>100</v>
      </c>
      <c r="EX63" s="43">
        <f t="shared" si="22"/>
        <v>0</v>
      </c>
      <c r="EY63" s="43">
        <f t="shared" si="45"/>
        <v>300</v>
      </c>
      <c r="EZ63" s="436">
        <v>0</v>
      </c>
      <c r="FA63" s="437"/>
      <c r="FB63" s="437">
        <f t="shared" si="46"/>
        <v>0</v>
      </c>
      <c r="FC63" s="437">
        <f t="shared" si="23"/>
        <v>0</v>
      </c>
      <c r="FD63" s="437">
        <f t="shared" si="47"/>
        <v>490</v>
      </c>
      <c r="FE63" s="442">
        <v>100</v>
      </c>
      <c r="FF63" s="443"/>
      <c r="FG63" s="443">
        <f t="shared" si="48"/>
        <v>100</v>
      </c>
      <c r="FH63" s="443">
        <f t="shared" si="24"/>
        <v>0</v>
      </c>
      <c r="FI63" s="443">
        <f t="shared" si="49"/>
        <v>500</v>
      </c>
      <c r="FJ63" s="392">
        <v>0</v>
      </c>
      <c r="FK63" s="298"/>
      <c r="FL63" s="298">
        <f t="shared" si="50"/>
        <v>0</v>
      </c>
      <c r="FM63" s="298">
        <f t="shared" si="25"/>
        <v>0</v>
      </c>
      <c r="FN63" s="498">
        <f t="shared" si="51"/>
        <v>900</v>
      </c>
      <c r="HC63" s="402"/>
      <c r="HD63" s="52"/>
      <c r="HE63" s="52">
        <f t="shared" si="52"/>
        <v>0</v>
      </c>
      <c r="HF63" s="52">
        <f t="shared" si="26"/>
        <v>0</v>
      </c>
      <c r="HG63" s="51"/>
      <c r="HH63" s="52">
        <f t="shared" si="101"/>
        <v>400</v>
      </c>
      <c r="HI63" s="51"/>
      <c r="HJ63" s="1047"/>
    </row>
    <row r="64" spans="1:218">
      <c r="A64" s="30">
        <v>44727</v>
      </c>
      <c r="B64" s="390">
        <v>552495</v>
      </c>
      <c r="C64" s="18">
        <f t="shared" si="118"/>
        <v>26423278</v>
      </c>
      <c r="D64" s="376">
        <v>7579.08</v>
      </c>
      <c r="E64" s="417">
        <f t="shared" si="109"/>
        <v>360855.97999999986</v>
      </c>
      <c r="F64" s="397">
        <v>49799</v>
      </c>
      <c r="G64" s="37"/>
      <c r="H64" s="37">
        <f t="shared" si="110"/>
        <v>44587</v>
      </c>
      <c r="I64" s="37">
        <f t="shared" si="111"/>
        <v>5212</v>
      </c>
      <c r="J64" s="37">
        <f t="shared" si="132"/>
        <v>687.68241000226942</v>
      </c>
      <c r="K64" s="37">
        <f t="shared" si="119"/>
        <v>180120</v>
      </c>
      <c r="L64" s="37">
        <f t="shared" si="112"/>
        <v>499.14650160432444</v>
      </c>
      <c r="M64" s="1055"/>
      <c r="N64" s="422">
        <v>150</v>
      </c>
      <c r="O64" s="423">
        <v>250</v>
      </c>
      <c r="P64" s="423">
        <f t="shared" si="113"/>
        <v>250</v>
      </c>
      <c r="Q64" s="423">
        <f t="shared" si="114"/>
        <v>150</v>
      </c>
      <c r="R64" s="423">
        <f t="shared" si="120"/>
        <v>4175</v>
      </c>
      <c r="S64" s="68">
        <v>9.27</v>
      </c>
      <c r="T64" s="67">
        <v>24</v>
      </c>
      <c r="U64" s="68">
        <f t="shared" si="53"/>
        <v>111.24</v>
      </c>
      <c r="V64" s="68">
        <f t="shared" si="133"/>
        <v>14.677243148244905</v>
      </c>
      <c r="W64" s="423">
        <f t="shared" si="54"/>
        <v>4146.0240000000003</v>
      </c>
      <c r="X64" s="68">
        <f t="shared" si="115"/>
        <v>11.489414696688696</v>
      </c>
      <c r="Y64" s="1055"/>
      <c r="Z64" s="424">
        <v>175</v>
      </c>
      <c r="AA64" s="425"/>
      <c r="AB64" s="425">
        <f t="shared" si="55"/>
        <v>150</v>
      </c>
      <c r="AC64" s="425">
        <f t="shared" si="56"/>
        <v>25</v>
      </c>
      <c r="AD64" s="425">
        <f t="shared" si="57"/>
        <v>650</v>
      </c>
      <c r="AE64" s="72">
        <v>2.58</v>
      </c>
      <c r="AF64" s="71">
        <v>12</v>
      </c>
      <c r="AG64" s="72">
        <f t="shared" si="58"/>
        <v>15.48</v>
      </c>
      <c r="AH64" s="72">
        <f t="shared" si="134"/>
        <v>2.0424642568755047</v>
      </c>
      <c r="AI64" s="425">
        <f t="shared" si="59"/>
        <v>627.71999999999991</v>
      </c>
      <c r="AJ64" s="72">
        <f t="shared" si="116"/>
        <v>1.7395305462306601</v>
      </c>
      <c r="AK64" s="1055"/>
      <c r="AL64" s="491">
        <v>9131</v>
      </c>
      <c r="AM64" s="491"/>
      <c r="AN64" s="492">
        <f t="shared" si="105"/>
        <v>9131</v>
      </c>
      <c r="AO64" s="492">
        <f t="shared" si="106"/>
        <v>0</v>
      </c>
      <c r="AP64" s="492">
        <f t="shared" si="107"/>
        <v>39102</v>
      </c>
      <c r="AQ64" s="493">
        <f t="shared" si="117"/>
        <v>108.35901901916664</v>
      </c>
      <c r="AR64" s="1055"/>
      <c r="AS64" s="413">
        <v>49235</v>
      </c>
      <c r="AT64" s="64"/>
      <c r="AU64" s="66">
        <f t="shared" si="61"/>
        <v>49235</v>
      </c>
      <c r="AV64" s="66">
        <f t="shared" si="11"/>
        <v>0</v>
      </c>
      <c r="AW64" s="412">
        <f t="shared" si="135"/>
        <v>0</v>
      </c>
      <c r="AX64" s="66">
        <f t="shared" si="63"/>
        <v>0</v>
      </c>
      <c r="AY64" s="412">
        <f t="shared" si="121"/>
        <v>0</v>
      </c>
      <c r="AZ64" s="1055"/>
      <c r="BA64" s="419">
        <v>45495</v>
      </c>
      <c r="BB64" s="419"/>
      <c r="BC64" s="407"/>
      <c r="BD64" s="419">
        <f t="shared" si="33"/>
        <v>45495</v>
      </c>
      <c r="BE64" s="419">
        <f t="shared" si="34"/>
        <v>0</v>
      </c>
      <c r="BF64" s="407">
        <f t="shared" si="136"/>
        <v>0</v>
      </c>
      <c r="BG64" s="419">
        <f t="shared" si="108"/>
        <v>0</v>
      </c>
      <c r="BH64" s="407">
        <f t="shared" si="122"/>
        <v>0</v>
      </c>
      <c r="BI64" s="407">
        <f t="shared" si="68"/>
        <v>0</v>
      </c>
      <c r="BJ64" s="1053"/>
      <c r="BK64" s="1055"/>
      <c r="BL64" s="49">
        <v>1665</v>
      </c>
      <c r="BM64" s="50"/>
      <c r="BN64" s="52">
        <f t="shared" si="69"/>
        <v>1474</v>
      </c>
      <c r="BO64" s="52">
        <f t="shared" si="12"/>
        <v>191</v>
      </c>
      <c r="BP64" s="406">
        <f t="shared" si="137"/>
        <v>0.34570448601344811</v>
      </c>
      <c r="BQ64" s="52">
        <f t="shared" si="71"/>
        <v>11926</v>
      </c>
      <c r="BR64" s="406">
        <f t="shared" si="123"/>
        <v>0.4513444546887786</v>
      </c>
      <c r="BS64" s="1055"/>
      <c r="BT64" s="409">
        <v>805</v>
      </c>
      <c r="BU64" s="43">
        <v>600</v>
      </c>
      <c r="BV64" s="43">
        <f t="shared" si="102"/>
        <v>1265</v>
      </c>
      <c r="BW64" s="43">
        <f t="shared" si="103"/>
        <v>140</v>
      </c>
      <c r="BX64" s="42">
        <f t="shared" si="138"/>
        <v>0.25339595833446454</v>
      </c>
      <c r="BY64" s="43">
        <f t="shared" si="104"/>
        <v>4122</v>
      </c>
      <c r="BZ64" s="42">
        <f t="shared" si="124"/>
        <v>0.15599881286492917</v>
      </c>
      <c r="CA64" s="1058"/>
      <c r="CB64" s="392">
        <v>1093</v>
      </c>
      <c r="CC64" s="298"/>
      <c r="CD64" s="298">
        <f t="shared" si="35"/>
        <v>1093</v>
      </c>
      <c r="CE64" s="298">
        <f t="shared" si="14"/>
        <v>0</v>
      </c>
      <c r="CF64" s="297">
        <f t="shared" si="139"/>
        <v>0</v>
      </c>
      <c r="CG64" s="298">
        <f t="shared" si="78"/>
        <v>24207</v>
      </c>
      <c r="CH64" s="297">
        <f t="shared" si="125"/>
        <v>0.91612403275626897</v>
      </c>
      <c r="CI64" s="1061"/>
      <c r="CJ64" s="651"/>
      <c r="CK64" s="651"/>
      <c r="CL64" s="651"/>
      <c r="CM64" s="651"/>
      <c r="CN64" s="651"/>
      <c r="CO64" s="464">
        <v>415</v>
      </c>
      <c r="CP64" s="465"/>
      <c r="CQ64" s="465">
        <f t="shared" si="36"/>
        <v>360</v>
      </c>
      <c r="CR64" s="465">
        <f t="shared" si="15"/>
        <v>55</v>
      </c>
      <c r="CS64" s="486">
        <f t="shared" si="140"/>
        <v>9.954841220282537E-2</v>
      </c>
      <c r="CT64" s="465">
        <f t="shared" si="81"/>
        <v>415</v>
      </c>
      <c r="CU64" s="486">
        <f t="shared" si="126"/>
        <v>1.5705848456803884E-2</v>
      </c>
      <c r="CV64" s="1069"/>
      <c r="CW64" s="427">
        <v>19</v>
      </c>
      <c r="CX64" s="427"/>
      <c r="CY64" s="427">
        <f t="shared" si="83"/>
        <v>19</v>
      </c>
      <c r="CZ64" s="427">
        <f t="shared" si="84"/>
        <v>0</v>
      </c>
      <c r="DA64" s="607">
        <f t="shared" si="141"/>
        <v>0</v>
      </c>
      <c r="DB64" s="607">
        <f t="shared" si="86"/>
        <v>26</v>
      </c>
      <c r="DC64" s="607">
        <f t="shared" si="127"/>
        <v>9.8398086717325526E-4</v>
      </c>
      <c r="DD64" s="1081"/>
      <c r="DE64" s="471">
        <v>5.6</v>
      </c>
      <c r="DF64" s="473"/>
      <c r="DG64" s="473">
        <f t="shared" si="37"/>
        <v>5.6</v>
      </c>
      <c r="DH64" s="473">
        <f t="shared" si="16"/>
        <v>0</v>
      </c>
      <c r="DI64" s="227">
        <f t="shared" si="142"/>
        <v>0</v>
      </c>
      <c r="DJ64" s="473">
        <f t="shared" si="89"/>
        <v>5.6</v>
      </c>
      <c r="DK64" s="227">
        <f t="shared" si="128"/>
        <v>2.1193434062193191E-4</v>
      </c>
      <c r="DL64" s="1084"/>
      <c r="DM64" s="63">
        <v>950</v>
      </c>
      <c r="DN64" s="64"/>
      <c r="DO64" s="66">
        <f t="shared" si="91"/>
        <v>950</v>
      </c>
      <c r="DP64" s="66">
        <f t="shared" si="17"/>
        <v>0</v>
      </c>
      <c r="DQ64" s="412">
        <f t="shared" si="143"/>
        <v>0</v>
      </c>
      <c r="DR64" s="66">
        <f t="shared" si="93"/>
        <v>8050</v>
      </c>
      <c r="DS64" s="412">
        <f t="shared" si="129"/>
        <v>0.30465561464402713</v>
      </c>
      <c r="DT64" s="1071"/>
      <c r="DU64" s="596">
        <v>200</v>
      </c>
      <c r="DV64" s="596"/>
      <c r="DW64" s="596">
        <f t="shared" si="38"/>
        <v>40</v>
      </c>
      <c r="DX64" s="596">
        <f t="shared" si="18"/>
        <v>160</v>
      </c>
      <c r="DY64" s="592">
        <f t="shared" si="144"/>
        <v>0.28959538095367376</v>
      </c>
      <c r="DZ64" s="596">
        <f t="shared" si="96"/>
        <v>2760</v>
      </c>
      <c r="EA64" s="592">
        <f t="shared" si="130"/>
        <v>0.10445335359223787</v>
      </c>
      <c r="EB64" s="1041"/>
      <c r="EC64" s="448">
        <v>155</v>
      </c>
      <c r="ED64" s="449"/>
      <c r="EE64" s="449">
        <f t="shared" si="39"/>
        <v>100</v>
      </c>
      <c r="EF64" s="449">
        <f t="shared" si="19"/>
        <v>55</v>
      </c>
      <c r="EG64" s="450">
        <f t="shared" si="145"/>
        <v>9.954841220282537E-2</v>
      </c>
      <c r="EH64" s="449">
        <f t="shared" si="99"/>
        <v>215</v>
      </c>
      <c r="EI64" s="450">
        <f t="shared" si="131"/>
        <v>8.1367648631634568E-3</v>
      </c>
      <c r="EJ64" s="1035"/>
      <c r="EK64" s="426">
        <v>420</v>
      </c>
      <c r="EL64" s="427">
        <v>3600</v>
      </c>
      <c r="EM64" s="427">
        <f t="shared" si="40"/>
        <v>3300</v>
      </c>
      <c r="EN64" s="427">
        <f t="shared" si="20"/>
        <v>720</v>
      </c>
      <c r="EO64" s="427">
        <f t="shared" si="41"/>
        <v>21372</v>
      </c>
      <c r="EP64" s="456">
        <v>84</v>
      </c>
      <c r="EQ64" s="457"/>
      <c r="ER64" s="457">
        <f t="shared" si="42"/>
        <v>70</v>
      </c>
      <c r="ES64" s="457">
        <f t="shared" si="21"/>
        <v>14</v>
      </c>
      <c r="ET64" s="457">
        <f t="shared" si="43"/>
        <v>378</v>
      </c>
      <c r="EU64" s="409">
        <v>100</v>
      </c>
      <c r="EV64" s="43"/>
      <c r="EW64" s="43">
        <f t="shared" si="44"/>
        <v>100</v>
      </c>
      <c r="EX64" s="43">
        <f t="shared" si="22"/>
        <v>0</v>
      </c>
      <c r="EY64" s="43">
        <f t="shared" si="45"/>
        <v>300</v>
      </c>
      <c r="EZ64" s="436">
        <v>0</v>
      </c>
      <c r="FA64" s="437"/>
      <c r="FB64" s="437">
        <f t="shared" si="46"/>
        <v>0</v>
      </c>
      <c r="FC64" s="437">
        <f t="shared" si="23"/>
        <v>0</v>
      </c>
      <c r="FD64" s="437">
        <f t="shared" si="47"/>
        <v>490</v>
      </c>
      <c r="FE64" s="442">
        <v>100</v>
      </c>
      <c r="FF64" s="443"/>
      <c r="FG64" s="443">
        <f t="shared" si="48"/>
        <v>75</v>
      </c>
      <c r="FH64" s="443">
        <f t="shared" si="24"/>
        <v>25</v>
      </c>
      <c r="FI64" s="443">
        <f t="shared" si="49"/>
        <v>525</v>
      </c>
      <c r="FJ64" s="392">
        <v>0</v>
      </c>
      <c r="FK64" s="298"/>
      <c r="FL64" s="298">
        <f t="shared" si="50"/>
        <v>0</v>
      </c>
      <c r="FM64" s="298">
        <f t="shared" si="25"/>
        <v>0</v>
      </c>
      <c r="FN64" s="498">
        <f t="shared" si="51"/>
        <v>900</v>
      </c>
      <c r="HC64" s="402"/>
      <c r="HD64" s="52"/>
      <c r="HE64" s="52">
        <f t="shared" si="52"/>
        <v>0</v>
      </c>
      <c r="HF64" s="52">
        <f t="shared" si="26"/>
        <v>0</v>
      </c>
      <c r="HG64" s="51"/>
      <c r="HH64" s="52">
        <f t="shared" si="101"/>
        <v>400</v>
      </c>
      <c r="HI64" s="51"/>
      <c r="HJ64" s="1047"/>
    </row>
    <row r="65" spans="1:218">
      <c r="A65" s="30">
        <v>44728</v>
      </c>
      <c r="B65" s="390">
        <v>588102</v>
      </c>
      <c r="C65" s="18">
        <f t="shared" si="118"/>
        <v>27011380</v>
      </c>
      <c r="D65" s="376">
        <v>7996.18</v>
      </c>
      <c r="E65" s="417">
        <f t="shared" si="109"/>
        <v>368852.15999999986</v>
      </c>
      <c r="F65" s="397">
        <v>44587</v>
      </c>
      <c r="G65" s="37"/>
      <c r="H65" s="37">
        <f t="shared" si="110"/>
        <v>42587</v>
      </c>
      <c r="I65" s="37">
        <f t="shared" si="111"/>
        <v>2000</v>
      </c>
      <c r="J65" s="37">
        <f t="shared" si="132"/>
        <v>250.11943202879374</v>
      </c>
      <c r="K65" s="37">
        <f t="shared" si="119"/>
        <v>182120</v>
      </c>
      <c r="L65" s="37">
        <f t="shared" si="112"/>
        <v>493.74795582056527</v>
      </c>
      <c r="M65" s="1055"/>
      <c r="N65" s="422">
        <v>250</v>
      </c>
      <c r="O65" s="423">
        <v>75</v>
      </c>
      <c r="P65" s="423">
        <f t="shared" si="113"/>
        <v>200</v>
      </c>
      <c r="Q65" s="423">
        <f t="shared" si="114"/>
        <v>125</v>
      </c>
      <c r="R65" s="423">
        <f t="shared" si="120"/>
        <v>4300</v>
      </c>
      <c r="S65" s="68">
        <v>8.34</v>
      </c>
      <c r="T65" s="67">
        <v>24</v>
      </c>
      <c r="U65" s="68">
        <f t="shared" si="53"/>
        <v>100.08</v>
      </c>
      <c r="V65" s="68">
        <f t="shared" si="133"/>
        <v>12.515976378720838</v>
      </c>
      <c r="W65" s="423">
        <f t="shared" si="54"/>
        <v>4246.1040000000003</v>
      </c>
      <c r="X65" s="68">
        <f t="shared" si="115"/>
        <v>11.511669065459726</v>
      </c>
      <c r="Y65" s="1055"/>
      <c r="Z65" s="424">
        <v>150</v>
      </c>
      <c r="AA65" s="425"/>
      <c r="AB65" s="425">
        <f t="shared" si="55"/>
        <v>125</v>
      </c>
      <c r="AC65" s="425">
        <f t="shared" si="56"/>
        <v>25</v>
      </c>
      <c r="AD65" s="425">
        <f t="shared" si="57"/>
        <v>675</v>
      </c>
      <c r="AE65" s="72">
        <v>2.56</v>
      </c>
      <c r="AF65" s="71">
        <v>12</v>
      </c>
      <c r="AG65" s="72">
        <f t="shared" si="58"/>
        <v>15.36</v>
      </c>
      <c r="AH65" s="72">
        <f t="shared" si="134"/>
        <v>1.9209172379811359</v>
      </c>
      <c r="AI65" s="425">
        <f t="shared" si="59"/>
        <v>643.07999999999993</v>
      </c>
      <c r="AJ65" s="72">
        <f t="shared" si="116"/>
        <v>1.7434627467004671</v>
      </c>
      <c r="AK65" s="1055"/>
      <c r="AL65" s="491">
        <v>9131</v>
      </c>
      <c r="AM65" s="491"/>
      <c r="AN65" s="492">
        <f t="shared" si="105"/>
        <v>9131</v>
      </c>
      <c r="AO65" s="492">
        <f t="shared" si="106"/>
        <v>0</v>
      </c>
      <c r="AP65" s="492">
        <f t="shared" si="107"/>
        <v>39102</v>
      </c>
      <c r="AQ65" s="493">
        <f t="shared" si="117"/>
        <v>106.00995260540162</v>
      </c>
      <c r="AR65" s="1055"/>
      <c r="AS65" s="413">
        <v>49235</v>
      </c>
      <c r="AT65" s="64"/>
      <c r="AU65" s="66">
        <f t="shared" si="61"/>
        <v>49235</v>
      </c>
      <c r="AV65" s="66">
        <f t="shared" si="11"/>
        <v>0</v>
      </c>
      <c r="AW65" s="412">
        <f t="shared" si="135"/>
        <v>0</v>
      </c>
      <c r="AX65" s="66">
        <f t="shared" si="63"/>
        <v>0</v>
      </c>
      <c r="AY65" s="412">
        <f t="shared" si="121"/>
        <v>0</v>
      </c>
      <c r="AZ65" s="1055"/>
      <c r="BA65" s="419">
        <v>45495</v>
      </c>
      <c r="BB65" s="419"/>
      <c r="BC65" s="407"/>
      <c r="BD65" s="419">
        <f t="shared" si="33"/>
        <v>45495</v>
      </c>
      <c r="BE65" s="419">
        <f t="shared" si="34"/>
        <v>0</v>
      </c>
      <c r="BF65" s="407">
        <f t="shared" si="136"/>
        <v>0</v>
      </c>
      <c r="BG65" s="419">
        <f t="shared" si="108"/>
        <v>0</v>
      </c>
      <c r="BH65" s="407">
        <f t="shared" si="122"/>
        <v>0</v>
      </c>
      <c r="BI65" s="407">
        <f t="shared" si="68"/>
        <v>0</v>
      </c>
      <c r="BJ65" s="1053"/>
      <c r="BK65" s="1055"/>
      <c r="BL65" s="49">
        <v>1474</v>
      </c>
      <c r="BM65" s="50"/>
      <c r="BN65" s="52">
        <f t="shared" si="69"/>
        <v>1311</v>
      </c>
      <c r="BO65" s="52">
        <f t="shared" si="12"/>
        <v>163</v>
      </c>
      <c r="BP65" s="406">
        <f t="shared" si="137"/>
        <v>0.27716280509163377</v>
      </c>
      <c r="BQ65" s="52">
        <f t="shared" si="71"/>
        <v>12089</v>
      </c>
      <c r="BR65" s="406">
        <f t="shared" si="123"/>
        <v>0.44755210581614119</v>
      </c>
      <c r="BS65" s="1055"/>
      <c r="BT65" s="409">
        <v>1265</v>
      </c>
      <c r="BU65" s="43"/>
      <c r="BV65" s="43">
        <f t="shared" si="102"/>
        <v>1167</v>
      </c>
      <c r="BW65" s="43">
        <f t="shared" si="103"/>
        <v>98</v>
      </c>
      <c r="BX65" s="42">
        <f t="shared" si="138"/>
        <v>0.16663776011644238</v>
      </c>
      <c r="BY65" s="43">
        <f t="shared" si="104"/>
        <v>4220</v>
      </c>
      <c r="BZ65" s="42">
        <f t="shared" si="124"/>
        <v>0.1562304480555973</v>
      </c>
      <c r="CA65" s="1058"/>
      <c r="CB65" s="392">
        <v>1093</v>
      </c>
      <c r="CC65" s="298"/>
      <c r="CD65" s="298">
        <f t="shared" si="35"/>
        <v>1093</v>
      </c>
      <c r="CE65" s="298">
        <f t="shared" si="14"/>
        <v>0</v>
      </c>
      <c r="CF65" s="297">
        <f t="shared" si="139"/>
        <v>0</v>
      </c>
      <c r="CG65" s="298">
        <f t="shared" si="78"/>
        <v>24207</v>
      </c>
      <c r="CH65" s="297">
        <f t="shared" si="125"/>
        <v>0.89617783319474975</v>
      </c>
      <c r="CI65" s="1061"/>
      <c r="CJ65" s="651"/>
      <c r="CK65" s="651"/>
      <c r="CL65" s="651"/>
      <c r="CM65" s="651"/>
      <c r="CN65" s="651"/>
      <c r="CO65" s="464">
        <f>9*40</f>
        <v>360</v>
      </c>
      <c r="CP65" s="465"/>
      <c r="CQ65" s="465">
        <f t="shared" si="36"/>
        <v>312</v>
      </c>
      <c r="CR65" s="465">
        <f t="shared" si="15"/>
        <v>48</v>
      </c>
      <c r="CS65" s="486">
        <f t="shared" si="140"/>
        <v>8.1618494750910556E-2</v>
      </c>
      <c r="CT65" s="465">
        <f t="shared" si="81"/>
        <v>463</v>
      </c>
      <c r="CU65" s="486">
        <f t="shared" si="126"/>
        <v>1.7140923566289469E-2</v>
      </c>
      <c r="CV65" s="1069"/>
      <c r="CW65" s="427">
        <v>19</v>
      </c>
      <c r="CX65" s="427"/>
      <c r="CY65" s="427">
        <f t="shared" si="83"/>
        <v>19</v>
      </c>
      <c r="CZ65" s="427">
        <f t="shared" si="84"/>
        <v>0</v>
      </c>
      <c r="DA65" s="607">
        <f t="shared" si="141"/>
        <v>0</v>
      </c>
      <c r="DB65" s="607">
        <f t="shared" si="86"/>
        <v>26</v>
      </c>
      <c r="DC65" s="607">
        <f t="shared" si="127"/>
        <v>9.6255726290178439E-4</v>
      </c>
      <c r="DD65" s="1081"/>
      <c r="DE65" s="471">
        <v>5.6</v>
      </c>
      <c r="DF65" s="473"/>
      <c r="DG65" s="473">
        <f t="shared" si="37"/>
        <v>5.6</v>
      </c>
      <c r="DH65" s="473">
        <f t="shared" si="16"/>
        <v>0</v>
      </c>
      <c r="DI65" s="227">
        <f t="shared" si="142"/>
        <v>0</v>
      </c>
      <c r="DJ65" s="473">
        <f t="shared" si="89"/>
        <v>5.6</v>
      </c>
      <c r="DK65" s="227">
        <f t="shared" si="128"/>
        <v>2.0732002585576893E-4</v>
      </c>
      <c r="DL65" s="1084"/>
      <c r="DM65" s="63">
        <v>950</v>
      </c>
      <c r="DN65" s="64"/>
      <c r="DO65" s="66">
        <f t="shared" si="91"/>
        <v>950</v>
      </c>
      <c r="DP65" s="66">
        <f t="shared" si="17"/>
        <v>0</v>
      </c>
      <c r="DQ65" s="412">
        <f t="shared" si="143"/>
        <v>0</v>
      </c>
      <c r="DR65" s="66">
        <f t="shared" si="93"/>
        <v>8050</v>
      </c>
      <c r="DS65" s="412">
        <f t="shared" si="129"/>
        <v>0.29802253716766786</v>
      </c>
      <c r="DT65" s="1071"/>
      <c r="DU65" s="596">
        <v>40</v>
      </c>
      <c r="DV65" s="596"/>
      <c r="DW65" s="596">
        <f t="shared" si="38"/>
        <v>40</v>
      </c>
      <c r="DX65" s="596">
        <f t="shared" si="18"/>
        <v>0</v>
      </c>
      <c r="DY65" s="592">
        <f t="shared" si="144"/>
        <v>0</v>
      </c>
      <c r="DZ65" s="596">
        <f t="shared" si="96"/>
        <v>2760</v>
      </c>
      <c r="EA65" s="592">
        <f t="shared" si="130"/>
        <v>0.10217915560034327</v>
      </c>
      <c r="EB65" s="1041"/>
      <c r="EC65" s="448">
        <v>100</v>
      </c>
      <c r="ED65" s="449"/>
      <c r="EE65" s="449">
        <f t="shared" si="39"/>
        <v>100</v>
      </c>
      <c r="EF65" s="449">
        <f t="shared" si="19"/>
        <v>0</v>
      </c>
      <c r="EG65" s="450">
        <f t="shared" si="145"/>
        <v>0</v>
      </c>
      <c r="EH65" s="449">
        <f t="shared" si="99"/>
        <v>215</v>
      </c>
      <c r="EI65" s="450">
        <f t="shared" si="131"/>
        <v>7.9596081355339868E-3</v>
      </c>
      <c r="EJ65" s="1035"/>
      <c r="EK65" s="426">
        <v>3300</v>
      </c>
      <c r="EL65" s="427"/>
      <c r="EM65" s="427">
        <f t="shared" si="40"/>
        <v>2520</v>
      </c>
      <c r="EN65" s="427">
        <f t="shared" si="20"/>
        <v>780</v>
      </c>
      <c r="EO65" s="427">
        <f t="shared" si="41"/>
        <v>22152</v>
      </c>
      <c r="EP65" s="456">
        <v>70</v>
      </c>
      <c r="EQ65" s="457"/>
      <c r="ER65" s="457">
        <f t="shared" si="42"/>
        <v>28</v>
      </c>
      <c r="ES65" s="457">
        <f t="shared" si="21"/>
        <v>42</v>
      </c>
      <c r="ET65" s="457">
        <f t="shared" si="43"/>
        <v>420</v>
      </c>
      <c r="EU65" s="409">
        <v>100</v>
      </c>
      <c r="EV65" s="43"/>
      <c r="EW65" s="43">
        <f t="shared" si="44"/>
        <v>100</v>
      </c>
      <c r="EX65" s="43">
        <f t="shared" si="22"/>
        <v>0</v>
      </c>
      <c r="EY65" s="43">
        <f t="shared" si="45"/>
        <v>300</v>
      </c>
      <c r="EZ65" s="436">
        <v>0</v>
      </c>
      <c r="FA65" s="437"/>
      <c r="FB65" s="437">
        <f t="shared" si="46"/>
        <v>0</v>
      </c>
      <c r="FC65" s="437">
        <f t="shared" si="23"/>
        <v>0</v>
      </c>
      <c r="FD65" s="437">
        <f t="shared" si="47"/>
        <v>490</v>
      </c>
      <c r="FE65" s="442">
        <v>75</v>
      </c>
      <c r="FF65" s="443"/>
      <c r="FG65" s="443">
        <f t="shared" si="48"/>
        <v>75</v>
      </c>
      <c r="FH65" s="443">
        <f t="shared" si="24"/>
        <v>0</v>
      </c>
      <c r="FI65" s="443">
        <f t="shared" si="49"/>
        <v>525</v>
      </c>
      <c r="FJ65" s="392">
        <v>0</v>
      </c>
      <c r="FK65" s="298"/>
      <c r="FL65" s="298">
        <f t="shared" si="50"/>
        <v>0</v>
      </c>
      <c r="FM65" s="298">
        <f t="shared" si="25"/>
        <v>0</v>
      </c>
      <c r="FN65" s="498">
        <f t="shared" si="51"/>
        <v>900</v>
      </c>
      <c r="HC65" s="402"/>
      <c r="HD65" s="52"/>
      <c r="HE65" s="52">
        <f t="shared" si="52"/>
        <v>0</v>
      </c>
      <c r="HF65" s="52">
        <f t="shared" si="26"/>
        <v>0</v>
      </c>
      <c r="HG65" s="51"/>
      <c r="HH65" s="52">
        <f t="shared" si="101"/>
        <v>400</v>
      </c>
      <c r="HI65" s="51"/>
      <c r="HJ65" s="1047"/>
    </row>
    <row r="66" spans="1:218">
      <c r="A66" s="30">
        <v>44729</v>
      </c>
      <c r="B66" s="390">
        <v>628816</v>
      </c>
      <c r="C66" s="18">
        <f t="shared" si="118"/>
        <v>27640196</v>
      </c>
      <c r="D66" s="376">
        <v>5827.72</v>
      </c>
      <c r="E66" s="417">
        <f t="shared" si="109"/>
        <v>374679.87999999983</v>
      </c>
      <c r="F66" s="397">
        <v>42587</v>
      </c>
      <c r="G66" s="37"/>
      <c r="H66" s="37">
        <f t="shared" si="110"/>
        <v>40587</v>
      </c>
      <c r="I66" s="37">
        <f t="shared" si="111"/>
        <v>2000</v>
      </c>
      <c r="J66" s="37">
        <f t="shared" si="132"/>
        <v>343.18738717714643</v>
      </c>
      <c r="K66" s="37">
        <f t="shared" si="119"/>
        <v>184120</v>
      </c>
      <c r="L66" s="37">
        <f t="shared" si="112"/>
        <v>491.40615717075622</v>
      </c>
      <c r="M66" s="1055"/>
      <c r="N66" s="422">
        <v>200</v>
      </c>
      <c r="O66" s="423"/>
      <c r="P66" s="423">
        <f t="shared" si="113"/>
        <v>150</v>
      </c>
      <c r="Q66" s="423">
        <f t="shared" si="114"/>
        <v>50</v>
      </c>
      <c r="R66" s="423">
        <f t="shared" si="120"/>
        <v>4350</v>
      </c>
      <c r="S66" s="68">
        <v>6.1</v>
      </c>
      <c r="T66" s="67">
        <v>24</v>
      </c>
      <c r="U66" s="68">
        <f t="shared" si="53"/>
        <v>73.199999999999989</v>
      </c>
      <c r="V66" s="68">
        <f t="shared" si="133"/>
        <v>12.560658370683557</v>
      </c>
      <c r="W66" s="423">
        <f t="shared" si="54"/>
        <v>4319.3040000000001</v>
      </c>
      <c r="X66" s="68">
        <f t="shared" si="115"/>
        <v>11.527984902738845</v>
      </c>
      <c r="Y66" s="1055"/>
      <c r="Z66" s="424">
        <v>125</v>
      </c>
      <c r="AA66" s="425"/>
      <c r="AB66" s="425">
        <f t="shared" si="55"/>
        <v>125</v>
      </c>
      <c r="AC66" s="425">
        <f t="shared" si="56"/>
        <v>0</v>
      </c>
      <c r="AD66" s="425">
        <f t="shared" si="57"/>
        <v>675</v>
      </c>
      <c r="AE66" s="72">
        <v>2.39</v>
      </c>
      <c r="AF66" s="71">
        <v>12</v>
      </c>
      <c r="AG66" s="72">
        <f t="shared" si="58"/>
        <v>14.34</v>
      </c>
      <c r="AH66" s="72">
        <f t="shared" si="134"/>
        <v>2.4606535660601399</v>
      </c>
      <c r="AI66" s="425">
        <f t="shared" si="59"/>
        <v>657.42</v>
      </c>
      <c r="AJ66" s="72">
        <f t="shared" si="116"/>
        <v>1.7546178353638853</v>
      </c>
      <c r="AK66" s="1055"/>
      <c r="AL66" s="491">
        <v>9131</v>
      </c>
      <c r="AM66" s="491"/>
      <c r="AN66" s="492">
        <f t="shared" si="105"/>
        <v>9131</v>
      </c>
      <c r="AO66" s="492">
        <f t="shared" si="106"/>
        <v>0</v>
      </c>
      <c r="AP66" s="492">
        <f t="shared" si="107"/>
        <v>39102</v>
      </c>
      <c r="AQ66" s="493">
        <f t="shared" si="117"/>
        <v>104.36108819080442</v>
      </c>
      <c r="AR66" s="1055"/>
      <c r="AS66" s="413">
        <v>49235</v>
      </c>
      <c r="AT66" s="64"/>
      <c r="AU66" s="66">
        <f t="shared" si="61"/>
        <v>49235</v>
      </c>
      <c r="AV66" s="66">
        <f t="shared" si="11"/>
        <v>0</v>
      </c>
      <c r="AW66" s="412">
        <f t="shared" si="135"/>
        <v>0</v>
      </c>
      <c r="AX66" s="66">
        <f t="shared" si="63"/>
        <v>0</v>
      </c>
      <c r="AY66" s="412">
        <f t="shared" si="121"/>
        <v>0</v>
      </c>
      <c r="AZ66" s="1055"/>
      <c r="BA66" s="419">
        <v>45495</v>
      </c>
      <c r="BB66" s="419"/>
      <c r="BC66" s="407"/>
      <c r="BD66" s="419">
        <f t="shared" si="33"/>
        <v>45495</v>
      </c>
      <c r="BE66" s="419">
        <f t="shared" si="34"/>
        <v>0</v>
      </c>
      <c r="BF66" s="407">
        <f t="shared" si="136"/>
        <v>0</v>
      </c>
      <c r="BG66" s="419">
        <f t="shared" si="108"/>
        <v>0</v>
      </c>
      <c r="BH66" s="407">
        <f t="shared" si="122"/>
        <v>0</v>
      </c>
      <c r="BI66" s="407">
        <f t="shared" si="68"/>
        <v>0</v>
      </c>
      <c r="BJ66" s="1053"/>
      <c r="BK66" s="1055"/>
      <c r="BL66" s="49">
        <v>1311</v>
      </c>
      <c r="BM66" s="50">
        <v>900</v>
      </c>
      <c r="BN66" s="52">
        <f t="shared" si="69"/>
        <v>1954</v>
      </c>
      <c r="BO66" s="52">
        <f t="shared" si="12"/>
        <v>257</v>
      </c>
      <c r="BP66" s="406">
        <f t="shared" si="137"/>
        <v>0.40870461311417011</v>
      </c>
      <c r="BQ66" s="52">
        <f t="shared" si="71"/>
        <v>12346</v>
      </c>
      <c r="BR66" s="406">
        <f t="shared" si="123"/>
        <v>0.44666832319134059</v>
      </c>
      <c r="BS66" s="1055"/>
      <c r="BT66" s="409">
        <v>1167</v>
      </c>
      <c r="BU66" s="43"/>
      <c r="BV66" s="43">
        <f t="shared" si="102"/>
        <v>1070</v>
      </c>
      <c r="BW66" s="43">
        <f t="shared" si="103"/>
        <v>97</v>
      </c>
      <c r="BX66" s="42">
        <f t="shared" si="138"/>
        <v>0.15425816136993969</v>
      </c>
      <c r="BY66" s="43">
        <f t="shared" si="104"/>
        <v>4317</v>
      </c>
      <c r="BZ66" s="42">
        <f t="shared" si="124"/>
        <v>0.15618557842353939</v>
      </c>
      <c r="CA66" s="1058"/>
      <c r="CB66" s="392">
        <v>1093</v>
      </c>
      <c r="CC66" s="298"/>
      <c r="CD66" s="298">
        <f t="shared" si="35"/>
        <v>1093</v>
      </c>
      <c r="CE66" s="298">
        <f t="shared" si="14"/>
        <v>0</v>
      </c>
      <c r="CF66" s="297">
        <f t="shared" si="139"/>
        <v>0</v>
      </c>
      <c r="CG66" s="298">
        <f t="shared" si="78"/>
        <v>24207</v>
      </c>
      <c r="CH66" s="297">
        <f t="shared" si="125"/>
        <v>0.87578973752573974</v>
      </c>
      <c r="CI66" s="1061"/>
      <c r="CJ66" s="651"/>
      <c r="CK66" s="651"/>
      <c r="CL66" s="651"/>
      <c r="CM66" s="651"/>
      <c r="CN66" s="651"/>
      <c r="CO66" s="464">
        <v>312</v>
      </c>
      <c r="CP66" s="465"/>
      <c r="CQ66" s="465">
        <f t="shared" si="36"/>
        <v>280</v>
      </c>
      <c r="CR66" s="465">
        <f t="shared" si="15"/>
        <v>32</v>
      </c>
      <c r="CS66" s="486">
        <f t="shared" si="140"/>
        <v>5.0889290348846088E-2</v>
      </c>
      <c r="CT66" s="465">
        <f t="shared" si="81"/>
        <v>495</v>
      </c>
      <c r="CU66" s="486">
        <f t="shared" si="126"/>
        <v>1.7908700792136207E-2</v>
      </c>
      <c r="CV66" s="1069"/>
      <c r="CW66" s="427">
        <v>19</v>
      </c>
      <c r="CX66" s="427"/>
      <c r="CY66" s="427">
        <f t="shared" si="83"/>
        <v>19</v>
      </c>
      <c r="CZ66" s="427">
        <f t="shared" si="84"/>
        <v>0</v>
      </c>
      <c r="DA66" s="607">
        <f t="shared" si="141"/>
        <v>0</v>
      </c>
      <c r="DB66" s="607">
        <f t="shared" si="86"/>
        <v>26</v>
      </c>
      <c r="DC66" s="607">
        <f t="shared" si="127"/>
        <v>9.406590315061442E-4</v>
      </c>
      <c r="DD66" s="1081"/>
      <c r="DE66" s="471">
        <v>5.6</v>
      </c>
      <c r="DF66" s="473"/>
      <c r="DG66" s="473">
        <f t="shared" si="37"/>
        <v>5.6</v>
      </c>
      <c r="DH66" s="473">
        <f t="shared" si="16"/>
        <v>0</v>
      </c>
      <c r="DI66" s="227">
        <f t="shared" si="142"/>
        <v>0</v>
      </c>
      <c r="DJ66" s="473">
        <f t="shared" si="89"/>
        <v>5.6</v>
      </c>
      <c r="DK66" s="227">
        <f t="shared" si="128"/>
        <v>2.0260348370901567E-4</v>
      </c>
      <c r="DL66" s="1084"/>
      <c r="DM66" s="63">
        <v>950</v>
      </c>
      <c r="DN66" s="64"/>
      <c r="DO66" s="66">
        <f t="shared" si="91"/>
        <v>950</v>
      </c>
      <c r="DP66" s="66">
        <f t="shared" si="17"/>
        <v>0</v>
      </c>
      <c r="DQ66" s="412">
        <f t="shared" si="143"/>
        <v>0</v>
      </c>
      <c r="DR66" s="66">
        <f t="shared" si="93"/>
        <v>8050</v>
      </c>
      <c r="DS66" s="412">
        <f t="shared" si="129"/>
        <v>0.29124250783171002</v>
      </c>
      <c r="DT66" s="1071"/>
      <c r="DU66" s="596">
        <v>40</v>
      </c>
      <c r="DV66" s="596"/>
      <c r="DW66" s="596">
        <f t="shared" si="38"/>
        <v>40</v>
      </c>
      <c r="DX66" s="596">
        <f t="shared" si="18"/>
        <v>0</v>
      </c>
      <c r="DY66" s="592">
        <f t="shared" si="144"/>
        <v>0</v>
      </c>
      <c r="DZ66" s="596">
        <f t="shared" si="96"/>
        <v>2760</v>
      </c>
      <c r="EA66" s="592">
        <f t="shared" si="130"/>
        <v>9.9854574113729153E-2</v>
      </c>
      <c r="EB66" s="1041"/>
      <c r="EC66" s="448">
        <v>100</v>
      </c>
      <c r="ED66" s="449"/>
      <c r="EE66" s="449">
        <f t="shared" si="39"/>
        <v>100</v>
      </c>
      <c r="EF66" s="449">
        <f t="shared" si="19"/>
        <v>0</v>
      </c>
      <c r="EG66" s="450">
        <f t="shared" si="145"/>
        <v>0</v>
      </c>
      <c r="EH66" s="449">
        <f t="shared" si="99"/>
        <v>215</v>
      </c>
      <c r="EI66" s="450">
        <f t="shared" si="131"/>
        <v>7.7785266066854233E-3</v>
      </c>
      <c r="EJ66" s="1035"/>
      <c r="EK66" s="426">
        <v>2520</v>
      </c>
      <c r="EL66" s="427"/>
      <c r="EM66" s="427">
        <f t="shared" si="40"/>
        <v>1680</v>
      </c>
      <c r="EN66" s="427">
        <f t="shared" si="20"/>
        <v>840</v>
      </c>
      <c r="EO66" s="427">
        <f t="shared" si="41"/>
        <v>22992</v>
      </c>
      <c r="EP66" s="456">
        <v>28</v>
      </c>
      <c r="EQ66" s="457"/>
      <c r="ER66" s="457">
        <f t="shared" si="42"/>
        <v>28</v>
      </c>
      <c r="ES66" s="457">
        <f t="shared" si="21"/>
        <v>0</v>
      </c>
      <c r="ET66" s="457">
        <f t="shared" si="43"/>
        <v>420</v>
      </c>
      <c r="EU66" s="409">
        <v>100</v>
      </c>
      <c r="EV66" s="43"/>
      <c r="EW66" s="43">
        <f t="shared" si="44"/>
        <v>100</v>
      </c>
      <c r="EX66" s="43">
        <f t="shared" si="22"/>
        <v>0</v>
      </c>
      <c r="EY66" s="43">
        <f t="shared" si="45"/>
        <v>300</v>
      </c>
      <c r="EZ66" s="436">
        <v>0</v>
      </c>
      <c r="FA66" s="437"/>
      <c r="FB66" s="437">
        <f t="shared" si="46"/>
        <v>0</v>
      </c>
      <c r="FC66" s="437">
        <f t="shared" si="23"/>
        <v>0</v>
      </c>
      <c r="FD66" s="437">
        <f t="shared" si="47"/>
        <v>490</v>
      </c>
      <c r="FE66" s="442">
        <v>75</v>
      </c>
      <c r="FF66" s="443"/>
      <c r="FG66" s="443">
        <f t="shared" si="48"/>
        <v>75</v>
      </c>
      <c r="FH66" s="443">
        <f t="shared" si="24"/>
        <v>0</v>
      </c>
      <c r="FI66" s="443">
        <f t="shared" si="49"/>
        <v>525</v>
      </c>
      <c r="FJ66" s="392">
        <v>0</v>
      </c>
      <c r="FK66" s="298"/>
      <c r="FL66" s="298">
        <f t="shared" si="50"/>
        <v>0</v>
      </c>
      <c r="FM66" s="298">
        <f t="shared" si="25"/>
        <v>0</v>
      </c>
      <c r="FN66" s="498">
        <f t="shared" si="51"/>
        <v>900</v>
      </c>
      <c r="HC66" s="402"/>
      <c r="HD66" s="52"/>
      <c r="HE66" s="52">
        <f t="shared" si="52"/>
        <v>0</v>
      </c>
      <c r="HF66" s="52">
        <f t="shared" si="26"/>
        <v>0</v>
      </c>
      <c r="HG66" s="51"/>
      <c r="HH66" s="52">
        <f t="shared" si="101"/>
        <v>400</v>
      </c>
      <c r="HI66" s="51"/>
      <c r="HJ66" s="1047"/>
    </row>
    <row r="67" spans="1:218">
      <c r="A67" s="30">
        <v>44730</v>
      </c>
      <c r="B67" s="390">
        <v>119303</v>
      </c>
      <c r="C67" s="18">
        <f t="shared" si="118"/>
        <v>27759499</v>
      </c>
      <c r="D67" s="376">
        <v>0</v>
      </c>
      <c r="E67" s="417">
        <f t="shared" si="109"/>
        <v>374679.87999999983</v>
      </c>
      <c r="F67" s="397">
        <v>40587</v>
      </c>
      <c r="G67" s="37"/>
      <c r="H67" s="37">
        <f t="shared" si="110"/>
        <v>40587</v>
      </c>
      <c r="I67" s="37">
        <f t="shared" si="111"/>
        <v>0</v>
      </c>
      <c r="J67" s="37" t="e">
        <f t="shared" ref="J67:J131" si="146">I67*1000/D67</f>
        <v>#DIV/0!</v>
      </c>
      <c r="K67" s="37">
        <f t="shared" si="119"/>
        <v>184120</v>
      </c>
      <c r="L67" s="37">
        <f t="shared" si="112"/>
        <v>491.40615717075622</v>
      </c>
      <c r="M67" s="1055"/>
      <c r="N67" s="422">
        <v>150</v>
      </c>
      <c r="O67" s="423"/>
      <c r="P67" s="423">
        <f t="shared" si="113"/>
        <v>150</v>
      </c>
      <c r="Q67" s="423">
        <f t="shared" si="114"/>
        <v>0</v>
      </c>
      <c r="R67" s="423">
        <f t="shared" si="120"/>
        <v>4350</v>
      </c>
      <c r="S67" s="68">
        <v>0</v>
      </c>
      <c r="T67" s="67">
        <v>24</v>
      </c>
      <c r="U67" s="68">
        <f t="shared" si="53"/>
        <v>0</v>
      </c>
      <c r="V67" s="68" t="e">
        <f t="shared" si="133"/>
        <v>#DIV/0!</v>
      </c>
      <c r="W67" s="423">
        <f t="shared" si="54"/>
        <v>4319.3040000000001</v>
      </c>
      <c r="X67" s="68">
        <f t="shared" si="115"/>
        <v>11.527984902738845</v>
      </c>
      <c r="Y67" s="1055"/>
      <c r="Z67" s="424">
        <v>125</v>
      </c>
      <c r="AA67" s="425"/>
      <c r="AB67" s="425">
        <f t="shared" si="55"/>
        <v>125</v>
      </c>
      <c r="AC67" s="425">
        <f t="shared" si="56"/>
        <v>0</v>
      </c>
      <c r="AD67" s="425">
        <f t="shared" si="57"/>
        <v>675</v>
      </c>
      <c r="AE67" s="72">
        <v>0</v>
      </c>
      <c r="AF67" s="71">
        <v>12</v>
      </c>
      <c r="AG67" s="72">
        <f t="shared" si="58"/>
        <v>0</v>
      </c>
      <c r="AH67" s="72" t="e">
        <f t="shared" si="134"/>
        <v>#DIV/0!</v>
      </c>
      <c r="AI67" s="425">
        <f t="shared" si="59"/>
        <v>657.42</v>
      </c>
      <c r="AJ67" s="72">
        <f t="shared" si="116"/>
        <v>1.7546178353638853</v>
      </c>
      <c r="AK67" s="1055"/>
      <c r="AL67" s="491">
        <v>9131</v>
      </c>
      <c r="AM67" s="491">
        <v>35340</v>
      </c>
      <c r="AN67" s="492">
        <f t="shared" si="105"/>
        <v>44471</v>
      </c>
      <c r="AO67" s="492">
        <f t="shared" si="106"/>
        <v>0</v>
      </c>
      <c r="AP67" s="492">
        <f t="shared" si="107"/>
        <v>39102</v>
      </c>
      <c r="AQ67" s="493">
        <f t="shared" si="117"/>
        <v>104.36108819080442</v>
      </c>
      <c r="AR67" s="1055"/>
      <c r="AS67" s="413">
        <v>49235</v>
      </c>
      <c r="AT67" s="64"/>
      <c r="AU67" s="66">
        <f t="shared" si="61"/>
        <v>49235</v>
      </c>
      <c r="AV67" s="66">
        <f t="shared" si="11"/>
        <v>0</v>
      </c>
      <c r="AW67" s="412">
        <f t="shared" si="135"/>
        <v>0</v>
      </c>
      <c r="AX67" s="66">
        <f t="shared" si="63"/>
        <v>0</v>
      </c>
      <c r="AY67" s="412">
        <f t="shared" si="121"/>
        <v>0</v>
      </c>
      <c r="AZ67" s="1055"/>
      <c r="BA67" s="419">
        <v>45495</v>
      </c>
      <c r="BB67" s="419"/>
      <c r="BC67" s="407"/>
      <c r="BD67" s="419">
        <f t="shared" si="33"/>
        <v>45495</v>
      </c>
      <c r="BE67" s="419">
        <f t="shared" si="34"/>
        <v>0</v>
      </c>
      <c r="BF67" s="407">
        <f t="shared" si="136"/>
        <v>0</v>
      </c>
      <c r="BG67" s="419">
        <f t="shared" si="108"/>
        <v>0</v>
      </c>
      <c r="BH67" s="407">
        <f t="shared" si="122"/>
        <v>0</v>
      </c>
      <c r="BI67" s="407">
        <f t="shared" si="68"/>
        <v>0</v>
      </c>
      <c r="BJ67" s="1053"/>
      <c r="BK67" s="1055"/>
      <c r="BL67" s="49">
        <v>1954</v>
      </c>
      <c r="BM67" s="50"/>
      <c r="BN67" s="52">
        <f t="shared" si="69"/>
        <v>1937</v>
      </c>
      <c r="BO67" s="52">
        <f t="shared" si="12"/>
        <v>17</v>
      </c>
      <c r="BP67" s="406">
        <f t="shared" si="137"/>
        <v>0.14249432118219996</v>
      </c>
      <c r="BQ67" s="52">
        <f t="shared" si="71"/>
        <v>12363</v>
      </c>
      <c r="BR67" s="406">
        <f t="shared" si="123"/>
        <v>0.44536106361285555</v>
      </c>
      <c r="BS67" s="1055"/>
      <c r="BT67" s="409">
        <v>1070</v>
      </c>
      <c r="BU67" s="43"/>
      <c r="BV67" s="43">
        <f t="shared" si="102"/>
        <v>1070</v>
      </c>
      <c r="BW67" s="43">
        <f t="shared" si="103"/>
        <v>0</v>
      </c>
      <c r="BX67" s="42">
        <f t="shared" si="138"/>
        <v>0</v>
      </c>
      <c r="BY67" s="43">
        <f t="shared" si="104"/>
        <v>4317</v>
      </c>
      <c r="BZ67" s="42">
        <f t="shared" si="124"/>
        <v>0.15551433403030795</v>
      </c>
      <c r="CA67" s="1058"/>
      <c r="CB67" s="392">
        <v>1093</v>
      </c>
      <c r="CC67" s="298"/>
      <c r="CD67" s="298">
        <f t="shared" si="35"/>
        <v>1093</v>
      </c>
      <c r="CE67" s="298">
        <f t="shared" si="14"/>
        <v>0</v>
      </c>
      <c r="CF67" s="297">
        <f t="shared" si="139"/>
        <v>0</v>
      </c>
      <c r="CG67" s="298">
        <f t="shared" si="78"/>
        <v>24207</v>
      </c>
      <c r="CH67" s="297">
        <f t="shared" si="125"/>
        <v>0.87202582438537524</v>
      </c>
      <c r="CI67" s="1061"/>
      <c r="CJ67" s="651"/>
      <c r="CK67" s="651"/>
      <c r="CL67" s="651"/>
      <c r="CM67" s="651"/>
      <c r="CN67" s="651"/>
      <c r="CO67" s="464">
        <v>280</v>
      </c>
      <c r="CP67" s="465"/>
      <c r="CQ67" s="465">
        <f t="shared" si="36"/>
        <v>240</v>
      </c>
      <c r="CR67" s="465">
        <f t="shared" si="15"/>
        <v>40</v>
      </c>
      <c r="CS67" s="486">
        <f t="shared" si="140"/>
        <v>0.3352807557228234</v>
      </c>
      <c r="CT67" s="465">
        <f t="shared" si="81"/>
        <v>535</v>
      </c>
      <c r="CU67" s="486">
        <f t="shared" si="126"/>
        <v>1.9272682118650627E-2</v>
      </c>
      <c r="CV67" s="1069"/>
      <c r="CW67" s="427">
        <v>19</v>
      </c>
      <c r="CX67" s="427"/>
      <c r="CY67" s="427">
        <f t="shared" si="83"/>
        <v>19</v>
      </c>
      <c r="CZ67" s="427">
        <f t="shared" si="84"/>
        <v>0</v>
      </c>
      <c r="DA67" s="607">
        <f t="shared" si="141"/>
        <v>0</v>
      </c>
      <c r="DB67" s="607">
        <f t="shared" si="86"/>
        <v>26</v>
      </c>
      <c r="DC67" s="607">
        <f t="shared" si="127"/>
        <v>9.3661632726152585E-4</v>
      </c>
      <c r="DD67" s="1081"/>
      <c r="DE67" s="471">
        <v>5.6</v>
      </c>
      <c r="DF67" s="473"/>
      <c r="DG67" s="473">
        <f t="shared" si="37"/>
        <v>5.6</v>
      </c>
      <c r="DH67" s="473">
        <f t="shared" si="16"/>
        <v>0</v>
      </c>
      <c r="DI67" s="227">
        <f t="shared" si="142"/>
        <v>0</v>
      </c>
      <c r="DJ67" s="473">
        <f t="shared" si="89"/>
        <v>5.6</v>
      </c>
      <c r="DK67" s="227">
        <f t="shared" si="128"/>
        <v>2.0173274741017481E-4</v>
      </c>
      <c r="DL67" s="1084"/>
      <c r="DM67" s="63">
        <v>950</v>
      </c>
      <c r="DN67" s="64"/>
      <c r="DO67" s="66">
        <f t="shared" si="91"/>
        <v>950</v>
      </c>
      <c r="DP67" s="66">
        <f t="shared" si="17"/>
        <v>0</v>
      </c>
      <c r="DQ67" s="412">
        <f t="shared" si="143"/>
        <v>0</v>
      </c>
      <c r="DR67" s="66">
        <f t="shared" si="93"/>
        <v>8050</v>
      </c>
      <c r="DS67" s="412">
        <f t="shared" si="129"/>
        <v>0.28999082440212626</v>
      </c>
      <c r="DT67" s="1071"/>
      <c r="DU67" s="596">
        <v>40</v>
      </c>
      <c r="DV67" s="596"/>
      <c r="DW67" s="596">
        <f t="shared" si="38"/>
        <v>40</v>
      </c>
      <c r="DX67" s="596">
        <f t="shared" si="18"/>
        <v>0</v>
      </c>
      <c r="DY67" s="592">
        <f t="shared" si="144"/>
        <v>0</v>
      </c>
      <c r="DZ67" s="596">
        <f t="shared" si="96"/>
        <v>2760</v>
      </c>
      <c r="EA67" s="592">
        <f t="shared" si="130"/>
        <v>9.9425425509300433E-2</v>
      </c>
      <c r="EB67" s="1041"/>
      <c r="EC67" s="448">
        <v>100</v>
      </c>
      <c r="ED67" s="449"/>
      <c r="EE67" s="449">
        <f t="shared" si="39"/>
        <v>100</v>
      </c>
      <c r="EF67" s="449">
        <f t="shared" si="19"/>
        <v>0</v>
      </c>
      <c r="EG67" s="450">
        <f t="shared" si="145"/>
        <v>0</v>
      </c>
      <c r="EH67" s="449">
        <f t="shared" si="99"/>
        <v>215</v>
      </c>
      <c r="EI67" s="450">
        <f t="shared" si="131"/>
        <v>7.7450965523549256E-3</v>
      </c>
      <c r="EJ67" s="1035"/>
      <c r="EK67" s="426">
        <v>1680</v>
      </c>
      <c r="EL67" s="427">
        <v>1200</v>
      </c>
      <c r="EM67" s="427">
        <f t="shared" si="40"/>
        <v>2748</v>
      </c>
      <c r="EN67" s="427">
        <f t="shared" si="20"/>
        <v>132</v>
      </c>
      <c r="EO67" s="427">
        <f t="shared" si="41"/>
        <v>23124</v>
      </c>
      <c r="EP67" s="456">
        <v>28</v>
      </c>
      <c r="EQ67" s="457"/>
      <c r="ER67" s="457">
        <f t="shared" si="42"/>
        <v>14</v>
      </c>
      <c r="ES67" s="457">
        <f t="shared" si="21"/>
        <v>14</v>
      </c>
      <c r="ET67" s="457">
        <f t="shared" si="43"/>
        <v>434</v>
      </c>
      <c r="EU67" s="409">
        <v>100</v>
      </c>
      <c r="EV67" s="43"/>
      <c r="EW67" s="43">
        <f t="shared" si="44"/>
        <v>80</v>
      </c>
      <c r="EX67" s="43">
        <f t="shared" si="22"/>
        <v>20</v>
      </c>
      <c r="EY67" s="43">
        <f t="shared" si="45"/>
        <v>320</v>
      </c>
      <c r="EZ67" s="436">
        <v>0</v>
      </c>
      <c r="FA67" s="437"/>
      <c r="FB67" s="437">
        <f t="shared" si="46"/>
        <v>0</v>
      </c>
      <c r="FC67" s="437">
        <f t="shared" si="23"/>
        <v>0</v>
      </c>
      <c r="FD67" s="437">
        <f t="shared" si="47"/>
        <v>490</v>
      </c>
      <c r="FE67" s="442">
        <v>75</v>
      </c>
      <c r="FF67" s="443"/>
      <c r="FG67" s="443">
        <f t="shared" si="48"/>
        <v>75</v>
      </c>
      <c r="FH67" s="443">
        <f t="shared" si="24"/>
        <v>0</v>
      </c>
      <c r="FI67" s="443">
        <f t="shared" si="49"/>
        <v>525</v>
      </c>
      <c r="FJ67" s="392">
        <v>0</v>
      </c>
      <c r="FK67" s="298"/>
      <c r="FL67" s="298">
        <f t="shared" si="50"/>
        <v>0</v>
      </c>
      <c r="FM67" s="298">
        <f t="shared" si="25"/>
        <v>0</v>
      </c>
      <c r="FN67" s="498">
        <f t="shared" si="51"/>
        <v>900</v>
      </c>
      <c r="HC67" s="402"/>
      <c r="HD67" s="52"/>
      <c r="HE67" s="52">
        <f t="shared" si="52"/>
        <v>0</v>
      </c>
      <c r="HF67" s="52">
        <f t="shared" si="26"/>
        <v>0</v>
      </c>
      <c r="HG67" s="51"/>
      <c r="HH67" s="52">
        <f t="shared" si="101"/>
        <v>400</v>
      </c>
      <c r="HI67" s="51"/>
      <c r="HJ67" s="1047"/>
    </row>
    <row r="68" spans="1:218">
      <c r="A68" s="30">
        <v>44731</v>
      </c>
      <c r="B68" s="390">
        <v>0</v>
      </c>
      <c r="C68" s="18">
        <f t="shared" ref="C68:C131" si="147">C67+B68</f>
        <v>27759499</v>
      </c>
      <c r="D68" s="376">
        <v>0</v>
      </c>
      <c r="E68" s="417">
        <f t="shared" si="109"/>
        <v>374679.87999999983</v>
      </c>
      <c r="F68" s="397">
        <v>40587</v>
      </c>
      <c r="G68" s="37"/>
      <c r="H68" s="37">
        <f t="shared" si="110"/>
        <v>40587</v>
      </c>
      <c r="I68" s="37">
        <f t="shared" ref="I68:I131" si="148">F68+G68-H68</f>
        <v>0</v>
      </c>
      <c r="J68" s="37" t="e">
        <f t="shared" si="146"/>
        <v>#DIV/0!</v>
      </c>
      <c r="K68" s="37">
        <f t="shared" si="119"/>
        <v>184120</v>
      </c>
      <c r="L68" s="37">
        <f t="shared" ref="L68:L131" si="149">K68*1000/E68</f>
        <v>491.40615717075622</v>
      </c>
      <c r="M68" s="1055"/>
      <c r="N68" s="422">
        <v>150</v>
      </c>
      <c r="O68" s="423"/>
      <c r="P68" s="423">
        <f t="shared" si="113"/>
        <v>150</v>
      </c>
      <c r="Q68" s="423">
        <f t="shared" ref="Q68:Q69" si="150">N68+O68-P68</f>
        <v>0</v>
      </c>
      <c r="R68" s="423">
        <f t="shared" si="120"/>
        <v>4350</v>
      </c>
      <c r="S68" s="68">
        <v>0</v>
      </c>
      <c r="T68" s="67">
        <v>24</v>
      </c>
      <c r="U68" s="68">
        <f t="shared" si="53"/>
        <v>0</v>
      </c>
      <c r="V68" s="68" t="e">
        <f t="shared" ref="V68:V131" si="151">U68*1000/D68</f>
        <v>#DIV/0!</v>
      </c>
      <c r="W68" s="423">
        <f t="shared" si="54"/>
        <v>4319.3040000000001</v>
      </c>
      <c r="X68" s="68">
        <f t="shared" ref="X68:X131" si="152">W68*1000/E68</f>
        <v>11.527984902738845</v>
      </c>
      <c r="Y68" s="1055"/>
      <c r="Z68" s="424">
        <v>125</v>
      </c>
      <c r="AA68" s="425"/>
      <c r="AB68" s="425">
        <f t="shared" si="55"/>
        <v>125</v>
      </c>
      <c r="AC68" s="425">
        <f t="shared" si="56"/>
        <v>0</v>
      </c>
      <c r="AD68" s="425">
        <f t="shared" si="57"/>
        <v>675</v>
      </c>
      <c r="AE68" s="72">
        <v>0</v>
      </c>
      <c r="AF68" s="71">
        <v>12</v>
      </c>
      <c r="AG68" s="72">
        <f t="shared" si="58"/>
        <v>0</v>
      </c>
      <c r="AH68" s="72" t="e">
        <f t="shared" si="134"/>
        <v>#DIV/0!</v>
      </c>
      <c r="AI68" s="425">
        <f t="shared" si="59"/>
        <v>657.42</v>
      </c>
      <c r="AJ68" s="72">
        <f t="shared" ref="AJ68:AJ70" si="153">AI68*1000/E68</f>
        <v>1.7546178353638853</v>
      </c>
      <c r="AK68" s="1055"/>
      <c r="AL68" s="491">
        <v>44471</v>
      </c>
      <c r="AM68" s="491"/>
      <c r="AN68" s="492">
        <f t="shared" si="105"/>
        <v>40957</v>
      </c>
      <c r="AO68" s="492">
        <f t="shared" si="106"/>
        <v>3514</v>
      </c>
      <c r="AP68" s="492">
        <f t="shared" si="107"/>
        <v>42616</v>
      </c>
      <c r="AQ68" s="493">
        <f t="shared" ref="AQ68" si="154">AP68*1000/E68</f>
        <v>113.73976099277074</v>
      </c>
      <c r="AR68" s="1055"/>
      <c r="AS68" s="413">
        <v>49235</v>
      </c>
      <c r="AT68" s="64"/>
      <c r="AU68" s="66">
        <f t="shared" si="61"/>
        <v>49235</v>
      </c>
      <c r="AV68" s="66">
        <f t="shared" ref="AV68:AV131" si="155">AS68+AT68-AU68</f>
        <v>0</v>
      </c>
      <c r="AW68" s="412" t="e">
        <f t="shared" ref="AW68:AW133" si="156">AV68*1000/B68</f>
        <v>#DIV/0!</v>
      </c>
      <c r="AX68" s="66">
        <f t="shared" si="63"/>
        <v>0</v>
      </c>
      <c r="AY68" s="412">
        <f t="shared" si="121"/>
        <v>0</v>
      </c>
      <c r="AZ68" s="1055"/>
      <c r="BA68" s="419">
        <v>45495</v>
      </c>
      <c r="BB68" s="419"/>
      <c r="BC68" s="407"/>
      <c r="BD68" s="419">
        <f t="shared" si="33"/>
        <v>45495</v>
      </c>
      <c r="BE68" s="419">
        <f t="shared" si="34"/>
        <v>0</v>
      </c>
      <c r="BF68" s="407" t="e">
        <f t="shared" si="136"/>
        <v>#DIV/0!</v>
      </c>
      <c r="BG68" s="419">
        <f t="shared" si="108"/>
        <v>0</v>
      </c>
      <c r="BH68" s="407">
        <f t="shared" si="122"/>
        <v>0</v>
      </c>
      <c r="BI68" s="407">
        <f t="shared" si="68"/>
        <v>0</v>
      </c>
      <c r="BJ68" s="1053"/>
      <c r="BK68" s="1055"/>
      <c r="BL68" s="49">
        <v>1937</v>
      </c>
      <c r="BM68" s="50"/>
      <c r="BN68" s="52">
        <f t="shared" si="69"/>
        <v>1937</v>
      </c>
      <c r="BO68" s="52">
        <f t="shared" ref="BO68:BO131" si="157">BL68+BM68-BN68</f>
        <v>0</v>
      </c>
      <c r="BP68" s="406" t="e">
        <f t="shared" si="137"/>
        <v>#DIV/0!</v>
      </c>
      <c r="BQ68" s="52">
        <f t="shared" si="71"/>
        <v>12363</v>
      </c>
      <c r="BR68" s="406">
        <f t="shared" si="123"/>
        <v>0.44536106361285555</v>
      </c>
      <c r="BS68" s="1055"/>
      <c r="BT68" s="409">
        <v>1070</v>
      </c>
      <c r="BU68" s="43"/>
      <c r="BV68" s="43">
        <f t="shared" si="102"/>
        <v>1070</v>
      </c>
      <c r="BW68" s="43">
        <f t="shared" si="103"/>
        <v>0</v>
      </c>
      <c r="BX68" s="42" t="e">
        <f t="shared" si="138"/>
        <v>#DIV/0!</v>
      </c>
      <c r="BY68" s="43">
        <f t="shared" si="104"/>
        <v>4317</v>
      </c>
      <c r="BZ68" s="42">
        <f t="shared" si="124"/>
        <v>0.15551433403030795</v>
      </c>
      <c r="CA68" s="1058"/>
      <c r="CB68" s="392">
        <v>1093</v>
      </c>
      <c r="CC68" s="298"/>
      <c r="CD68" s="298">
        <f t="shared" si="35"/>
        <v>1093</v>
      </c>
      <c r="CE68" s="298">
        <f t="shared" ref="CE68:CE131" si="158">CB68+CC68-CD68</f>
        <v>0</v>
      </c>
      <c r="CF68" s="297" t="e">
        <f t="shared" si="139"/>
        <v>#DIV/0!</v>
      </c>
      <c r="CG68" s="298">
        <f t="shared" si="78"/>
        <v>24207</v>
      </c>
      <c r="CH68" s="297">
        <f t="shared" si="125"/>
        <v>0.87202582438537524</v>
      </c>
      <c r="CI68" s="1061"/>
      <c r="CJ68" s="651"/>
      <c r="CK68" s="651"/>
      <c r="CL68" s="651"/>
      <c r="CM68" s="651"/>
      <c r="CN68" s="651"/>
      <c r="CO68" s="464">
        <v>240</v>
      </c>
      <c r="CP68" s="465"/>
      <c r="CQ68" s="465">
        <f t="shared" si="36"/>
        <v>240</v>
      </c>
      <c r="CR68" s="465">
        <f t="shared" ref="CR68:CR131" si="159">CO68+CP68-CQ68</f>
        <v>0</v>
      </c>
      <c r="CS68" s="486" t="e">
        <f t="shared" si="140"/>
        <v>#DIV/0!</v>
      </c>
      <c r="CT68" s="465">
        <f t="shared" si="81"/>
        <v>535</v>
      </c>
      <c r="CU68" s="486">
        <f t="shared" si="126"/>
        <v>1.9272682118650627E-2</v>
      </c>
      <c r="CV68" s="1069"/>
      <c r="CW68" s="427">
        <v>19</v>
      </c>
      <c r="CX68" s="427"/>
      <c r="CY68" s="427">
        <f t="shared" si="83"/>
        <v>19</v>
      </c>
      <c r="CZ68" s="427">
        <f t="shared" si="84"/>
        <v>0</v>
      </c>
      <c r="DA68" s="607" t="e">
        <f t="shared" si="141"/>
        <v>#DIV/0!</v>
      </c>
      <c r="DB68" s="607">
        <f t="shared" si="86"/>
        <v>26</v>
      </c>
      <c r="DC68" s="607">
        <f t="shared" si="127"/>
        <v>9.3661632726152585E-4</v>
      </c>
      <c r="DD68" s="1081"/>
      <c r="DE68" s="471">
        <v>5.6</v>
      </c>
      <c r="DF68" s="473"/>
      <c r="DG68" s="473">
        <f t="shared" si="37"/>
        <v>5.6</v>
      </c>
      <c r="DH68" s="473">
        <f t="shared" ref="DH68:DH131" si="160">DE68+DF68-DG68</f>
        <v>0</v>
      </c>
      <c r="DI68" s="227" t="e">
        <f t="shared" si="142"/>
        <v>#DIV/0!</v>
      </c>
      <c r="DJ68" s="473">
        <f t="shared" si="89"/>
        <v>5.6</v>
      </c>
      <c r="DK68" s="227">
        <f t="shared" si="128"/>
        <v>2.0173274741017481E-4</v>
      </c>
      <c r="DL68" s="1084"/>
      <c r="DM68" s="63">
        <v>950</v>
      </c>
      <c r="DN68" s="64"/>
      <c r="DO68" s="66">
        <f t="shared" si="91"/>
        <v>950</v>
      </c>
      <c r="DP68" s="66">
        <f t="shared" ref="DP68:DP131" si="161">DM68+DN68-DO68</f>
        <v>0</v>
      </c>
      <c r="DQ68" s="412" t="e">
        <f t="shared" si="143"/>
        <v>#DIV/0!</v>
      </c>
      <c r="DR68" s="66">
        <f t="shared" si="93"/>
        <v>8050</v>
      </c>
      <c r="DS68" s="412">
        <f t="shared" si="129"/>
        <v>0.28999082440212626</v>
      </c>
      <c r="DT68" s="1071"/>
      <c r="DU68" s="596">
        <v>40</v>
      </c>
      <c r="DV68" s="596"/>
      <c r="DW68" s="596">
        <f t="shared" si="38"/>
        <v>40</v>
      </c>
      <c r="DX68" s="596">
        <f t="shared" ref="DX68:DX131" si="162">DU68+DV68-DW68</f>
        <v>0</v>
      </c>
      <c r="DY68" s="592" t="e">
        <f t="shared" si="144"/>
        <v>#DIV/0!</v>
      </c>
      <c r="DZ68" s="596">
        <f t="shared" si="96"/>
        <v>2760</v>
      </c>
      <c r="EA68" s="592">
        <f t="shared" si="130"/>
        <v>9.9425425509300433E-2</v>
      </c>
      <c r="EB68" s="1041"/>
      <c r="EC68" s="448">
        <v>100</v>
      </c>
      <c r="ED68" s="449"/>
      <c r="EE68" s="449">
        <f t="shared" si="39"/>
        <v>100</v>
      </c>
      <c r="EF68" s="449">
        <f t="shared" ref="EF68:EF131" si="163">EC68+ED68-EE68</f>
        <v>0</v>
      </c>
      <c r="EG68" s="450" t="e">
        <f t="shared" si="145"/>
        <v>#DIV/0!</v>
      </c>
      <c r="EH68" s="449">
        <f t="shared" si="99"/>
        <v>215</v>
      </c>
      <c r="EI68" s="450">
        <f t="shared" si="131"/>
        <v>7.7450965523549256E-3</v>
      </c>
      <c r="EJ68" s="1035"/>
      <c r="EK68" s="426">
        <v>2748</v>
      </c>
      <c r="EL68" s="427"/>
      <c r="EM68" s="427">
        <f t="shared" si="40"/>
        <v>2539</v>
      </c>
      <c r="EN68" s="427">
        <f t="shared" ref="EN68:EN131" si="164">EK68+EL68-EM68</f>
        <v>209</v>
      </c>
      <c r="EO68" s="427">
        <f t="shared" si="41"/>
        <v>23333</v>
      </c>
      <c r="EP68" s="456">
        <v>14</v>
      </c>
      <c r="EQ68" s="457"/>
      <c r="ER68" s="457">
        <f t="shared" si="42"/>
        <v>14</v>
      </c>
      <c r="ES68" s="457">
        <f t="shared" ref="ES68:ES131" si="165">EP68+EQ68-ER68</f>
        <v>0</v>
      </c>
      <c r="ET68" s="457">
        <f t="shared" si="43"/>
        <v>434</v>
      </c>
      <c r="EU68" s="409">
        <v>80</v>
      </c>
      <c r="EV68" s="43"/>
      <c r="EW68" s="43">
        <f t="shared" si="44"/>
        <v>80</v>
      </c>
      <c r="EX68" s="43">
        <f t="shared" ref="EX68:EX131" si="166">EU68+EV68-EW68</f>
        <v>0</v>
      </c>
      <c r="EY68" s="43">
        <f t="shared" si="45"/>
        <v>320</v>
      </c>
      <c r="EZ68" s="436">
        <v>0</v>
      </c>
      <c r="FA68" s="437"/>
      <c r="FB68" s="437">
        <f t="shared" si="46"/>
        <v>0</v>
      </c>
      <c r="FC68" s="437">
        <f t="shared" ref="FC68:FC131" si="167">EZ68+FA68-FB68</f>
        <v>0</v>
      </c>
      <c r="FD68" s="437">
        <f t="shared" si="47"/>
        <v>490</v>
      </c>
      <c r="FE68" s="442">
        <v>75</v>
      </c>
      <c r="FF68" s="443"/>
      <c r="FG68" s="443">
        <f t="shared" si="48"/>
        <v>75</v>
      </c>
      <c r="FH68" s="443">
        <f t="shared" ref="FH68:FH131" si="168">FE68+FF68-FG68</f>
        <v>0</v>
      </c>
      <c r="FI68" s="443">
        <f t="shared" si="49"/>
        <v>525</v>
      </c>
      <c r="FJ68" s="392">
        <v>0</v>
      </c>
      <c r="FK68" s="298"/>
      <c r="FL68" s="298">
        <f t="shared" si="50"/>
        <v>0</v>
      </c>
      <c r="FM68" s="298">
        <f t="shared" ref="FM68:FM131" si="169">FJ68+FK68-FL68</f>
        <v>0</v>
      </c>
      <c r="FN68" s="498">
        <f t="shared" si="51"/>
        <v>900</v>
      </c>
      <c r="HC68" s="402"/>
      <c r="HD68" s="52"/>
      <c r="HE68" s="52">
        <f t="shared" si="52"/>
        <v>0</v>
      </c>
      <c r="HF68" s="52">
        <f t="shared" ref="HF68:HF131" si="170">HC68+HD68-HE68</f>
        <v>0</v>
      </c>
      <c r="HG68" s="51"/>
      <c r="HH68" s="52">
        <f t="shared" si="101"/>
        <v>400</v>
      </c>
      <c r="HI68" s="51"/>
      <c r="HJ68" s="1047"/>
    </row>
    <row r="69" spans="1:218">
      <c r="A69" s="30">
        <v>44732</v>
      </c>
      <c r="B69" s="390">
        <v>97095</v>
      </c>
      <c r="C69" s="18">
        <f t="shared" si="147"/>
        <v>27856594</v>
      </c>
      <c r="D69" s="376">
        <v>1899.84</v>
      </c>
      <c r="E69" s="417">
        <f t="shared" si="109"/>
        <v>376579.71999999986</v>
      </c>
      <c r="F69" s="397">
        <v>40587</v>
      </c>
      <c r="G69" s="37"/>
      <c r="H69" s="37">
        <f t="shared" ref="H69:H132" si="171">F70</f>
        <v>40587</v>
      </c>
      <c r="I69" s="37">
        <f t="shared" si="148"/>
        <v>0</v>
      </c>
      <c r="J69" s="37">
        <f t="shared" si="146"/>
        <v>0</v>
      </c>
      <c r="K69" s="37">
        <f t="shared" si="119"/>
        <v>184120</v>
      </c>
      <c r="L69" s="37">
        <f t="shared" si="149"/>
        <v>488.92701922450863</v>
      </c>
      <c r="M69" s="1055"/>
      <c r="N69" s="422">
        <v>150</v>
      </c>
      <c r="O69" s="423"/>
      <c r="P69" s="423">
        <f t="shared" si="113"/>
        <v>100</v>
      </c>
      <c r="Q69" s="423">
        <f t="shared" si="150"/>
        <v>50</v>
      </c>
      <c r="R69" s="423">
        <f t="shared" ref="R69" si="172">Q69+R68</f>
        <v>4400</v>
      </c>
      <c r="S69" s="68">
        <v>3.19</v>
      </c>
      <c r="T69" s="67">
        <v>24</v>
      </c>
      <c r="U69" s="68">
        <f t="shared" si="53"/>
        <v>38.28</v>
      </c>
      <c r="V69" s="68">
        <f t="shared" si="151"/>
        <v>20.149065184436584</v>
      </c>
      <c r="W69" s="423">
        <f t="shared" si="54"/>
        <v>4357.5839999999998</v>
      </c>
      <c r="X69" s="68">
        <f t="shared" si="152"/>
        <v>11.571478145450854</v>
      </c>
      <c r="Y69" s="1055"/>
      <c r="Z69" s="424">
        <v>125</v>
      </c>
      <c r="AA69" s="425"/>
      <c r="AB69" s="425">
        <f t="shared" si="55"/>
        <v>125</v>
      </c>
      <c r="AC69" s="425">
        <f t="shared" si="56"/>
        <v>0</v>
      </c>
      <c r="AD69" s="425">
        <f t="shared" si="57"/>
        <v>675</v>
      </c>
      <c r="AE69" s="72">
        <v>0.88</v>
      </c>
      <c r="AF69" s="71">
        <v>12</v>
      </c>
      <c r="AG69" s="72">
        <f t="shared" si="58"/>
        <v>5.28</v>
      </c>
      <c r="AH69" s="72">
        <f t="shared" ref="AH69:AH132" si="173">AG69*1000/D69</f>
        <v>2.779181404749874</v>
      </c>
      <c r="AI69" s="425">
        <f t="shared" si="59"/>
        <v>662.69999999999993</v>
      </c>
      <c r="AJ69" s="72">
        <f t="shared" si="153"/>
        <v>1.7597867458183891</v>
      </c>
      <c r="AK69" s="1055"/>
      <c r="AL69" s="491">
        <v>40957</v>
      </c>
      <c r="AM69" s="491"/>
      <c r="AN69" s="492">
        <f t="shared" si="105"/>
        <v>40957</v>
      </c>
      <c r="AO69" s="492">
        <f t="shared" si="106"/>
        <v>0</v>
      </c>
      <c r="AP69" s="492">
        <f t="shared" si="107"/>
        <v>42616</v>
      </c>
      <c r="AQ69" s="493">
        <f t="shared" ref="AQ69:AQ132" si="174">AP69*1000/E69</f>
        <v>113.1659453143149</v>
      </c>
      <c r="AR69" s="1055"/>
      <c r="AS69" s="413">
        <v>49235</v>
      </c>
      <c r="AT69" s="64"/>
      <c r="AU69" s="66">
        <f t="shared" si="61"/>
        <v>49235</v>
      </c>
      <c r="AV69" s="66">
        <f t="shared" si="155"/>
        <v>0</v>
      </c>
      <c r="AW69" s="412">
        <f>AV69*1000/B69</f>
        <v>0</v>
      </c>
      <c r="AX69" s="66">
        <f t="shared" si="63"/>
        <v>0</v>
      </c>
      <c r="AY69" s="412">
        <f t="shared" si="121"/>
        <v>0</v>
      </c>
      <c r="AZ69" s="1055"/>
      <c r="BA69" s="419">
        <v>45495</v>
      </c>
      <c r="BB69" s="419"/>
      <c r="BC69" s="407"/>
      <c r="BD69" s="419">
        <f t="shared" ref="BD69:BD132" si="175">BA70</f>
        <v>45495</v>
      </c>
      <c r="BE69" s="419">
        <f t="shared" ref="BE69:BE132" si="176">BA69+BB69-BD69</f>
        <v>0</v>
      </c>
      <c r="BF69" s="407">
        <f t="shared" si="136"/>
        <v>0</v>
      </c>
      <c r="BG69" s="419">
        <f t="shared" si="108"/>
        <v>0</v>
      </c>
      <c r="BH69" s="407">
        <f t="shared" si="122"/>
        <v>0</v>
      </c>
      <c r="BI69" s="407">
        <f t="shared" si="68"/>
        <v>0</v>
      </c>
      <c r="BJ69" s="1053"/>
      <c r="BK69" s="1055"/>
      <c r="BL69" s="49">
        <v>1937</v>
      </c>
      <c r="BM69" s="50"/>
      <c r="BN69" s="52">
        <f t="shared" si="69"/>
        <v>1857</v>
      </c>
      <c r="BO69" s="52">
        <f t="shared" si="157"/>
        <v>80</v>
      </c>
      <c r="BP69" s="406">
        <f t="shared" si="137"/>
        <v>0.82393532107729539</v>
      </c>
      <c r="BQ69" s="52">
        <f t="shared" si="71"/>
        <v>12443</v>
      </c>
      <c r="BR69" s="406">
        <f t="shared" si="123"/>
        <v>0.44668059562486356</v>
      </c>
      <c r="BS69" s="1055"/>
      <c r="BT69" s="409">
        <v>1070</v>
      </c>
      <c r="BU69" s="43"/>
      <c r="BV69" s="43">
        <f t="shared" si="102"/>
        <v>1052</v>
      </c>
      <c r="BW69" s="43">
        <f t="shared" si="103"/>
        <v>18</v>
      </c>
      <c r="BX69" s="42">
        <f t="shared" si="138"/>
        <v>0.18538544724239148</v>
      </c>
      <c r="BY69" s="43">
        <f t="shared" si="104"/>
        <v>4335</v>
      </c>
      <c r="BZ69" s="42">
        <f t="shared" si="124"/>
        <v>0.15561845069788502</v>
      </c>
      <c r="CA69" s="1058"/>
      <c r="CB69" s="392">
        <v>1093</v>
      </c>
      <c r="CC69" s="298"/>
      <c r="CD69" s="298">
        <f t="shared" ref="CD69:CD132" si="177">CB70</f>
        <v>1093</v>
      </c>
      <c r="CE69" s="298">
        <f t="shared" si="158"/>
        <v>0</v>
      </c>
      <c r="CF69" s="297">
        <f t="shared" si="139"/>
        <v>0</v>
      </c>
      <c r="CG69" s="298">
        <f t="shared" si="78"/>
        <v>24207</v>
      </c>
      <c r="CH69" s="297">
        <f t="shared" si="125"/>
        <v>0.86898635202853591</v>
      </c>
      <c r="CI69" s="1061"/>
      <c r="CJ69" s="651"/>
      <c r="CK69" s="651"/>
      <c r="CL69" s="651"/>
      <c r="CM69" s="651"/>
      <c r="CN69" s="651"/>
      <c r="CO69" s="464">
        <v>240</v>
      </c>
      <c r="CP69" s="465"/>
      <c r="CQ69" s="465">
        <f t="shared" ref="CQ69:CQ132" si="178">CO70</f>
        <v>240</v>
      </c>
      <c r="CR69" s="465">
        <f t="shared" si="159"/>
        <v>0</v>
      </c>
      <c r="CS69" s="486">
        <f t="shared" si="140"/>
        <v>0</v>
      </c>
      <c r="CT69" s="465">
        <f t="shared" si="81"/>
        <v>535</v>
      </c>
      <c r="CU69" s="486">
        <f t="shared" si="126"/>
        <v>1.9205506602853171E-2</v>
      </c>
      <c r="CV69" s="1069"/>
      <c r="CW69" s="427">
        <v>19</v>
      </c>
      <c r="CX69" s="427"/>
      <c r="CY69" s="427">
        <f t="shared" si="83"/>
        <v>19</v>
      </c>
      <c r="CZ69" s="427">
        <f t="shared" si="84"/>
        <v>0</v>
      </c>
      <c r="DA69" s="607">
        <f t="shared" si="141"/>
        <v>0</v>
      </c>
      <c r="DB69" s="607">
        <f t="shared" si="86"/>
        <v>26</v>
      </c>
      <c r="DC69" s="607">
        <f t="shared" ref="DC69:DC132" si="179">DB69*1000/C69</f>
        <v>9.3335172275548113E-4</v>
      </c>
      <c r="DD69" s="1081"/>
      <c r="DE69" s="471">
        <v>5.6</v>
      </c>
      <c r="DF69" s="473"/>
      <c r="DG69" s="473">
        <f t="shared" ref="DG69:DG132" si="180">DE70</f>
        <v>5.6</v>
      </c>
      <c r="DH69" s="473">
        <f t="shared" si="160"/>
        <v>0</v>
      </c>
      <c r="DI69" s="227">
        <f t="shared" si="142"/>
        <v>0</v>
      </c>
      <c r="DJ69" s="473">
        <f t="shared" si="89"/>
        <v>5.6</v>
      </c>
      <c r="DK69" s="227">
        <f t="shared" si="128"/>
        <v>2.0102960182425748E-4</v>
      </c>
      <c r="DL69" s="1084"/>
      <c r="DM69" s="63">
        <v>950</v>
      </c>
      <c r="DN69" s="64"/>
      <c r="DO69" s="66">
        <f t="shared" si="91"/>
        <v>950</v>
      </c>
      <c r="DP69" s="66">
        <f t="shared" si="161"/>
        <v>0</v>
      </c>
      <c r="DQ69" s="412">
        <f t="shared" si="143"/>
        <v>0</v>
      </c>
      <c r="DR69" s="66">
        <f t="shared" si="93"/>
        <v>8050</v>
      </c>
      <c r="DS69" s="412">
        <f t="shared" si="129"/>
        <v>0.28898005262237014</v>
      </c>
      <c r="DT69" s="1071"/>
      <c r="DU69" s="596">
        <v>40</v>
      </c>
      <c r="DV69" s="596"/>
      <c r="DW69" s="596">
        <f t="shared" ref="DW69:DW132" si="181">DU70</f>
        <v>40</v>
      </c>
      <c r="DX69" s="596">
        <f t="shared" si="162"/>
        <v>0</v>
      </c>
      <c r="DY69" s="592">
        <f t="shared" ref="DY69:DY132" si="182">DX69*1000/B69</f>
        <v>0</v>
      </c>
      <c r="DZ69" s="596">
        <f t="shared" si="96"/>
        <v>2760</v>
      </c>
      <c r="EA69" s="592">
        <f t="shared" ref="EA69:EA132" si="183">DZ69*1000/C69</f>
        <v>9.907887518481262E-2</v>
      </c>
      <c r="EB69" s="1041"/>
      <c r="EC69" s="448">
        <v>100</v>
      </c>
      <c r="ED69" s="449"/>
      <c r="EE69" s="449">
        <f t="shared" ref="EE69:EE132" si="184">EC70</f>
        <v>100</v>
      </c>
      <c r="EF69" s="449">
        <f t="shared" si="163"/>
        <v>0</v>
      </c>
      <c r="EG69" s="450">
        <f t="shared" si="145"/>
        <v>0</v>
      </c>
      <c r="EH69" s="449">
        <f t="shared" si="99"/>
        <v>215</v>
      </c>
      <c r="EI69" s="450">
        <f t="shared" si="131"/>
        <v>7.718100784324171E-3</v>
      </c>
      <c r="EJ69" s="1035"/>
      <c r="EK69" s="426">
        <v>2539</v>
      </c>
      <c r="EL69" s="427"/>
      <c r="EM69" s="427">
        <f t="shared" ref="EM69:EM132" si="185">EK70</f>
        <v>2340</v>
      </c>
      <c r="EN69" s="427">
        <f t="shared" si="164"/>
        <v>199</v>
      </c>
      <c r="EO69" s="427">
        <f t="shared" ref="EO69:EO132" si="186">EN69+EO68</f>
        <v>23532</v>
      </c>
      <c r="EP69" s="456">
        <v>14</v>
      </c>
      <c r="EQ69" s="457"/>
      <c r="ER69" s="457">
        <f t="shared" ref="ER69:ER132" si="187">EP70</f>
        <v>0</v>
      </c>
      <c r="ES69" s="457">
        <f t="shared" si="165"/>
        <v>14</v>
      </c>
      <c r="ET69" s="457">
        <f t="shared" ref="ET69:ET132" si="188">ES69+ET68</f>
        <v>448</v>
      </c>
      <c r="EU69" s="409">
        <v>80</v>
      </c>
      <c r="EV69" s="43"/>
      <c r="EW69" s="43">
        <f t="shared" ref="EW69:EW132" si="189">EU70</f>
        <v>80</v>
      </c>
      <c r="EX69" s="43">
        <f t="shared" si="166"/>
        <v>0</v>
      </c>
      <c r="EY69" s="43">
        <f t="shared" ref="EY69:EY132" si="190">EX69+EY68</f>
        <v>320</v>
      </c>
      <c r="EZ69" s="436">
        <v>0</v>
      </c>
      <c r="FA69" s="437"/>
      <c r="FB69" s="437">
        <f t="shared" ref="FB69:FB132" si="191">EZ70</f>
        <v>0</v>
      </c>
      <c r="FC69" s="437">
        <f t="shared" si="167"/>
        <v>0</v>
      </c>
      <c r="FD69" s="437">
        <f t="shared" ref="FD69:FD132" si="192">FC69+FD68</f>
        <v>490</v>
      </c>
      <c r="FE69" s="442">
        <v>75</v>
      </c>
      <c r="FF69" s="443"/>
      <c r="FG69" s="443">
        <f t="shared" ref="FG69:FG132" si="193">FE70</f>
        <v>75</v>
      </c>
      <c r="FH69" s="443">
        <f t="shared" si="168"/>
        <v>0</v>
      </c>
      <c r="FI69" s="443">
        <f t="shared" ref="FI69:FI132" si="194">FH69+FI68</f>
        <v>525</v>
      </c>
      <c r="FJ69" s="392">
        <v>0</v>
      </c>
      <c r="FK69" s="298"/>
      <c r="FL69" s="298">
        <f t="shared" ref="FL69:FL132" si="195">FJ70</f>
        <v>0</v>
      </c>
      <c r="FM69" s="298">
        <f t="shared" si="169"/>
        <v>0</v>
      </c>
      <c r="FN69" s="498">
        <f t="shared" ref="FN69:FN132" si="196">FM69+FN68</f>
        <v>900</v>
      </c>
      <c r="HC69" s="402"/>
      <c r="HD69" s="52"/>
      <c r="HE69" s="52">
        <f t="shared" ref="HE69:HE132" si="197">HC70</f>
        <v>0</v>
      </c>
      <c r="HF69" s="52">
        <f t="shared" si="170"/>
        <v>0</v>
      </c>
      <c r="HG69" s="51"/>
      <c r="HH69" s="52">
        <f t="shared" si="101"/>
        <v>400</v>
      </c>
      <c r="HI69" s="51"/>
      <c r="HJ69" s="1047"/>
    </row>
    <row r="70" spans="1:218">
      <c r="A70" s="30">
        <v>44733</v>
      </c>
      <c r="B70" s="390">
        <v>134869</v>
      </c>
      <c r="C70" s="18">
        <f t="shared" si="147"/>
        <v>27991463</v>
      </c>
      <c r="D70" s="376">
        <v>3213.38</v>
      </c>
      <c r="E70" s="417">
        <f t="shared" si="109"/>
        <v>379793.09999999986</v>
      </c>
      <c r="F70" s="397">
        <v>40587</v>
      </c>
      <c r="G70" s="37"/>
      <c r="H70" s="37">
        <f t="shared" si="171"/>
        <v>40587</v>
      </c>
      <c r="I70" s="37">
        <f t="shared" si="148"/>
        <v>0</v>
      </c>
      <c r="J70" s="37">
        <f t="shared" si="146"/>
        <v>0</v>
      </c>
      <c r="K70" s="37">
        <f t="shared" ref="K70:K133" si="198">K69+I70</f>
        <v>184120</v>
      </c>
      <c r="L70" s="37">
        <f t="shared" si="149"/>
        <v>484.7902713345768</v>
      </c>
      <c r="M70" s="1055"/>
      <c r="N70" s="422">
        <v>100</v>
      </c>
      <c r="O70" s="423">
        <v>300</v>
      </c>
      <c r="P70" s="423">
        <f t="shared" ref="P70:P133" si="199">N71</f>
        <v>375</v>
      </c>
      <c r="Q70" s="423">
        <f t="shared" ref="Q70:Q133" si="200">N70+O70-P70</f>
        <v>25</v>
      </c>
      <c r="R70" s="423">
        <f t="shared" ref="R70:R133" si="201">Q70+R69</f>
        <v>4425</v>
      </c>
      <c r="S70" s="68">
        <v>3.66</v>
      </c>
      <c r="T70" s="67">
        <v>24</v>
      </c>
      <c r="U70" s="68">
        <f t="shared" ref="U70:U133" si="202">S70*T70*0.5</f>
        <v>43.92</v>
      </c>
      <c r="V70" s="68">
        <f t="shared" si="151"/>
        <v>13.667851296765399</v>
      </c>
      <c r="W70" s="423">
        <f t="shared" ref="W70:W133" si="203">U70+W69</f>
        <v>4401.5039999999999</v>
      </c>
      <c r="X70" s="68">
        <f t="shared" si="152"/>
        <v>11.589215285901723</v>
      </c>
      <c r="Y70" s="1055"/>
      <c r="Z70" s="424">
        <v>125</v>
      </c>
      <c r="AA70" s="425">
        <v>75</v>
      </c>
      <c r="AB70" s="425">
        <f t="shared" ref="AB70:AB133" si="204">Z71</f>
        <v>175</v>
      </c>
      <c r="AC70" s="425">
        <f t="shared" ref="AC70:AC133" si="205">Z70+AA70-AB70</f>
        <v>25</v>
      </c>
      <c r="AD70" s="425">
        <f t="shared" ref="AD70:AD133" si="206">AC70+AD69</f>
        <v>700</v>
      </c>
      <c r="AE70" s="72">
        <v>1.1599999999999999</v>
      </c>
      <c r="AF70" s="71">
        <v>12</v>
      </c>
      <c r="AG70" s="72">
        <f t="shared" ref="AG70:AG133" si="207">AE70*AF70*0.5</f>
        <v>6.9599999999999991</v>
      </c>
      <c r="AH70" s="72">
        <f t="shared" si="173"/>
        <v>2.1659436481212926</v>
      </c>
      <c r="AI70" s="425">
        <f t="shared" ref="AI70:AI133" si="208">AG70+AI69</f>
        <v>669.66</v>
      </c>
      <c r="AJ70" s="72">
        <f t="shared" si="153"/>
        <v>1.763223186519187</v>
      </c>
      <c r="AK70" s="1055"/>
      <c r="AL70" s="491">
        <v>40957</v>
      </c>
      <c r="AM70" s="491"/>
      <c r="AN70" s="492">
        <f t="shared" si="105"/>
        <v>40957</v>
      </c>
      <c r="AO70" s="492">
        <f t="shared" si="106"/>
        <v>0</v>
      </c>
      <c r="AP70" s="492">
        <f t="shared" si="107"/>
        <v>42616</v>
      </c>
      <c r="AQ70" s="493">
        <f t="shared" si="174"/>
        <v>112.20846297628897</v>
      </c>
      <c r="AR70" s="1055"/>
      <c r="AS70" s="413">
        <v>49235</v>
      </c>
      <c r="AT70" s="64"/>
      <c r="AU70" s="66">
        <f t="shared" ref="AU70:AU133" si="209">AS71</f>
        <v>49235</v>
      </c>
      <c r="AV70" s="66">
        <f t="shared" si="155"/>
        <v>0</v>
      </c>
      <c r="AW70" s="412">
        <f t="shared" si="156"/>
        <v>0</v>
      </c>
      <c r="AX70" s="66">
        <f t="shared" ref="AX70:AX133" si="210">AX69+AV70</f>
        <v>0</v>
      </c>
      <c r="AY70" s="412">
        <f t="shared" ref="AY70:AY133" si="211">AX70*1000/C70</f>
        <v>0</v>
      </c>
      <c r="AZ70" s="1055"/>
      <c r="BA70" s="419">
        <v>45495</v>
      </c>
      <c r="BB70" s="419"/>
      <c r="BC70" s="407"/>
      <c r="BD70" s="419">
        <f t="shared" si="175"/>
        <v>45495</v>
      </c>
      <c r="BE70" s="419">
        <f t="shared" si="176"/>
        <v>0</v>
      </c>
      <c r="BF70" s="407">
        <f t="shared" ref="BF70:BF133" si="212">BE70*1000/B70</f>
        <v>0</v>
      </c>
      <c r="BG70" s="419">
        <f t="shared" si="108"/>
        <v>0</v>
      </c>
      <c r="BH70" s="407">
        <f t="shared" ref="BH70:BH133" si="213">BG70*1000/C70</f>
        <v>0</v>
      </c>
      <c r="BI70" s="407">
        <f t="shared" ref="BI70:BI133" si="214">BH70/(98/12)</f>
        <v>0</v>
      </c>
      <c r="BJ70" s="1053"/>
      <c r="BK70" s="1055"/>
      <c r="BL70" s="49">
        <v>1857</v>
      </c>
      <c r="BM70" s="50"/>
      <c r="BN70" s="52">
        <f t="shared" ref="BN70:BN133" si="215">BL71</f>
        <v>1700</v>
      </c>
      <c r="BO70" s="52">
        <f t="shared" si="157"/>
        <v>157</v>
      </c>
      <c r="BP70" s="406">
        <f t="shared" ref="BP70:BP133" si="216">BO70*1000/B70</f>
        <v>1.1640925638953354</v>
      </c>
      <c r="BQ70" s="52">
        <f t="shared" ref="BQ70:BQ133" si="217">BQ69+BO70</f>
        <v>12600</v>
      </c>
      <c r="BR70" s="406">
        <f t="shared" ref="BR70:BR133" si="218">BQ70*1000/C70</f>
        <v>0.45013724363031687</v>
      </c>
      <c r="BS70" s="1055"/>
      <c r="BT70" s="409">
        <v>1052</v>
      </c>
      <c r="BU70" s="43"/>
      <c r="BV70" s="43">
        <f t="shared" si="102"/>
        <v>996</v>
      </c>
      <c r="BW70" s="43">
        <f t="shared" si="103"/>
        <v>56</v>
      </c>
      <c r="BX70" s="42">
        <f t="shared" ref="BX70:BX133" si="219">BW70*1000/B70</f>
        <v>0.41521772979706234</v>
      </c>
      <c r="BY70" s="43">
        <f t="shared" si="104"/>
        <v>4391</v>
      </c>
      <c r="BZ70" s="42">
        <f t="shared" ref="BZ70:BZ133" si="220">BY70*1000/C70</f>
        <v>0.15686925688735884</v>
      </c>
      <c r="CA70" s="1058"/>
      <c r="CB70" s="392">
        <v>1093</v>
      </c>
      <c r="CC70" s="298"/>
      <c r="CD70" s="298">
        <f t="shared" si="177"/>
        <v>1093</v>
      </c>
      <c r="CE70" s="298">
        <f t="shared" si="158"/>
        <v>0</v>
      </c>
      <c r="CF70" s="297">
        <f t="shared" ref="CF70:CF133" si="221">CE70*1000/B70</f>
        <v>0</v>
      </c>
      <c r="CG70" s="298">
        <f t="shared" ref="CG70:CG133" si="222">CE70+CG69</f>
        <v>24207</v>
      </c>
      <c r="CH70" s="297">
        <f t="shared" ref="CH70:CH133" si="223">CG70*1000/C70</f>
        <v>0.86479938544119683</v>
      </c>
      <c r="CI70" s="1061"/>
      <c r="CJ70" s="651"/>
      <c r="CK70" s="651"/>
      <c r="CL70" s="651"/>
      <c r="CM70" s="651"/>
      <c r="CN70" s="651"/>
      <c r="CO70" s="464">
        <v>240</v>
      </c>
      <c r="CP70" s="465"/>
      <c r="CQ70" s="465">
        <f t="shared" si="178"/>
        <v>200</v>
      </c>
      <c r="CR70" s="465">
        <f t="shared" si="159"/>
        <v>40</v>
      </c>
      <c r="CS70" s="486">
        <f t="shared" ref="CS70:CS133" si="224">CR70*1000/B70</f>
        <v>0.29658409271218739</v>
      </c>
      <c r="CT70" s="465">
        <f t="shared" ref="CT70:CT133" si="225">CR70+CT69</f>
        <v>575</v>
      </c>
      <c r="CU70" s="486">
        <f t="shared" ref="CU70:CU133" si="226">CT70*1000/C70</f>
        <v>2.0541977387891444E-2</v>
      </c>
      <c r="CV70" s="1069"/>
      <c r="CW70" s="427">
        <v>19</v>
      </c>
      <c r="CX70" s="427"/>
      <c r="CY70" s="427">
        <f t="shared" ref="CY70:CY133" si="227">CW71</f>
        <v>19</v>
      </c>
      <c r="CZ70" s="427">
        <f t="shared" ref="CZ70:CZ133" si="228">CW70+CX70-CY70</f>
        <v>0</v>
      </c>
      <c r="DA70" s="607">
        <f t="shared" si="141"/>
        <v>0</v>
      </c>
      <c r="DB70" s="607">
        <f t="shared" ref="DB70:DB133" si="229">CZ70+DB69</f>
        <v>26</v>
      </c>
      <c r="DC70" s="607">
        <f t="shared" si="179"/>
        <v>9.2885462971335222E-4</v>
      </c>
      <c r="DD70" s="1081"/>
      <c r="DE70" s="471">
        <v>5.6</v>
      </c>
      <c r="DF70" s="473"/>
      <c r="DG70" s="473">
        <f t="shared" si="180"/>
        <v>5.6</v>
      </c>
      <c r="DH70" s="473">
        <f t="shared" si="160"/>
        <v>0</v>
      </c>
      <c r="DI70" s="227">
        <f t="shared" ref="DI70:DI133" si="230">DH70*1000/B70</f>
        <v>0</v>
      </c>
      <c r="DJ70" s="473">
        <f t="shared" ref="DJ70:DJ133" si="231">DH70+DJ69</f>
        <v>5.6</v>
      </c>
      <c r="DK70" s="227">
        <f t="shared" ref="DK70:DK133" si="232">DJ70*1000/C70</f>
        <v>2.0006099716902973E-4</v>
      </c>
      <c r="DL70" s="1084"/>
      <c r="DM70" s="63">
        <v>950</v>
      </c>
      <c r="DN70" s="64"/>
      <c r="DO70" s="66">
        <f t="shared" ref="DO70:DO133" si="233">DM71</f>
        <v>950</v>
      </c>
      <c r="DP70" s="66">
        <f t="shared" si="161"/>
        <v>0</v>
      </c>
      <c r="DQ70" s="412">
        <f t="shared" ref="DQ70:DQ133" si="234">DP70*1000/B70</f>
        <v>0</v>
      </c>
      <c r="DR70" s="66">
        <f t="shared" ref="DR70:DR133" si="235">DR69+DP70</f>
        <v>8050</v>
      </c>
      <c r="DS70" s="412">
        <f t="shared" ref="DS70:DS133" si="236">DR70*1000/C70</f>
        <v>0.28758768343048019</v>
      </c>
      <c r="DT70" s="1071"/>
      <c r="DU70" s="596">
        <v>40</v>
      </c>
      <c r="DV70" s="596"/>
      <c r="DW70" s="596">
        <f t="shared" si="181"/>
        <v>40</v>
      </c>
      <c r="DX70" s="596">
        <f t="shared" si="162"/>
        <v>0</v>
      </c>
      <c r="DY70" s="592">
        <f t="shared" si="182"/>
        <v>0</v>
      </c>
      <c r="DZ70" s="596">
        <f t="shared" ref="DZ70:DZ133" si="237">DZ69+DX70</f>
        <v>2760</v>
      </c>
      <c r="EA70" s="592">
        <f t="shared" si="183"/>
        <v>9.8601491461878937E-2</v>
      </c>
      <c r="EB70" s="1041"/>
      <c r="EC70" s="448">
        <v>100</v>
      </c>
      <c r="ED70" s="449"/>
      <c r="EE70" s="449">
        <f t="shared" si="184"/>
        <v>100</v>
      </c>
      <c r="EF70" s="449">
        <f t="shared" si="163"/>
        <v>0</v>
      </c>
      <c r="EG70" s="450">
        <f t="shared" si="145"/>
        <v>0</v>
      </c>
      <c r="EH70" s="449">
        <f t="shared" ref="EH70:EH133" si="238">EF70+EH69</f>
        <v>215</v>
      </c>
      <c r="EI70" s="450">
        <f t="shared" ref="EI70" si="239">EH70*1000/C70</f>
        <v>7.680913284168105E-3</v>
      </c>
      <c r="EJ70" s="1035"/>
      <c r="EK70" s="426">
        <v>2340</v>
      </c>
      <c r="EL70" s="427"/>
      <c r="EM70" s="427">
        <f t="shared" si="185"/>
        <v>2052</v>
      </c>
      <c r="EN70" s="427">
        <f t="shared" si="164"/>
        <v>288</v>
      </c>
      <c r="EO70" s="427">
        <f t="shared" si="186"/>
        <v>23820</v>
      </c>
      <c r="EP70" s="456">
        <v>0</v>
      </c>
      <c r="EQ70" s="457">
        <v>70</v>
      </c>
      <c r="ER70" s="457">
        <f t="shared" si="187"/>
        <v>70</v>
      </c>
      <c r="ES70" s="457">
        <f t="shared" si="165"/>
        <v>0</v>
      </c>
      <c r="ET70" s="457">
        <f t="shared" si="188"/>
        <v>448</v>
      </c>
      <c r="EU70" s="409">
        <v>80</v>
      </c>
      <c r="EV70" s="43"/>
      <c r="EW70" s="43">
        <f t="shared" si="189"/>
        <v>80</v>
      </c>
      <c r="EX70" s="43">
        <f t="shared" si="166"/>
        <v>0</v>
      </c>
      <c r="EY70" s="43">
        <f t="shared" si="190"/>
        <v>320</v>
      </c>
      <c r="EZ70" s="436">
        <v>0</v>
      </c>
      <c r="FA70" s="437"/>
      <c r="FB70" s="437">
        <f t="shared" si="191"/>
        <v>0</v>
      </c>
      <c r="FC70" s="437">
        <f t="shared" si="167"/>
        <v>0</v>
      </c>
      <c r="FD70" s="437">
        <f t="shared" si="192"/>
        <v>490</v>
      </c>
      <c r="FE70" s="442">
        <v>75</v>
      </c>
      <c r="FF70" s="443"/>
      <c r="FG70" s="443">
        <f t="shared" si="193"/>
        <v>75</v>
      </c>
      <c r="FH70" s="443">
        <f t="shared" si="168"/>
        <v>0</v>
      </c>
      <c r="FI70" s="443">
        <f t="shared" si="194"/>
        <v>525</v>
      </c>
      <c r="FJ70" s="392">
        <v>0</v>
      </c>
      <c r="FK70" s="298"/>
      <c r="FL70" s="298">
        <f t="shared" si="195"/>
        <v>0</v>
      </c>
      <c r="FM70" s="298">
        <f t="shared" si="169"/>
        <v>0</v>
      </c>
      <c r="FN70" s="498">
        <f t="shared" si="196"/>
        <v>900</v>
      </c>
      <c r="HC70" s="402"/>
      <c r="HD70" s="52"/>
      <c r="HE70" s="52">
        <f t="shared" si="197"/>
        <v>0</v>
      </c>
      <c r="HF70" s="52">
        <f t="shared" si="170"/>
        <v>0</v>
      </c>
      <c r="HG70" s="51"/>
      <c r="HH70" s="52">
        <f t="shared" ref="HH70:HH133" si="240">HF70+HH69</f>
        <v>400</v>
      </c>
      <c r="HI70" s="51"/>
      <c r="HJ70" s="1047"/>
    </row>
    <row r="71" spans="1:218">
      <c r="A71" s="30">
        <v>44734</v>
      </c>
      <c r="B71" s="390">
        <v>506638</v>
      </c>
      <c r="C71" s="18">
        <f t="shared" si="147"/>
        <v>28498101</v>
      </c>
      <c r="D71" s="376">
        <v>6689.98</v>
      </c>
      <c r="E71" s="417">
        <f t="shared" si="109"/>
        <v>386483.07999999984</v>
      </c>
      <c r="F71" s="397">
        <v>40587</v>
      </c>
      <c r="G71" s="37"/>
      <c r="H71" s="37">
        <f t="shared" si="171"/>
        <v>35587</v>
      </c>
      <c r="I71" s="37">
        <f t="shared" si="148"/>
        <v>5000</v>
      </c>
      <c r="J71" s="37">
        <f t="shared" si="146"/>
        <v>747.38638979488735</v>
      </c>
      <c r="K71" s="37">
        <f t="shared" si="198"/>
        <v>189120</v>
      </c>
      <c r="L71" s="37">
        <f t="shared" si="149"/>
        <v>489.33578153020329</v>
      </c>
      <c r="M71" s="1055"/>
      <c r="N71" s="422">
        <v>375</v>
      </c>
      <c r="O71" s="423"/>
      <c r="P71" s="423">
        <f t="shared" si="199"/>
        <v>200</v>
      </c>
      <c r="Q71" s="423">
        <f t="shared" si="200"/>
        <v>175</v>
      </c>
      <c r="R71" s="423">
        <f t="shared" si="201"/>
        <v>4600</v>
      </c>
      <c r="S71" s="68">
        <v>9.57</v>
      </c>
      <c r="T71" s="67">
        <v>24</v>
      </c>
      <c r="U71" s="68">
        <f t="shared" si="202"/>
        <v>114.84</v>
      </c>
      <c r="V71" s="68">
        <f t="shared" si="151"/>
        <v>17.165970600808972</v>
      </c>
      <c r="W71" s="423">
        <f t="shared" si="203"/>
        <v>4516.3440000000001</v>
      </c>
      <c r="X71" s="68">
        <f t="shared" si="152"/>
        <v>11.68574831270751</v>
      </c>
      <c r="Y71" s="1055"/>
      <c r="Z71" s="424">
        <v>175</v>
      </c>
      <c r="AA71" s="425"/>
      <c r="AB71" s="425">
        <f t="shared" si="204"/>
        <v>175</v>
      </c>
      <c r="AC71" s="425">
        <f t="shared" si="205"/>
        <v>0</v>
      </c>
      <c r="AD71" s="425">
        <f t="shared" si="206"/>
        <v>700</v>
      </c>
      <c r="AE71" s="72">
        <v>2.29</v>
      </c>
      <c r="AF71" s="71">
        <v>12</v>
      </c>
      <c r="AG71" s="72">
        <f t="shared" si="207"/>
        <v>13.74</v>
      </c>
      <c r="AH71" s="72">
        <f t="shared" si="173"/>
        <v>2.0538177991563504</v>
      </c>
      <c r="AI71" s="425">
        <f t="shared" si="208"/>
        <v>683.4</v>
      </c>
      <c r="AJ71" s="72">
        <f t="shared" ref="AJ71:AJ134" si="241">AI71*1000/E71</f>
        <v>1.768253347598038</v>
      </c>
      <c r="AK71" s="1055"/>
      <c r="AL71" s="491">
        <v>40957</v>
      </c>
      <c r="AM71" s="491"/>
      <c r="AN71" s="492">
        <f t="shared" si="105"/>
        <v>40957</v>
      </c>
      <c r="AO71" s="492">
        <f t="shared" si="106"/>
        <v>0</v>
      </c>
      <c r="AP71" s="492">
        <f t="shared" si="107"/>
        <v>42616</v>
      </c>
      <c r="AQ71" s="493">
        <f t="shared" si="174"/>
        <v>110.26614670944979</v>
      </c>
      <c r="AR71" s="1055"/>
      <c r="AS71" s="413">
        <v>49235</v>
      </c>
      <c r="AT71" s="64"/>
      <c r="AU71" s="66">
        <f t="shared" si="209"/>
        <v>49235</v>
      </c>
      <c r="AV71" s="66">
        <f t="shared" si="155"/>
        <v>0</v>
      </c>
      <c r="AW71" s="412">
        <f t="shared" si="156"/>
        <v>0</v>
      </c>
      <c r="AX71" s="66">
        <f t="shared" si="210"/>
        <v>0</v>
      </c>
      <c r="AY71" s="412">
        <f t="shared" si="211"/>
        <v>0</v>
      </c>
      <c r="AZ71" s="1055"/>
      <c r="BA71" s="419">
        <v>45495</v>
      </c>
      <c r="BB71" s="419"/>
      <c r="BC71" s="407"/>
      <c r="BD71" s="419">
        <f t="shared" si="175"/>
        <v>45495</v>
      </c>
      <c r="BE71" s="419">
        <f t="shared" si="176"/>
        <v>0</v>
      </c>
      <c r="BF71" s="407">
        <f t="shared" si="212"/>
        <v>0</v>
      </c>
      <c r="BG71" s="419">
        <f t="shared" si="108"/>
        <v>0</v>
      </c>
      <c r="BH71" s="407">
        <f t="shared" si="213"/>
        <v>0</v>
      </c>
      <c r="BI71" s="407">
        <f t="shared" si="214"/>
        <v>0</v>
      </c>
      <c r="BJ71" s="1053"/>
      <c r="BK71" s="1055"/>
      <c r="BL71" s="49">
        <v>1700</v>
      </c>
      <c r="BM71" s="50"/>
      <c r="BN71" s="52">
        <f t="shared" si="215"/>
        <v>1469</v>
      </c>
      <c r="BO71" s="52">
        <f t="shared" si="157"/>
        <v>231</v>
      </c>
      <c r="BP71" s="406">
        <f t="shared" si="216"/>
        <v>0.45594684962438664</v>
      </c>
      <c r="BQ71" s="52">
        <f t="shared" si="217"/>
        <v>12831</v>
      </c>
      <c r="BR71" s="406">
        <f t="shared" si="218"/>
        <v>0.4502405265529798</v>
      </c>
      <c r="BS71" s="1055"/>
      <c r="BT71" s="409">
        <v>996</v>
      </c>
      <c r="BU71" s="43"/>
      <c r="BV71" s="43">
        <f t="shared" si="102"/>
        <v>942</v>
      </c>
      <c r="BW71" s="43">
        <f t="shared" si="103"/>
        <v>54</v>
      </c>
      <c r="BX71" s="42">
        <f t="shared" si="219"/>
        <v>0.1065849778342722</v>
      </c>
      <c r="BY71" s="43">
        <f t="shared" si="104"/>
        <v>4445</v>
      </c>
      <c r="BZ71" s="42">
        <f t="shared" si="220"/>
        <v>0.15597530516156147</v>
      </c>
      <c r="CA71" s="1058"/>
      <c r="CB71" s="392">
        <v>1093</v>
      </c>
      <c r="CC71" s="298"/>
      <c r="CD71" s="298">
        <f t="shared" si="177"/>
        <v>1093</v>
      </c>
      <c r="CE71" s="298">
        <f t="shared" si="158"/>
        <v>0</v>
      </c>
      <c r="CF71" s="297">
        <f t="shared" si="221"/>
        <v>0</v>
      </c>
      <c r="CG71" s="298">
        <f t="shared" si="222"/>
        <v>24207</v>
      </c>
      <c r="CH71" s="297">
        <f t="shared" si="223"/>
        <v>0.84942501958288374</v>
      </c>
      <c r="CI71" s="1061"/>
      <c r="CJ71" s="651"/>
      <c r="CK71" s="651"/>
      <c r="CL71" s="651"/>
      <c r="CM71" s="651"/>
      <c r="CN71" s="651"/>
      <c r="CO71" s="464">
        <v>200</v>
      </c>
      <c r="CP71" s="465"/>
      <c r="CQ71" s="465">
        <f t="shared" si="178"/>
        <v>150</v>
      </c>
      <c r="CR71" s="465">
        <f t="shared" si="159"/>
        <v>50</v>
      </c>
      <c r="CS71" s="486">
        <f t="shared" si="224"/>
        <v>9.8689794290992783E-2</v>
      </c>
      <c r="CT71" s="465">
        <f t="shared" si="225"/>
        <v>625</v>
      </c>
      <c r="CU71" s="486">
        <f t="shared" si="226"/>
        <v>2.1931285877609879E-2</v>
      </c>
      <c r="CV71" s="1069"/>
      <c r="CW71" s="427">
        <v>19</v>
      </c>
      <c r="CX71" s="427"/>
      <c r="CY71" s="427">
        <f t="shared" si="227"/>
        <v>19</v>
      </c>
      <c r="CZ71" s="427">
        <f t="shared" si="228"/>
        <v>0</v>
      </c>
      <c r="DA71" s="607">
        <f t="shared" si="141"/>
        <v>0</v>
      </c>
      <c r="DB71" s="607">
        <f t="shared" si="229"/>
        <v>26</v>
      </c>
      <c r="DC71" s="607">
        <f t="shared" si="179"/>
        <v>9.1234149250857103E-4</v>
      </c>
      <c r="DD71" s="1081"/>
      <c r="DE71" s="471">
        <v>5.6</v>
      </c>
      <c r="DF71" s="473"/>
      <c r="DG71" s="473">
        <f t="shared" si="180"/>
        <v>5.6</v>
      </c>
      <c r="DH71" s="473">
        <f t="shared" si="160"/>
        <v>0</v>
      </c>
      <c r="DI71" s="227">
        <f t="shared" si="230"/>
        <v>0</v>
      </c>
      <c r="DJ71" s="473">
        <f t="shared" si="231"/>
        <v>5.6</v>
      </c>
      <c r="DK71" s="227">
        <f t="shared" si="232"/>
        <v>1.9650432146338452E-4</v>
      </c>
      <c r="DL71" s="1084"/>
      <c r="DM71" s="63">
        <v>950</v>
      </c>
      <c r="DN71" s="64"/>
      <c r="DO71" s="66">
        <f t="shared" si="233"/>
        <v>950</v>
      </c>
      <c r="DP71" s="66">
        <f t="shared" si="161"/>
        <v>0</v>
      </c>
      <c r="DQ71" s="412">
        <f t="shared" si="234"/>
        <v>0</v>
      </c>
      <c r="DR71" s="66">
        <f t="shared" si="235"/>
        <v>8050</v>
      </c>
      <c r="DS71" s="412">
        <f t="shared" si="236"/>
        <v>0.28247496210361528</v>
      </c>
      <c r="DT71" s="1071"/>
      <c r="DU71" s="596">
        <v>40</v>
      </c>
      <c r="DV71" s="596"/>
      <c r="DW71" s="596">
        <f t="shared" si="181"/>
        <v>40</v>
      </c>
      <c r="DX71" s="596">
        <f t="shared" si="162"/>
        <v>0</v>
      </c>
      <c r="DY71" s="592">
        <f t="shared" si="182"/>
        <v>0</v>
      </c>
      <c r="DZ71" s="596">
        <f t="shared" si="237"/>
        <v>2760</v>
      </c>
      <c r="EA71" s="592">
        <f t="shared" si="183"/>
        <v>9.6848558435525228E-2</v>
      </c>
      <c r="EB71" s="1041"/>
      <c r="EC71" s="448">
        <v>100</v>
      </c>
      <c r="ED71" s="449"/>
      <c r="EE71" s="449">
        <f t="shared" si="184"/>
        <v>100</v>
      </c>
      <c r="EF71" s="449">
        <f t="shared" si="163"/>
        <v>0</v>
      </c>
      <c r="EG71" s="450">
        <f t="shared" ref="EG71:EG134" si="242">EF71*1000/B71</f>
        <v>0</v>
      </c>
      <c r="EH71" s="449">
        <f t="shared" si="238"/>
        <v>215</v>
      </c>
      <c r="EI71" s="450">
        <f t="shared" ref="EI71:EI134" si="243">EH71*1000/C71</f>
        <v>7.5443623418977989E-3</v>
      </c>
      <c r="EJ71" s="1035"/>
      <c r="EK71" s="426">
        <v>2052</v>
      </c>
      <c r="EL71" s="427"/>
      <c r="EM71" s="427">
        <f t="shared" si="185"/>
        <v>1920</v>
      </c>
      <c r="EN71" s="427">
        <f t="shared" si="164"/>
        <v>132</v>
      </c>
      <c r="EO71" s="427">
        <f t="shared" si="186"/>
        <v>23952</v>
      </c>
      <c r="EP71" s="456">
        <v>70</v>
      </c>
      <c r="EQ71" s="457"/>
      <c r="ER71" s="457">
        <f t="shared" si="187"/>
        <v>56</v>
      </c>
      <c r="ES71" s="457">
        <f t="shared" si="165"/>
        <v>14</v>
      </c>
      <c r="ET71" s="457">
        <f t="shared" si="188"/>
        <v>462</v>
      </c>
      <c r="EU71" s="409">
        <v>80</v>
      </c>
      <c r="EV71" s="43"/>
      <c r="EW71" s="43">
        <f t="shared" si="189"/>
        <v>60</v>
      </c>
      <c r="EX71" s="43">
        <f t="shared" si="166"/>
        <v>20</v>
      </c>
      <c r="EY71" s="43">
        <f t="shared" si="190"/>
        <v>340</v>
      </c>
      <c r="EZ71" s="436">
        <v>0</v>
      </c>
      <c r="FA71" s="437"/>
      <c r="FB71" s="437">
        <f t="shared" si="191"/>
        <v>0</v>
      </c>
      <c r="FC71" s="437">
        <f t="shared" si="167"/>
        <v>0</v>
      </c>
      <c r="FD71" s="437">
        <f t="shared" si="192"/>
        <v>490</v>
      </c>
      <c r="FE71" s="442">
        <v>75</v>
      </c>
      <c r="FF71" s="443"/>
      <c r="FG71" s="443">
        <f t="shared" si="193"/>
        <v>50</v>
      </c>
      <c r="FH71" s="443">
        <f t="shared" si="168"/>
        <v>25</v>
      </c>
      <c r="FI71" s="443">
        <f t="shared" si="194"/>
        <v>550</v>
      </c>
      <c r="FJ71" s="392">
        <v>0</v>
      </c>
      <c r="FK71" s="298"/>
      <c r="FL71" s="298">
        <f t="shared" si="195"/>
        <v>0</v>
      </c>
      <c r="FM71" s="298">
        <f t="shared" si="169"/>
        <v>0</v>
      </c>
      <c r="FN71" s="498">
        <f t="shared" si="196"/>
        <v>900</v>
      </c>
      <c r="HC71" s="402"/>
      <c r="HD71" s="52"/>
      <c r="HE71" s="52">
        <f t="shared" si="197"/>
        <v>0</v>
      </c>
      <c r="HF71" s="52">
        <f t="shared" si="170"/>
        <v>0</v>
      </c>
      <c r="HG71" s="51"/>
      <c r="HH71" s="52">
        <f t="shared" si="240"/>
        <v>400</v>
      </c>
      <c r="HI71" s="51"/>
      <c r="HJ71" s="1047"/>
    </row>
    <row r="72" spans="1:218">
      <c r="A72" s="30">
        <v>44735</v>
      </c>
      <c r="B72" s="390">
        <v>495440</v>
      </c>
      <c r="C72" s="18">
        <f t="shared" si="147"/>
        <v>28993541</v>
      </c>
      <c r="D72" s="376">
        <v>6316.48</v>
      </c>
      <c r="E72" s="417">
        <f t="shared" si="109"/>
        <v>392799.55999999982</v>
      </c>
      <c r="F72" s="397">
        <v>35587</v>
      </c>
      <c r="G72" s="37"/>
      <c r="H72" s="37">
        <f t="shared" si="171"/>
        <v>34327</v>
      </c>
      <c r="I72" s="37">
        <f t="shared" si="148"/>
        <v>1260</v>
      </c>
      <c r="J72" s="37">
        <f t="shared" si="146"/>
        <v>199.47819038451797</v>
      </c>
      <c r="K72" s="37">
        <f t="shared" si="198"/>
        <v>190380</v>
      </c>
      <c r="L72" s="37">
        <f t="shared" si="149"/>
        <v>484.67467733416015</v>
      </c>
      <c r="M72" s="1055"/>
      <c r="N72" s="422">
        <v>200</v>
      </c>
      <c r="O72" s="423">
        <v>250</v>
      </c>
      <c r="P72" s="423">
        <f t="shared" si="199"/>
        <v>375</v>
      </c>
      <c r="Q72" s="423">
        <f t="shared" si="200"/>
        <v>75</v>
      </c>
      <c r="R72" s="423">
        <f t="shared" si="201"/>
        <v>4675</v>
      </c>
      <c r="S72" s="68">
        <v>9.6</v>
      </c>
      <c r="T72" s="67">
        <v>24</v>
      </c>
      <c r="U72" s="68">
        <f t="shared" si="202"/>
        <v>115.19999999999999</v>
      </c>
      <c r="V72" s="68">
        <f t="shared" si="151"/>
        <v>18.238005978013071</v>
      </c>
      <c r="W72" s="423">
        <f t="shared" si="203"/>
        <v>4631.5439999999999</v>
      </c>
      <c r="X72" s="68">
        <f t="shared" si="152"/>
        <v>11.79111300430174</v>
      </c>
      <c r="Y72" s="1055"/>
      <c r="Z72" s="424">
        <v>175</v>
      </c>
      <c r="AA72" s="425">
        <v>50</v>
      </c>
      <c r="AB72" s="425">
        <f t="shared" si="204"/>
        <v>200</v>
      </c>
      <c r="AC72" s="425">
        <f t="shared" si="205"/>
        <v>25</v>
      </c>
      <c r="AD72" s="425">
        <f t="shared" si="206"/>
        <v>725</v>
      </c>
      <c r="AE72" s="72">
        <v>2.41</v>
      </c>
      <c r="AF72" s="71">
        <v>12</v>
      </c>
      <c r="AG72" s="72">
        <f t="shared" si="207"/>
        <v>14.46</v>
      </c>
      <c r="AH72" s="72">
        <f t="shared" si="173"/>
        <v>2.2892497086985157</v>
      </c>
      <c r="AI72" s="425">
        <f t="shared" si="208"/>
        <v>697.86</v>
      </c>
      <c r="AJ72" s="72">
        <f t="shared" si="241"/>
        <v>1.7766313180187887</v>
      </c>
      <c r="AK72" s="1055"/>
      <c r="AL72" s="491">
        <v>40957</v>
      </c>
      <c r="AM72" s="491"/>
      <c r="AN72" s="492">
        <f t="shared" si="105"/>
        <v>40957</v>
      </c>
      <c r="AO72" s="492">
        <f t="shared" si="106"/>
        <v>0</v>
      </c>
      <c r="AP72" s="492">
        <f t="shared" si="107"/>
        <v>42616</v>
      </c>
      <c r="AQ72" s="493">
        <f t="shared" si="174"/>
        <v>108.49299322025722</v>
      </c>
      <c r="AR72" s="1055"/>
      <c r="AS72" s="413">
        <v>49235</v>
      </c>
      <c r="AT72" s="64"/>
      <c r="AU72" s="66">
        <f t="shared" si="209"/>
        <v>49235</v>
      </c>
      <c r="AV72" s="66">
        <f t="shared" si="155"/>
        <v>0</v>
      </c>
      <c r="AW72" s="412">
        <f t="shared" si="156"/>
        <v>0</v>
      </c>
      <c r="AX72" s="66">
        <f t="shared" si="210"/>
        <v>0</v>
      </c>
      <c r="AY72" s="412">
        <f t="shared" si="211"/>
        <v>0</v>
      </c>
      <c r="AZ72" s="1055"/>
      <c r="BA72" s="419">
        <v>45495</v>
      </c>
      <c r="BB72" s="419"/>
      <c r="BC72" s="407"/>
      <c r="BD72" s="419">
        <f t="shared" si="175"/>
        <v>45495</v>
      </c>
      <c r="BE72" s="419">
        <f t="shared" si="176"/>
        <v>0</v>
      </c>
      <c r="BF72" s="407">
        <f t="shared" si="212"/>
        <v>0</v>
      </c>
      <c r="BG72" s="419">
        <f t="shared" si="108"/>
        <v>0</v>
      </c>
      <c r="BH72" s="407">
        <f t="shared" si="213"/>
        <v>0</v>
      </c>
      <c r="BI72" s="407">
        <f t="shared" si="214"/>
        <v>0</v>
      </c>
      <c r="BJ72" s="1053"/>
      <c r="BK72" s="1055"/>
      <c r="BL72" s="49">
        <v>1469</v>
      </c>
      <c r="BM72" s="50">
        <v>900</v>
      </c>
      <c r="BN72" s="52">
        <f t="shared" si="215"/>
        <v>2218</v>
      </c>
      <c r="BO72" s="52">
        <f t="shared" si="157"/>
        <v>151</v>
      </c>
      <c r="BP72" s="406">
        <f t="shared" si="216"/>
        <v>0.30477958985951881</v>
      </c>
      <c r="BQ72" s="52">
        <f t="shared" si="217"/>
        <v>12982</v>
      </c>
      <c r="BR72" s="406">
        <f t="shared" si="218"/>
        <v>0.44775489823750747</v>
      </c>
      <c r="BS72" s="1055"/>
      <c r="BT72" s="409">
        <v>942</v>
      </c>
      <c r="BU72" s="43"/>
      <c r="BV72" s="43">
        <f t="shared" si="102"/>
        <v>856</v>
      </c>
      <c r="BW72" s="43">
        <f t="shared" si="103"/>
        <v>86</v>
      </c>
      <c r="BX72" s="42">
        <f t="shared" si="219"/>
        <v>0.17358307766833522</v>
      </c>
      <c r="BY72" s="43">
        <f t="shared" si="104"/>
        <v>4531</v>
      </c>
      <c r="BZ72" s="42">
        <f t="shared" si="220"/>
        <v>0.15627618578910385</v>
      </c>
      <c r="CA72" s="1058"/>
      <c r="CB72" s="392">
        <v>1093</v>
      </c>
      <c r="CC72" s="298"/>
      <c r="CD72" s="298">
        <f t="shared" si="177"/>
        <v>1093</v>
      </c>
      <c r="CE72" s="298">
        <f t="shared" si="158"/>
        <v>0</v>
      </c>
      <c r="CF72" s="297">
        <f t="shared" si="221"/>
        <v>0</v>
      </c>
      <c r="CG72" s="298">
        <f t="shared" si="222"/>
        <v>24207</v>
      </c>
      <c r="CH72" s="297">
        <f t="shared" si="223"/>
        <v>0.83491009256165016</v>
      </c>
      <c r="CI72" s="1061"/>
      <c r="CJ72" s="651"/>
      <c r="CK72" s="651"/>
      <c r="CL72" s="651"/>
      <c r="CM72" s="651"/>
      <c r="CN72" s="651"/>
      <c r="CO72" s="464">
        <v>150</v>
      </c>
      <c r="CP72" s="465"/>
      <c r="CQ72" s="465">
        <f t="shared" si="178"/>
        <v>80</v>
      </c>
      <c r="CR72" s="465">
        <f t="shared" si="159"/>
        <v>70</v>
      </c>
      <c r="CS72" s="486">
        <f t="shared" si="224"/>
        <v>0.14128855159050541</v>
      </c>
      <c r="CT72" s="465">
        <f t="shared" si="225"/>
        <v>695</v>
      </c>
      <c r="CU72" s="486">
        <f t="shared" si="226"/>
        <v>2.3970856129646254E-2</v>
      </c>
      <c r="CV72" s="1069"/>
      <c r="CW72" s="427">
        <v>19</v>
      </c>
      <c r="CX72" s="427"/>
      <c r="CY72" s="427">
        <f t="shared" si="227"/>
        <v>19</v>
      </c>
      <c r="CZ72" s="427">
        <f t="shared" si="228"/>
        <v>0</v>
      </c>
      <c r="DA72" s="607">
        <f t="shared" si="141"/>
        <v>0</v>
      </c>
      <c r="DB72" s="607">
        <f t="shared" si="229"/>
        <v>26</v>
      </c>
      <c r="DC72" s="607">
        <f t="shared" si="179"/>
        <v>8.9675145233209007E-4</v>
      </c>
      <c r="DD72" s="1081"/>
      <c r="DE72" s="471">
        <v>5.6</v>
      </c>
      <c r="DF72" s="473"/>
      <c r="DG72" s="473">
        <f t="shared" si="180"/>
        <v>5.6</v>
      </c>
      <c r="DH72" s="473">
        <f t="shared" si="160"/>
        <v>0</v>
      </c>
      <c r="DI72" s="227">
        <f t="shared" si="230"/>
        <v>0</v>
      </c>
      <c r="DJ72" s="473">
        <f t="shared" si="231"/>
        <v>5.6</v>
      </c>
      <c r="DK72" s="227">
        <f t="shared" si="232"/>
        <v>1.9314646665614249E-4</v>
      </c>
      <c r="DL72" s="1084"/>
      <c r="DM72" s="63">
        <v>950</v>
      </c>
      <c r="DN72" s="64"/>
      <c r="DO72" s="66">
        <f t="shared" si="233"/>
        <v>950</v>
      </c>
      <c r="DP72" s="66">
        <f t="shared" si="161"/>
        <v>0</v>
      </c>
      <c r="DQ72" s="412">
        <f t="shared" si="234"/>
        <v>0</v>
      </c>
      <c r="DR72" s="66">
        <f t="shared" si="235"/>
        <v>8050</v>
      </c>
      <c r="DS72" s="412">
        <f t="shared" si="236"/>
        <v>0.27764804581820485</v>
      </c>
      <c r="DT72" s="1071"/>
      <c r="DU72" s="596">
        <v>40</v>
      </c>
      <c r="DV72" s="596"/>
      <c r="DW72" s="596">
        <f t="shared" si="181"/>
        <v>40</v>
      </c>
      <c r="DX72" s="596">
        <f t="shared" si="162"/>
        <v>0</v>
      </c>
      <c r="DY72" s="592">
        <f t="shared" si="182"/>
        <v>0</v>
      </c>
      <c r="DZ72" s="596">
        <f t="shared" si="237"/>
        <v>2760</v>
      </c>
      <c r="EA72" s="592">
        <f t="shared" si="183"/>
        <v>9.5193615709098789E-2</v>
      </c>
      <c r="EB72" s="1041"/>
      <c r="EC72" s="448">
        <v>100</v>
      </c>
      <c r="ED72" s="449"/>
      <c r="EE72" s="449">
        <f t="shared" si="184"/>
        <v>50</v>
      </c>
      <c r="EF72" s="449">
        <f t="shared" si="163"/>
        <v>50</v>
      </c>
      <c r="EG72" s="450">
        <f t="shared" si="242"/>
        <v>0.10092039399321814</v>
      </c>
      <c r="EH72" s="449">
        <f t="shared" si="238"/>
        <v>265</v>
      </c>
      <c r="EI72" s="450">
        <f t="shared" si="243"/>
        <v>9.1399667256924569E-3</v>
      </c>
      <c r="EJ72" s="1035"/>
      <c r="EK72" s="426">
        <v>1920</v>
      </c>
      <c r="EL72" s="427">
        <v>1200</v>
      </c>
      <c r="EM72" s="427">
        <f t="shared" si="185"/>
        <v>2520</v>
      </c>
      <c r="EN72" s="427">
        <f t="shared" si="164"/>
        <v>600</v>
      </c>
      <c r="EO72" s="427">
        <f t="shared" si="186"/>
        <v>24552</v>
      </c>
      <c r="EP72" s="456">
        <v>56</v>
      </c>
      <c r="EQ72" s="457">
        <v>70</v>
      </c>
      <c r="ER72" s="457">
        <f t="shared" si="187"/>
        <v>112</v>
      </c>
      <c r="ES72" s="457">
        <f t="shared" si="165"/>
        <v>14</v>
      </c>
      <c r="ET72" s="457">
        <f t="shared" si="188"/>
        <v>476</v>
      </c>
      <c r="EU72" s="409">
        <v>60</v>
      </c>
      <c r="EV72" s="43"/>
      <c r="EW72" s="43">
        <f t="shared" si="189"/>
        <v>60</v>
      </c>
      <c r="EX72" s="43">
        <f t="shared" si="166"/>
        <v>0</v>
      </c>
      <c r="EY72" s="43">
        <f t="shared" si="190"/>
        <v>340</v>
      </c>
      <c r="EZ72" s="436">
        <v>0</v>
      </c>
      <c r="FA72" s="437"/>
      <c r="FB72" s="437">
        <f t="shared" si="191"/>
        <v>0</v>
      </c>
      <c r="FC72" s="437">
        <f t="shared" si="167"/>
        <v>0</v>
      </c>
      <c r="FD72" s="437">
        <f t="shared" si="192"/>
        <v>490</v>
      </c>
      <c r="FE72" s="442">
        <v>50</v>
      </c>
      <c r="FF72" s="443"/>
      <c r="FG72" s="443">
        <f t="shared" si="193"/>
        <v>50</v>
      </c>
      <c r="FH72" s="443">
        <f t="shared" si="168"/>
        <v>0</v>
      </c>
      <c r="FI72" s="443">
        <f t="shared" si="194"/>
        <v>550</v>
      </c>
      <c r="FJ72" s="392">
        <v>0</v>
      </c>
      <c r="FK72" s="298"/>
      <c r="FL72" s="298">
        <f t="shared" si="195"/>
        <v>0</v>
      </c>
      <c r="FM72" s="298">
        <f t="shared" si="169"/>
        <v>0</v>
      </c>
      <c r="FN72" s="498">
        <f t="shared" si="196"/>
        <v>900</v>
      </c>
      <c r="HC72" s="402"/>
      <c r="HD72" s="52"/>
      <c r="HE72" s="52">
        <f t="shared" si="197"/>
        <v>0</v>
      </c>
      <c r="HF72" s="52">
        <f t="shared" si="170"/>
        <v>0</v>
      </c>
      <c r="HG72" s="51"/>
      <c r="HH72" s="52">
        <f t="shared" si="240"/>
        <v>400</v>
      </c>
      <c r="HI72" s="51"/>
      <c r="HJ72" s="1047"/>
    </row>
    <row r="73" spans="1:218">
      <c r="A73" s="30">
        <v>44736</v>
      </c>
      <c r="B73" s="390">
        <v>504160</v>
      </c>
      <c r="C73" s="18">
        <f t="shared" si="147"/>
        <v>29497701</v>
      </c>
      <c r="D73" s="376">
        <v>6795.78</v>
      </c>
      <c r="E73" s="417">
        <f t="shared" si="109"/>
        <v>399595.33999999985</v>
      </c>
      <c r="F73" s="397">
        <v>34327</v>
      </c>
      <c r="G73" s="37"/>
      <c r="H73" s="37">
        <f t="shared" si="171"/>
        <v>32091</v>
      </c>
      <c r="I73" s="37">
        <f t="shared" si="148"/>
        <v>2236</v>
      </c>
      <c r="J73" s="37">
        <f t="shared" si="146"/>
        <v>329.02772014397169</v>
      </c>
      <c r="K73" s="37">
        <f t="shared" si="198"/>
        <v>192616</v>
      </c>
      <c r="L73" s="37">
        <f t="shared" si="149"/>
        <v>482.02764326530951</v>
      </c>
      <c r="M73" s="1055"/>
      <c r="N73" s="422">
        <v>375</v>
      </c>
      <c r="O73" s="423"/>
      <c r="P73" s="423">
        <f t="shared" si="199"/>
        <v>225</v>
      </c>
      <c r="Q73" s="423">
        <f t="shared" si="200"/>
        <v>150</v>
      </c>
      <c r="R73" s="423">
        <f t="shared" si="201"/>
        <v>4825</v>
      </c>
      <c r="S73" s="68">
        <v>9.41</v>
      </c>
      <c r="T73" s="67">
        <v>24</v>
      </c>
      <c r="U73" s="68">
        <f t="shared" si="202"/>
        <v>112.92</v>
      </c>
      <c r="V73" s="68">
        <f t="shared" si="151"/>
        <v>16.616194167556927</v>
      </c>
      <c r="W73" s="423">
        <f t="shared" si="203"/>
        <v>4744.4639999999999</v>
      </c>
      <c r="X73" s="68">
        <f t="shared" si="152"/>
        <v>11.87317149394185</v>
      </c>
      <c r="Y73" s="1055"/>
      <c r="Z73" s="424">
        <v>200</v>
      </c>
      <c r="AA73" s="425"/>
      <c r="AB73" s="425">
        <f t="shared" si="204"/>
        <v>150</v>
      </c>
      <c r="AC73" s="425">
        <f t="shared" si="205"/>
        <v>50</v>
      </c>
      <c r="AD73" s="425">
        <f t="shared" si="206"/>
        <v>775</v>
      </c>
      <c r="AE73" s="72">
        <v>2.37</v>
      </c>
      <c r="AF73" s="71">
        <v>12</v>
      </c>
      <c r="AG73" s="72">
        <f t="shared" si="207"/>
        <v>14.22</v>
      </c>
      <c r="AH73" s="72">
        <f t="shared" si="173"/>
        <v>2.0924750359782101</v>
      </c>
      <c r="AI73" s="425">
        <f t="shared" si="208"/>
        <v>712.08</v>
      </c>
      <c r="AJ73" s="72">
        <f t="shared" si="241"/>
        <v>1.7820027630952859</v>
      </c>
      <c r="AK73" s="1055"/>
      <c r="AL73" s="491">
        <v>40957</v>
      </c>
      <c r="AM73" s="491"/>
      <c r="AN73" s="492">
        <f t="shared" si="105"/>
        <v>40957</v>
      </c>
      <c r="AO73" s="492">
        <f t="shared" si="106"/>
        <v>0</v>
      </c>
      <c r="AP73" s="492">
        <f t="shared" si="107"/>
        <v>42616</v>
      </c>
      <c r="AQ73" s="493">
        <f t="shared" si="174"/>
        <v>106.64789033826074</v>
      </c>
      <c r="AR73" s="1055"/>
      <c r="AS73" s="413">
        <v>49235</v>
      </c>
      <c r="AT73" s="64"/>
      <c r="AU73" s="66">
        <f t="shared" si="209"/>
        <v>49235</v>
      </c>
      <c r="AV73" s="66">
        <f t="shared" si="155"/>
        <v>0</v>
      </c>
      <c r="AW73" s="412">
        <f t="shared" si="156"/>
        <v>0</v>
      </c>
      <c r="AX73" s="66">
        <f t="shared" si="210"/>
        <v>0</v>
      </c>
      <c r="AY73" s="412">
        <f t="shared" si="211"/>
        <v>0</v>
      </c>
      <c r="AZ73" s="1055"/>
      <c r="BA73" s="419">
        <v>45495</v>
      </c>
      <c r="BB73" s="419"/>
      <c r="BC73" s="407"/>
      <c r="BD73" s="419">
        <f t="shared" si="175"/>
        <v>45495</v>
      </c>
      <c r="BE73" s="419">
        <f t="shared" si="176"/>
        <v>0</v>
      </c>
      <c r="BF73" s="407">
        <f t="shared" si="212"/>
        <v>0</v>
      </c>
      <c r="BG73" s="419">
        <f t="shared" si="108"/>
        <v>0</v>
      </c>
      <c r="BH73" s="407">
        <f t="shared" si="213"/>
        <v>0</v>
      </c>
      <c r="BI73" s="407">
        <f t="shared" si="214"/>
        <v>0</v>
      </c>
      <c r="BJ73" s="1053"/>
      <c r="BK73" s="1055"/>
      <c r="BL73" s="49">
        <v>2218</v>
      </c>
      <c r="BM73" s="50"/>
      <c r="BN73" s="52">
        <f t="shared" si="215"/>
        <v>1991</v>
      </c>
      <c r="BO73" s="52">
        <f t="shared" si="157"/>
        <v>227</v>
      </c>
      <c r="BP73" s="406">
        <f t="shared" si="216"/>
        <v>0.4502538876547128</v>
      </c>
      <c r="BQ73" s="52">
        <f t="shared" si="217"/>
        <v>13209</v>
      </c>
      <c r="BR73" s="406">
        <f t="shared" si="218"/>
        <v>0.44779760971880489</v>
      </c>
      <c r="BS73" s="1055"/>
      <c r="BT73" s="409">
        <v>856</v>
      </c>
      <c r="BU73" s="43"/>
      <c r="BV73" s="43">
        <f t="shared" si="102"/>
        <v>742</v>
      </c>
      <c r="BW73" s="43">
        <f t="shared" si="103"/>
        <v>114</v>
      </c>
      <c r="BX73" s="42">
        <f t="shared" si="219"/>
        <v>0.22611869247857824</v>
      </c>
      <c r="BY73" s="43">
        <f t="shared" si="104"/>
        <v>4645</v>
      </c>
      <c r="BZ73" s="42">
        <f t="shared" si="220"/>
        <v>0.1574698990948481</v>
      </c>
      <c r="CA73" s="1058"/>
      <c r="CB73" s="392">
        <v>1093</v>
      </c>
      <c r="CC73" s="298"/>
      <c r="CD73" s="298">
        <f t="shared" si="177"/>
        <v>1093</v>
      </c>
      <c r="CE73" s="298">
        <f t="shared" si="158"/>
        <v>0</v>
      </c>
      <c r="CF73" s="297">
        <f t="shared" si="221"/>
        <v>0</v>
      </c>
      <c r="CG73" s="298">
        <f t="shared" si="222"/>
        <v>24207</v>
      </c>
      <c r="CH73" s="297">
        <f t="shared" si="223"/>
        <v>0.82064022548740323</v>
      </c>
      <c r="CI73" s="1061"/>
      <c r="CJ73" s="651"/>
      <c r="CK73" s="651"/>
      <c r="CL73" s="651"/>
      <c r="CM73" s="651"/>
      <c r="CN73" s="651"/>
      <c r="CO73" s="464">
        <v>80</v>
      </c>
      <c r="CP73" s="465">
        <v>480</v>
      </c>
      <c r="CQ73" s="465">
        <f t="shared" si="178"/>
        <v>480</v>
      </c>
      <c r="CR73" s="465">
        <f t="shared" si="159"/>
        <v>80</v>
      </c>
      <c r="CS73" s="486">
        <f t="shared" si="224"/>
        <v>0.1586797841954935</v>
      </c>
      <c r="CT73" s="465">
        <f t="shared" si="225"/>
        <v>775</v>
      </c>
      <c r="CU73" s="486">
        <f t="shared" si="226"/>
        <v>2.6273233971691557E-2</v>
      </c>
      <c r="CV73" s="1069"/>
      <c r="CW73" s="427">
        <v>19</v>
      </c>
      <c r="CX73" s="427"/>
      <c r="CY73" s="427">
        <f t="shared" si="227"/>
        <v>5</v>
      </c>
      <c r="CZ73" s="427">
        <f t="shared" si="228"/>
        <v>14</v>
      </c>
      <c r="DA73" s="607">
        <f t="shared" ref="DA73:DA136" si="244">CZ73*1000/B73</f>
        <v>2.776896223421136E-2</v>
      </c>
      <c r="DB73" s="607">
        <f t="shared" si="229"/>
        <v>40</v>
      </c>
      <c r="DC73" s="607">
        <f t="shared" si="179"/>
        <v>1.3560378824098867E-3</v>
      </c>
      <c r="DD73" s="1081"/>
      <c r="DE73" s="471">
        <v>5.6</v>
      </c>
      <c r="DF73" s="473"/>
      <c r="DG73" s="473">
        <f t="shared" si="180"/>
        <v>5.6</v>
      </c>
      <c r="DH73" s="473">
        <f t="shared" si="160"/>
        <v>0</v>
      </c>
      <c r="DI73" s="227">
        <f t="shared" si="230"/>
        <v>0</v>
      </c>
      <c r="DJ73" s="473">
        <f t="shared" si="231"/>
        <v>5.6</v>
      </c>
      <c r="DK73" s="227">
        <f t="shared" si="232"/>
        <v>1.8984530353738415E-4</v>
      </c>
      <c r="DL73" s="1084"/>
      <c r="DM73" s="63">
        <v>950</v>
      </c>
      <c r="DN73" s="64"/>
      <c r="DO73" s="66">
        <f t="shared" si="233"/>
        <v>950</v>
      </c>
      <c r="DP73" s="66">
        <f t="shared" si="161"/>
        <v>0</v>
      </c>
      <c r="DQ73" s="412">
        <f t="shared" si="234"/>
        <v>0</v>
      </c>
      <c r="DR73" s="66">
        <f t="shared" si="235"/>
        <v>8050</v>
      </c>
      <c r="DS73" s="412">
        <f t="shared" si="236"/>
        <v>0.2729026238349897</v>
      </c>
      <c r="DT73" s="1071"/>
      <c r="DU73" s="596">
        <v>40</v>
      </c>
      <c r="DV73" s="596"/>
      <c r="DW73" s="596">
        <f t="shared" si="181"/>
        <v>40</v>
      </c>
      <c r="DX73" s="596">
        <f t="shared" si="162"/>
        <v>0</v>
      </c>
      <c r="DY73" s="592">
        <f t="shared" si="182"/>
        <v>0</v>
      </c>
      <c r="DZ73" s="596">
        <f t="shared" si="237"/>
        <v>2760</v>
      </c>
      <c r="EA73" s="592">
        <f t="shared" si="183"/>
        <v>9.3566613886282193E-2</v>
      </c>
      <c r="EB73" s="1041"/>
      <c r="EC73" s="448">
        <v>50</v>
      </c>
      <c r="ED73" s="449"/>
      <c r="EE73" s="449">
        <f t="shared" si="184"/>
        <v>50</v>
      </c>
      <c r="EF73" s="449">
        <f t="shared" si="163"/>
        <v>0</v>
      </c>
      <c r="EG73" s="450">
        <f t="shared" si="242"/>
        <v>0</v>
      </c>
      <c r="EH73" s="449">
        <f t="shared" si="238"/>
        <v>265</v>
      </c>
      <c r="EI73" s="450">
        <f t="shared" si="243"/>
        <v>8.9837509709654994E-3</v>
      </c>
      <c r="EJ73" s="1035"/>
      <c r="EK73" s="426">
        <f>2100*1.2</f>
        <v>2520</v>
      </c>
      <c r="EL73" s="427">
        <v>1200</v>
      </c>
      <c r="EM73" s="427">
        <f t="shared" si="185"/>
        <v>3020</v>
      </c>
      <c r="EN73" s="427">
        <f t="shared" si="164"/>
        <v>700</v>
      </c>
      <c r="EO73" s="427">
        <f t="shared" si="186"/>
        <v>25252</v>
      </c>
      <c r="EP73" s="456">
        <v>112</v>
      </c>
      <c r="EQ73" s="457"/>
      <c r="ER73" s="457">
        <f t="shared" si="187"/>
        <v>84</v>
      </c>
      <c r="ES73" s="457">
        <f t="shared" si="165"/>
        <v>28</v>
      </c>
      <c r="ET73" s="457">
        <f t="shared" si="188"/>
        <v>504</v>
      </c>
      <c r="EU73" s="409">
        <v>60</v>
      </c>
      <c r="EV73" s="43">
        <v>200</v>
      </c>
      <c r="EW73" s="43">
        <f t="shared" si="189"/>
        <v>240</v>
      </c>
      <c r="EX73" s="43">
        <f t="shared" si="166"/>
        <v>20</v>
      </c>
      <c r="EY73" s="43">
        <f t="shared" si="190"/>
        <v>360</v>
      </c>
      <c r="EZ73" s="436">
        <v>0</v>
      </c>
      <c r="FA73" s="437"/>
      <c r="FB73" s="437">
        <f t="shared" si="191"/>
        <v>0</v>
      </c>
      <c r="FC73" s="437">
        <f t="shared" si="167"/>
        <v>0</v>
      </c>
      <c r="FD73" s="437">
        <f t="shared" si="192"/>
        <v>490</v>
      </c>
      <c r="FE73" s="442">
        <v>50</v>
      </c>
      <c r="FF73" s="443"/>
      <c r="FG73" s="443">
        <f t="shared" si="193"/>
        <v>50</v>
      </c>
      <c r="FH73" s="443">
        <f t="shared" si="168"/>
        <v>0</v>
      </c>
      <c r="FI73" s="443">
        <f t="shared" si="194"/>
        <v>550</v>
      </c>
      <c r="FJ73" s="392">
        <v>0</v>
      </c>
      <c r="FK73" s="298"/>
      <c r="FL73" s="298">
        <f t="shared" si="195"/>
        <v>0</v>
      </c>
      <c r="FM73" s="298">
        <f t="shared" si="169"/>
        <v>0</v>
      </c>
      <c r="FN73" s="498">
        <f t="shared" si="196"/>
        <v>900</v>
      </c>
      <c r="HC73" s="402"/>
      <c r="HD73" s="52"/>
      <c r="HE73" s="52">
        <f t="shared" si="197"/>
        <v>0</v>
      </c>
      <c r="HF73" s="52">
        <f t="shared" si="170"/>
        <v>0</v>
      </c>
      <c r="HG73" s="51"/>
      <c r="HH73" s="52">
        <f t="shared" si="240"/>
        <v>400</v>
      </c>
      <c r="HI73" s="51"/>
      <c r="HJ73" s="1047"/>
    </row>
    <row r="74" spans="1:218">
      <c r="A74" s="30">
        <v>44737</v>
      </c>
      <c r="B74" s="390">
        <v>550177</v>
      </c>
      <c r="C74" s="18">
        <f t="shared" si="147"/>
        <v>30047878</v>
      </c>
      <c r="D74" s="376">
        <v>7400.64</v>
      </c>
      <c r="E74" s="417">
        <f t="shared" si="109"/>
        <v>406995.97999999986</v>
      </c>
      <c r="F74" s="397">
        <v>32091</v>
      </c>
      <c r="G74" s="37"/>
      <c r="H74" s="37">
        <f t="shared" si="171"/>
        <v>26831</v>
      </c>
      <c r="I74" s="37">
        <f t="shared" si="148"/>
        <v>5260</v>
      </c>
      <c r="J74" s="37">
        <f t="shared" si="146"/>
        <v>710.74934059756993</v>
      </c>
      <c r="K74" s="37">
        <f t="shared" si="198"/>
        <v>197876</v>
      </c>
      <c r="L74" s="37">
        <f t="shared" si="149"/>
        <v>486.18662031993551</v>
      </c>
      <c r="M74" s="1055"/>
      <c r="N74" s="422">
        <v>225</v>
      </c>
      <c r="O74" s="423"/>
      <c r="P74" s="423">
        <f t="shared" si="199"/>
        <v>50</v>
      </c>
      <c r="Q74" s="423">
        <f t="shared" si="200"/>
        <v>175</v>
      </c>
      <c r="R74" s="423">
        <f t="shared" si="201"/>
        <v>5000</v>
      </c>
      <c r="S74" s="68">
        <v>9.74</v>
      </c>
      <c r="T74" s="67">
        <v>24</v>
      </c>
      <c r="U74" s="68">
        <f t="shared" si="202"/>
        <v>116.88</v>
      </c>
      <c r="V74" s="68">
        <f t="shared" si="151"/>
        <v>15.793228693734596</v>
      </c>
      <c r="W74" s="423">
        <f t="shared" si="203"/>
        <v>4861.3440000000001</v>
      </c>
      <c r="X74" s="68">
        <f t="shared" si="152"/>
        <v>11.944452129478039</v>
      </c>
      <c r="Y74" s="1055"/>
      <c r="Z74" s="424">
        <v>150</v>
      </c>
      <c r="AA74" s="425"/>
      <c r="AB74" s="425">
        <f t="shared" si="204"/>
        <v>125</v>
      </c>
      <c r="AC74" s="425">
        <f t="shared" si="205"/>
        <v>25</v>
      </c>
      <c r="AD74" s="425">
        <f t="shared" si="206"/>
        <v>800</v>
      </c>
      <c r="AE74" s="72">
        <v>2.64</v>
      </c>
      <c r="AF74" s="71">
        <v>12</v>
      </c>
      <c r="AG74" s="72">
        <f t="shared" si="207"/>
        <v>15.84</v>
      </c>
      <c r="AH74" s="72">
        <f t="shared" si="173"/>
        <v>2.140355428719678</v>
      </c>
      <c r="AI74" s="425">
        <f t="shared" si="208"/>
        <v>727.92000000000007</v>
      </c>
      <c r="AJ74" s="72">
        <f t="shared" si="241"/>
        <v>1.7885188939704033</v>
      </c>
      <c r="AK74" s="1055"/>
      <c r="AL74" s="491">
        <v>40957</v>
      </c>
      <c r="AM74" s="491"/>
      <c r="AN74" s="492">
        <f t="shared" si="105"/>
        <v>40957</v>
      </c>
      <c r="AO74" s="492">
        <f t="shared" si="106"/>
        <v>0</v>
      </c>
      <c r="AP74" s="492">
        <f t="shared" si="107"/>
        <v>42616</v>
      </c>
      <c r="AQ74" s="493">
        <f t="shared" si="174"/>
        <v>104.70865093065542</v>
      </c>
      <c r="AR74" s="1055"/>
      <c r="AS74" s="413">
        <v>49235</v>
      </c>
      <c r="AT74" s="64"/>
      <c r="AU74" s="66">
        <f t="shared" si="209"/>
        <v>49235</v>
      </c>
      <c r="AV74" s="66">
        <f t="shared" si="155"/>
        <v>0</v>
      </c>
      <c r="AW74" s="412">
        <f t="shared" si="156"/>
        <v>0</v>
      </c>
      <c r="AX74" s="66">
        <f t="shared" si="210"/>
        <v>0</v>
      </c>
      <c r="AY74" s="412">
        <f t="shared" si="211"/>
        <v>0</v>
      </c>
      <c r="AZ74" s="1055"/>
      <c r="BA74" s="419">
        <v>45495</v>
      </c>
      <c r="BB74" s="419"/>
      <c r="BC74" s="407"/>
      <c r="BD74" s="419">
        <f t="shared" si="175"/>
        <v>45495</v>
      </c>
      <c r="BE74" s="419">
        <f t="shared" si="176"/>
        <v>0</v>
      </c>
      <c r="BF74" s="407">
        <f t="shared" si="212"/>
        <v>0</v>
      </c>
      <c r="BG74" s="419">
        <f t="shared" si="108"/>
        <v>0</v>
      </c>
      <c r="BH74" s="407">
        <f t="shared" si="213"/>
        <v>0</v>
      </c>
      <c r="BI74" s="407">
        <f t="shared" si="214"/>
        <v>0</v>
      </c>
      <c r="BJ74" s="1053"/>
      <c r="BK74" s="1055"/>
      <c r="BL74" s="49">
        <v>1991</v>
      </c>
      <c r="BM74" s="50"/>
      <c r="BN74" s="52">
        <f t="shared" si="215"/>
        <v>1907</v>
      </c>
      <c r="BO74" s="52">
        <f t="shared" si="157"/>
        <v>84</v>
      </c>
      <c r="BP74" s="406">
        <f t="shared" si="216"/>
        <v>0.15267813812645747</v>
      </c>
      <c r="BQ74" s="52">
        <f t="shared" si="217"/>
        <v>13293</v>
      </c>
      <c r="BR74" s="406">
        <f t="shared" si="218"/>
        <v>0.44239396871885595</v>
      </c>
      <c r="BS74" s="1055"/>
      <c r="BT74" s="409">
        <v>742</v>
      </c>
      <c r="BU74" s="43"/>
      <c r="BV74" s="43">
        <f t="shared" si="102"/>
        <v>656</v>
      </c>
      <c r="BW74" s="43">
        <f t="shared" si="103"/>
        <v>86</v>
      </c>
      <c r="BX74" s="42">
        <f t="shared" si="219"/>
        <v>0.15631333189137314</v>
      </c>
      <c r="BY74" s="43">
        <f t="shared" si="104"/>
        <v>4731</v>
      </c>
      <c r="BZ74" s="42">
        <f t="shared" si="220"/>
        <v>0.15744872233573365</v>
      </c>
      <c r="CA74" s="1058"/>
      <c r="CB74" s="392">
        <v>1093</v>
      </c>
      <c r="CC74" s="298"/>
      <c r="CD74" s="298">
        <f t="shared" si="177"/>
        <v>1093</v>
      </c>
      <c r="CE74" s="298">
        <f t="shared" si="158"/>
        <v>0</v>
      </c>
      <c r="CF74" s="297">
        <f t="shared" si="221"/>
        <v>0</v>
      </c>
      <c r="CG74" s="298">
        <f t="shared" si="222"/>
        <v>24207</v>
      </c>
      <c r="CH74" s="297">
        <f t="shared" si="223"/>
        <v>0.80561429329551992</v>
      </c>
      <c r="CI74" s="1061"/>
      <c r="CJ74" s="651"/>
      <c r="CK74" s="651"/>
      <c r="CL74" s="651"/>
      <c r="CM74" s="651"/>
      <c r="CN74" s="651"/>
      <c r="CO74" s="464">
        <v>480</v>
      </c>
      <c r="CP74" s="465"/>
      <c r="CQ74" s="465">
        <f t="shared" si="178"/>
        <v>400</v>
      </c>
      <c r="CR74" s="465">
        <f t="shared" si="159"/>
        <v>80</v>
      </c>
      <c r="CS74" s="486">
        <f t="shared" si="224"/>
        <v>0.14540775059662617</v>
      </c>
      <c r="CT74" s="465">
        <f t="shared" si="225"/>
        <v>855</v>
      </c>
      <c r="CU74" s="486">
        <f t="shared" si="226"/>
        <v>2.845458837392777E-2</v>
      </c>
      <c r="CV74" s="1069"/>
      <c r="CW74" s="427">
        <v>5</v>
      </c>
      <c r="CX74" s="427"/>
      <c r="CY74" s="427">
        <f t="shared" si="227"/>
        <v>5</v>
      </c>
      <c r="CZ74" s="427">
        <f t="shared" si="228"/>
        <v>0</v>
      </c>
      <c r="DA74" s="607">
        <f t="shared" si="244"/>
        <v>0</v>
      </c>
      <c r="DB74" s="607">
        <f t="shared" si="229"/>
        <v>40</v>
      </c>
      <c r="DC74" s="607">
        <f t="shared" si="179"/>
        <v>1.3312088128153343E-3</v>
      </c>
      <c r="DD74" s="1081"/>
      <c r="DE74" s="471">
        <v>5.6</v>
      </c>
      <c r="DF74" s="473"/>
      <c r="DG74" s="473">
        <f t="shared" si="180"/>
        <v>5.6</v>
      </c>
      <c r="DH74" s="473">
        <f t="shared" si="160"/>
        <v>0</v>
      </c>
      <c r="DI74" s="227">
        <f t="shared" si="230"/>
        <v>0</v>
      </c>
      <c r="DJ74" s="473">
        <f t="shared" si="231"/>
        <v>5.6</v>
      </c>
      <c r="DK74" s="227">
        <f t="shared" si="232"/>
        <v>1.8636923379414681E-4</v>
      </c>
      <c r="DL74" s="1084"/>
      <c r="DM74" s="63">
        <v>950</v>
      </c>
      <c r="DN74" s="64"/>
      <c r="DO74" s="66">
        <f t="shared" si="233"/>
        <v>950</v>
      </c>
      <c r="DP74" s="66">
        <f t="shared" si="161"/>
        <v>0</v>
      </c>
      <c r="DQ74" s="412">
        <f t="shared" si="234"/>
        <v>0</v>
      </c>
      <c r="DR74" s="66">
        <f t="shared" si="235"/>
        <v>8050</v>
      </c>
      <c r="DS74" s="412">
        <f t="shared" si="236"/>
        <v>0.26790577357908602</v>
      </c>
      <c r="DT74" s="1071"/>
      <c r="DU74" s="596">
        <v>40</v>
      </c>
      <c r="DV74" s="596"/>
      <c r="DW74" s="596">
        <f t="shared" si="181"/>
        <v>40</v>
      </c>
      <c r="DX74" s="596">
        <f t="shared" si="162"/>
        <v>0</v>
      </c>
      <c r="DY74" s="592">
        <f t="shared" si="182"/>
        <v>0</v>
      </c>
      <c r="DZ74" s="596">
        <f t="shared" si="237"/>
        <v>2760</v>
      </c>
      <c r="EA74" s="592">
        <f t="shared" si="183"/>
        <v>9.1853408084258056E-2</v>
      </c>
      <c r="EB74" s="1041"/>
      <c r="EC74" s="448">
        <v>50</v>
      </c>
      <c r="ED74" s="449"/>
      <c r="EE74" s="449">
        <f t="shared" si="184"/>
        <v>50</v>
      </c>
      <c r="EF74" s="449">
        <f t="shared" si="163"/>
        <v>0</v>
      </c>
      <c r="EG74" s="450">
        <f t="shared" si="242"/>
        <v>0</v>
      </c>
      <c r="EH74" s="449">
        <f t="shared" si="238"/>
        <v>265</v>
      </c>
      <c r="EI74" s="450">
        <f t="shared" si="243"/>
        <v>8.8192583849015897E-3</v>
      </c>
      <c r="EJ74" s="1035"/>
      <c r="EK74" s="426">
        <v>3020</v>
      </c>
      <c r="EL74" s="427"/>
      <c r="EM74" s="427">
        <f t="shared" si="185"/>
        <v>2400</v>
      </c>
      <c r="EN74" s="427">
        <f t="shared" si="164"/>
        <v>620</v>
      </c>
      <c r="EO74" s="427">
        <f t="shared" si="186"/>
        <v>25872</v>
      </c>
      <c r="EP74" s="456">
        <v>84</v>
      </c>
      <c r="EQ74" s="457"/>
      <c r="ER74" s="457">
        <f t="shared" si="187"/>
        <v>42</v>
      </c>
      <c r="ES74" s="457">
        <f t="shared" si="165"/>
        <v>42</v>
      </c>
      <c r="ET74" s="457">
        <f t="shared" si="188"/>
        <v>546</v>
      </c>
      <c r="EU74" s="409">
        <v>240</v>
      </c>
      <c r="EV74" s="43"/>
      <c r="EW74" s="43">
        <f t="shared" si="189"/>
        <v>240</v>
      </c>
      <c r="EX74" s="43">
        <f t="shared" si="166"/>
        <v>0</v>
      </c>
      <c r="EY74" s="43">
        <f t="shared" si="190"/>
        <v>360</v>
      </c>
      <c r="EZ74" s="436">
        <v>0</v>
      </c>
      <c r="FA74" s="437"/>
      <c r="FB74" s="437">
        <f t="shared" si="191"/>
        <v>0</v>
      </c>
      <c r="FC74" s="437">
        <f t="shared" si="167"/>
        <v>0</v>
      </c>
      <c r="FD74" s="437">
        <f t="shared" si="192"/>
        <v>490</v>
      </c>
      <c r="FE74" s="442">
        <v>50</v>
      </c>
      <c r="FF74" s="443"/>
      <c r="FG74" s="443">
        <f t="shared" si="193"/>
        <v>50</v>
      </c>
      <c r="FH74" s="443">
        <f t="shared" si="168"/>
        <v>0</v>
      </c>
      <c r="FI74" s="443">
        <f t="shared" si="194"/>
        <v>550</v>
      </c>
      <c r="FJ74" s="392">
        <v>0</v>
      </c>
      <c r="FK74" s="298"/>
      <c r="FL74" s="298">
        <f t="shared" si="195"/>
        <v>0</v>
      </c>
      <c r="FM74" s="298">
        <f t="shared" si="169"/>
        <v>0</v>
      </c>
      <c r="FN74" s="498">
        <f t="shared" si="196"/>
        <v>900</v>
      </c>
      <c r="HC74" s="402"/>
      <c r="HD74" s="52"/>
      <c r="HE74" s="52">
        <f t="shared" si="197"/>
        <v>0</v>
      </c>
      <c r="HF74" s="52">
        <f t="shared" si="170"/>
        <v>0</v>
      </c>
      <c r="HG74" s="51"/>
      <c r="HH74" s="52">
        <f t="shared" si="240"/>
        <v>400</v>
      </c>
      <c r="HI74" s="51"/>
      <c r="HJ74" s="1047"/>
    </row>
    <row r="75" spans="1:218">
      <c r="A75" s="30">
        <v>44738</v>
      </c>
      <c r="B75" s="390">
        <v>542082</v>
      </c>
      <c r="C75" s="18">
        <f t="shared" si="147"/>
        <v>30589960</v>
      </c>
      <c r="D75" s="376">
        <v>4709.16</v>
      </c>
      <c r="E75" s="417">
        <f t="shared" si="109"/>
        <v>411705.13999999984</v>
      </c>
      <c r="F75" s="397">
        <v>26831</v>
      </c>
      <c r="G75" s="37"/>
      <c r="H75" s="37">
        <f t="shared" si="171"/>
        <v>25225</v>
      </c>
      <c r="I75" s="37">
        <f t="shared" si="148"/>
        <v>1606</v>
      </c>
      <c r="J75" s="37">
        <f t="shared" si="146"/>
        <v>341.03746740395314</v>
      </c>
      <c r="K75" s="37">
        <f t="shared" si="198"/>
        <v>199482</v>
      </c>
      <c r="L75" s="37">
        <f t="shared" si="149"/>
        <v>484.52637730002613</v>
      </c>
      <c r="M75" s="1055"/>
      <c r="N75" s="422">
        <v>50</v>
      </c>
      <c r="O75" s="423"/>
      <c r="P75" s="423">
        <f t="shared" si="199"/>
        <v>25</v>
      </c>
      <c r="Q75" s="423">
        <f t="shared" si="200"/>
        <v>25</v>
      </c>
      <c r="R75" s="423">
        <f t="shared" si="201"/>
        <v>5025</v>
      </c>
      <c r="S75" s="68">
        <v>6.52</v>
      </c>
      <c r="T75" s="67">
        <v>24</v>
      </c>
      <c r="U75" s="68">
        <f t="shared" si="202"/>
        <v>78.239999999999995</v>
      </c>
      <c r="V75" s="68">
        <f t="shared" si="151"/>
        <v>16.614428050862575</v>
      </c>
      <c r="W75" s="423">
        <f t="shared" si="203"/>
        <v>4939.5839999999998</v>
      </c>
      <c r="X75" s="68">
        <f t="shared" si="152"/>
        <v>11.997868183039934</v>
      </c>
      <c r="Y75" s="1055"/>
      <c r="Z75" s="424">
        <v>125</v>
      </c>
      <c r="AA75" s="425"/>
      <c r="AB75" s="425">
        <f t="shared" si="204"/>
        <v>125</v>
      </c>
      <c r="AC75" s="425">
        <f t="shared" si="205"/>
        <v>0</v>
      </c>
      <c r="AD75" s="425">
        <f t="shared" si="206"/>
        <v>800</v>
      </c>
      <c r="AE75" s="72">
        <v>1.51</v>
      </c>
      <c r="AF75" s="71">
        <v>12</v>
      </c>
      <c r="AG75" s="72">
        <f t="shared" si="207"/>
        <v>9.06</v>
      </c>
      <c r="AH75" s="72">
        <f t="shared" si="173"/>
        <v>1.9239099966873074</v>
      </c>
      <c r="AI75" s="425">
        <f t="shared" si="208"/>
        <v>736.98</v>
      </c>
      <c r="AJ75" s="72">
        <f t="shared" si="241"/>
        <v>1.7900675225963909</v>
      </c>
      <c r="AK75" s="1055"/>
      <c r="AL75" s="491">
        <v>40957</v>
      </c>
      <c r="AM75" s="491"/>
      <c r="AN75" s="492">
        <f t="shared" si="105"/>
        <v>40957</v>
      </c>
      <c r="AO75" s="492">
        <f t="shared" si="106"/>
        <v>0</v>
      </c>
      <c r="AP75" s="492">
        <f t="shared" si="107"/>
        <v>42616</v>
      </c>
      <c r="AQ75" s="493">
        <f t="shared" si="174"/>
        <v>103.51097389748405</v>
      </c>
      <c r="AR75" s="1055"/>
      <c r="AS75" s="413">
        <v>49235</v>
      </c>
      <c r="AT75" s="64"/>
      <c r="AU75" s="66">
        <f t="shared" si="209"/>
        <v>49235</v>
      </c>
      <c r="AV75" s="66">
        <f t="shared" si="155"/>
        <v>0</v>
      </c>
      <c r="AW75" s="412">
        <f t="shared" si="156"/>
        <v>0</v>
      </c>
      <c r="AX75" s="66">
        <f t="shared" si="210"/>
        <v>0</v>
      </c>
      <c r="AY75" s="412">
        <f t="shared" si="211"/>
        <v>0</v>
      </c>
      <c r="AZ75" s="1055"/>
      <c r="BA75" s="419">
        <v>45495</v>
      </c>
      <c r="BB75" s="419"/>
      <c r="BC75" s="407"/>
      <c r="BD75" s="419">
        <f t="shared" si="175"/>
        <v>45495</v>
      </c>
      <c r="BE75" s="419">
        <f t="shared" si="176"/>
        <v>0</v>
      </c>
      <c r="BF75" s="407">
        <f t="shared" si="212"/>
        <v>0</v>
      </c>
      <c r="BG75" s="419">
        <f t="shared" si="108"/>
        <v>0</v>
      </c>
      <c r="BH75" s="407">
        <f t="shared" si="213"/>
        <v>0</v>
      </c>
      <c r="BI75" s="407">
        <f t="shared" si="214"/>
        <v>0</v>
      </c>
      <c r="BJ75" s="1053"/>
      <c r="BK75" s="1055"/>
      <c r="BL75" s="49">
        <v>1907</v>
      </c>
      <c r="BM75" s="50"/>
      <c r="BN75" s="52">
        <f t="shared" si="215"/>
        <v>1798</v>
      </c>
      <c r="BO75" s="52">
        <f t="shared" si="157"/>
        <v>109</v>
      </c>
      <c r="BP75" s="406">
        <f t="shared" si="216"/>
        <v>0.20107658988861463</v>
      </c>
      <c r="BQ75" s="52">
        <f t="shared" si="217"/>
        <v>13402</v>
      </c>
      <c r="BR75" s="406">
        <f t="shared" si="218"/>
        <v>0.43811760459967913</v>
      </c>
      <c r="BS75" s="1055"/>
      <c r="BT75" s="409">
        <v>656</v>
      </c>
      <c r="BU75" s="43"/>
      <c r="BV75" s="43">
        <f t="shared" si="102"/>
        <v>592</v>
      </c>
      <c r="BW75" s="43">
        <f t="shared" si="103"/>
        <v>64</v>
      </c>
      <c r="BX75" s="42">
        <f t="shared" si="219"/>
        <v>0.11806331883368198</v>
      </c>
      <c r="BY75" s="43">
        <f t="shared" si="104"/>
        <v>4795</v>
      </c>
      <c r="BZ75" s="42">
        <f t="shared" si="220"/>
        <v>0.15675077705234006</v>
      </c>
      <c r="CA75" s="1058"/>
      <c r="CB75" s="392">
        <v>1093</v>
      </c>
      <c r="CC75" s="298"/>
      <c r="CD75" s="298">
        <f t="shared" si="177"/>
        <v>1093</v>
      </c>
      <c r="CE75" s="298">
        <f t="shared" si="158"/>
        <v>0</v>
      </c>
      <c r="CF75" s="297">
        <f t="shared" si="221"/>
        <v>0</v>
      </c>
      <c r="CG75" s="298">
        <f t="shared" si="222"/>
        <v>24207</v>
      </c>
      <c r="CH75" s="297">
        <f t="shared" si="223"/>
        <v>0.79133807301480619</v>
      </c>
      <c r="CI75" s="1061"/>
      <c r="CJ75" s="651"/>
      <c r="CK75" s="651"/>
      <c r="CL75" s="651"/>
      <c r="CM75" s="651"/>
      <c r="CN75" s="651"/>
      <c r="CO75" s="464">
        <v>400</v>
      </c>
      <c r="CP75" s="465"/>
      <c r="CQ75" s="465">
        <f t="shared" si="178"/>
        <v>350</v>
      </c>
      <c r="CR75" s="465">
        <f t="shared" si="159"/>
        <v>50</v>
      </c>
      <c r="CS75" s="486">
        <f t="shared" si="224"/>
        <v>9.2236967838814049E-2</v>
      </c>
      <c r="CT75" s="465">
        <f t="shared" si="225"/>
        <v>905</v>
      </c>
      <c r="CU75" s="486">
        <f t="shared" si="226"/>
        <v>2.9584870330003701E-2</v>
      </c>
      <c r="CV75" s="1069"/>
      <c r="CW75" s="427">
        <v>5</v>
      </c>
      <c r="CX75" s="427"/>
      <c r="CY75" s="427">
        <f t="shared" si="227"/>
        <v>5</v>
      </c>
      <c r="CZ75" s="427">
        <f t="shared" si="228"/>
        <v>0</v>
      </c>
      <c r="DA75" s="607">
        <f t="shared" si="244"/>
        <v>0</v>
      </c>
      <c r="DB75" s="607">
        <f t="shared" si="229"/>
        <v>40</v>
      </c>
      <c r="DC75" s="607">
        <f t="shared" si="179"/>
        <v>1.3076185781217104E-3</v>
      </c>
      <c r="DD75" s="1081"/>
      <c r="DE75" s="471">
        <v>5.6</v>
      </c>
      <c r="DF75" s="473"/>
      <c r="DG75" s="473">
        <f t="shared" si="180"/>
        <v>5.6</v>
      </c>
      <c r="DH75" s="473">
        <f t="shared" si="160"/>
        <v>0</v>
      </c>
      <c r="DI75" s="227">
        <f t="shared" si="230"/>
        <v>0</v>
      </c>
      <c r="DJ75" s="473">
        <f t="shared" si="231"/>
        <v>5.6</v>
      </c>
      <c r="DK75" s="227">
        <f t="shared" si="232"/>
        <v>1.8306660093703948E-4</v>
      </c>
      <c r="DL75" s="1084"/>
      <c r="DM75" s="63">
        <v>950</v>
      </c>
      <c r="DN75" s="64"/>
      <c r="DO75" s="66">
        <f t="shared" si="233"/>
        <v>900</v>
      </c>
      <c r="DP75" s="66">
        <f t="shared" si="161"/>
        <v>50</v>
      </c>
      <c r="DQ75" s="412">
        <f t="shared" si="234"/>
        <v>9.2236967838814049E-2</v>
      </c>
      <c r="DR75" s="66">
        <f t="shared" si="235"/>
        <v>8100</v>
      </c>
      <c r="DS75" s="412">
        <f t="shared" si="236"/>
        <v>0.26479276206964636</v>
      </c>
      <c r="DT75" s="1071"/>
      <c r="DU75" s="596">
        <v>40</v>
      </c>
      <c r="DV75" s="596"/>
      <c r="DW75" s="596">
        <f t="shared" si="181"/>
        <v>40</v>
      </c>
      <c r="DX75" s="596">
        <f t="shared" si="162"/>
        <v>0</v>
      </c>
      <c r="DY75" s="592">
        <f t="shared" si="182"/>
        <v>0</v>
      </c>
      <c r="DZ75" s="596">
        <f t="shared" si="237"/>
        <v>2760</v>
      </c>
      <c r="EA75" s="592">
        <f t="shared" si="183"/>
        <v>9.0225681890398021E-2</v>
      </c>
      <c r="EB75" s="1041"/>
      <c r="EC75" s="448">
        <v>50</v>
      </c>
      <c r="ED75" s="449"/>
      <c r="EE75" s="449">
        <f t="shared" si="184"/>
        <v>50</v>
      </c>
      <c r="EF75" s="449">
        <f t="shared" si="163"/>
        <v>0</v>
      </c>
      <c r="EG75" s="450">
        <f t="shared" si="242"/>
        <v>0</v>
      </c>
      <c r="EH75" s="449">
        <f t="shared" si="238"/>
        <v>265</v>
      </c>
      <c r="EI75" s="450">
        <f t="shared" si="243"/>
        <v>8.6629730800563323E-3</v>
      </c>
      <c r="EJ75" s="1035"/>
      <c r="EK75" s="426">
        <v>2400</v>
      </c>
      <c r="EL75" s="427"/>
      <c r="EM75" s="427">
        <f t="shared" si="185"/>
        <v>1800</v>
      </c>
      <c r="EN75" s="427">
        <f t="shared" si="164"/>
        <v>600</v>
      </c>
      <c r="EO75" s="427">
        <f t="shared" si="186"/>
        <v>26472</v>
      </c>
      <c r="EP75" s="456">
        <v>42</v>
      </c>
      <c r="EQ75" s="457"/>
      <c r="ER75" s="457">
        <f t="shared" si="187"/>
        <v>14</v>
      </c>
      <c r="ES75" s="457">
        <f t="shared" si="165"/>
        <v>28</v>
      </c>
      <c r="ET75" s="457">
        <f t="shared" si="188"/>
        <v>574</v>
      </c>
      <c r="EU75" s="409">
        <v>240</v>
      </c>
      <c r="EV75" s="43"/>
      <c r="EW75" s="43">
        <f t="shared" si="189"/>
        <v>240</v>
      </c>
      <c r="EX75" s="43">
        <f t="shared" si="166"/>
        <v>0</v>
      </c>
      <c r="EY75" s="43">
        <f t="shared" si="190"/>
        <v>360</v>
      </c>
      <c r="EZ75" s="436">
        <v>0</v>
      </c>
      <c r="FA75" s="437"/>
      <c r="FB75" s="437">
        <f t="shared" si="191"/>
        <v>0</v>
      </c>
      <c r="FC75" s="437">
        <f t="shared" si="167"/>
        <v>0</v>
      </c>
      <c r="FD75" s="437">
        <f t="shared" si="192"/>
        <v>490</v>
      </c>
      <c r="FE75" s="442">
        <v>50</v>
      </c>
      <c r="FF75" s="443"/>
      <c r="FG75" s="443">
        <f t="shared" si="193"/>
        <v>50</v>
      </c>
      <c r="FH75" s="443">
        <f t="shared" si="168"/>
        <v>0</v>
      </c>
      <c r="FI75" s="443">
        <f t="shared" si="194"/>
        <v>550</v>
      </c>
      <c r="FJ75" s="392">
        <v>0</v>
      </c>
      <c r="FK75" s="298"/>
      <c r="FL75" s="298">
        <f t="shared" si="195"/>
        <v>0</v>
      </c>
      <c r="FM75" s="298">
        <f t="shared" si="169"/>
        <v>0</v>
      </c>
      <c r="FN75" s="498">
        <f t="shared" si="196"/>
        <v>900</v>
      </c>
      <c r="HC75" s="402"/>
      <c r="HD75" s="52"/>
      <c r="HE75" s="52">
        <f t="shared" si="197"/>
        <v>0</v>
      </c>
      <c r="HF75" s="52">
        <f t="shared" si="170"/>
        <v>0</v>
      </c>
      <c r="HG75" s="51"/>
      <c r="HH75" s="52">
        <f t="shared" si="240"/>
        <v>400</v>
      </c>
      <c r="HI75" s="51"/>
      <c r="HJ75" s="1047"/>
    </row>
    <row r="76" spans="1:218">
      <c r="A76" s="30">
        <v>44739</v>
      </c>
      <c r="B76" s="390">
        <v>346640</v>
      </c>
      <c r="C76" s="18">
        <f t="shared" si="147"/>
        <v>30936600</v>
      </c>
      <c r="D76" s="376">
        <v>6556.36</v>
      </c>
      <c r="E76" s="417">
        <f t="shared" si="109"/>
        <v>418261.49999999983</v>
      </c>
      <c r="F76" s="397">
        <v>25225</v>
      </c>
      <c r="G76" s="37"/>
      <c r="H76" s="37">
        <f t="shared" si="171"/>
        <v>23148</v>
      </c>
      <c r="I76" s="37">
        <f t="shared" si="148"/>
        <v>2077</v>
      </c>
      <c r="J76" s="37">
        <f t="shared" si="146"/>
        <v>316.79163438249276</v>
      </c>
      <c r="K76" s="37">
        <f t="shared" si="198"/>
        <v>201559</v>
      </c>
      <c r="L76" s="37">
        <f t="shared" si="149"/>
        <v>481.8970906956535</v>
      </c>
      <c r="M76" s="1055"/>
      <c r="N76" s="422">
        <v>25</v>
      </c>
      <c r="O76" s="423">
        <v>300</v>
      </c>
      <c r="P76" s="423">
        <f t="shared" si="199"/>
        <v>225</v>
      </c>
      <c r="Q76" s="423">
        <f t="shared" si="200"/>
        <v>100</v>
      </c>
      <c r="R76" s="423">
        <f t="shared" si="201"/>
        <v>5125</v>
      </c>
      <c r="S76" s="68">
        <v>7.87</v>
      </c>
      <c r="T76" s="67">
        <v>24</v>
      </c>
      <c r="U76" s="68">
        <f t="shared" si="202"/>
        <v>94.44</v>
      </c>
      <c r="V76" s="68">
        <f t="shared" si="151"/>
        <v>14.404334112220806</v>
      </c>
      <c r="W76" s="423">
        <f t="shared" si="203"/>
        <v>5034.0239999999994</v>
      </c>
      <c r="X76" s="68">
        <f t="shared" si="152"/>
        <v>12.035590175045996</v>
      </c>
      <c r="Y76" s="1055"/>
      <c r="Z76" s="424">
        <v>125</v>
      </c>
      <c r="AA76" s="425"/>
      <c r="AB76" s="425">
        <f t="shared" si="204"/>
        <v>100</v>
      </c>
      <c r="AC76" s="425">
        <f t="shared" si="205"/>
        <v>25</v>
      </c>
      <c r="AD76" s="425">
        <f t="shared" si="206"/>
        <v>825</v>
      </c>
      <c r="AE76" s="72">
        <v>2.34</v>
      </c>
      <c r="AF76" s="71">
        <v>12</v>
      </c>
      <c r="AG76" s="72">
        <f t="shared" si="207"/>
        <v>14.04</v>
      </c>
      <c r="AH76" s="72">
        <f t="shared" si="173"/>
        <v>2.1414321361243132</v>
      </c>
      <c r="AI76" s="425">
        <f t="shared" si="208"/>
        <v>751.02</v>
      </c>
      <c r="AJ76" s="72">
        <f t="shared" si="241"/>
        <v>1.7955752561495626</v>
      </c>
      <c r="AK76" s="1055"/>
      <c r="AL76" s="491">
        <v>40957</v>
      </c>
      <c r="AM76" s="491"/>
      <c r="AN76" s="492">
        <f t="shared" si="105"/>
        <v>40957</v>
      </c>
      <c r="AO76" s="492">
        <f t="shared" si="106"/>
        <v>0</v>
      </c>
      <c r="AP76" s="492">
        <f t="shared" si="107"/>
        <v>42616</v>
      </c>
      <c r="AQ76" s="493">
        <f t="shared" si="174"/>
        <v>101.88841191455589</v>
      </c>
      <c r="AR76" s="1055"/>
      <c r="AS76" s="413">
        <v>49235</v>
      </c>
      <c r="AT76" s="64"/>
      <c r="AU76" s="66">
        <f t="shared" si="209"/>
        <v>49235</v>
      </c>
      <c r="AV76" s="66">
        <f t="shared" si="155"/>
        <v>0</v>
      </c>
      <c r="AW76" s="412">
        <f t="shared" si="156"/>
        <v>0</v>
      </c>
      <c r="AX76" s="66">
        <f t="shared" si="210"/>
        <v>0</v>
      </c>
      <c r="AY76" s="412">
        <f t="shared" si="211"/>
        <v>0</v>
      </c>
      <c r="AZ76" s="1055"/>
      <c r="BA76" s="419">
        <v>45495</v>
      </c>
      <c r="BB76" s="419"/>
      <c r="BC76" s="407"/>
      <c r="BD76" s="419">
        <f t="shared" si="175"/>
        <v>45495</v>
      </c>
      <c r="BE76" s="419">
        <f t="shared" si="176"/>
        <v>0</v>
      </c>
      <c r="BF76" s="407">
        <f t="shared" si="212"/>
        <v>0</v>
      </c>
      <c r="BG76" s="419">
        <f t="shared" si="108"/>
        <v>0</v>
      </c>
      <c r="BH76" s="407">
        <f t="shared" si="213"/>
        <v>0</v>
      </c>
      <c r="BI76" s="407">
        <f t="shared" si="214"/>
        <v>0</v>
      </c>
      <c r="BJ76" s="1053"/>
      <c r="BK76" s="1055"/>
      <c r="BL76" s="49">
        <v>1798</v>
      </c>
      <c r="BM76" s="50"/>
      <c r="BN76" s="52">
        <f t="shared" si="215"/>
        <v>1736</v>
      </c>
      <c r="BO76" s="52">
        <f t="shared" si="157"/>
        <v>62</v>
      </c>
      <c r="BP76" s="406">
        <f t="shared" si="216"/>
        <v>0.17885991230094622</v>
      </c>
      <c r="BQ76" s="52">
        <f t="shared" si="217"/>
        <v>13464</v>
      </c>
      <c r="BR76" s="406">
        <f t="shared" si="218"/>
        <v>0.43521266073194859</v>
      </c>
      <c r="BS76" s="1055"/>
      <c r="BT76" s="409">
        <v>592</v>
      </c>
      <c r="BU76" s="43"/>
      <c r="BV76" s="43">
        <f t="shared" si="102"/>
        <v>519</v>
      </c>
      <c r="BW76" s="43">
        <f t="shared" si="103"/>
        <v>73</v>
      </c>
      <c r="BX76" s="42">
        <f t="shared" si="219"/>
        <v>0.21059312254788831</v>
      </c>
      <c r="BY76" s="43">
        <f t="shared" si="104"/>
        <v>4868</v>
      </c>
      <c r="BZ76" s="42">
        <f t="shared" si="220"/>
        <v>0.15735407252251379</v>
      </c>
      <c r="CA76" s="1058"/>
      <c r="CB76" s="392">
        <v>1093</v>
      </c>
      <c r="CC76" s="298"/>
      <c r="CD76" s="298">
        <f t="shared" si="177"/>
        <v>1093</v>
      </c>
      <c r="CE76" s="298">
        <f t="shared" si="158"/>
        <v>0</v>
      </c>
      <c r="CF76" s="297">
        <f t="shared" si="221"/>
        <v>0</v>
      </c>
      <c r="CG76" s="298">
        <f t="shared" si="222"/>
        <v>24207</v>
      </c>
      <c r="CH76" s="297">
        <f t="shared" si="223"/>
        <v>0.78247124764841647</v>
      </c>
      <c r="CI76" s="1061"/>
      <c r="CJ76" s="651"/>
      <c r="CK76" s="651"/>
      <c r="CL76" s="651"/>
      <c r="CM76" s="651"/>
      <c r="CN76" s="651"/>
      <c r="CO76" s="464">
        <v>350</v>
      </c>
      <c r="CP76" s="465"/>
      <c r="CQ76" s="465">
        <f t="shared" si="178"/>
        <v>350</v>
      </c>
      <c r="CR76" s="465">
        <f t="shared" si="159"/>
        <v>0</v>
      </c>
      <c r="CS76" s="486">
        <f t="shared" si="224"/>
        <v>0</v>
      </c>
      <c r="CT76" s="465">
        <f t="shared" si="225"/>
        <v>905</v>
      </c>
      <c r="CU76" s="486">
        <f t="shared" si="226"/>
        <v>2.9253376259834631E-2</v>
      </c>
      <c r="CV76" s="1069"/>
      <c r="CW76" s="427">
        <v>5</v>
      </c>
      <c r="CX76" s="427"/>
      <c r="CY76" s="427">
        <f t="shared" si="227"/>
        <v>5</v>
      </c>
      <c r="CZ76" s="427">
        <f t="shared" si="228"/>
        <v>0</v>
      </c>
      <c r="DA76" s="607">
        <f t="shared" si="244"/>
        <v>0</v>
      </c>
      <c r="DB76" s="607">
        <f t="shared" si="229"/>
        <v>40</v>
      </c>
      <c r="DC76" s="607">
        <f t="shared" si="179"/>
        <v>1.2929669065120278E-3</v>
      </c>
      <c r="DD76" s="1081"/>
      <c r="DE76" s="471">
        <v>5.6</v>
      </c>
      <c r="DF76" s="473"/>
      <c r="DG76" s="473">
        <f t="shared" si="180"/>
        <v>5.6</v>
      </c>
      <c r="DH76" s="473">
        <f t="shared" si="160"/>
        <v>0</v>
      </c>
      <c r="DI76" s="227">
        <f t="shared" si="230"/>
        <v>0</v>
      </c>
      <c r="DJ76" s="473">
        <f t="shared" si="231"/>
        <v>5.6</v>
      </c>
      <c r="DK76" s="227">
        <f t="shared" si="232"/>
        <v>1.810153669116839E-4</v>
      </c>
      <c r="DL76" s="1084"/>
      <c r="DM76" s="63">
        <v>900</v>
      </c>
      <c r="DN76" s="64">
        <v>1000</v>
      </c>
      <c r="DO76" s="66">
        <f t="shared" si="233"/>
        <v>1790</v>
      </c>
      <c r="DP76" s="66">
        <f t="shared" si="161"/>
        <v>110</v>
      </c>
      <c r="DQ76" s="412">
        <f t="shared" si="234"/>
        <v>0.31733210246942073</v>
      </c>
      <c r="DR76" s="66">
        <f t="shared" si="235"/>
        <v>8210</v>
      </c>
      <c r="DS76" s="412">
        <f t="shared" si="236"/>
        <v>0.2653814575615937</v>
      </c>
      <c r="DT76" s="1071"/>
      <c r="DU76" s="596">
        <v>40</v>
      </c>
      <c r="DV76" s="596"/>
      <c r="DW76" s="596">
        <f t="shared" si="181"/>
        <v>40</v>
      </c>
      <c r="DX76" s="596">
        <f t="shared" si="162"/>
        <v>0</v>
      </c>
      <c r="DY76" s="592">
        <f t="shared" si="182"/>
        <v>0</v>
      </c>
      <c r="DZ76" s="596">
        <f t="shared" si="237"/>
        <v>2760</v>
      </c>
      <c r="EA76" s="592">
        <f t="shared" si="183"/>
        <v>8.9214716549329914E-2</v>
      </c>
      <c r="EB76" s="1041"/>
      <c r="EC76" s="448">
        <v>50</v>
      </c>
      <c r="ED76" s="449"/>
      <c r="EE76" s="449">
        <f t="shared" si="184"/>
        <v>50</v>
      </c>
      <c r="EF76" s="449">
        <f t="shared" si="163"/>
        <v>0</v>
      </c>
      <c r="EG76" s="450">
        <f t="shared" si="242"/>
        <v>0</v>
      </c>
      <c r="EH76" s="449">
        <f t="shared" si="238"/>
        <v>265</v>
      </c>
      <c r="EI76" s="450">
        <f t="shared" si="243"/>
        <v>8.5659057556421846E-3</v>
      </c>
      <c r="EJ76" s="1035"/>
      <c r="EK76" s="426">
        <v>1800</v>
      </c>
      <c r="EL76" s="427">
        <v>1200</v>
      </c>
      <c r="EM76" s="427">
        <f t="shared" si="185"/>
        <v>2340</v>
      </c>
      <c r="EN76" s="427">
        <f t="shared" si="164"/>
        <v>660</v>
      </c>
      <c r="EO76" s="427">
        <f t="shared" si="186"/>
        <v>27132</v>
      </c>
      <c r="EP76" s="456">
        <v>14</v>
      </c>
      <c r="EQ76" s="457">
        <v>70</v>
      </c>
      <c r="ER76" s="457">
        <f t="shared" si="187"/>
        <v>70</v>
      </c>
      <c r="ES76" s="457">
        <f t="shared" si="165"/>
        <v>14</v>
      </c>
      <c r="ET76" s="457">
        <f t="shared" si="188"/>
        <v>588</v>
      </c>
      <c r="EU76" s="409">
        <v>240</v>
      </c>
      <c r="EV76" s="43"/>
      <c r="EW76" s="43">
        <f t="shared" si="189"/>
        <v>220</v>
      </c>
      <c r="EX76" s="43">
        <f t="shared" si="166"/>
        <v>20</v>
      </c>
      <c r="EY76" s="43">
        <f t="shared" si="190"/>
        <v>380</v>
      </c>
      <c r="EZ76" s="436">
        <v>0</v>
      </c>
      <c r="FA76" s="437">
        <v>100</v>
      </c>
      <c r="FB76" s="437">
        <f t="shared" si="191"/>
        <v>100</v>
      </c>
      <c r="FC76" s="437">
        <f t="shared" si="167"/>
        <v>0</v>
      </c>
      <c r="FD76" s="437">
        <f t="shared" si="192"/>
        <v>490</v>
      </c>
      <c r="FE76" s="442">
        <v>50</v>
      </c>
      <c r="FF76" s="443"/>
      <c r="FG76" s="443">
        <f t="shared" si="193"/>
        <v>25</v>
      </c>
      <c r="FH76" s="443">
        <f t="shared" si="168"/>
        <v>25</v>
      </c>
      <c r="FI76" s="443">
        <f t="shared" si="194"/>
        <v>575</v>
      </c>
      <c r="FJ76" s="392">
        <v>0</v>
      </c>
      <c r="FK76" s="298"/>
      <c r="FL76" s="298">
        <f t="shared" si="195"/>
        <v>0</v>
      </c>
      <c r="FM76" s="298">
        <f t="shared" si="169"/>
        <v>0</v>
      </c>
      <c r="FN76" s="498">
        <f t="shared" si="196"/>
        <v>900</v>
      </c>
      <c r="HC76" s="402"/>
      <c r="HD76" s="52"/>
      <c r="HE76" s="52">
        <f t="shared" si="197"/>
        <v>0</v>
      </c>
      <c r="HF76" s="52">
        <f t="shared" si="170"/>
        <v>0</v>
      </c>
      <c r="HG76" s="51"/>
      <c r="HH76" s="52">
        <f t="shared" si="240"/>
        <v>400</v>
      </c>
      <c r="HI76" s="51"/>
      <c r="HJ76" s="1047"/>
    </row>
    <row r="77" spans="1:218">
      <c r="A77" s="30">
        <v>44740</v>
      </c>
      <c r="B77" s="390">
        <v>532686</v>
      </c>
      <c r="C77" s="18">
        <f t="shared" si="147"/>
        <v>31469286</v>
      </c>
      <c r="D77" s="376">
        <v>8243.98</v>
      </c>
      <c r="E77" s="417">
        <f t="shared" si="109"/>
        <v>426505.47999999981</v>
      </c>
      <c r="F77" s="397">
        <v>23148</v>
      </c>
      <c r="G77" s="37"/>
      <c r="H77" s="37">
        <f t="shared" si="171"/>
        <v>20084</v>
      </c>
      <c r="I77" s="37">
        <f t="shared" si="148"/>
        <v>3064</v>
      </c>
      <c r="J77" s="37">
        <f t="shared" si="146"/>
        <v>371.66514232203377</v>
      </c>
      <c r="K77" s="37">
        <f t="shared" si="198"/>
        <v>204623</v>
      </c>
      <c r="L77" s="37">
        <f t="shared" si="149"/>
        <v>479.76640300143413</v>
      </c>
      <c r="M77" s="1055"/>
      <c r="N77" s="422">
        <v>225</v>
      </c>
      <c r="O77" s="423">
        <v>300</v>
      </c>
      <c r="P77" s="423">
        <f t="shared" si="199"/>
        <v>400</v>
      </c>
      <c r="Q77" s="423">
        <f t="shared" si="200"/>
        <v>125</v>
      </c>
      <c r="R77" s="423">
        <f t="shared" si="201"/>
        <v>5250</v>
      </c>
      <c r="S77" s="68">
        <v>8.93</v>
      </c>
      <c r="T77" s="67">
        <v>24</v>
      </c>
      <c r="U77" s="68">
        <f t="shared" si="202"/>
        <v>107.16</v>
      </c>
      <c r="V77" s="68">
        <f t="shared" si="151"/>
        <v>12.998575930557815</v>
      </c>
      <c r="W77" s="423">
        <f t="shared" si="203"/>
        <v>5141.1839999999993</v>
      </c>
      <c r="X77" s="68">
        <f t="shared" si="152"/>
        <v>12.054203852199041</v>
      </c>
      <c r="Y77" s="1055"/>
      <c r="Z77" s="424">
        <v>100</v>
      </c>
      <c r="AA77" s="425"/>
      <c r="AB77" s="425">
        <f t="shared" si="204"/>
        <v>100</v>
      </c>
      <c r="AC77" s="425">
        <f t="shared" si="205"/>
        <v>0</v>
      </c>
      <c r="AD77" s="425">
        <f t="shared" si="206"/>
        <v>825</v>
      </c>
      <c r="AE77" s="72">
        <v>2.7</v>
      </c>
      <c r="AF77" s="71">
        <v>12</v>
      </c>
      <c r="AG77" s="72">
        <f t="shared" si="207"/>
        <v>16.200000000000003</v>
      </c>
      <c r="AH77" s="72">
        <f t="shared" si="173"/>
        <v>1.9650702694572286</v>
      </c>
      <c r="AI77" s="425">
        <f t="shared" si="208"/>
        <v>767.22</v>
      </c>
      <c r="AJ77" s="72">
        <f t="shared" si="241"/>
        <v>1.7988514473483443</v>
      </c>
      <c r="AK77" s="1055"/>
      <c r="AL77" s="491">
        <v>40957</v>
      </c>
      <c r="AM77" s="491"/>
      <c r="AN77" s="492">
        <f t="shared" si="105"/>
        <v>40957</v>
      </c>
      <c r="AO77" s="492">
        <f t="shared" si="106"/>
        <v>0</v>
      </c>
      <c r="AP77" s="492">
        <f t="shared" si="107"/>
        <v>42616</v>
      </c>
      <c r="AQ77" s="493">
        <f t="shared" si="174"/>
        <v>99.918997523783332</v>
      </c>
      <c r="AR77" s="1055"/>
      <c r="AS77" s="413">
        <v>49235</v>
      </c>
      <c r="AT77" s="64"/>
      <c r="AU77" s="66">
        <f t="shared" si="209"/>
        <v>49235</v>
      </c>
      <c r="AV77" s="66">
        <f t="shared" si="155"/>
        <v>0</v>
      </c>
      <c r="AW77" s="412">
        <f t="shared" si="156"/>
        <v>0</v>
      </c>
      <c r="AX77" s="66">
        <f t="shared" si="210"/>
        <v>0</v>
      </c>
      <c r="AY77" s="412">
        <f t="shared" si="211"/>
        <v>0</v>
      </c>
      <c r="AZ77" s="1055"/>
      <c r="BA77" s="419">
        <v>45495</v>
      </c>
      <c r="BB77" s="419"/>
      <c r="BC77" s="407"/>
      <c r="BD77" s="419">
        <f t="shared" si="175"/>
        <v>45495</v>
      </c>
      <c r="BE77" s="419">
        <f t="shared" si="176"/>
        <v>0</v>
      </c>
      <c r="BF77" s="407">
        <f t="shared" si="212"/>
        <v>0</v>
      </c>
      <c r="BG77" s="419">
        <f t="shared" si="108"/>
        <v>0</v>
      </c>
      <c r="BH77" s="407">
        <f t="shared" si="213"/>
        <v>0</v>
      </c>
      <c r="BI77" s="407">
        <f t="shared" si="214"/>
        <v>0</v>
      </c>
      <c r="BJ77" s="1053"/>
      <c r="BK77" s="1055"/>
      <c r="BL77" s="49">
        <v>1736</v>
      </c>
      <c r="BM77" s="50"/>
      <c r="BN77" s="52">
        <f t="shared" si="215"/>
        <v>1569</v>
      </c>
      <c r="BO77" s="52">
        <f t="shared" si="157"/>
        <v>167</v>
      </c>
      <c r="BP77" s="406">
        <f t="shared" si="216"/>
        <v>0.31350551732164916</v>
      </c>
      <c r="BQ77" s="52">
        <f t="shared" si="217"/>
        <v>13631</v>
      </c>
      <c r="BR77" s="406">
        <f t="shared" si="218"/>
        <v>0.43315250304693914</v>
      </c>
      <c r="BS77" s="1055"/>
      <c r="BT77" s="409">
        <v>519</v>
      </c>
      <c r="BU77" s="43"/>
      <c r="BV77" s="43">
        <f t="shared" si="102"/>
        <v>456</v>
      </c>
      <c r="BW77" s="43">
        <f t="shared" si="103"/>
        <v>63</v>
      </c>
      <c r="BX77" s="42">
        <f t="shared" si="219"/>
        <v>0.11826854845068202</v>
      </c>
      <c r="BY77" s="43">
        <f t="shared" si="104"/>
        <v>4931</v>
      </c>
      <c r="BZ77" s="42">
        <f t="shared" si="220"/>
        <v>0.15669246515475438</v>
      </c>
      <c r="CA77" s="1058"/>
      <c r="CB77" s="392">
        <v>1093</v>
      </c>
      <c r="CC77" s="298"/>
      <c r="CD77" s="298">
        <f t="shared" si="177"/>
        <v>1093</v>
      </c>
      <c r="CE77" s="298">
        <f t="shared" si="158"/>
        <v>0</v>
      </c>
      <c r="CF77" s="297">
        <f t="shared" si="221"/>
        <v>0</v>
      </c>
      <c r="CG77" s="298">
        <f t="shared" si="222"/>
        <v>24207</v>
      </c>
      <c r="CH77" s="297">
        <f t="shared" si="223"/>
        <v>0.76922622267311691</v>
      </c>
      <c r="CI77" s="1061"/>
      <c r="CJ77" s="651"/>
      <c r="CK77" s="651"/>
      <c r="CL77" s="651"/>
      <c r="CM77" s="651"/>
      <c r="CN77" s="651"/>
      <c r="CO77" s="464">
        <v>350</v>
      </c>
      <c r="CP77" s="465"/>
      <c r="CQ77" s="465">
        <f t="shared" si="178"/>
        <v>350</v>
      </c>
      <c r="CR77" s="465">
        <f t="shared" si="159"/>
        <v>0</v>
      </c>
      <c r="CS77" s="486">
        <f t="shared" si="224"/>
        <v>0</v>
      </c>
      <c r="CT77" s="465">
        <f t="shared" si="225"/>
        <v>905</v>
      </c>
      <c r="CU77" s="486">
        <f t="shared" si="226"/>
        <v>2.8758199343957153E-2</v>
      </c>
      <c r="CV77" s="1069"/>
      <c r="CW77" s="427">
        <v>5</v>
      </c>
      <c r="CX77" s="427"/>
      <c r="CY77" s="427">
        <f t="shared" si="227"/>
        <v>5</v>
      </c>
      <c r="CZ77" s="427">
        <f t="shared" si="228"/>
        <v>0</v>
      </c>
      <c r="DA77" s="607">
        <f t="shared" si="244"/>
        <v>0</v>
      </c>
      <c r="DB77" s="607">
        <f t="shared" si="229"/>
        <v>40</v>
      </c>
      <c r="DC77" s="607">
        <f t="shared" si="179"/>
        <v>1.2710806339870564E-3</v>
      </c>
      <c r="DD77" s="1081"/>
      <c r="DE77" s="471">
        <v>5.6</v>
      </c>
      <c r="DF77" s="473"/>
      <c r="DG77" s="473">
        <f t="shared" si="180"/>
        <v>5.6</v>
      </c>
      <c r="DH77" s="473">
        <f t="shared" si="160"/>
        <v>0</v>
      </c>
      <c r="DI77" s="227">
        <f t="shared" si="230"/>
        <v>0</v>
      </c>
      <c r="DJ77" s="473">
        <f t="shared" si="231"/>
        <v>5.6</v>
      </c>
      <c r="DK77" s="227">
        <f t="shared" si="232"/>
        <v>1.7795128875818791E-4</v>
      </c>
      <c r="DL77" s="1084"/>
      <c r="DM77" s="63">
        <v>1790</v>
      </c>
      <c r="DN77" s="64"/>
      <c r="DO77" s="66">
        <f t="shared" si="233"/>
        <v>1650</v>
      </c>
      <c r="DP77" s="66">
        <f t="shared" si="161"/>
        <v>140</v>
      </c>
      <c r="DQ77" s="412">
        <f t="shared" si="234"/>
        <v>0.26281899655707114</v>
      </c>
      <c r="DR77" s="66">
        <f t="shared" si="235"/>
        <v>8350</v>
      </c>
      <c r="DS77" s="412">
        <f t="shared" si="236"/>
        <v>0.26533808234479805</v>
      </c>
      <c r="DT77" s="1071"/>
      <c r="DU77" s="596">
        <v>40</v>
      </c>
      <c r="DV77" s="596"/>
      <c r="DW77" s="596">
        <f t="shared" si="181"/>
        <v>40</v>
      </c>
      <c r="DX77" s="596">
        <f t="shared" si="162"/>
        <v>0</v>
      </c>
      <c r="DY77" s="592">
        <f t="shared" si="182"/>
        <v>0</v>
      </c>
      <c r="DZ77" s="596">
        <f t="shared" si="237"/>
        <v>2760</v>
      </c>
      <c r="EA77" s="592">
        <f t="shared" si="183"/>
        <v>8.7704563745106892E-2</v>
      </c>
      <c r="EB77" s="1041"/>
      <c r="EC77" s="448">
        <v>50</v>
      </c>
      <c r="ED77" s="449"/>
      <c r="EE77" s="449">
        <f t="shared" si="184"/>
        <v>50</v>
      </c>
      <c r="EF77" s="449">
        <f t="shared" si="163"/>
        <v>0</v>
      </c>
      <c r="EG77" s="450">
        <f t="shared" si="242"/>
        <v>0</v>
      </c>
      <c r="EH77" s="449">
        <f t="shared" si="238"/>
        <v>265</v>
      </c>
      <c r="EI77" s="450">
        <f t="shared" si="243"/>
        <v>8.4209092001642488E-3</v>
      </c>
      <c r="EJ77" s="1035"/>
      <c r="EK77" s="426">
        <v>2340</v>
      </c>
      <c r="EL77" s="427"/>
      <c r="EM77" s="427">
        <f t="shared" si="185"/>
        <v>1788</v>
      </c>
      <c r="EN77" s="427">
        <f t="shared" si="164"/>
        <v>552</v>
      </c>
      <c r="EO77" s="427">
        <f t="shared" si="186"/>
        <v>27684</v>
      </c>
      <c r="EP77" s="456">
        <v>70</v>
      </c>
      <c r="EQ77" s="457"/>
      <c r="ER77" s="457">
        <f t="shared" si="187"/>
        <v>42</v>
      </c>
      <c r="ES77" s="457">
        <f t="shared" si="165"/>
        <v>28</v>
      </c>
      <c r="ET77" s="457">
        <f t="shared" si="188"/>
        <v>616</v>
      </c>
      <c r="EU77" s="409">
        <v>220</v>
      </c>
      <c r="EV77" s="43"/>
      <c r="EW77" s="43">
        <f t="shared" si="189"/>
        <v>220</v>
      </c>
      <c r="EX77" s="43">
        <f t="shared" si="166"/>
        <v>0</v>
      </c>
      <c r="EY77" s="43">
        <f t="shared" si="190"/>
        <v>380</v>
      </c>
      <c r="EZ77" s="436">
        <v>100</v>
      </c>
      <c r="FA77" s="437"/>
      <c r="FB77" s="437">
        <f t="shared" si="191"/>
        <v>100</v>
      </c>
      <c r="FC77" s="437">
        <f t="shared" si="167"/>
        <v>0</v>
      </c>
      <c r="FD77" s="437">
        <f t="shared" si="192"/>
        <v>490</v>
      </c>
      <c r="FE77" s="442">
        <v>25</v>
      </c>
      <c r="FF77" s="443"/>
      <c r="FG77" s="443">
        <f t="shared" si="193"/>
        <v>25</v>
      </c>
      <c r="FH77" s="443">
        <f t="shared" si="168"/>
        <v>0</v>
      </c>
      <c r="FI77" s="443">
        <f t="shared" si="194"/>
        <v>575</v>
      </c>
      <c r="FJ77" s="392">
        <v>0</v>
      </c>
      <c r="FK77" s="298"/>
      <c r="FL77" s="298">
        <f t="shared" si="195"/>
        <v>0</v>
      </c>
      <c r="FM77" s="298">
        <f t="shared" si="169"/>
        <v>0</v>
      </c>
      <c r="FN77" s="498">
        <f t="shared" si="196"/>
        <v>900</v>
      </c>
      <c r="HC77" s="402"/>
      <c r="HD77" s="52"/>
      <c r="HE77" s="52">
        <f t="shared" si="197"/>
        <v>0</v>
      </c>
      <c r="HF77" s="52">
        <f t="shared" si="170"/>
        <v>0</v>
      </c>
      <c r="HG77" s="51"/>
      <c r="HH77" s="52">
        <f t="shared" si="240"/>
        <v>400</v>
      </c>
      <c r="HI77" s="51"/>
      <c r="HJ77" s="1047"/>
    </row>
    <row r="78" spans="1:218">
      <c r="A78" s="30">
        <v>44741</v>
      </c>
      <c r="B78" s="390">
        <v>630309</v>
      </c>
      <c r="C78" s="18">
        <f t="shared" si="147"/>
        <v>32099595</v>
      </c>
      <c r="D78" s="376">
        <v>7361.36</v>
      </c>
      <c r="E78" s="417">
        <f t="shared" si="109"/>
        <v>433866.83999999979</v>
      </c>
      <c r="F78" s="397">
        <v>20084</v>
      </c>
      <c r="G78" s="37">
        <v>37540</v>
      </c>
      <c r="H78" s="37">
        <f t="shared" si="171"/>
        <v>55719</v>
      </c>
      <c r="I78" s="37">
        <f t="shared" si="148"/>
        <v>1905</v>
      </c>
      <c r="J78" s="37">
        <f t="shared" si="146"/>
        <v>258.78370301140006</v>
      </c>
      <c r="K78" s="37">
        <f t="shared" si="198"/>
        <v>206528</v>
      </c>
      <c r="L78" s="37">
        <f t="shared" si="149"/>
        <v>476.01701941545036</v>
      </c>
      <c r="M78" s="1055"/>
      <c r="N78" s="422">
        <v>400</v>
      </c>
      <c r="O78" s="423"/>
      <c r="P78" s="423">
        <f t="shared" si="199"/>
        <v>350</v>
      </c>
      <c r="Q78" s="423">
        <f t="shared" si="200"/>
        <v>50</v>
      </c>
      <c r="R78" s="423">
        <f t="shared" si="201"/>
        <v>5300</v>
      </c>
      <c r="S78" s="68">
        <v>10.01</v>
      </c>
      <c r="T78" s="67">
        <v>24</v>
      </c>
      <c r="U78" s="68">
        <f t="shared" si="202"/>
        <v>120.12</v>
      </c>
      <c r="V78" s="68">
        <f t="shared" si="151"/>
        <v>16.317636958388125</v>
      </c>
      <c r="W78" s="423">
        <f t="shared" si="203"/>
        <v>5261.3039999999992</v>
      </c>
      <c r="X78" s="68">
        <f t="shared" si="152"/>
        <v>12.126540945143448</v>
      </c>
      <c r="Y78" s="1055"/>
      <c r="Z78" s="424">
        <v>100</v>
      </c>
      <c r="AA78" s="425"/>
      <c r="AB78" s="425">
        <f t="shared" si="204"/>
        <v>75</v>
      </c>
      <c r="AC78" s="425">
        <f t="shared" si="205"/>
        <v>25</v>
      </c>
      <c r="AD78" s="425">
        <f t="shared" si="206"/>
        <v>850</v>
      </c>
      <c r="AE78" s="72">
        <v>2.62</v>
      </c>
      <c r="AF78" s="71">
        <v>12</v>
      </c>
      <c r="AG78" s="72">
        <f t="shared" si="207"/>
        <v>15.72</v>
      </c>
      <c r="AH78" s="72">
        <f t="shared" si="173"/>
        <v>2.1354749665822621</v>
      </c>
      <c r="AI78" s="425">
        <f t="shared" si="208"/>
        <v>782.94</v>
      </c>
      <c r="AJ78" s="72">
        <f t="shared" si="241"/>
        <v>1.8045628930756736</v>
      </c>
      <c r="AK78" s="1055"/>
      <c r="AL78" s="491">
        <v>40957</v>
      </c>
      <c r="AM78" s="491"/>
      <c r="AN78" s="492">
        <f t="shared" si="105"/>
        <v>40957</v>
      </c>
      <c r="AO78" s="492">
        <f t="shared" si="106"/>
        <v>0</v>
      </c>
      <c r="AP78" s="492">
        <f t="shared" si="107"/>
        <v>42616</v>
      </c>
      <c r="AQ78" s="493">
        <f t="shared" si="174"/>
        <v>98.22368540541153</v>
      </c>
      <c r="AR78" s="1055"/>
      <c r="AS78" s="413">
        <v>49235</v>
      </c>
      <c r="AT78" s="64"/>
      <c r="AU78" s="66">
        <f t="shared" si="209"/>
        <v>49235</v>
      </c>
      <c r="AV78" s="66">
        <f t="shared" si="155"/>
        <v>0</v>
      </c>
      <c r="AW78" s="412">
        <f t="shared" si="156"/>
        <v>0</v>
      </c>
      <c r="AX78" s="66">
        <f t="shared" si="210"/>
        <v>0</v>
      </c>
      <c r="AY78" s="412">
        <f t="shared" si="211"/>
        <v>0</v>
      </c>
      <c r="AZ78" s="1055"/>
      <c r="BA78" s="419">
        <v>45495</v>
      </c>
      <c r="BB78" s="419"/>
      <c r="BC78" s="407"/>
      <c r="BD78" s="419">
        <f t="shared" si="175"/>
        <v>45495</v>
      </c>
      <c r="BE78" s="419">
        <f t="shared" si="176"/>
        <v>0</v>
      </c>
      <c r="BF78" s="407">
        <f t="shared" si="212"/>
        <v>0</v>
      </c>
      <c r="BG78" s="419">
        <f t="shared" si="108"/>
        <v>0</v>
      </c>
      <c r="BH78" s="407">
        <f t="shared" si="213"/>
        <v>0</v>
      </c>
      <c r="BI78" s="407">
        <f t="shared" si="214"/>
        <v>0</v>
      </c>
      <c r="BJ78" s="1053"/>
      <c r="BK78" s="1055"/>
      <c r="BL78" s="49">
        <v>1569</v>
      </c>
      <c r="BM78" s="50"/>
      <c r="BN78" s="52">
        <f t="shared" si="215"/>
        <v>1388</v>
      </c>
      <c r="BO78" s="52">
        <f t="shared" si="157"/>
        <v>181</v>
      </c>
      <c r="BP78" s="406">
        <f t="shared" si="216"/>
        <v>0.28716074179489742</v>
      </c>
      <c r="BQ78" s="52">
        <f t="shared" si="217"/>
        <v>13812</v>
      </c>
      <c r="BR78" s="406">
        <f t="shared" si="218"/>
        <v>0.43028580267134209</v>
      </c>
      <c r="BS78" s="1055"/>
      <c r="BT78" s="409">
        <v>456</v>
      </c>
      <c r="BU78" s="43"/>
      <c r="BV78" s="43">
        <f t="shared" ref="BV78:BV141" si="245">BT79</f>
        <v>362</v>
      </c>
      <c r="BW78" s="43">
        <f t="shared" ref="BW78:BW141" si="246">BT78+BU78-BV78</f>
        <v>94</v>
      </c>
      <c r="BX78" s="42">
        <f t="shared" si="219"/>
        <v>0.14913320292110696</v>
      </c>
      <c r="BY78" s="43">
        <f t="shared" ref="BY78:BY141" si="247">BY77+BW78</f>
        <v>5025</v>
      </c>
      <c r="BZ78" s="42">
        <f t="shared" si="220"/>
        <v>0.15654403116300999</v>
      </c>
      <c r="CA78" s="1058"/>
      <c r="CB78" s="392">
        <v>1093</v>
      </c>
      <c r="CC78" s="298"/>
      <c r="CD78" s="298">
        <f t="shared" si="177"/>
        <v>575</v>
      </c>
      <c r="CE78" s="298">
        <f t="shared" si="158"/>
        <v>518</v>
      </c>
      <c r="CF78" s="297">
        <f t="shared" si="221"/>
        <v>0.82181913950141916</v>
      </c>
      <c r="CG78" s="298">
        <f t="shared" si="222"/>
        <v>24725</v>
      </c>
      <c r="CH78" s="297">
        <f t="shared" si="223"/>
        <v>0.77025893940406409</v>
      </c>
      <c r="CI78" s="1061"/>
      <c r="CJ78" s="651"/>
      <c r="CK78" s="651"/>
      <c r="CL78" s="651"/>
      <c r="CM78" s="651"/>
      <c r="CN78" s="651"/>
      <c r="CO78" s="464">
        <v>350</v>
      </c>
      <c r="CP78" s="465"/>
      <c r="CQ78" s="465">
        <f t="shared" si="178"/>
        <v>350</v>
      </c>
      <c r="CR78" s="465">
        <f t="shared" si="159"/>
        <v>0</v>
      </c>
      <c r="CS78" s="486">
        <f t="shared" si="224"/>
        <v>0</v>
      </c>
      <c r="CT78" s="465">
        <f t="shared" si="225"/>
        <v>905</v>
      </c>
      <c r="CU78" s="486">
        <f t="shared" si="226"/>
        <v>2.8193502129855531E-2</v>
      </c>
      <c r="CV78" s="1069"/>
      <c r="CW78" s="427">
        <v>5</v>
      </c>
      <c r="CX78" s="427"/>
      <c r="CY78" s="427">
        <f t="shared" si="227"/>
        <v>5</v>
      </c>
      <c r="CZ78" s="427">
        <f t="shared" si="228"/>
        <v>0</v>
      </c>
      <c r="DA78" s="607">
        <f t="shared" si="244"/>
        <v>0</v>
      </c>
      <c r="DB78" s="607">
        <f t="shared" si="229"/>
        <v>40</v>
      </c>
      <c r="DC78" s="607">
        <f t="shared" si="179"/>
        <v>1.246121641098587E-3</v>
      </c>
      <c r="DD78" s="1081"/>
      <c r="DE78" s="471">
        <v>5.6</v>
      </c>
      <c r="DF78" s="473"/>
      <c r="DG78" s="473">
        <f t="shared" si="180"/>
        <v>5.6</v>
      </c>
      <c r="DH78" s="473">
        <f t="shared" si="160"/>
        <v>0</v>
      </c>
      <c r="DI78" s="227">
        <f t="shared" si="230"/>
        <v>0</v>
      </c>
      <c r="DJ78" s="473">
        <f t="shared" si="231"/>
        <v>5.6</v>
      </c>
      <c r="DK78" s="227">
        <f t="shared" si="232"/>
        <v>1.7445702975380219E-4</v>
      </c>
      <c r="DL78" s="1084"/>
      <c r="DM78" s="63">
        <v>1650</v>
      </c>
      <c r="DN78" s="64"/>
      <c r="DO78" s="66">
        <f t="shared" si="233"/>
        <v>1470</v>
      </c>
      <c r="DP78" s="66">
        <f t="shared" si="161"/>
        <v>180</v>
      </c>
      <c r="DQ78" s="412">
        <f t="shared" si="234"/>
        <v>0.28557421835956648</v>
      </c>
      <c r="DR78" s="66">
        <f t="shared" si="235"/>
        <v>8530</v>
      </c>
      <c r="DS78" s="412">
        <f t="shared" si="236"/>
        <v>0.26573543996427368</v>
      </c>
      <c r="DT78" s="1071"/>
      <c r="DU78" s="596">
        <v>40</v>
      </c>
      <c r="DV78" s="596"/>
      <c r="DW78" s="596">
        <f t="shared" si="181"/>
        <v>40</v>
      </c>
      <c r="DX78" s="596">
        <f t="shared" si="162"/>
        <v>0</v>
      </c>
      <c r="DY78" s="592">
        <f t="shared" si="182"/>
        <v>0</v>
      </c>
      <c r="DZ78" s="596">
        <f t="shared" si="237"/>
        <v>2760</v>
      </c>
      <c r="EA78" s="592">
        <f t="shared" si="183"/>
        <v>8.5982393235802507E-2</v>
      </c>
      <c r="EB78" s="1041"/>
      <c r="EC78" s="448">
        <v>50</v>
      </c>
      <c r="ED78" s="449"/>
      <c r="EE78" s="449">
        <f t="shared" si="184"/>
        <v>50</v>
      </c>
      <c r="EF78" s="449">
        <f t="shared" si="163"/>
        <v>0</v>
      </c>
      <c r="EG78" s="450">
        <f t="shared" si="242"/>
        <v>0</v>
      </c>
      <c r="EH78" s="449">
        <f t="shared" si="238"/>
        <v>265</v>
      </c>
      <c r="EI78" s="450">
        <f t="shared" si="243"/>
        <v>8.2555558722781398E-3</v>
      </c>
      <c r="EJ78" s="1035"/>
      <c r="EK78" s="426">
        <v>1788</v>
      </c>
      <c r="EL78" s="427"/>
      <c r="EM78" s="427">
        <f t="shared" si="185"/>
        <v>1116</v>
      </c>
      <c r="EN78" s="427">
        <f t="shared" si="164"/>
        <v>672</v>
      </c>
      <c r="EO78" s="427">
        <f t="shared" si="186"/>
        <v>28356</v>
      </c>
      <c r="EP78" s="456">
        <v>42</v>
      </c>
      <c r="EQ78" s="457"/>
      <c r="ER78" s="457">
        <f t="shared" si="187"/>
        <v>28</v>
      </c>
      <c r="ES78" s="457">
        <f t="shared" si="165"/>
        <v>14</v>
      </c>
      <c r="ET78" s="457">
        <f t="shared" si="188"/>
        <v>630</v>
      </c>
      <c r="EU78" s="409">
        <v>220</v>
      </c>
      <c r="EV78" s="43"/>
      <c r="EW78" s="43">
        <f t="shared" si="189"/>
        <v>220</v>
      </c>
      <c r="EX78" s="43">
        <f t="shared" si="166"/>
        <v>0</v>
      </c>
      <c r="EY78" s="43">
        <f t="shared" si="190"/>
        <v>380</v>
      </c>
      <c r="EZ78" s="436">
        <v>100</v>
      </c>
      <c r="FA78" s="437"/>
      <c r="FB78" s="437">
        <f t="shared" si="191"/>
        <v>100</v>
      </c>
      <c r="FC78" s="437">
        <f t="shared" si="167"/>
        <v>0</v>
      </c>
      <c r="FD78" s="437">
        <f t="shared" si="192"/>
        <v>490</v>
      </c>
      <c r="FE78" s="442">
        <v>25</v>
      </c>
      <c r="FF78" s="443"/>
      <c r="FG78" s="443">
        <f t="shared" si="193"/>
        <v>25</v>
      </c>
      <c r="FH78" s="443">
        <f t="shared" si="168"/>
        <v>0</v>
      </c>
      <c r="FI78" s="443">
        <f t="shared" si="194"/>
        <v>575</v>
      </c>
      <c r="FJ78" s="392">
        <v>0</v>
      </c>
      <c r="FK78" s="298"/>
      <c r="FL78" s="298">
        <f t="shared" si="195"/>
        <v>0</v>
      </c>
      <c r="FM78" s="298">
        <f t="shared" si="169"/>
        <v>0</v>
      </c>
      <c r="FN78" s="498">
        <f t="shared" si="196"/>
        <v>900</v>
      </c>
      <c r="HC78" s="402"/>
      <c r="HD78" s="52"/>
      <c r="HE78" s="52">
        <f t="shared" si="197"/>
        <v>0</v>
      </c>
      <c r="HF78" s="52">
        <f t="shared" si="170"/>
        <v>0</v>
      </c>
      <c r="HG78" s="51"/>
      <c r="HH78" s="52">
        <f t="shared" si="240"/>
        <v>400</v>
      </c>
      <c r="HI78" s="51"/>
      <c r="HJ78" s="1047"/>
    </row>
    <row r="79" spans="1:218" ht="15.75" thickBot="1">
      <c r="A79" s="30">
        <v>44742</v>
      </c>
      <c r="B79" s="390">
        <v>611790</v>
      </c>
      <c r="C79" s="18">
        <f t="shared" si="147"/>
        <v>32711385</v>
      </c>
      <c r="D79" s="376">
        <v>8105.26</v>
      </c>
      <c r="E79" s="417">
        <f t="shared" si="109"/>
        <v>441972.0999999998</v>
      </c>
      <c r="F79" s="399">
        <v>55719</v>
      </c>
      <c r="G79" s="400"/>
      <c r="H79" s="400">
        <f t="shared" si="171"/>
        <v>47933</v>
      </c>
      <c r="I79" s="400">
        <f t="shared" si="148"/>
        <v>7786</v>
      </c>
      <c r="J79" s="400">
        <f t="shared" si="146"/>
        <v>960.61076387432354</v>
      </c>
      <c r="K79" s="400">
        <f t="shared" si="198"/>
        <v>214314</v>
      </c>
      <c r="L79" s="400">
        <f t="shared" si="149"/>
        <v>484.90391135549078</v>
      </c>
      <c r="M79" s="1056"/>
      <c r="N79" s="477">
        <v>350</v>
      </c>
      <c r="O79" s="478"/>
      <c r="P79" s="478">
        <f t="shared" si="199"/>
        <v>150</v>
      </c>
      <c r="Q79" s="478">
        <f t="shared" si="200"/>
        <v>200</v>
      </c>
      <c r="R79" s="478">
        <f t="shared" si="201"/>
        <v>5500</v>
      </c>
      <c r="S79" s="111">
        <v>10.45</v>
      </c>
      <c r="T79" s="101">
        <v>24</v>
      </c>
      <c r="U79" s="111">
        <f t="shared" si="202"/>
        <v>125.39999999999999</v>
      </c>
      <c r="V79" s="111">
        <f t="shared" si="151"/>
        <v>15.471434599260231</v>
      </c>
      <c r="W79" s="478">
        <f t="shared" si="203"/>
        <v>5386.7039999999988</v>
      </c>
      <c r="X79" s="111">
        <f t="shared" si="152"/>
        <v>12.187882447783473</v>
      </c>
      <c r="Y79" s="1056"/>
      <c r="Z79" s="479">
        <v>75</v>
      </c>
      <c r="AA79" s="480"/>
      <c r="AB79" s="480">
        <f t="shared" si="204"/>
        <v>50</v>
      </c>
      <c r="AC79" s="480">
        <f t="shared" si="205"/>
        <v>25</v>
      </c>
      <c r="AD79" s="480">
        <f t="shared" si="206"/>
        <v>875</v>
      </c>
      <c r="AE79" s="105">
        <v>2.84</v>
      </c>
      <c r="AF79" s="104">
        <v>12</v>
      </c>
      <c r="AG79" s="105">
        <f t="shared" si="207"/>
        <v>17.04</v>
      </c>
      <c r="AH79" s="105">
        <f t="shared" si="173"/>
        <v>2.1023384814305772</v>
      </c>
      <c r="AI79" s="480">
        <f t="shared" si="208"/>
        <v>799.98</v>
      </c>
      <c r="AJ79" s="105">
        <f t="shared" si="241"/>
        <v>1.8100237548931264</v>
      </c>
      <c r="AK79" s="1056"/>
      <c r="AL79" s="494">
        <v>40957</v>
      </c>
      <c r="AM79" s="494"/>
      <c r="AN79" s="495">
        <f t="shared" si="105"/>
        <v>40957</v>
      </c>
      <c r="AO79" s="495">
        <f t="shared" si="106"/>
        <v>0</v>
      </c>
      <c r="AP79" s="495">
        <f t="shared" si="107"/>
        <v>42616</v>
      </c>
      <c r="AQ79" s="496">
        <f t="shared" si="174"/>
        <v>96.422375982556403</v>
      </c>
      <c r="AR79" s="1056"/>
      <c r="AS79" s="414">
        <v>49235</v>
      </c>
      <c r="AT79" s="85"/>
      <c r="AU79" s="415">
        <f t="shared" si="209"/>
        <v>49235</v>
      </c>
      <c r="AV79" s="415">
        <f t="shared" si="155"/>
        <v>0</v>
      </c>
      <c r="AW79" s="481">
        <f t="shared" si="156"/>
        <v>0</v>
      </c>
      <c r="AX79" s="415">
        <f t="shared" si="210"/>
        <v>0</v>
      </c>
      <c r="AY79" s="481">
        <f t="shared" si="211"/>
        <v>0</v>
      </c>
      <c r="AZ79" s="1056"/>
      <c r="BA79" s="421">
        <v>45495</v>
      </c>
      <c r="BB79" s="421"/>
      <c r="BC79" s="408"/>
      <c r="BD79" s="421">
        <f t="shared" si="175"/>
        <v>45495</v>
      </c>
      <c r="BE79" s="421">
        <f t="shared" si="176"/>
        <v>0</v>
      </c>
      <c r="BF79" s="408">
        <f t="shared" si="212"/>
        <v>0</v>
      </c>
      <c r="BG79" s="421">
        <f t="shared" si="108"/>
        <v>0</v>
      </c>
      <c r="BH79" s="408">
        <f t="shared" si="213"/>
        <v>0</v>
      </c>
      <c r="BI79" s="408">
        <f t="shared" si="214"/>
        <v>0</v>
      </c>
      <c r="BJ79" s="1054"/>
      <c r="BK79" s="1056"/>
      <c r="BL79" s="83">
        <v>1388</v>
      </c>
      <c r="BM79" s="82">
        <v>900</v>
      </c>
      <c r="BN79" s="405">
        <f t="shared" si="215"/>
        <v>2037</v>
      </c>
      <c r="BO79" s="405">
        <f t="shared" si="157"/>
        <v>251</v>
      </c>
      <c r="BP79" s="485">
        <f t="shared" si="216"/>
        <v>0.4102714983899704</v>
      </c>
      <c r="BQ79" s="405">
        <f t="shared" si="217"/>
        <v>14063</v>
      </c>
      <c r="BR79" s="485">
        <f t="shared" si="218"/>
        <v>0.4299114818892566</v>
      </c>
      <c r="BS79" s="1056"/>
      <c r="BT79" s="432">
        <v>362</v>
      </c>
      <c r="BU79" s="433"/>
      <c r="BV79" s="433">
        <f t="shared" si="245"/>
        <v>289</v>
      </c>
      <c r="BW79" s="433">
        <f t="shared" si="246"/>
        <v>73</v>
      </c>
      <c r="BX79" s="97">
        <f t="shared" si="219"/>
        <v>0.11932198957158502</v>
      </c>
      <c r="BY79" s="433">
        <f t="shared" si="247"/>
        <v>5098</v>
      </c>
      <c r="BZ79" s="97">
        <f t="shared" si="220"/>
        <v>0.15584787987423951</v>
      </c>
      <c r="CA79" s="1059"/>
      <c r="CB79" s="393">
        <v>575</v>
      </c>
      <c r="CC79" s="394">
        <v>1150</v>
      </c>
      <c r="CD79" s="394">
        <f t="shared" si="177"/>
        <v>839</v>
      </c>
      <c r="CE79" s="394">
        <f t="shared" si="158"/>
        <v>886</v>
      </c>
      <c r="CF79" s="300">
        <f t="shared" si="221"/>
        <v>1.4482093528825251</v>
      </c>
      <c r="CG79" s="394">
        <f t="shared" si="222"/>
        <v>25611</v>
      </c>
      <c r="CH79" s="300">
        <f t="shared" si="223"/>
        <v>0.78293841731250446</v>
      </c>
      <c r="CI79" s="1062"/>
      <c r="CJ79" s="652"/>
      <c r="CK79" s="652"/>
      <c r="CL79" s="652"/>
      <c r="CM79" s="652"/>
      <c r="CN79" s="652"/>
      <c r="CO79" s="467">
        <v>350</v>
      </c>
      <c r="CP79" s="468"/>
      <c r="CQ79" s="468">
        <f t="shared" si="178"/>
        <v>350</v>
      </c>
      <c r="CR79" s="468">
        <f t="shared" si="159"/>
        <v>0</v>
      </c>
      <c r="CS79" s="487">
        <f t="shared" si="224"/>
        <v>0</v>
      </c>
      <c r="CT79" s="468">
        <f t="shared" si="225"/>
        <v>905</v>
      </c>
      <c r="CU79" s="487">
        <f t="shared" si="226"/>
        <v>2.7666208569279472E-2</v>
      </c>
      <c r="CV79" s="1070"/>
      <c r="CW79" s="429">
        <v>5</v>
      </c>
      <c r="CX79" s="429"/>
      <c r="CY79" s="429">
        <f t="shared" si="227"/>
        <v>5</v>
      </c>
      <c r="CZ79" s="429">
        <f t="shared" si="228"/>
        <v>0</v>
      </c>
      <c r="DA79" s="608">
        <f t="shared" si="244"/>
        <v>0</v>
      </c>
      <c r="DB79" s="608">
        <f t="shared" si="229"/>
        <v>40</v>
      </c>
      <c r="DC79" s="608">
        <f t="shared" si="179"/>
        <v>1.2228158483659436E-3</v>
      </c>
      <c r="DD79" s="1082"/>
      <c r="DE79" s="472">
        <v>5.6</v>
      </c>
      <c r="DF79" s="474"/>
      <c r="DG79" s="474">
        <f t="shared" si="180"/>
        <v>5.6</v>
      </c>
      <c r="DH79" s="474">
        <f t="shared" si="160"/>
        <v>0</v>
      </c>
      <c r="DI79" s="228">
        <f t="shared" si="230"/>
        <v>0</v>
      </c>
      <c r="DJ79" s="474">
        <f t="shared" si="231"/>
        <v>5.6</v>
      </c>
      <c r="DK79" s="228">
        <f t="shared" si="232"/>
        <v>1.7119421877123209E-4</v>
      </c>
      <c r="DL79" s="1085"/>
      <c r="DM79" s="207">
        <v>1470</v>
      </c>
      <c r="DN79" s="85"/>
      <c r="DO79" s="415">
        <f t="shared" si="233"/>
        <v>1350</v>
      </c>
      <c r="DP79" s="415">
        <f t="shared" si="161"/>
        <v>120</v>
      </c>
      <c r="DQ79" s="481">
        <f t="shared" si="234"/>
        <v>0.19614573628205756</v>
      </c>
      <c r="DR79" s="415">
        <f t="shared" si="235"/>
        <v>8650</v>
      </c>
      <c r="DS79" s="481">
        <f t="shared" si="236"/>
        <v>0.26443392720913528</v>
      </c>
      <c r="DT79" s="1072"/>
      <c r="DU79" s="597">
        <v>40</v>
      </c>
      <c r="DV79" s="597"/>
      <c r="DW79" s="597">
        <f t="shared" si="181"/>
        <v>40</v>
      </c>
      <c r="DX79" s="597">
        <f t="shared" si="162"/>
        <v>0</v>
      </c>
      <c r="DY79" s="593">
        <f t="shared" si="182"/>
        <v>0</v>
      </c>
      <c r="DZ79" s="597">
        <f t="shared" si="237"/>
        <v>2760</v>
      </c>
      <c r="EA79" s="593">
        <f t="shared" si="183"/>
        <v>8.4374293537250108E-2</v>
      </c>
      <c r="EB79" s="1042"/>
      <c r="EC79" s="451">
        <v>50</v>
      </c>
      <c r="ED79" s="452"/>
      <c r="EE79" s="452">
        <f t="shared" si="184"/>
        <v>50</v>
      </c>
      <c r="EF79" s="452">
        <f t="shared" si="163"/>
        <v>0</v>
      </c>
      <c r="EG79" s="453">
        <f t="shared" si="242"/>
        <v>0</v>
      </c>
      <c r="EH79" s="452">
        <f t="shared" si="238"/>
        <v>265</v>
      </c>
      <c r="EI79" s="453">
        <f t="shared" si="243"/>
        <v>8.1011549954243759E-3</v>
      </c>
      <c r="EJ79" s="1036"/>
      <c r="EK79" s="428">
        <v>1116</v>
      </c>
      <c r="EL79" s="429">
        <v>1200</v>
      </c>
      <c r="EM79" s="429">
        <f t="shared" si="185"/>
        <v>1800</v>
      </c>
      <c r="EN79" s="429">
        <f t="shared" si="164"/>
        <v>516</v>
      </c>
      <c r="EO79" s="429">
        <f t="shared" si="186"/>
        <v>28872</v>
      </c>
      <c r="EP79" s="458">
        <v>28</v>
      </c>
      <c r="EQ79" s="459"/>
      <c r="ER79" s="459">
        <f t="shared" si="187"/>
        <v>28</v>
      </c>
      <c r="ES79" s="459">
        <f t="shared" si="165"/>
        <v>0</v>
      </c>
      <c r="ET79" s="459">
        <f t="shared" si="188"/>
        <v>630</v>
      </c>
      <c r="EU79" s="432">
        <v>220</v>
      </c>
      <c r="EV79" s="433"/>
      <c r="EW79" s="433">
        <f t="shared" si="189"/>
        <v>220</v>
      </c>
      <c r="EX79" s="433">
        <f t="shared" si="166"/>
        <v>0</v>
      </c>
      <c r="EY79" s="433">
        <f t="shared" si="190"/>
        <v>380</v>
      </c>
      <c r="EZ79" s="438">
        <v>100</v>
      </c>
      <c r="FA79" s="439"/>
      <c r="FB79" s="439">
        <f t="shared" si="191"/>
        <v>100</v>
      </c>
      <c r="FC79" s="439">
        <f t="shared" si="167"/>
        <v>0</v>
      </c>
      <c r="FD79" s="439">
        <f t="shared" si="192"/>
        <v>490</v>
      </c>
      <c r="FE79" s="444">
        <v>25</v>
      </c>
      <c r="FF79" s="445"/>
      <c r="FG79" s="445">
        <f t="shared" si="193"/>
        <v>25</v>
      </c>
      <c r="FH79" s="445">
        <f t="shared" si="168"/>
        <v>0</v>
      </c>
      <c r="FI79" s="445">
        <f t="shared" si="194"/>
        <v>575</v>
      </c>
      <c r="FJ79" s="393">
        <v>0</v>
      </c>
      <c r="FK79" s="394"/>
      <c r="FL79" s="394">
        <f t="shared" si="195"/>
        <v>0</v>
      </c>
      <c r="FM79" s="394">
        <f t="shared" si="169"/>
        <v>0</v>
      </c>
      <c r="FN79" s="499">
        <f t="shared" si="196"/>
        <v>900</v>
      </c>
      <c r="HC79" s="403"/>
      <c r="HD79" s="405"/>
      <c r="HE79" s="405">
        <f t="shared" si="197"/>
        <v>0</v>
      </c>
      <c r="HF79" s="405">
        <f t="shared" si="170"/>
        <v>0</v>
      </c>
      <c r="HG79" s="84"/>
      <c r="HH79" s="405">
        <f t="shared" si="240"/>
        <v>400</v>
      </c>
      <c r="HI79" s="84"/>
      <c r="HJ79" s="1048"/>
    </row>
    <row r="80" spans="1:218">
      <c r="A80" s="30">
        <v>44743</v>
      </c>
      <c r="B80" s="390">
        <v>600453</v>
      </c>
      <c r="C80" s="18">
        <f t="shared" si="147"/>
        <v>33311838</v>
      </c>
      <c r="D80" s="376">
        <v>8233.02</v>
      </c>
      <c r="E80" s="417">
        <f t="shared" si="109"/>
        <v>450205.11999999982</v>
      </c>
      <c r="F80" s="397">
        <v>47933</v>
      </c>
      <c r="G80" s="37"/>
      <c r="H80" s="37">
        <f t="shared" si="171"/>
        <v>44236</v>
      </c>
      <c r="I80" s="37">
        <f t="shared" si="148"/>
        <v>3697</v>
      </c>
      <c r="J80" s="37">
        <f t="shared" si="146"/>
        <v>449.04542925925114</v>
      </c>
      <c r="K80" s="37">
        <f t="shared" si="198"/>
        <v>218011</v>
      </c>
      <c r="L80" s="37">
        <f t="shared" si="149"/>
        <v>484.24815781748572</v>
      </c>
      <c r="M80" s="647"/>
      <c r="N80" s="422">
        <v>150</v>
      </c>
      <c r="O80" s="423">
        <v>400</v>
      </c>
      <c r="P80" s="423">
        <f t="shared" si="199"/>
        <v>400</v>
      </c>
      <c r="Q80" s="423">
        <f t="shared" si="200"/>
        <v>150</v>
      </c>
      <c r="R80" s="423">
        <f t="shared" si="201"/>
        <v>5650</v>
      </c>
      <c r="S80" s="68">
        <v>9.99</v>
      </c>
      <c r="T80" s="67">
        <v>24</v>
      </c>
      <c r="U80" s="68">
        <f t="shared" si="202"/>
        <v>119.88</v>
      </c>
      <c r="V80" s="68">
        <f t="shared" si="151"/>
        <v>14.560878025317562</v>
      </c>
      <c r="W80" s="423">
        <f t="shared" si="203"/>
        <v>5506.5839999999989</v>
      </c>
      <c r="X80" s="68">
        <f t="shared" si="152"/>
        <v>12.23127804499425</v>
      </c>
      <c r="Y80" s="500"/>
      <c r="Z80" s="424">
        <v>50</v>
      </c>
      <c r="AA80" s="425">
        <v>100</v>
      </c>
      <c r="AB80" s="425">
        <f t="shared" si="204"/>
        <v>100</v>
      </c>
      <c r="AC80" s="425">
        <f t="shared" si="205"/>
        <v>50</v>
      </c>
      <c r="AD80" s="425">
        <f t="shared" si="206"/>
        <v>925</v>
      </c>
      <c r="AE80" s="72">
        <v>2.82</v>
      </c>
      <c r="AF80" s="71">
        <v>12</v>
      </c>
      <c r="AG80" s="72">
        <f t="shared" si="207"/>
        <v>16.919999999999998</v>
      </c>
      <c r="AH80" s="72">
        <f t="shared" si="173"/>
        <v>2.055138940510286</v>
      </c>
      <c r="AI80" s="425">
        <f t="shared" si="208"/>
        <v>816.9</v>
      </c>
      <c r="AJ80" s="72">
        <f t="shared" si="241"/>
        <v>1.8145062410662951</v>
      </c>
      <c r="AK80" s="502"/>
      <c r="AL80" s="491">
        <v>40957</v>
      </c>
      <c r="AM80" s="491"/>
      <c r="AN80" s="492">
        <f t="shared" si="105"/>
        <v>40957</v>
      </c>
      <c r="AO80" s="492">
        <f t="shared" si="106"/>
        <v>0</v>
      </c>
      <c r="AP80" s="492">
        <f t="shared" si="107"/>
        <v>42616</v>
      </c>
      <c r="AQ80" s="493">
        <f t="shared" si="174"/>
        <v>94.659074512524455</v>
      </c>
      <c r="AR80" s="504"/>
      <c r="AS80" s="413">
        <v>49235</v>
      </c>
      <c r="AT80" s="64"/>
      <c r="AU80" s="66">
        <f t="shared" si="209"/>
        <v>49235</v>
      </c>
      <c r="AV80" s="66">
        <f t="shared" si="155"/>
        <v>0</v>
      </c>
      <c r="AW80" s="412">
        <f t="shared" si="156"/>
        <v>0</v>
      </c>
      <c r="AX80" s="66">
        <f t="shared" si="210"/>
        <v>0</v>
      </c>
      <c r="AY80" s="412">
        <f t="shared" si="211"/>
        <v>0</v>
      </c>
      <c r="AZ80" s="506"/>
      <c r="BA80" s="419">
        <v>45495</v>
      </c>
      <c r="BB80" s="419"/>
      <c r="BC80" s="407"/>
      <c r="BD80" s="419">
        <f t="shared" si="175"/>
        <v>45495</v>
      </c>
      <c r="BE80" s="419">
        <f t="shared" si="176"/>
        <v>0</v>
      </c>
      <c r="BF80" s="407">
        <f t="shared" si="212"/>
        <v>0</v>
      </c>
      <c r="BG80" s="419">
        <f t="shared" si="108"/>
        <v>0</v>
      </c>
      <c r="BH80" s="407">
        <f t="shared" si="213"/>
        <v>0</v>
      </c>
      <c r="BI80" s="407">
        <f t="shared" si="214"/>
        <v>0</v>
      </c>
      <c r="BJ80" s="508"/>
      <c r="BK80" s="646"/>
      <c r="BL80" s="49">
        <v>2037</v>
      </c>
      <c r="BM80" s="50"/>
      <c r="BN80" s="52">
        <f t="shared" si="215"/>
        <v>1849</v>
      </c>
      <c r="BO80" s="52">
        <f t="shared" si="157"/>
        <v>188</v>
      </c>
      <c r="BP80" s="406">
        <f t="shared" si="216"/>
        <v>0.31309694513975284</v>
      </c>
      <c r="BQ80" s="52">
        <f t="shared" si="217"/>
        <v>14251</v>
      </c>
      <c r="BR80" s="406">
        <f t="shared" si="218"/>
        <v>0.42780587489648575</v>
      </c>
      <c r="BS80" s="512"/>
      <c r="BT80" s="409">
        <v>289</v>
      </c>
      <c r="BU80" s="43">
        <v>1000</v>
      </c>
      <c r="BV80" s="43">
        <f t="shared" si="245"/>
        <v>1118</v>
      </c>
      <c r="BW80" s="43">
        <f t="shared" si="246"/>
        <v>171</v>
      </c>
      <c r="BX80" s="42">
        <f t="shared" si="219"/>
        <v>0.28478498733456242</v>
      </c>
      <c r="BY80" s="43">
        <f t="shared" si="247"/>
        <v>5269</v>
      </c>
      <c r="BZ80" s="42">
        <f t="shared" si="220"/>
        <v>0.15817199879514304</v>
      </c>
      <c r="CA80" s="514"/>
      <c r="CB80" s="392">
        <v>839</v>
      </c>
      <c r="CC80" s="298">
        <v>2300</v>
      </c>
      <c r="CD80" s="298">
        <f t="shared" si="177"/>
        <v>2289</v>
      </c>
      <c r="CE80" s="298">
        <f t="shared" si="158"/>
        <v>850</v>
      </c>
      <c r="CF80" s="297">
        <f t="shared" si="221"/>
        <v>1.4155978902595208</v>
      </c>
      <c r="CG80" s="298">
        <f t="shared" si="222"/>
        <v>26461</v>
      </c>
      <c r="CH80" s="297">
        <f t="shared" si="223"/>
        <v>0.79434223953658756</v>
      </c>
      <c r="CI80" s="516"/>
      <c r="CJ80" s="656">
        <v>0</v>
      </c>
      <c r="CK80" s="657"/>
      <c r="CL80" s="657">
        <f>CJ81</f>
        <v>0</v>
      </c>
      <c r="CM80" s="657">
        <f>CJ80+CK80-CL80</f>
        <v>0</v>
      </c>
      <c r="CN80" s="659">
        <f>CM80</f>
        <v>0</v>
      </c>
      <c r="CO80" s="464">
        <v>350</v>
      </c>
      <c r="CP80" s="465"/>
      <c r="CQ80" s="465">
        <f t="shared" si="178"/>
        <v>350</v>
      </c>
      <c r="CR80" s="465">
        <f t="shared" si="159"/>
        <v>0</v>
      </c>
      <c r="CS80" s="486">
        <f t="shared" si="224"/>
        <v>0</v>
      </c>
      <c r="CT80" s="465">
        <f t="shared" si="225"/>
        <v>905</v>
      </c>
      <c r="CU80" s="486">
        <f t="shared" si="226"/>
        <v>2.7167519246461273E-2</v>
      </c>
      <c r="CV80" s="518"/>
      <c r="CW80" s="427">
        <v>5</v>
      </c>
      <c r="CX80" s="427"/>
      <c r="CY80" s="427">
        <f t="shared" si="227"/>
        <v>5</v>
      </c>
      <c r="CZ80" s="427">
        <f t="shared" si="228"/>
        <v>0</v>
      </c>
      <c r="DA80" s="607">
        <f t="shared" si="244"/>
        <v>0</v>
      </c>
      <c r="DB80" s="607">
        <f t="shared" si="229"/>
        <v>40</v>
      </c>
      <c r="DC80" s="607">
        <f t="shared" si="179"/>
        <v>1.2007743313353048E-3</v>
      </c>
      <c r="DD80" s="609"/>
      <c r="DE80" s="471">
        <v>5.6</v>
      </c>
      <c r="DF80" s="473"/>
      <c r="DG80" s="473">
        <f t="shared" si="180"/>
        <v>5.6</v>
      </c>
      <c r="DH80" s="473">
        <f t="shared" si="160"/>
        <v>0</v>
      </c>
      <c r="DI80" s="227">
        <f t="shared" si="230"/>
        <v>0</v>
      </c>
      <c r="DJ80" s="473">
        <f t="shared" si="231"/>
        <v>5.6</v>
      </c>
      <c r="DK80" s="227">
        <f t="shared" si="232"/>
        <v>1.6810840638694269E-4</v>
      </c>
      <c r="DL80" s="510"/>
      <c r="DM80" s="63">
        <v>1350</v>
      </c>
      <c r="DN80" s="64"/>
      <c r="DO80" s="66">
        <f t="shared" si="233"/>
        <v>1220</v>
      </c>
      <c r="DP80" s="66">
        <f t="shared" si="161"/>
        <v>130</v>
      </c>
      <c r="DQ80" s="412">
        <f t="shared" si="234"/>
        <v>0.21650320674557375</v>
      </c>
      <c r="DR80" s="66">
        <f t="shared" si="235"/>
        <v>8780</v>
      </c>
      <c r="DS80" s="412">
        <f t="shared" si="236"/>
        <v>0.26356996572809943</v>
      </c>
      <c r="DT80" s="506"/>
      <c r="DU80" s="596">
        <v>40</v>
      </c>
      <c r="DV80" s="596"/>
      <c r="DW80" s="596">
        <f t="shared" si="181"/>
        <v>40</v>
      </c>
      <c r="DX80" s="596">
        <f t="shared" si="162"/>
        <v>0</v>
      </c>
      <c r="DY80" s="592">
        <f t="shared" si="182"/>
        <v>0</v>
      </c>
      <c r="DZ80" s="596">
        <f t="shared" si="237"/>
        <v>2760</v>
      </c>
      <c r="EA80" s="592">
        <f t="shared" si="183"/>
        <v>8.2853428862136036E-2</v>
      </c>
      <c r="EB80" s="594"/>
      <c r="EC80" s="448">
        <v>50</v>
      </c>
      <c r="ED80" s="449"/>
      <c r="EE80" s="449">
        <f t="shared" si="184"/>
        <v>50</v>
      </c>
      <c r="EF80" s="449">
        <f t="shared" si="163"/>
        <v>0</v>
      </c>
      <c r="EG80" s="450">
        <f t="shared" si="242"/>
        <v>0</v>
      </c>
      <c r="EH80" s="449">
        <f t="shared" si="238"/>
        <v>265</v>
      </c>
      <c r="EI80" s="450">
        <f t="shared" si="243"/>
        <v>7.9551299450963953E-3</v>
      </c>
      <c r="EJ80" s="520"/>
      <c r="EK80" s="426">
        <v>1800</v>
      </c>
      <c r="EL80" s="427">
        <v>1200</v>
      </c>
      <c r="EM80" s="427">
        <f t="shared" si="185"/>
        <v>2280</v>
      </c>
      <c r="EN80" s="427">
        <f t="shared" si="164"/>
        <v>720</v>
      </c>
      <c r="EO80" s="427">
        <f t="shared" si="186"/>
        <v>29592</v>
      </c>
      <c r="EP80" s="456">
        <v>28</v>
      </c>
      <c r="EQ80" s="457"/>
      <c r="ER80" s="457">
        <f t="shared" si="187"/>
        <v>0</v>
      </c>
      <c r="ES80" s="457">
        <f t="shared" si="165"/>
        <v>28</v>
      </c>
      <c r="ET80" s="457">
        <f t="shared" si="188"/>
        <v>658</v>
      </c>
      <c r="EU80" s="409">
        <v>220</v>
      </c>
      <c r="EV80" s="43"/>
      <c r="EW80" s="43">
        <f t="shared" si="189"/>
        <v>220</v>
      </c>
      <c r="EX80" s="43">
        <f t="shared" si="166"/>
        <v>0</v>
      </c>
      <c r="EY80" s="43">
        <f t="shared" si="190"/>
        <v>380</v>
      </c>
      <c r="EZ80" s="436">
        <v>100</v>
      </c>
      <c r="FA80" s="437"/>
      <c r="FB80" s="437">
        <f t="shared" si="191"/>
        <v>50</v>
      </c>
      <c r="FC80" s="437">
        <f t="shared" si="167"/>
        <v>50</v>
      </c>
      <c r="FD80" s="437">
        <f t="shared" si="192"/>
        <v>540</v>
      </c>
      <c r="FE80" s="442">
        <v>25</v>
      </c>
      <c r="FF80" s="443"/>
      <c r="FG80" s="443">
        <f t="shared" si="193"/>
        <v>25</v>
      </c>
      <c r="FH80" s="443">
        <f t="shared" si="168"/>
        <v>0</v>
      </c>
      <c r="FI80" s="443">
        <f t="shared" si="194"/>
        <v>575</v>
      </c>
      <c r="FJ80" s="392">
        <v>0</v>
      </c>
      <c r="FK80" s="298"/>
      <c r="FL80" s="298">
        <f t="shared" si="195"/>
        <v>0</v>
      </c>
      <c r="FM80" s="298">
        <f t="shared" si="169"/>
        <v>0</v>
      </c>
      <c r="FN80" s="498">
        <f t="shared" si="196"/>
        <v>900</v>
      </c>
      <c r="HC80" s="402"/>
      <c r="HD80" s="52"/>
      <c r="HE80" s="52">
        <f t="shared" si="197"/>
        <v>0</v>
      </c>
      <c r="HF80" s="52">
        <f t="shared" si="170"/>
        <v>0</v>
      </c>
      <c r="HG80" s="51"/>
      <c r="HH80" s="52">
        <f t="shared" si="240"/>
        <v>400</v>
      </c>
      <c r="HI80" s="51"/>
      <c r="HJ80" s="1046"/>
    </row>
    <row r="81" spans="1:218">
      <c r="A81" s="30">
        <v>44744</v>
      </c>
      <c r="B81" s="390">
        <v>579877</v>
      </c>
      <c r="C81" s="18">
        <f t="shared" si="147"/>
        <v>33891715</v>
      </c>
      <c r="D81" s="376">
        <v>8028.96</v>
      </c>
      <c r="E81" s="417">
        <f t="shared" si="109"/>
        <v>458234.07999999984</v>
      </c>
      <c r="F81" s="397">
        <v>44236</v>
      </c>
      <c r="G81" s="37"/>
      <c r="H81" s="37">
        <f t="shared" si="171"/>
        <v>42236</v>
      </c>
      <c r="I81" s="37">
        <f t="shared" si="148"/>
        <v>2000</v>
      </c>
      <c r="J81" s="37">
        <f t="shared" si="146"/>
        <v>249.09826428329447</v>
      </c>
      <c r="K81" s="37">
        <f t="shared" si="198"/>
        <v>220011</v>
      </c>
      <c r="L81" s="37">
        <f t="shared" si="149"/>
        <v>480.127973021998</v>
      </c>
      <c r="M81" s="648"/>
      <c r="N81" s="422">
        <v>400</v>
      </c>
      <c r="O81" s="423"/>
      <c r="P81" s="423">
        <f t="shared" si="199"/>
        <v>275</v>
      </c>
      <c r="Q81" s="423">
        <f t="shared" si="200"/>
        <v>125</v>
      </c>
      <c r="R81" s="423">
        <f t="shared" si="201"/>
        <v>5775</v>
      </c>
      <c r="S81" s="68">
        <v>9.16</v>
      </c>
      <c r="T81" s="67">
        <v>24</v>
      </c>
      <c r="U81" s="68">
        <f t="shared" si="202"/>
        <v>109.92</v>
      </c>
      <c r="V81" s="68">
        <f t="shared" si="151"/>
        <v>13.690440605009865</v>
      </c>
      <c r="W81" s="423">
        <f t="shared" si="203"/>
        <v>5616.503999999999</v>
      </c>
      <c r="X81" s="68">
        <f t="shared" si="152"/>
        <v>12.256844798623447</v>
      </c>
      <c r="Y81" s="500"/>
      <c r="Z81" s="424">
        <v>100</v>
      </c>
      <c r="AA81" s="425"/>
      <c r="AB81" s="425">
        <f t="shared" si="204"/>
        <v>100</v>
      </c>
      <c r="AC81" s="425">
        <f t="shared" si="205"/>
        <v>0</v>
      </c>
      <c r="AD81" s="425">
        <f t="shared" si="206"/>
        <v>925</v>
      </c>
      <c r="AE81" s="72">
        <v>2.4</v>
      </c>
      <c r="AF81" s="71">
        <v>12</v>
      </c>
      <c r="AG81" s="72">
        <f t="shared" si="207"/>
        <v>14.399999999999999</v>
      </c>
      <c r="AH81" s="72">
        <f t="shared" si="173"/>
        <v>1.79350750283972</v>
      </c>
      <c r="AI81" s="425">
        <f t="shared" si="208"/>
        <v>831.3</v>
      </c>
      <c r="AJ81" s="72">
        <f t="shared" si="241"/>
        <v>1.8141383111443834</v>
      </c>
      <c r="AK81" s="502"/>
      <c r="AL81" s="491">
        <v>40957</v>
      </c>
      <c r="AM81" s="491"/>
      <c r="AN81" s="492">
        <f t="shared" si="105"/>
        <v>40957</v>
      </c>
      <c r="AO81" s="492">
        <f t="shared" si="106"/>
        <v>0</v>
      </c>
      <c r="AP81" s="492">
        <f t="shared" si="107"/>
        <v>42616</v>
      </c>
      <c r="AQ81" s="493">
        <f t="shared" si="174"/>
        <v>93.000503148958316</v>
      </c>
      <c r="AR81" s="504"/>
      <c r="AS81" s="413">
        <v>49235</v>
      </c>
      <c r="AT81" s="64"/>
      <c r="AU81" s="66">
        <f t="shared" si="209"/>
        <v>49235</v>
      </c>
      <c r="AV81" s="66">
        <f t="shared" si="155"/>
        <v>0</v>
      </c>
      <c r="AW81" s="412">
        <f t="shared" si="156"/>
        <v>0</v>
      </c>
      <c r="AX81" s="66">
        <f t="shared" si="210"/>
        <v>0</v>
      </c>
      <c r="AY81" s="412">
        <f t="shared" si="211"/>
        <v>0</v>
      </c>
      <c r="AZ81" s="506"/>
      <c r="BA81" s="419">
        <v>45495</v>
      </c>
      <c r="BB81" s="419"/>
      <c r="BC81" s="407"/>
      <c r="BD81" s="419">
        <f t="shared" si="175"/>
        <v>45495</v>
      </c>
      <c r="BE81" s="419">
        <f t="shared" si="176"/>
        <v>0</v>
      </c>
      <c r="BF81" s="407">
        <f t="shared" si="212"/>
        <v>0</v>
      </c>
      <c r="BG81" s="419">
        <f t="shared" si="108"/>
        <v>0</v>
      </c>
      <c r="BH81" s="407">
        <f t="shared" si="213"/>
        <v>0</v>
      </c>
      <c r="BI81" s="407">
        <f t="shared" si="214"/>
        <v>0</v>
      </c>
      <c r="BJ81" s="508"/>
      <c r="BK81" s="510"/>
      <c r="BL81" s="49">
        <v>1849</v>
      </c>
      <c r="BM81" s="50"/>
      <c r="BN81" s="52">
        <f t="shared" si="215"/>
        <v>1724</v>
      </c>
      <c r="BO81" s="52">
        <f t="shared" si="157"/>
        <v>125</v>
      </c>
      <c r="BP81" s="406">
        <f t="shared" si="216"/>
        <v>0.21556295559230665</v>
      </c>
      <c r="BQ81" s="52">
        <f t="shared" si="217"/>
        <v>14376</v>
      </c>
      <c r="BR81" s="406">
        <f t="shared" si="218"/>
        <v>0.42417446269685671</v>
      </c>
      <c r="BS81" s="512"/>
      <c r="BT81" s="409">
        <v>1118</v>
      </c>
      <c r="BU81" s="43"/>
      <c r="BV81" s="43">
        <f t="shared" si="245"/>
        <v>1061</v>
      </c>
      <c r="BW81" s="43">
        <f t="shared" si="246"/>
        <v>57</v>
      </c>
      <c r="BX81" s="42">
        <f t="shared" si="219"/>
        <v>9.8296707750091833E-2</v>
      </c>
      <c r="BY81" s="43">
        <f t="shared" si="247"/>
        <v>5326</v>
      </c>
      <c r="BZ81" s="42">
        <f t="shared" si="220"/>
        <v>0.15714755066245542</v>
      </c>
      <c r="CA81" s="514"/>
      <c r="CB81" s="392">
        <v>2289</v>
      </c>
      <c r="CC81" s="298"/>
      <c r="CD81" s="298">
        <f t="shared" si="177"/>
        <v>1323</v>
      </c>
      <c r="CE81" s="298">
        <f t="shared" si="158"/>
        <v>966</v>
      </c>
      <c r="CF81" s="297">
        <f t="shared" si="221"/>
        <v>1.6658705208173457</v>
      </c>
      <c r="CG81" s="298">
        <f t="shared" si="222"/>
        <v>27427</v>
      </c>
      <c r="CH81" s="297">
        <f t="shared" si="223"/>
        <v>0.80925382501298626</v>
      </c>
      <c r="CI81" s="516"/>
      <c r="CJ81" s="656">
        <v>0</v>
      </c>
      <c r="CK81" s="657"/>
      <c r="CL81" s="657">
        <f>CJ82</f>
        <v>0</v>
      </c>
      <c r="CM81" s="657">
        <f>CJ81+CK81-CL81</f>
        <v>0</v>
      </c>
      <c r="CN81" s="659">
        <f>CM81+CN80</f>
        <v>0</v>
      </c>
      <c r="CO81" s="464">
        <v>350</v>
      </c>
      <c r="CP81" s="465"/>
      <c r="CQ81" s="465">
        <f t="shared" si="178"/>
        <v>350</v>
      </c>
      <c r="CR81" s="465">
        <f t="shared" si="159"/>
        <v>0</v>
      </c>
      <c r="CS81" s="486">
        <f t="shared" si="224"/>
        <v>0</v>
      </c>
      <c r="CT81" s="465">
        <f t="shared" si="225"/>
        <v>905</v>
      </c>
      <c r="CU81" s="486">
        <f t="shared" si="226"/>
        <v>2.6702691203440133E-2</v>
      </c>
      <c r="CV81" s="518"/>
      <c r="CW81" s="427">
        <v>5</v>
      </c>
      <c r="CX81" s="427"/>
      <c r="CY81" s="427">
        <f t="shared" si="227"/>
        <v>5</v>
      </c>
      <c r="CZ81" s="427">
        <f t="shared" si="228"/>
        <v>0</v>
      </c>
      <c r="DA81" s="607">
        <f t="shared" si="244"/>
        <v>0</v>
      </c>
      <c r="DB81" s="607">
        <f t="shared" si="229"/>
        <v>40</v>
      </c>
      <c r="DC81" s="607">
        <f t="shared" si="179"/>
        <v>1.1802294454559175E-3</v>
      </c>
      <c r="DD81" s="609"/>
      <c r="DE81" s="471">
        <v>5.6</v>
      </c>
      <c r="DF81" s="473"/>
      <c r="DG81" s="473">
        <f t="shared" si="180"/>
        <v>5.6</v>
      </c>
      <c r="DH81" s="473">
        <f t="shared" si="160"/>
        <v>0</v>
      </c>
      <c r="DI81" s="227">
        <f t="shared" si="230"/>
        <v>0</v>
      </c>
      <c r="DJ81" s="473">
        <f t="shared" si="231"/>
        <v>5.6</v>
      </c>
      <c r="DK81" s="227">
        <f t="shared" si="232"/>
        <v>1.6523212236382845E-4</v>
      </c>
      <c r="DL81" s="510"/>
      <c r="DM81" s="63">
        <v>1220</v>
      </c>
      <c r="DN81" s="64"/>
      <c r="DO81" s="66">
        <f t="shared" si="233"/>
        <v>1050</v>
      </c>
      <c r="DP81" s="66">
        <f t="shared" si="161"/>
        <v>170</v>
      </c>
      <c r="DQ81" s="412">
        <f t="shared" si="234"/>
        <v>0.29316561960553705</v>
      </c>
      <c r="DR81" s="66">
        <f t="shared" si="235"/>
        <v>8950</v>
      </c>
      <c r="DS81" s="412">
        <f t="shared" si="236"/>
        <v>0.26407633842076156</v>
      </c>
      <c r="DT81" s="506"/>
      <c r="DU81" s="596">
        <v>40</v>
      </c>
      <c r="DV81" s="596"/>
      <c r="DW81" s="596">
        <f t="shared" si="181"/>
        <v>40</v>
      </c>
      <c r="DX81" s="596">
        <f t="shared" si="162"/>
        <v>0</v>
      </c>
      <c r="DY81" s="592">
        <f t="shared" si="182"/>
        <v>0</v>
      </c>
      <c r="DZ81" s="596">
        <f t="shared" si="237"/>
        <v>2760</v>
      </c>
      <c r="EA81" s="592">
        <f t="shared" si="183"/>
        <v>8.1435831736458311E-2</v>
      </c>
      <c r="EB81" s="594"/>
      <c r="EC81" s="448">
        <v>50</v>
      </c>
      <c r="ED81" s="449"/>
      <c r="EE81" s="449">
        <f t="shared" si="184"/>
        <v>0</v>
      </c>
      <c r="EF81" s="449">
        <f t="shared" si="163"/>
        <v>50</v>
      </c>
      <c r="EG81" s="450">
        <f t="shared" si="242"/>
        <v>8.6225182236922659E-2</v>
      </c>
      <c r="EH81" s="449">
        <f t="shared" si="238"/>
        <v>315</v>
      </c>
      <c r="EI81" s="450">
        <f t="shared" si="243"/>
        <v>9.2943068829653506E-3</v>
      </c>
      <c r="EJ81" s="520"/>
      <c r="EK81" s="426">
        <v>2280</v>
      </c>
      <c r="EL81" s="427"/>
      <c r="EM81" s="427">
        <f t="shared" si="185"/>
        <v>1776</v>
      </c>
      <c r="EN81" s="427">
        <f t="shared" si="164"/>
        <v>504</v>
      </c>
      <c r="EO81" s="427">
        <f t="shared" si="186"/>
        <v>30096</v>
      </c>
      <c r="EP81" s="456">
        <v>0</v>
      </c>
      <c r="EQ81" s="457"/>
      <c r="ER81" s="457">
        <f t="shared" si="187"/>
        <v>0</v>
      </c>
      <c r="ES81" s="457">
        <f t="shared" si="165"/>
        <v>0</v>
      </c>
      <c r="ET81" s="457">
        <f t="shared" si="188"/>
        <v>658</v>
      </c>
      <c r="EU81" s="409">
        <v>220</v>
      </c>
      <c r="EV81" s="43"/>
      <c r="EW81" s="43">
        <f t="shared" si="189"/>
        <v>200</v>
      </c>
      <c r="EX81" s="43">
        <f t="shared" si="166"/>
        <v>20</v>
      </c>
      <c r="EY81" s="43">
        <f t="shared" si="190"/>
        <v>400</v>
      </c>
      <c r="EZ81" s="436">
        <v>50</v>
      </c>
      <c r="FA81" s="437"/>
      <c r="FB81" s="437">
        <f t="shared" si="191"/>
        <v>33</v>
      </c>
      <c r="FC81" s="437">
        <f t="shared" si="167"/>
        <v>17</v>
      </c>
      <c r="FD81" s="437">
        <f t="shared" si="192"/>
        <v>557</v>
      </c>
      <c r="FE81" s="442">
        <v>25</v>
      </c>
      <c r="FF81" s="443"/>
      <c r="FG81" s="443">
        <f t="shared" si="193"/>
        <v>25</v>
      </c>
      <c r="FH81" s="443">
        <f t="shared" si="168"/>
        <v>0</v>
      </c>
      <c r="FI81" s="443">
        <f t="shared" si="194"/>
        <v>575</v>
      </c>
      <c r="FJ81" s="392">
        <v>0</v>
      </c>
      <c r="FK81" s="298"/>
      <c r="FL81" s="298">
        <f t="shared" si="195"/>
        <v>0</v>
      </c>
      <c r="FM81" s="298">
        <f t="shared" si="169"/>
        <v>0</v>
      </c>
      <c r="FN81" s="498">
        <f t="shared" si="196"/>
        <v>900</v>
      </c>
      <c r="HC81" s="402"/>
      <c r="HD81" s="52"/>
      <c r="HE81" s="52">
        <f t="shared" si="197"/>
        <v>0</v>
      </c>
      <c r="HF81" s="52">
        <f t="shared" si="170"/>
        <v>0</v>
      </c>
      <c r="HG81" s="51"/>
      <c r="HH81" s="52">
        <f t="shared" si="240"/>
        <v>400</v>
      </c>
      <c r="HI81" s="51"/>
      <c r="HJ81" s="1047"/>
    </row>
    <row r="82" spans="1:218">
      <c r="A82" s="30">
        <v>44745</v>
      </c>
      <c r="B82" s="390">
        <v>555913</v>
      </c>
      <c r="C82" s="18">
        <f t="shared" si="147"/>
        <v>34447628</v>
      </c>
      <c r="D82" s="376">
        <v>8109.5</v>
      </c>
      <c r="E82" s="417">
        <f t="shared" si="109"/>
        <v>466343.57999999984</v>
      </c>
      <c r="F82" s="397">
        <v>42236</v>
      </c>
      <c r="G82" s="37"/>
      <c r="H82" s="37">
        <f t="shared" si="171"/>
        <v>40387</v>
      </c>
      <c r="I82" s="37">
        <f t="shared" si="148"/>
        <v>1849</v>
      </c>
      <c r="J82" s="37">
        <f t="shared" si="146"/>
        <v>228.00419261360133</v>
      </c>
      <c r="K82" s="37">
        <f t="shared" si="198"/>
        <v>221860</v>
      </c>
      <c r="L82" s="37">
        <f t="shared" si="149"/>
        <v>475.74365664045399</v>
      </c>
      <c r="M82" s="648"/>
      <c r="N82" s="422">
        <v>275</v>
      </c>
      <c r="O82" s="423"/>
      <c r="P82" s="423">
        <f t="shared" si="199"/>
        <v>150</v>
      </c>
      <c r="Q82" s="423">
        <f t="shared" si="200"/>
        <v>125</v>
      </c>
      <c r="R82" s="423">
        <f t="shared" si="201"/>
        <v>5900</v>
      </c>
      <c r="S82" s="68">
        <v>10.66</v>
      </c>
      <c r="T82" s="67">
        <v>24</v>
      </c>
      <c r="U82" s="68">
        <f t="shared" si="202"/>
        <v>127.92</v>
      </c>
      <c r="V82" s="68">
        <f t="shared" si="151"/>
        <v>15.774092114187065</v>
      </c>
      <c r="W82" s="423">
        <f t="shared" si="203"/>
        <v>5744.4239999999991</v>
      </c>
      <c r="X82" s="68">
        <f t="shared" si="152"/>
        <v>12.318008108956922</v>
      </c>
      <c r="Y82" s="500"/>
      <c r="Z82" s="424">
        <v>100</v>
      </c>
      <c r="AA82" s="425"/>
      <c r="AB82" s="425">
        <f t="shared" si="204"/>
        <v>75</v>
      </c>
      <c r="AC82" s="425">
        <f t="shared" si="205"/>
        <v>25</v>
      </c>
      <c r="AD82" s="425">
        <f t="shared" si="206"/>
        <v>950</v>
      </c>
      <c r="AE82" s="72">
        <v>2.2999999999999998</v>
      </c>
      <c r="AF82" s="71">
        <v>12</v>
      </c>
      <c r="AG82" s="72">
        <f t="shared" si="207"/>
        <v>13.799999999999999</v>
      </c>
      <c r="AH82" s="72">
        <f t="shared" si="173"/>
        <v>1.7017078734817188</v>
      </c>
      <c r="AI82" s="425">
        <f t="shared" si="208"/>
        <v>845.09999999999991</v>
      </c>
      <c r="AJ82" s="72">
        <f t="shared" si="241"/>
        <v>1.8121831976329559</v>
      </c>
      <c r="AK82" s="502"/>
      <c r="AL82" s="491">
        <v>40957</v>
      </c>
      <c r="AM82" s="491"/>
      <c r="AN82" s="492">
        <f t="shared" ref="AN82:AN145" si="248">AL83</f>
        <v>40957</v>
      </c>
      <c r="AO82" s="492">
        <f t="shared" ref="AO82:AO145" si="249">AL82+AM82-AN82</f>
        <v>0</v>
      </c>
      <c r="AP82" s="492">
        <f t="shared" ref="AP82:AP145" si="250">AO82+AP81</f>
        <v>42616</v>
      </c>
      <c r="AQ82" s="493">
        <f t="shared" si="174"/>
        <v>91.383267246865529</v>
      </c>
      <c r="AR82" s="504"/>
      <c r="AS82" s="413">
        <v>49235</v>
      </c>
      <c r="AT82" s="64"/>
      <c r="AU82" s="66">
        <f t="shared" si="209"/>
        <v>49235</v>
      </c>
      <c r="AV82" s="66">
        <f t="shared" si="155"/>
        <v>0</v>
      </c>
      <c r="AW82" s="412">
        <f t="shared" si="156"/>
        <v>0</v>
      </c>
      <c r="AX82" s="66">
        <f t="shared" si="210"/>
        <v>0</v>
      </c>
      <c r="AY82" s="412">
        <f t="shared" si="211"/>
        <v>0</v>
      </c>
      <c r="AZ82" s="506"/>
      <c r="BA82" s="419">
        <v>45495</v>
      </c>
      <c r="BB82" s="419"/>
      <c r="BC82" s="407"/>
      <c r="BD82" s="419">
        <f t="shared" si="175"/>
        <v>45495</v>
      </c>
      <c r="BE82" s="419">
        <f t="shared" si="176"/>
        <v>0</v>
      </c>
      <c r="BF82" s="407">
        <f t="shared" si="212"/>
        <v>0</v>
      </c>
      <c r="BG82" s="419">
        <f t="shared" ref="BG82:BG145" si="251">BG81+BE82</f>
        <v>0</v>
      </c>
      <c r="BH82" s="407">
        <f t="shared" si="213"/>
        <v>0</v>
      </c>
      <c r="BI82" s="407">
        <f t="shared" si="214"/>
        <v>0</v>
      </c>
      <c r="BJ82" s="508"/>
      <c r="BK82" s="510"/>
      <c r="BL82" s="49">
        <v>1724</v>
      </c>
      <c r="BM82" s="50"/>
      <c r="BN82" s="52">
        <f t="shared" si="215"/>
        <v>1611</v>
      </c>
      <c r="BO82" s="52">
        <f t="shared" si="157"/>
        <v>113</v>
      </c>
      <c r="BP82" s="406">
        <f t="shared" si="216"/>
        <v>0.20326921658604855</v>
      </c>
      <c r="BQ82" s="52">
        <f t="shared" si="217"/>
        <v>14489</v>
      </c>
      <c r="BR82" s="406">
        <f t="shared" si="218"/>
        <v>0.42060951192343343</v>
      </c>
      <c r="BS82" s="512"/>
      <c r="BT82" s="409">
        <v>1061</v>
      </c>
      <c r="BU82" s="43"/>
      <c r="BV82" s="43">
        <f t="shared" si="245"/>
        <v>1023</v>
      </c>
      <c r="BW82" s="43">
        <f t="shared" si="246"/>
        <v>38</v>
      </c>
      <c r="BX82" s="42">
        <f t="shared" si="219"/>
        <v>6.835601973690128E-2</v>
      </c>
      <c r="BY82" s="43">
        <f t="shared" si="247"/>
        <v>5364</v>
      </c>
      <c r="BZ82" s="42">
        <f t="shared" si="220"/>
        <v>0.15571464020686707</v>
      </c>
      <c r="CA82" s="514"/>
      <c r="CB82" s="392">
        <v>1323</v>
      </c>
      <c r="CC82" s="298"/>
      <c r="CD82" s="298">
        <f t="shared" si="177"/>
        <v>406</v>
      </c>
      <c r="CE82" s="298">
        <f t="shared" si="158"/>
        <v>917</v>
      </c>
      <c r="CF82" s="297">
        <f t="shared" si="221"/>
        <v>1.6495386868089073</v>
      </c>
      <c r="CG82" s="298">
        <f t="shared" si="222"/>
        <v>28344</v>
      </c>
      <c r="CH82" s="297">
        <f t="shared" si="223"/>
        <v>0.82281427330787482</v>
      </c>
      <c r="CI82" s="516"/>
      <c r="CJ82" s="656">
        <v>0</v>
      </c>
      <c r="CK82" s="657"/>
      <c r="CL82" s="657">
        <f t="shared" ref="CL82:CL145" si="252">CJ83</f>
        <v>0</v>
      </c>
      <c r="CM82" s="657">
        <f t="shared" ref="CM82:CM145" si="253">CJ82+CK82-CL82</f>
        <v>0</v>
      </c>
      <c r="CN82" s="659">
        <f t="shared" ref="CN82:CN145" si="254">CM82+CN81</f>
        <v>0</v>
      </c>
      <c r="CO82" s="464">
        <v>350</v>
      </c>
      <c r="CP82" s="465"/>
      <c r="CQ82" s="465">
        <f t="shared" si="178"/>
        <v>350</v>
      </c>
      <c r="CR82" s="465">
        <f t="shared" si="159"/>
        <v>0</v>
      </c>
      <c r="CS82" s="486">
        <f t="shared" si="224"/>
        <v>0</v>
      </c>
      <c r="CT82" s="465">
        <f t="shared" si="225"/>
        <v>905</v>
      </c>
      <c r="CU82" s="486">
        <f t="shared" si="226"/>
        <v>2.6271765359286856E-2</v>
      </c>
      <c r="CV82" s="518"/>
      <c r="CW82" s="427">
        <v>5</v>
      </c>
      <c r="CX82" s="427"/>
      <c r="CY82" s="427">
        <f t="shared" si="227"/>
        <v>5</v>
      </c>
      <c r="CZ82" s="427">
        <f t="shared" si="228"/>
        <v>0</v>
      </c>
      <c r="DA82" s="607">
        <f t="shared" si="244"/>
        <v>0</v>
      </c>
      <c r="DB82" s="607">
        <f t="shared" si="229"/>
        <v>40</v>
      </c>
      <c r="DC82" s="607">
        <f t="shared" si="179"/>
        <v>1.1611829993054964E-3</v>
      </c>
      <c r="DD82" s="609"/>
      <c r="DE82" s="471">
        <v>5.6</v>
      </c>
      <c r="DF82" s="473"/>
      <c r="DG82" s="473">
        <f t="shared" si="180"/>
        <v>5.6</v>
      </c>
      <c r="DH82" s="473">
        <f t="shared" si="160"/>
        <v>0</v>
      </c>
      <c r="DI82" s="227">
        <f t="shared" si="230"/>
        <v>0</v>
      </c>
      <c r="DJ82" s="473">
        <f t="shared" si="231"/>
        <v>5.6</v>
      </c>
      <c r="DK82" s="227">
        <f t="shared" si="232"/>
        <v>1.6256561990276951E-4</v>
      </c>
      <c r="DL82" s="510"/>
      <c r="DM82" s="63">
        <v>1050</v>
      </c>
      <c r="DN82" s="64"/>
      <c r="DO82" s="66">
        <f t="shared" si="233"/>
        <v>905</v>
      </c>
      <c r="DP82" s="66">
        <f t="shared" si="161"/>
        <v>145</v>
      </c>
      <c r="DQ82" s="412">
        <f t="shared" si="234"/>
        <v>0.26083218057501806</v>
      </c>
      <c r="DR82" s="66">
        <f t="shared" si="235"/>
        <v>9095</v>
      </c>
      <c r="DS82" s="412">
        <f t="shared" si="236"/>
        <v>0.26402398446708725</v>
      </c>
      <c r="DT82" s="506"/>
      <c r="DU82" s="596">
        <v>40</v>
      </c>
      <c r="DV82" s="596"/>
      <c r="DW82" s="596">
        <f t="shared" si="181"/>
        <v>40</v>
      </c>
      <c r="DX82" s="596">
        <f t="shared" si="162"/>
        <v>0</v>
      </c>
      <c r="DY82" s="592">
        <f t="shared" si="182"/>
        <v>0</v>
      </c>
      <c r="DZ82" s="596">
        <f t="shared" si="237"/>
        <v>2760</v>
      </c>
      <c r="EA82" s="592">
        <f t="shared" si="183"/>
        <v>8.012162695207925E-2</v>
      </c>
      <c r="EB82" s="594"/>
      <c r="EC82" s="448">
        <v>0</v>
      </c>
      <c r="ED82" s="449"/>
      <c r="EE82" s="449">
        <f t="shared" si="184"/>
        <v>0</v>
      </c>
      <c r="EF82" s="449">
        <f t="shared" si="163"/>
        <v>0</v>
      </c>
      <c r="EG82" s="450">
        <f t="shared" si="242"/>
        <v>0</v>
      </c>
      <c r="EH82" s="449">
        <f t="shared" si="238"/>
        <v>315</v>
      </c>
      <c r="EI82" s="450">
        <f t="shared" si="243"/>
        <v>9.1443161195307841E-3</v>
      </c>
      <c r="EJ82" s="520"/>
      <c r="EK82" s="426">
        <v>1776</v>
      </c>
      <c r="EL82" s="427"/>
      <c r="EM82" s="427">
        <f t="shared" si="185"/>
        <v>1200</v>
      </c>
      <c r="EN82" s="427">
        <f t="shared" si="164"/>
        <v>576</v>
      </c>
      <c r="EO82" s="427">
        <f t="shared" si="186"/>
        <v>30672</v>
      </c>
      <c r="EP82" s="456">
        <v>0</v>
      </c>
      <c r="EQ82" s="457"/>
      <c r="ER82" s="457">
        <f t="shared" si="187"/>
        <v>0</v>
      </c>
      <c r="ES82" s="457">
        <f t="shared" si="165"/>
        <v>0</v>
      </c>
      <c r="ET82" s="457">
        <f t="shared" si="188"/>
        <v>658</v>
      </c>
      <c r="EU82" s="409">
        <v>200</v>
      </c>
      <c r="EV82" s="43"/>
      <c r="EW82" s="43">
        <f t="shared" si="189"/>
        <v>200</v>
      </c>
      <c r="EX82" s="43">
        <f t="shared" si="166"/>
        <v>0</v>
      </c>
      <c r="EY82" s="43">
        <f t="shared" si="190"/>
        <v>400</v>
      </c>
      <c r="EZ82" s="436">
        <v>33</v>
      </c>
      <c r="FA82" s="437"/>
      <c r="FB82" s="437">
        <f t="shared" si="191"/>
        <v>26</v>
      </c>
      <c r="FC82" s="437">
        <f t="shared" si="167"/>
        <v>7</v>
      </c>
      <c r="FD82" s="437">
        <f t="shared" si="192"/>
        <v>564</v>
      </c>
      <c r="FE82" s="442">
        <v>25</v>
      </c>
      <c r="FF82" s="443"/>
      <c r="FG82" s="443">
        <f t="shared" si="193"/>
        <v>25</v>
      </c>
      <c r="FH82" s="443">
        <f t="shared" si="168"/>
        <v>0</v>
      </c>
      <c r="FI82" s="443">
        <f t="shared" si="194"/>
        <v>575</v>
      </c>
      <c r="FJ82" s="392">
        <v>0</v>
      </c>
      <c r="FK82" s="298"/>
      <c r="FL82" s="298">
        <f t="shared" si="195"/>
        <v>0</v>
      </c>
      <c r="FM82" s="298">
        <f t="shared" si="169"/>
        <v>0</v>
      </c>
      <c r="FN82" s="498">
        <f t="shared" si="196"/>
        <v>900</v>
      </c>
      <c r="HC82" s="402"/>
      <c r="HD82" s="52"/>
      <c r="HE82" s="52">
        <f t="shared" si="197"/>
        <v>0</v>
      </c>
      <c r="HF82" s="52">
        <f t="shared" si="170"/>
        <v>0</v>
      </c>
      <c r="HG82" s="51"/>
      <c r="HH82" s="52">
        <f t="shared" si="240"/>
        <v>400</v>
      </c>
      <c r="HI82" s="51"/>
      <c r="HJ82" s="1047"/>
    </row>
    <row r="83" spans="1:218">
      <c r="A83" s="30">
        <v>44746</v>
      </c>
      <c r="B83" s="390">
        <v>585172</v>
      </c>
      <c r="C83" s="18">
        <f t="shared" si="147"/>
        <v>35032800</v>
      </c>
      <c r="D83" s="376">
        <v>8315.48</v>
      </c>
      <c r="E83" s="417">
        <f t="shared" si="109"/>
        <v>474659.05999999982</v>
      </c>
      <c r="F83" s="397">
        <v>40387</v>
      </c>
      <c r="G83" s="37"/>
      <c r="H83" s="37">
        <f t="shared" si="171"/>
        <v>38539</v>
      </c>
      <c r="I83" s="37">
        <f t="shared" si="148"/>
        <v>1848</v>
      </c>
      <c r="J83" s="37">
        <f t="shared" si="146"/>
        <v>222.23611866061853</v>
      </c>
      <c r="K83" s="37">
        <f t="shared" si="198"/>
        <v>223708</v>
      </c>
      <c r="L83" s="37">
        <f t="shared" si="149"/>
        <v>471.30249657512087</v>
      </c>
      <c r="M83" s="648"/>
      <c r="N83" s="422">
        <v>150</v>
      </c>
      <c r="O83" s="423">
        <v>300</v>
      </c>
      <c r="P83" s="423">
        <f t="shared" si="199"/>
        <v>400</v>
      </c>
      <c r="Q83" s="423">
        <f t="shared" si="200"/>
        <v>50</v>
      </c>
      <c r="R83" s="423">
        <f t="shared" si="201"/>
        <v>5950</v>
      </c>
      <c r="S83" s="68">
        <v>7.61</v>
      </c>
      <c r="T83" s="67">
        <v>24</v>
      </c>
      <c r="U83" s="68">
        <f t="shared" si="202"/>
        <v>91.320000000000007</v>
      </c>
      <c r="V83" s="68">
        <f t="shared" si="151"/>
        <v>10.981927681865631</v>
      </c>
      <c r="W83" s="423">
        <f t="shared" si="203"/>
        <v>5835.7439999999988</v>
      </c>
      <c r="X83" s="68">
        <f t="shared" si="152"/>
        <v>12.294601518824903</v>
      </c>
      <c r="Y83" s="500"/>
      <c r="Z83" s="424">
        <v>75</v>
      </c>
      <c r="AA83" s="425">
        <v>100</v>
      </c>
      <c r="AB83" s="425">
        <f t="shared" si="204"/>
        <v>150</v>
      </c>
      <c r="AC83" s="425">
        <f t="shared" si="205"/>
        <v>25</v>
      </c>
      <c r="AD83" s="425">
        <f t="shared" si="206"/>
        <v>975</v>
      </c>
      <c r="AE83" s="72">
        <v>2.33</v>
      </c>
      <c r="AF83" s="71">
        <v>12</v>
      </c>
      <c r="AG83" s="72">
        <f t="shared" si="207"/>
        <v>13.98</v>
      </c>
      <c r="AH83" s="72">
        <f t="shared" si="173"/>
        <v>1.681201806750783</v>
      </c>
      <c r="AI83" s="425">
        <f t="shared" si="208"/>
        <v>859.07999999999993</v>
      </c>
      <c r="AJ83" s="72">
        <f t="shared" si="241"/>
        <v>1.8098885545342802</v>
      </c>
      <c r="AK83" s="502"/>
      <c r="AL83" s="491">
        <v>40957</v>
      </c>
      <c r="AM83" s="491"/>
      <c r="AN83" s="492">
        <f t="shared" si="248"/>
        <v>40957</v>
      </c>
      <c r="AO83" s="492">
        <f t="shared" si="249"/>
        <v>0</v>
      </c>
      <c r="AP83" s="492">
        <f t="shared" si="250"/>
        <v>42616</v>
      </c>
      <c r="AQ83" s="493">
        <f t="shared" si="174"/>
        <v>89.782337663585338</v>
      </c>
      <c r="AR83" s="504"/>
      <c r="AS83" s="413">
        <v>49235</v>
      </c>
      <c r="AT83" s="64"/>
      <c r="AU83" s="66">
        <f t="shared" si="209"/>
        <v>49235</v>
      </c>
      <c r="AV83" s="66">
        <f t="shared" si="155"/>
        <v>0</v>
      </c>
      <c r="AW83" s="412">
        <f t="shared" si="156"/>
        <v>0</v>
      </c>
      <c r="AX83" s="66">
        <f t="shared" si="210"/>
        <v>0</v>
      </c>
      <c r="AY83" s="412">
        <f t="shared" si="211"/>
        <v>0</v>
      </c>
      <c r="AZ83" s="506"/>
      <c r="BA83" s="419">
        <v>45495</v>
      </c>
      <c r="BB83" s="419"/>
      <c r="BC83" s="407"/>
      <c r="BD83" s="419">
        <f t="shared" si="175"/>
        <v>45495</v>
      </c>
      <c r="BE83" s="419">
        <f t="shared" si="176"/>
        <v>0</v>
      </c>
      <c r="BF83" s="407">
        <f t="shared" si="212"/>
        <v>0</v>
      </c>
      <c r="BG83" s="419">
        <f t="shared" si="251"/>
        <v>0</v>
      </c>
      <c r="BH83" s="407">
        <f t="shared" si="213"/>
        <v>0</v>
      </c>
      <c r="BI83" s="407">
        <f t="shared" si="214"/>
        <v>0</v>
      </c>
      <c r="BJ83" s="508"/>
      <c r="BK83" s="510"/>
      <c r="BL83" s="49">
        <v>1611</v>
      </c>
      <c r="BM83" s="50">
        <v>900</v>
      </c>
      <c r="BN83" s="52">
        <f t="shared" si="215"/>
        <v>2506</v>
      </c>
      <c r="BO83" s="52">
        <f t="shared" si="157"/>
        <v>5</v>
      </c>
      <c r="BP83" s="406">
        <f t="shared" si="216"/>
        <v>8.544496319030986E-3</v>
      </c>
      <c r="BQ83" s="52">
        <f t="shared" si="217"/>
        <v>14494</v>
      </c>
      <c r="BR83" s="406">
        <f t="shared" si="218"/>
        <v>0.41372656481925507</v>
      </c>
      <c r="BS83" s="512"/>
      <c r="BT83" s="409">
        <v>1023</v>
      </c>
      <c r="BU83" s="43"/>
      <c r="BV83" s="43">
        <f t="shared" si="245"/>
        <v>984</v>
      </c>
      <c r="BW83" s="43">
        <f t="shared" si="246"/>
        <v>39</v>
      </c>
      <c r="BX83" s="42">
        <f t="shared" si="219"/>
        <v>6.6647071288441689E-2</v>
      </c>
      <c r="BY83" s="43">
        <f t="shared" si="247"/>
        <v>5403</v>
      </c>
      <c r="BZ83" s="42">
        <f t="shared" si="220"/>
        <v>0.1542268959375214</v>
      </c>
      <c r="CA83" s="514"/>
      <c r="CB83" s="392">
        <v>406</v>
      </c>
      <c r="CC83" s="298">
        <v>2300</v>
      </c>
      <c r="CD83" s="298">
        <f t="shared" si="177"/>
        <v>2185</v>
      </c>
      <c r="CE83" s="298">
        <f t="shared" si="158"/>
        <v>521</v>
      </c>
      <c r="CF83" s="297">
        <f t="shared" si="221"/>
        <v>0.89033651644302869</v>
      </c>
      <c r="CG83" s="298">
        <f t="shared" si="222"/>
        <v>28865</v>
      </c>
      <c r="CH83" s="297">
        <f t="shared" si="223"/>
        <v>0.82394213422849449</v>
      </c>
      <c r="CI83" s="516"/>
      <c r="CJ83" s="656">
        <v>0</v>
      </c>
      <c r="CK83" s="657"/>
      <c r="CL83" s="657">
        <f t="shared" si="252"/>
        <v>0</v>
      </c>
      <c r="CM83" s="657">
        <f t="shared" si="253"/>
        <v>0</v>
      </c>
      <c r="CN83" s="659">
        <f t="shared" si="254"/>
        <v>0</v>
      </c>
      <c r="CO83" s="464">
        <v>350</v>
      </c>
      <c r="CP83" s="465"/>
      <c r="CQ83" s="465">
        <f t="shared" si="178"/>
        <v>350</v>
      </c>
      <c r="CR83" s="465">
        <f t="shared" si="159"/>
        <v>0</v>
      </c>
      <c r="CS83" s="486">
        <f t="shared" si="224"/>
        <v>0</v>
      </c>
      <c r="CT83" s="465">
        <f t="shared" si="225"/>
        <v>905</v>
      </c>
      <c r="CU83" s="486">
        <f t="shared" si="226"/>
        <v>2.5832933707839512E-2</v>
      </c>
      <c r="CV83" s="518"/>
      <c r="CW83" s="427">
        <v>5</v>
      </c>
      <c r="CX83" s="427"/>
      <c r="CY83" s="427">
        <f t="shared" si="227"/>
        <v>5</v>
      </c>
      <c r="CZ83" s="427">
        <f t="shared" si="228"/>
        <v>0</v>
      </c>
      <c r="DA83" s="607">
        <f t="shared" si="244"/>
        <v>0</v>
      </c>
      <c r="DB83" s="607">
        <f t="shared" si="229"/>
        <v>40</v>
      </c>
      <c r="DC83" s="607">
        <f t="shared" si="179"/>
        <v>1.1417871252083762E-3</v>
      </c>
      <c r="DD83" s="609"/>
      <c r="DE83" s="471">
        <v>5.6</v>
      </c>
      <c r="DF83" s="473"/>
      <c r="DG83" s="473">
        <f t="shared" si="180"/>
        <v>5.6</v>
      </c>
      <c r="DH83" s="473">
        <f t="shared" si="160"/>
        <v>0</v>
      </c>
      <c r="DI83" s="227">
        <f t="shared" si="230"/>
        <v>0</v>
      </c>
      <c r="DJ83" s="473">
        <f t="shared" si="231"/>
        <v>5.6</v>
      </c>
      <c r="DK83" s="227">
        <f t="shared" si="232"/>
        <v>1.5985019752917266E-4</v>
      </c>
      <c r="DL83" s="510"/>
      <c r="DM83" s="63">
        <v>905</v>
      </c>
      <c r="DN83" s="64"/>
      <c r="DO83" s="66">
        <f t="shared" si="233"/>
        <v>790</v>
      </c>
      <c r="DP83" s="66">
        <f t="shared" si="161"/>
        <v>115</v>
      </c>
      <c r="DQ83" s="412">
        <f t="shared" si="234"/>
        <v>0.19652341533771267</v>
      </c>
      <c r="DR83" s="66">
        <f t="shared" si="235"/>
        <v>9210</v>
      </c>
      <c r="DS83" s="412">
        <f t="shared" si="236"/>
        <v>0.26289648557922862</v>
      </c>
      <c r="DT83" s="506"/>
      <c r="DU83" s="596">
        <v>40</v>
      </c>
      <c r="DV83" s="596"/>
      <c r="DW83" s="596">
        <f t="shared" si="181"/>
        <v>40</v>
      </c>
      <c r="DX83" s="596">
        <f t="shared" si="162"/>
        <v>0</v>
      </c>
      <c r="DY83" s="592">
        <f t="shared" si="182"/>
        <v>0</v>
      </c>
      <c r="DZ83" s="596">
        <f t="shared" si="237"/>
        <v>2760</v>
      </c>
      <c r="EA83" s="592">
        <f t="shared" si="183"/>
        <v>7.8783311639377948E-2</v>
      </c>
      <c r="EB83" s="594"/>
      <c r="EC83" s="448">
        <v>0</v>
      </c>
      <c r="ED83" s="449">
        <v>55</v>
      </c>
      <c r="EE83" s="449">
        <f t="shared" si="184"/>
        <v>55</v>
      </c>
      <c r="EF83" s="449">
        <f t="shared" si="163"/>
        <v>0</v>
      </c>
      <c r="EG83" s="450">
        <f t="shared" si="242"/>
        <v>0</v>
      </c>
      <c r="EH83" s="449">
        <f t="shared" si="238"/>
        <v>315</v>
      </c>
      <c r="EI83" s="450">
        <f t="shared" si="243"/>
        <v>8.9915736110159628E-3</v>
      </c>
      <c r="EJ83" s="520"/>
      <c r="EK83" s="426">
        <v>1200</v>
      </c>
      <c r="EL83" s="427"/>
      <c r="EM83" s="427">
        <f t="shared" si="185"/>
        <v>588</v>
      </c>
      <c r="EN83" s="427">
        <f t="shared" si="164"/>
        <v>612</v>
      </c>
      <c r="EO83" s="427">
        <f t="shared" si="186"/>
        <v>31284</v>
      </c>
      <c r="EP83" s="456">
        <v>0</v>
      </c>
      <c r="EQ83" s="457"/>
      <c r="ER83" s="457">
        <f t="shared" si="187"/>
        <v>0</v>
      </c>
      <c r="ES83" s="457">
        <f t="shared" si="165"/>
        <v>0</v>
      </c>
      <c r="ET83" s="457">
        <f t="shared" si="188"/>
        <v>658</v>
      </c>
      <c r="EU83" s="409">
        <v>200</v>
      </c>
      <c r="EV83" s="43"/>
      <c r="EW83" s="43">
        <f t="shared" si="189"/>
        <v>171</v>
      </c>
      <c r="EX83" s="43">
        <f t="shared" si="166"/>
        <v>29</v>
      </c>
      <c r="EY83" s="43">
        <f t="shared" si="190"/>
        <v>429</v>
      </c>
      <c r="EZ83" s="436">
        <v>26</v>
      </c>
      <c r="FA83" s="437"/>
      <c r="FB83" s="437">
        <f t="shared" si="191"/>
        <v>26</v>
      </c>
      <c r="FC83" s="437">
        <f t="shared" si="167"/>
        <v>0</v>
      </c>
      <c r="FD83" s="437">
        <f t="shared" si="192"/>
        <v>564</v>
      </c>
      <c r="FE83" s="442">
        <v>25</v>
      </c>
      <c r="FF83" s="443"/>
      <c r="FG83" s="443">
        <f t="shared" si="193"/>
        <v>0</v>
      </c>
      <c r="FH83" s="443">
        <f t="shared" si="168"/>
        <v>25</v>
      </c>
      <c r="FI83" s="443">
        <f t="shared" si="194"/>
        <v>600</v>
      </c>
      <c r="FJ83" s="392">
        <v>0</v>
      </c>
      <c r="FK83" s="298"/>
      <c r="FL83" s="298">
        <f t="shared" si="195"/>
        <v>0</v>
      </c>
      <c r="FM83" s="298">
        <f t="shared" si="169"/>
        <v>0</v>
      </c>
      <c r="FN83" s="498">
        <f t="shared" si="196"/>
        <v>900</v>
      </c>
      <c r="HC83" s="402"/>
      <c r="HD83" s="52"/>
      <c r="HE83" s="52">
        <f t="shared" si="197"/>
        <v>0</v>
      </c>
      <c r="HF83" s="52">
        <f t="shared" si="170"/>
        <v>0</v>
      </c>
      <c r="HG83" s="51"/>
      <c r="HH83" s="52">
        <f t="shared" si="240"/>
        <v>400</v>
      </c>
      <c r="HI83" s="51"/>
      <c r="HJ83" s="1047"/>
    </row>
    <row r="84" spans="1:218">
      <c r="A84" s="30">
        <v>44747</v>
      </c>
      <c r="B84" s="390">
        <v>515088</v>
      </c>
      <c r="C84" s="18">
        <f t="shared" si="147"/>
        <v>35547888</v>
      </c>
      <c r="D84" s="376">
        <v>6572.1</v>
      </c>
      <c r="E84" s="417">
        <f t="shared" ref="E84:E147" si="255">E83+D84</f>
        <v>481231.1599999998</v>
      </c>
      <c r="F84" s="397">
        <v>38539</v>
      </c>
      <c r="G84" s="37"/>
      <c r="H84" s="37">
        <f t="shared" si="171"/>
        <v>33327</v>
      </c>
      <c r="I84" s="37">
        <f t="shared" si="148"/>
        <v>5212</v>
      </c>
      <c r="J84" s="37">
        <f t="shared" si="146"/>
        <v>793.04940582157906</v>
      </c>
      <c r="K84" s="37">
        <f t="shared" si="198"/>
        <v>228920</v>
      </c>
      <c r="L84" s="37">
        <f t="shared" si="149"/>
        <v>475.69654467096456</v>
      </c>
      <c r="M84" s="648"/>
      <c r="N84" s="422">
        <v>400</v>
      </c>
      <c r="O84" s="423"/>
      <c r="P84" s="423">
        <f t="shared" si="199"/>
        <v>325</v>
      </c>
      <c r="Q84" s="423">
        <f t="shared" si="200"/>
        <v>75</v>
      </c>
      <c r="R84" s="423">
        <f t="shared" si="201"/>
        <v>6025</v>
      </c>
      <c r="S84" s="68">
        <v>5.1100000000000003</v>
      </c>
      <c r="T84" s="67">
        <v>24</v>
      </c>
      <c r="U84" s="68">
        <f t="shared" si="202"/>
        <v>61.320000000000007</v>
      </c>
      <c r="V84" s="68">
        <f t="shared" si="151"/>
        <v>9.3303510293513501</v>
      </c>
      <c r="W84" s="423">
        <f t="shared" si="203"/>
        <v>5897.0639999999985</v>
      </c>
      <c r="X84" s="68">
        <f t="shared" si="152"/>
        <v>12.254119205414712</v>
      </c>
      <c r="Y84" s="500"/>
      <c r="Z84" s="424">
        <v>150</v>
      </c>
      <c r="AA84" s="425"/>
      <c r="AB84" s="425">
        <f t="shared" si="204"/>
        <v>150</v>
      </c>
      <c r="AC84" s="425">
        <f t="shared" si="205"/>
        <v>0</v>
      </c>
      <c r="AD84" s="425">
        <f t="shared" si="206"/>
        <v>975</v>
      </c>
      <c r="AE84" s="72">
        <v>1.82</v>
      </c>
      <c r="AF84" s="71">
        <v>12</v>
      </c>
      <c r="AG84" s="72">
        <f t="shared" si="207"/>
        <v>10.92</v>
      </c>
      <c r="AH84" s="72">
        <f t="shared" si="173"/>
        <v>1.661569361391336</v>
      </c>
      <c r="AI84" s="425">
        <f t="shared" si="208"/>
        <v>869.99999999999989</v>
      </c>
      <c r="AJ84" s="72">
        <f t="shared" si="241"/>
        <v>1.8078629821061467</v>
      </c>
      <c r="AK84" s="502"/>
      <c r="AL84" s="491">
        <v>40957</v>
      </c>
      <c r="AM84" s="491"/>
      <c r="AN84" s="492">
        <f t="shared" si="248"/>
        <v>40957</v>
      </c>
      <c r="AO84" s="492">
        <f t="shared" si="249"/>
        <v>0</v>
      </c>
      <c r="AP84" s="492">
        <f t="shared" si="250"/>
        <v>42616</v>
      </c>
      <c r="AQ84" s="493">
        <f t="shared" si="174"/>
        <v>88.556194075213284</v>
      </c>
      <c r="AR84" s="504"/>
      <c r="AS84" s="413">
        <v>49235</v>
      </c>
      <c r="AT84" s="64"/>
      <c r="AU84" s="66">
        <f t="shared" si="209"/>
        <v>49235</v>
      </c>
      <c r="AV84" s="66">
        <f t="shared" si="155"/>
        <v>0</v>
      </c>
      <c r="AW84" s="412">
        <f t="shared" si="156"/>
        <v>0</v>
      </c>
      <c r="AX84" s="66">
        <f t="shared" si="210"/>
        <v>0</v>
      </c>
      <c r="AY84" s="412">
        <f t="shared" si="211"/>
        <v>0</v>
      </c>
      <c r="AZ84" s="506"/>
      <c r="BA84" s="419">
        <v>45495</v>
      </c>
      <c r="BB84" s="419"/>
      <c r="BC84" s="407"/>
      <c r="BD84" s="419">
        <f t="shared" si="175"/>
        <v>45495</v>
      </c>
      <c r="BE84" s="419">
        <f t="shared" si="176"/>
        <v>0</v>
      </c>
      <c r="BF84" s="407">
        <f t="shared" si="212"/>
        <v>0</v>
      </c>
      <c r="BG84" s="419">
        <f t="shared" si="251"/>
        <v>0</v>
      </c>
      <c r="BH84" s="407">
        <f t="shared" si="213"/>
        <v>0</v>
      </c>
      <c r="BI84" s="407">
        <f t="shared" si="214"/>
        <v>0</v>
      </c>
      <c r="BJ84" s="508"/>
      <c r="BK84" s="510"/>
      <c r="BL84" s="49">
        <v>2506</v>
      </c>
      <c r="BM84" s="50"/>
      <c r="BN84" s="52">
        <f t="shared" si="215"/>
        <v>2480</v>
      </c>
      <c r="BO84" s="52">
        <f t="shared" si="157"/>
        <v>26</v>
      </c>
      <c r="BP84" s="406">
        <f t="shared" si="216"/>
        <v>5.0476811729257914E-2</v>
      </c>
      <c r="BQ84" s="52">
        <f t="shared" si="217"/>
        <v>14520</v>
      </c>
      <c r="BR84" s="406">
        <f t="shared" si="218"/>
        <v>0.40846308506429413</v>
      </c>
      <c r="BS84" s="512"/>
      <c r="BT84" s="409">
        <v>984</v>
      </c>
      <c r="BU84" s="43"/>
      <c r="BV84" s="43">
        <f t="shared" si="245"/>
        <v>964</v>
      </c>
      <c r="BW84" s="43">
        <f t="shared" si="246"/>
        <v>20</v>
      </c>
      <c r="BX84" s="42">
        <f t="shared" si="219"/>
        <v>3.8828316714813779E-2</v>
      </c>
      <c r="BY84" s="43">
        <f t="shared" si="247"/>
        <v>5423</v>
      </c>
      <c r="BZ84" s="42">
        <f t="shared" si="220"/>
        <v>0.15255477343689167</v>
      </c>
      <c r="CA84" s="514"/>
      <c r="CB84" s="392">
        <v>2185</v>
      </c>
      <c r="CC84" s="298"/>
      <c r="CD84" s="298">
        <f t="shared" si="177"/>
        <v>1415</v>
      </c>
      <c r="CE84" s="298">
        <f t="shared" si="158"/>
        <v>770</v>
      </c>
      <c r="CF84" s="297">
        <f t="shared" si="221"/>
        <v>1.4948901935203305</v>
      </c>
      <c r="CG84" s="298">
        <f t="shared" si="222"/>
        <v>29635</v>
      </c>
      <c r="CH84" s="297">
        <f t="shared" si="223"/>
        <v>0.83366415467495569</v>
      </c>
      <c r="CI84" s="516"/>
      <c r="CJ84" s="656">
        <v>0</v>
      </c>
      <c r="CK84" s="657"/>
      <c r="CL84" s="657">
        <f t="shared" si="252"/>
        <v>0</v>
      </c>
      <c r="CM84" s="657">
        <f t="shared" si="253"/>
        <v>0</v>
      </c>
      <c r="CN84" s="659">
        <f t="shared" si="254"/>
        <v>0</v>
      </c>
      <c r="CO84" s="464">
        <v>350</v>
      </c>
      <c r="CP84" s="465"/>
      <c r="CQ84" s="465">
        <f t="shared" si="178"/>
        <v>350</v>
      </c>
      <c r="CR84" s="465">
        <f t="shared" si="159"/>
        <v>0</v>
      </c>
      <c r="CS84" s="486">
        <f t="shared" si="224"/>
        <v>0</v>
      </c>
      <c r="CT84" s="465">
        <f t="shared" si="225"/>
        <v>905</v>
      </c>
      <c r="CU84" s="486">
        <f t="shared" si="226"/>
        <v>2.5458615150357175E-2</v>
      </c>
      <c r="CV84" s="518"/>
      <c r="CW84" s="427">
        <v>5</v>
      </c>
      <c r="CX84" s="427"/>
      <c r="CY84" s="427">
        <f t="shared" si="227"/>
        <v>5</v>
      </c>
      <c r="CZ84" s="427">
        <f t="shared" si="228"/>
        <v>0</v>
      </c>
      <c r="DA84" s="607">
        <f t="shared" si="244"/>
        <v>0</v>
      </c>
      <c r="DB84" s="607">
        <f t="shared" si="229"/>
        <v>40</v>
      </c>
      <c r="DC84" s="607">
        <f t="shared" si="179"/>
        <v>1.1252426585793226E-3</v>
      </c>
      <c r="DD84" s="609"/>
      <c r="DE84" s="471">
        <v>5.6</v>
      </c>
      <c r="DF84" s="473"/>
      <c r="DG84" s="473">
        <f t="shared" si="180"/>
        <v>5.6</v>
      </c>
      <c r="DH84" s="473">
        <f t="shared" si="160"/>
        <v>0</v>
      </c>
      <c r="DI84" s="227">
        <f t="shared" si="230"/>
        <v>0</v>
      </c>
      <c r="DJ84" s="473">
        <f t="shared" si="231"/>
        <v>5.6</v>
      </c>
      <c r="DK84" s="227">
        <f t="shared" si="232"/>
        <v>1.5753397220110517E-4</v>
      </c>
      <c r="DL84" s="510"/>
      <c r="DM84" s="63">
        <v>790</v>
      </c>
      <c r="DN84" s="64"/>
      <c r="DO84" s="66">
        <f t="shared" si="233"/>
        <v>650</v>
      </c>
      <c r="DP84" s="66">
        <f t="shared" si="161"/>
        <v>140</v>
      </c>
      <c r="DQ84" s="412">
        <f t="shared" si="234"/>
        <v>0.27179821700369644</v>
      </c>
      <c r="DR84" s="66">
        <f t="shared" si="235"/>
        <v>9350</v>
      </c>
      <c r="DS84" s="412">
        <f t="shared" si="236"/>
        <v>0.26302547144291666</v>
      </c>
      <c r="DT84" s="506"/>
      <c r="DU84" s="596">
        <v>40</v>
      </c>
      <c r="DV84" s="596"/>
      <c r="DW84" s="596">
        <f t="shared" si="181"/>
        <v>40</v>
      </c>
      <c r="DX84" s="596">
        <f t="shared" si="162"/>
        <v>0</v>
      </c>
      <c r="DY84" s="592">
        <f t="shared" si="182"/>
        <v>0</v>
      </c>
      <c r="DZ84" s="596">
        <f t="shared" si="237"/>
        <v>2760</v>
      </c>
      <c r="EA84" s="592">
        <f t="shared" si="183"/>
        <v>7.7641743441973263E-2</v>
      </c>
      <c r="EB84" s="594"/>
      <c r="EC84" s="448">
        <v>55</v>
      </c>
      <c r="ED84" s="449"/>
      <c r="EE84" s="449">
        <f t="shared" si="184"/>
        <v>55</v>
      </c>
      <c r="EF84" s="449">
        <f t="shared" si="163"/>
        <v>0</v>
      </c>
      <c r="EG84" s="450">
        <f t="shared" si="242"/>
        <v>0</v>
      </c>
      <c r="EH84" s="449">
        <f t="shared" si="238"/>
        <v>315</v>
      </c>
      <c r="EI84" s="450">
        <f t="shared" si="243"/>
        <v>8.8612859363121649E-3</v>
      </c>
      <c r="EJ84" s="520"/>
      <c r="EK84" s="426">
        <v>588</v>
      </c>
      <c r="EL84" s="427"/>
      <c r="EM84" s="427">
        <f t="shared" si="185"/>
        <v>228</v>
      </c>
      <c r="EN84" s="427">
        <f t="shared" si="164"/>
        <v>360</v>
      </c>
      <c r="EO84" s="427">
        <f t="shared" si="186"/>
        <v>31644</v>
      </c>
      <c r="EP84" s="456">
        <v>0</v>
      </c>
      <c r="EQ84" s="457"/>
      <c r="ER84" s="457">
        <f t="shared" si="187"/>
        <v>0</v>
      </c>
      <c r="ES84" s="457">
        <f t="shared" si="165"/>
        <v>0</v>
      </c>
      <c r="ET84" s="457">
        <f t="shared" si="188"/>
        <v>658</v>
      </c>
      <c r="EU84" s="409">
        <v>171</v>
      </c>
      <c r="EV84" s="43"/>
      <c r="EW84" s="43">
        <f t="shared" si="189"/>
        <v>164</v>
      </c>
      <c r="EX84" s="43">
        <f t="shared" si="166"/>
        <v>7</v>
      </c>
      <c r="EY84" s="43">
        <f t="shared" si="190"/>
        <v>436</v>
      </c>
      <c r="EZ84" s="436">
        <v>26</v>
      </c>
      <c r="FA84" s="437"/>
      <c r="FB84" s="437">
        <f t="shared" si="191"/>
        <v>23</v>
      </c>
      <c r="FC84" s="437">
        <f t="shared" si="167"/>
        <v>3</v>
      </c>
      <c r="FD84" s="437">
        <f t="shared" si="192"/>
        <v>567</v>
      </c>
      <c r="FE84" s="442">
        <v>0</v>
      </c>
      <c r="FF84" s="443"/>
      <c r="FG84" s="443">
        <f t="shared" si="193"/>
        <v>0</v>
      </c>
      <c r="FH84" s="443">
        <f t="shared" si="168"/>
        <v>0</v>
      </c>
      <c r="FI84" s="443">
        <f t="shared" si="194"/>
        <v>600</v>
      </c>
      <c r="FJ84" s="392">
        <v>0</v>
      </c>
      <c r="FK84" s="298"/>
      <c r="FL84" s="298">
        <f t="shared" si="195"/>
        <v>0</v>
      </c>
      <c r="FM84" s="298">
        <f t="shared" si="169"/>
        <v>0</v>
      </c>
      <c r="FN84" s="498">
        <f t="shared" si="196"/>
        <v>900</v>
      </c>
      <c r="HC84" s="402"/>
      <c r="HD84" s="52"/>
      <c r="HE84" s="52">
        <f t="shared" si="197"/>
        <v>0</v>
      </c>
      <c r="HF84" s="52">
        <f t="shared" si="170"/>
        <v>0</v>
      </c>
      <c r="HG84" s="51"/>
      <c r="HH84" s="52">
        <f t="shared" si="240"/>
        <v>400</v>
      </c>
      <c r="HI84" s="51"/>
      <c r="HJ84" s="1047"/>
    </row>
    <row r="85" spans="1:218">
      <c r="A85" s="30">
        <v>44748</v>
      </c>
      <c r="B85" s="390">
        <v>521779</v>
      </c>
      <c r="C85" s="18">
        <f t="shared" si="147"/>
        <v>36069667</v>
      </c>
      <c r="D85" s="376">
        <v>8164.9</v>
      </c>
      <c r="E85" s="417">
        <f t="shared" si="255"/>
        <v>489396.05999999982</v>
      </c>
      <c r="F85" s="397">
        <v>33327</v>
      </c>
      <c r="G85" s="37"/>
      <c r="H85" s="37">
        <f t="shared" si="171"/>
        <v>31797</v>
      </c>
      <c r="I85" s="37">
        <f t="shared" si="148"/>
        <v>1530</v>
      </c>
      <c r="J85" s="37">
        <f t="shared" si="146"/>
        <v>187.38747565799949</v>
      </c>
      <c r="K85" s="37">
        <f t="shared" si="198"/>
        <v>230450</v>
      </c>
      <c r="L85" s="37">
        <f t="shared" si="149"/>
        <v>470.88650448064516</v>
      </c>
      <c r="M85" s="648"/>
      <c r="N85" s="422">
        <v>325</v>
      </c>
      <c r="O85" s="423"/>
      <c r="P85" s="423">
        <f t="shared" si="199"/>
        <v>275</v>
      </c>
      <c r="Q85" s="423">
        <f t="shared" si="200"/>
        <v>50</v>
      </c>
      <c r="R85" s="423">
        <f t="shared" si="201"/>
        <v>6075</v>
      </c>
      <c r="S85" s="68">
        <v>5.12</v>
      </c>
      <c r="T85" s="67">
        <v>24</v>
      </c>
      <c r="U85" s="68">
        <f t="shared" si="202"/>
        <v>61.44</v>
      </c>
      <c r="V85" s="68">
        <f t="shared" si="151"/>
        <v>7.5248931401486852</v>
      </c>
      <c r="W85" s="423">
        <f t="shared" si="203"/>
        <v>5958.5039999999981</v>
      </c>
      <c r="X85" s="68">
        <f t="shared" si="152"/>
        <v>12.175218574501805</v>
      </c>
      <c r="Y85" s="500"/>
      <c r="Z85" s="424">
        <v>150</v>
      </c>
      <c r="AA85" s="425"/>
      <c r="AB85" s="425">
        <f t="shared" si="204"/>
        <v>150</v>
      </c>
      <c r="AC85" s="425">
        <f t="shared" si="205"/>
        <v>0</v>
      </c>
      <c r="AD85" s="425">
        <f t="shared" si="206"/>
        <v>975</v>
      </c>
      <c r="AE85" s="72">
        <v>2.2400000000000002</v>
      </c>
      <c r="AF85" s="71">
        <v>12</v>
      </c>
      <c r="AG85" s="72">
        <f t="shared" si="207"/>
        <v>13.440000000000001</v>
      </c>
      <c r="AH85" s="72">
        <f t="shared" si="173"/>
        <v>1.6460703744075251</v>
      </c>
      <c r="AI85" s="425">
        <f t="shared" si="208"/>
        <v>883.43999999999994</v>
      </c>
      <c r="AJ85" s="72">
        <f t="shared" si="241"/>
        <v>1.8051636950244352</v>
      </c>
      <c r="AK85" s="502"/>
      <c r="AL85" s="491">
        <v>40957</v>
      </c>
      <c r="AM85" s="491"/>
      <c r="AN85" s="492">
        <f t="shared" si="248"/>
        <v>40957</v>
      </c>
      <c r="AO85" s="492">
        <f t="shared" si="249"/>
        <v>0</v>
      </c>
      <c r="AP85" s="492">
        <f t="shared" si="250"/>
        <v>42616</v>
      </c>
      <c r="AQ85" s="493">
        <f t="shared" si="174"/>
        <v>87.078755803632774</v>
      </c>
      <c r="AR85" s="504"/>
      <c r="AS85" s="413">
        <v>49235</v>
      </c>
      <c r="AT85" s="64"/>
      <c r="AU85" s="66">
        <f t="shared" si="209"/>
        <v>49235</v>
      </c>
      <c r="AV85" s="66">
        <f t="shared" si="155"/>
        <v>0</v>
      </c>
      <c r="AW85" s="412">
        <f t="shared" si="156"/>
        <v>0</v>
      </c>
      <c r="AX85" s="66">
        <f t="shared" si="210"/>
        <v>0</v>
      </c>
      <c r="AY85" s="412">
        <f t="shared" si="211"/>
        <v>0</v>
      </c>
      <c r="AZ85" s="506"/>
      <c r="BA85" s="419">
        <v>45495</v>
      </c>
      <c r="BB85" s="419"/>
      <c r="BC85" s="407"/>
      <c r="BD85" s="419">
        <f t="shared" si="175"/>
        <v>45495</v>
      </c>
      <c r="BE85" s="419">
        <f t="shared" si="176"/>
        <v>0</v>
      </c>
      <c r="BF85" s="407">
        <f t="shared" si="212"/>
        <v>0</v>
      </c>
      <c r="BG85" s="419">
        <f t="shared" si="251"/>
        <v>0</v>
      </c>
      <c r="BH85" s="407">
        <f t="shared" si="213"/>
        <v>0</v>
      </c>
      <c r="BI85" s="407">
        <f t="shared" si="214"/>
        <v>0</v>
      </c>
      <c r="BJ85" s="508"/>
      <c r="BK85" s="510"/>
      <c r="BL85" s="49">
        <v>2480</v>
      </c>
      <c r="BM85" s="50">
        <v>-900</v>
      </c>
      <c r="BN85" s="52">
        <f t="shared" si="215"/>
        <v>1559</v>
      </c>
      <c r="BO85" s="52">
        <f t="shared" si="157"/>
        <v>21</v>
      </c>
      <c r="BP85" s="406">
        <f t="shared" si="216"/>
        <v>4.0246924464188864E-2</v>
      </c>
      <c r="BQ85" s="52">
        <f t="shared" si="217"/>
        <v>14541</v>
      </c>
      <c r="BR85" s="406">
        <f t="shared" si="218"/>
        <v>0.40313651911452358</v>
      </c>
      <c r="BS85" s="512"/>
      <c r="BT85" s="409">
        <v>964</v>
      </c>
      <c r="BU85" s="43"/>
      <c r="BV85" s="43">
        <f t="shared" si="245"/>
        <v>944</v>
      </c>
      <c r="BW85" s="43">
        <f t="shared" si="246"/>
        <v>20</v>
      </c>
      <c r="BX85" s="42">
        <f t="shared" si="219"/>
        <v>3.8330404251608441E-2</v>
      </c>
      <c r="BY85" s="43">
        <f t="shared" si="247"/>
        <v>5443</v>
      </c>
      <c r="BZ85" s="42">
        <f t="shared" si="220"/>
        <v>0.15090241892169395</v>
      </c>
      <c r="CA85" s="514"/>
      <c r="CB85" s="392">
        <v>1415</v>
      </c>
      <c r="CC85" s="298"/>
      <c r="CD85" s="298">
        <f t="shared" si="177"/>
        <v>747</v>
      </c>
      <c r="CE85" s="298">
        <f t="shared" si="158"/>
        <v>668</v>
      </c>
      <c r="CF85" s="297">
        <f t="shared" si="221"/>
        <v>1.2802355020037219</v>
      </c>
      <c r="CG85" s="298">
        <f t="shared" si="222"/>
        <v>30303</v>
      </c>
      <c r="CH85" s="297">
        <f t="shared" si="223"/>
        <v>0.84012419632263313</v>
      </c>
      <c r="CI85" s="516"/>
      <c r="CJ85" s="656">
        <v>0</v>
      </c>
      <c r="CK85" s="657"/>
      <c r="CL85" s="657">
        <f t="shared" si="252"/>
        <v>0</v>
      </c>
      <c r="CM85" s="657">
        <f t="shared" si="253"/>
        <v>0</v>
      </c>
      <c r="CN85" s="659">
        <f t="shared" si="254"/>
        <v>0</v>
      </c>
      <c r="CO85" s="464">
        <v>350</v>
      </c>
      <c r="CP85" s="465"/>
      <c r="CQ85" s="465">
        <f t="shared" si="178"/>
        <v>350</v>
      </c>
      <c r="CR85" s="465">
        <f t="shared" si="159"/>
        <v>0</v>
      </c>
      <c r="CS85" s="486">
        <f t="shared" si="224"/>
        <v>0</v>
      </c>
      <c r="CT85" s="465">
        <f t="shared" si="225"/>
        <v>905</v>
      </c>
      <c r="CU85" s="486">
        <f t="shared" si="226"/>
        <v>2.509033421350965E-2</v>
      </c>
      <c r="CV85" s="518"/>
      <c r="CW85" s="427">
        <v>5</v>
      </c>
      <c r="CX85" s="427"/>
      <c r="CY85" s="427">
        <f t="shared" si="227"/>
        <v>5</v>
      </c>
      <c r="CZ85" s="427">
        <f t="shared" si="228"/>
        <v>0</v>
      </c>
      <c r="DA85" s="607">
        <f t="shared" si="244"/>
        <v>0</v>
      </c>
      <c r="DB85" s="607">
        <f t="shared" si="229"/>
        <v>40</v>
      </c>
      <c r="DC85" s="607">
        <f t="shared" si="179"/>
        <v>1.1089650481109238E-3</v>
      </c>
      <c r="DD85" s="609"/>
      <c r="DE85" s="471">
        <v>5.6</v>
      </c>
      <c r="DF85" s="473"/>
      <c r="DG85" s="473">
        <f t="shared" si="180"/>
        <v>5.6</v>
      </c>
      <c r="DH85" s="473">
        <f t="shared" si="160"/>
        <v>0</v>
      </c>
      <c r="DI85" s="227">
        <f t="shared" si="230"/>
        <v>0</v>
      </c>
      <c r="DJ85" s="473">
        <f t="shared" si="231"/>
        <v>5.6</v>
      </c>
      <c r="DK85" s="227">
        <f t="shared" si="232"/>
        <v>1.5525510673552933E-4</v>
      </c>
      <c r="DL85" s="510"/>
      <c r="DM85" s="63">
        <v>650</v>
      </c>
      <c r="DN85" s="64"/>
      <c r="DO85" s="66">
        <f t="shared" si="233"/>
        <v>510</v>
      </c>
      <c r="DP85" s="66">
        <f t="shared" si="161"/>
        <v>140</v>
      </c>
      <c r="DQ85" s="412">
        <f t="shared" si="234"/>
        <v>0.26831282976125909</v>
      </c>
      <c r="DR85" s="66">
        <f t="shared" si="235"/>
        <v>9490</v>
      </c>
      <c r="DS85" s="412">
        <f t="shared" si="236"/>
        <v>0.26310195766431665</v>
      </c>
      <c r="DT85" s="506"/>
      <c r="DU85" s="596">
        <v>40</v>
      </c>
      <c r="DV85" s="596"/>
      <c r="DW85" s="596">
        <f t="shared" si="181"/>
        <v>40</v>
      </c>
      <c r="DX85" s="596">
        <f t="shared" si="162"/>
        <v>0</v>
      </c>
      <c r="DY85" s="592">
        <f t="shared" si="182"/>
        <v>0</v>
      </c>
      <c r="DZ85" s="596">
        <f t="shared" si="237"/>
        <v>2760</v>
      </c>
      <c r="EA85" s="592">
        <f t="shared" si="183"/>
        <v>7.6518588319653746E-2</v>
      </c>
      <c r="EB85" s="594"/>
      <c r="EC85" s="448">
        <v>55</v>
      </c>
      <c r="ED85" s="449"/>
      <c r="EE85" s="449">
        <f t="shared" si="184"/>
        <v>55</v>
      </c>
      <c r="EF85" s="449">
        <f t="shared" si="163"/>
        <v>0</v>
      </c>
      <c r="EG85" s="450">
        <f t="shared" si="242"/>
        <v>0</v>
      </c>
      <c r="EH85" s="449">
        <f t="shared" si="238"/>
        <v>315</v>
      </c>
      <c r="EI85" s="450">
        <f t="shared" si="243"/>
        <v>8.7330997538735255E-3</v>
      </c>
      <c r="EJ85" s="520"/>
      <c r="EK85" s="426">
        <v>228</v>
      </c>
      <c r="EL85" s="427">
        <v>1250</v>
      </c>
      <c r="EM85" s="427">
        <f t="shared" si="185"/>
        <v>1125</v>
      </c>
      <c r="EN85" s="427">
        <f t="shared" si="164"/>
        <v>353</v>
      </c>
      <c r="EO85" s="427">
        <f t="shared" si="186"/>
        <v>31997</v>
      </c>
      <c r="EP85" s="456">
        <v>0</v>
      </c>
      <c r="EQ85" s="457"/>
      <c r="ER85" s="457">
        <f t="shared" si="187"/>
        <v>0</v>
      </c>
      <c r="ES85" s="457">
        <f t="shared" si="165"/>
        <v>0</v>
      </c>
      <c r="ET85" s="457">
        <f t="shared" si="188"/>
        <v>658</v>
      </c>
      <c r="EU85" s="409">
        <v>164</v>
      </c>
      <c r="EV85" s="43"/>
      <c r="EW85" s="43">
        <f t="shared" si="189"/>
        <v>156</v>
      </c>
      <c r="EX85" s="43">
        <f t="shared" si="166"/>
        <v>8</v>
      </c>
      <c r="EY85" s="43">
        <f t="shared" si="190"/>
        <v>444</v>
      </c>
      <c r="EZ85" s="436">
        <v>23</v>
      </c>
      <c r="FA85" s="437">
        <v>50</v>
      </c>
      <c r="FB85" s="437">
        <f t="shared" si="191"/>
        <v>70</v>
      </c>
      <c r="FC85" s="437">
        <f t="shared" si="167"/>
        <v>3</v>
      </c>
      <c r="FD85" s="437">
        <f t="shared" si="192"/>
        <v>570</v>
      </c>
      <c r="FE85" s="442">
        <v>0</v>
      </c>
      <c r="FF85" s="443">
        <v>200</v>
      </c>
      <c r="FG85" s="443">
        <f t="shared" si="193"/>
        <v>200</v>
      </c>
      <c r="FH85" s="443">
        <f t="shared" si="168"/>
        <v>0</v>
      </c>
      <c r="FI85" s="443">
        <f t="shared" si="194"/>
        <v>600</v>
      </c>
      <c r="FJ85" s="392">
        <v>0</v>
      </c>
      <c r="FK85" s="298">
        <v>1000</v>
      </c>
      <c r="FL85" s="298">
        <f t="shared" si="195"/>
        <v>1000</v>
      </c>
      <c r="FM85" s="298">
        <f t="shared" si="169"/>
        <v>0</v>
      </c>
      <c r="FN85" s="498">
        <f t="shared" si="196"/>
        <v>900</v>
      </c>
      <c r="HC85" s="402"/>
      <c r="HD85" s="52"/>
      <c r="HE85" s="52">
        <f t="shared" si="197"/>
        <v>0</v>
      </c>
      <c r="HF85" s="52">
        <f t="shared" si="170"/>
        <v>0</v>
      </c>
      <c r="HG85" s="51"/>
      <c r="HH85" s="52">
        <f t="shared" si="240"/>
        <v>400</v>
      </c>
      <c r="HI85" s="51"/>
      <c r="HJ85" s="1047"/>
    </row>
    <row r="86" spans="1:218">
      <c r="A86" s="30">
        <v>44749</v>
      </c>
      <c r="B86" s="390">
        <v>556415</v>
      </c>
      <c r="C86" s="18">
        <f t="shared" si="147"/>
        <v>36626082</v>
      </c>
      <c r="D86" s="376">
        <v>8158.3</v>
      </c>
      <c r="E86" s="417">
        <f t="shared" si="255"/>
        <v>497554.35999999981</v>
      </c>
      <c r="F86" s="397">
        <v>31797</v>
      </c>
      <c r="G86" s="37"/>
      <c r="H86" s="37">
        <f t="shared" si="171"/>
        <v>30797</v>
      </c>
      <c r="I86" s="37">
        <f t="shared" si="148"/>
        <v>1000</v>
      </c>
      <c r="J86" s="37">
        <f t="shared" si="146"/>
        <v>122.57455597367098</v>
      </c>
      <c r="K86" s="37">
        <f t="shared" si="198"/>
        <v>231450</v>
      </c>
      <c r="L86" s="37">
        <f t="shared" si="149"/>
        <v>465.17530265436744</v>
      </c>
      <c r="M86" s="648"/>
      <c r="N86" s="422">
        <v>275</v>
      </c>
      <c r="O86" s="423"/>
      <c r="P86" s="423">
        <f t="shared" si="199"/>
        <v>250</v>
      </c>
      <c r="Q86" s="423">
        <f t="shared" si="200"/>
        <v>25</v>
      </c>
      <c r="R86" s="423">
        <f t="shared" si="201"/>
        <v>6100</v>
      </c>
      <c r="S86" s="68">
        <v>5.39</v>
      </c>
      <c r="T86" s="67">
        <v>24</v>
      </c>
      <c r="U86" s="68">
        <f t="shared" si="202"/>
        <v>64.679999999999993</v>
      </c>
      <c r="V86" s="68">
        <f t="shared" si="151"/>
        <v>7.9281222803770381</v>
      </c>
      <c r="W86" s="423">
        <f t="shared" si="203"/>
        <v>6023.1839999999984</v>
      </c>
      <c r="X86" s="68">
        <f t="shared" si="152"/>
        <v>12.105579780267629</v>
      </c>
      <c r="Y86" s="500"/>
      <c r="Z86" s="424">
        <v>150</v>
      </c>
      <c r="AA86" s="425"/>
      <c r="AB86" s="425">
        <f t="shared" si="204"/>
        <v>150</v>
      </c>
      <c r="AC86" s="425">
        <f t="shared" si="205"/>
        <v>0</v>
      </c>
      <c r="AD86" s="425">
        <f t="shared" si="206"/>
        <v>975</v>
      </c>
      <c r="AE86" s="72">
        <v>2.2400000000000002</v>
      </c>
      <c r="AF86" s="71">
        <v>12</v>
      </c>
      <c r="AG86" s="72">
        <f t="shared" si="207"/>
        <v>13.440000000000001</v>
      </c>
      <c r="AH86" s="72">
        <f t="shared" si="173"/>
        <v>1.6474020322861382</v>
      </c>
      <c r="AI86" s="425">
        <f t="shared" si="208"/>
        <v>896.88</v>
      </c>
      <c r="AJ86" s="72">
        <f t="shared" si="241"/>
        <v>1.8025769083804237</v>
      </c>
      <c r="AK86" s="502"/>
      <c r="AL86" s="491">
        <v>40957</v>
      </c>
      <c r="AM86" s="491"/>
      <c r="AN86" s="492">
        <f t="shared" si="248"/>
        <v>40957</v>
      </c>
      <c r="AO86" s="492">
        <f t="shared" si="249"/>
        <v>0</v>
      </c>
      <c r="AP86" s="492">
        <f t="shared" si="250"/>
        <v>42616</v>
      </c>
      <c r="AQ86" s="493">
        <f t="shared" si="174"/>
        <v>85.650942743221094</v>
      </c>
      <c r="AR86" s="504"/>
      <c r="AS86" s="413">
        <v>49235</v>
      </c>
      <c r="AT86" s="64"/>
      <c r="AU86" s="66">
        <f t="shared" si="209"/>
        <v>49235</v>
      </c>
      <c r="AV86" s="66">
        <f t="shared" si="155"/>
        <v>0</v>
      </c>
      <c r="AW86" s="412">
        <f t="shared" si="156"/>
        <v>0</v>
      </c>
      <c r="AX86" s="66">
        <f t="shared" si="210"/>
        <v>0</v>
      </c>
      <c r="AY86" s="412">
        <f t="shared" si="211"/>
        <v>0</v>
      </c>
      <c r="AZ86" s="506"/>
      <c r="BA86" s="419">
        <v>45495</v>
      </c>
      <c r="BB86" s="419"/>
      <c r="BC86" s="407"/>
      <c r="BD86" s="419">
        <f t="shared" si="175"/>
        <v>45495</v>
      </c>
      <c r="BE86" s="419">
        <f t="shared" si="176"/>
        <v>0</v>
      </c>
      <c r="BF86" s="407">
        <f t="shared" si="212"/>
        <v>0</v>
      </c>
      <c r="BG86" s="419">
        <f t="shared" si="251"/>
        <v>0</v>
      </c>
      <c r="BH86" s="407">
        <f t="shared" si="213"/>
        <v>0</v>
      </c>
      <c r="BI86" s="407">
        <f t="shared" si="214"/>
        <v>0</v>
      </c>
      <c r="BJ86" s="508"/>
      <c r="BK86" s="510"/>
      <c r="BL86" s="49">
        <v>1559</v>
      </c>
      <c r="BM86" s="50"/>
      <c r="BN86" s="52">
        <f t="shared" si="215"/>
        <v>1543</v>
      </c>
      <c r="BO86" s="52">
        <f t="shared" si="157"/>
        <v>16</v>
      </c>
      <c r="BP86" s="406">
        <f t="shared" si="216"/>
        <v>2.8755515217957821E-2</v>
      </c>
      <c r="BQ86" s="52">
        <f t="shared" si="217"/>
        <v>14557</v>
      </c>
      <c r="BR86" s="406">
        <f t="shared" si="218"/>
        <v>0.39744900915145659</v>
      </c>
      <c r="BS86" s="512"/>
      <c r="BT86" s="409">
        <v>944</v>
      </c>
      <c r="BU86" s="43"/>
      <c r="BV86" s="43">
        <f t="shared" si="245"/>
        <v>924</v>
      </c>
      <c r="BW86" s="43">
        <f t="shared" si="246"/>
        <v>20</v>
      </c>
      <c r="BX86" s="42">
        <f t="shared" si="219"/>
        <v>3.5944394022447271E-2</v>
      </c>
      <c r="BY86" s="43">
        <f t="shared" si="247"/>
        <v>5463</v>
      </c>
      <c r="BZ86" s="42">
        <f t="shared" si="220"/>
        <v>0.14915600309091209</v>
      </c>
      <c r="CA86" s="514"/>
      <c r="CB86" s="392">
        <v>747</v>
      </c>
      <c r="CC86" s="298"/>
      <c r="CD86" s="298">
        <f t="shared" si="177"/>
        <v>150</v>
      </c>
      <c r="CE86" s="298">
        <f t="shared" si="158"/>
        <v>597</v>
      </c>
      <c r="CF86" s="297">
        <f t="shared" si="221"/>
        <v>1.0729401615700511</v>
      </c>
      <c r="CG86" s="298">
        <f t="shared" si="222"/>
        <v>30900</v>
      </c>
      <c r="CH86" s="297">
        <f t="shared" si="223"/>
        <v>0.843661082831628</v>
      </c>
      <c r="CI86" s="516"/>
      <c r="CJ86" s="656">
        <v>0</v>
      </c>
      <c r="CK86" s="657"/>
      <c r="CL86" s="657">
        <f t="shared" si="252"/>
        <v>0</v>
      </c>
      <c r="CM86" s="657">
        <f t="shared" si="253"/>
        <v>0</v>
      </c>
      <c r="CN86" s="659">
        <f t="shared" si="254"/>
        <v>0</v>
      </c>
      <c r="CO86" s="464">
        <v>350</v>
      </c>
      <c r="CP86" s="465"/>
      <c r="CQ86" s="465">
        <f t="shared" si="178"/>
        <v>350</v>
      </c>
      <c r="CR86" s="465">
        <f t="shared" si="159"/>
        <v>0</v>
      </c>
      <c r="CS86" s="486">
        <f t="shared" si="224"/>
        <v>0</v>
      </c>
      <c r="CT86" s="465">
        <f t="shared" si="225"/>
        <v>905</v>
      </c>
      <c r="CU86" s="486">
        <f t="shared" si="226"/>
        <v>2.4709167636330853E-2</v>
      </c>
      <c r="CV86" s="518"/>
      <c r="CW86" s="427">
        <v>5</v>
      </c>
      <c r="CX86" s="427"/>
      <c r="CY86" s="427">
        <f t="shared" si="227"/>
        <v>5</v>
      </c>
      <c r="CZ86" s="427">
        <f t="shared" si="228"/>
        <v>0</v>
      </c>
      <c r="DA86" s="607">
        <f t="shared" si="244"/>
        <v>0</v>
      </c>
      <c r="DB86" s="607">
        <f t="shared" si="229"/>
        <v>40</v>
      </c>
      <c r="DC86" s="607">
        <f t="shared" si="179"/>
        <v>1.0921179065781592E-3</v>
      </c>
      <c r="DD86" s="609"/>
      <c r="DE86" s="471">
        <v>5.6</v>
      </c>
      <c r="DF86" s="473"/>
      <c r="DG86" s="473">
        <f t="shared" si="180"/>
        <v>5.6</v>
      </c>
      <c r="DH86" s="473">
        <f t="shared" si="160"/>
        <v>0</v>
      </c>
      <c r="DI86" s="227">
        <f t="shared" si="230"/>
        <v>0</v>
      </c>
      <c r="DJ86" s="473">
        <f t="shared" si="231"/>
        <v>5.6</v>
      </c>
      <c r="DK86" s="227">
        <f t="shared" si="232"/>
        <v>1.5289650692094228E-4</v>
      </c>
      <c r="DL86" s="510"/>
      <c r="DM86" s="63">
        <v>510</v>
      </c>
      <c r="DN86" s="64"/>
      <c r="DO86" s="66">
        <f t="shared" si="233"/>
        <v>370</v>
      </c>
      <c r="DP86" s="66">
        <f t="shared" si="161"/>
        <v>140</v>
      </c>
      <c r="DQ86" s="412">
        <f t="shared" si="234"/>
        <v>0.25161075815713091</v>
      </c>
      <c r="DR86" s="66">
        <f t="shared" si="235"/>
        <v>9630</v>
      </c>
      <c r="DS86" s="412">
        <f t="shared" si="236"/>
        <v>0.26292738600869187</v>
      </c>
      <c r="DT86" s="506"/>
      <c r="DU86" s="596">
        <v>40</v>
      </c>
      <c r="DV86" s="596"/>
      <c r="DW86" s="596">
        <f t="shared" si="181"/>
        <v>40</v>
      </c>
      <c r="DX86" s="596">
        <f t="shared" si="162"/>
        <v>0</v>
      </c>
      <c r="DY86" s="592">
        <f t="shared" si="182"/>
        <v>0</v>
      </c>
      <c r="DZ86" s="596">
        <f t="shared" si="237"/>
        <v>2760</v>
      </c>
      <c r="EA86" s="592">
        <f t="shared" si="183"/>
        <v>7.5356135553892992E-2</v>
      </c>
      <c r="EB86" s="594"/>
      <c r="EC86" s="448">
        <v>55</v>
      </c>
      <c r="ED86" s="449"/>
      <c r="EE86" s="449">
        <f t="shared" si="184"/>
        <v>55</v>
      </c>
      <c r="EF86" s="449">
        <f t="shared" si="163"/>
        <v>0</v>
      </c>
      <c r="EG86" s="450">
        <f t="shared" si="242"/>
        <v>0</v>
      </c>
      <c r="EH86" s="449">
        <f t="shared" si="238"/>
        <v>315</v>
      </c>
      <c r="EI86" s="450">
        <f t="shared" si="243"/>
        <v>8.6004285143030049E-3</v>
      </c>
      <c r="EJ86" s="520"/>
      <c r="EK86" s="426">
        <v>1125</v>
      </c>
      <c r="EL86" s="427">
        <v>1250</v>
      </c>
      <c r="EM86" s="427">
        <f t="shared" si="185"/>
        <v>1675</v>
      </c>
      <c r="EN86" s="427">
        <f t="shared" si="164"/>
        <v>700</v>
      </c>
      <c r="EO86" s="427">
        <f t="shared" si="186"/>
        <v>32697</v>
      </c>
      <c r="EP86" s="456">
        <v>0</v>
      </c>
      <c r="EQ86" s="457"/>
      <c r="ER86" s="457">
        <f t="shared" si="187"/>
        <v>0</v>
      </c>
      <c r="ES86" s="457">
        <f t="shared" si="165"/>
        <v>0</v>
      </c>
      <c r="ET86" s="457">
        <f t="shared" si="188"/>
        <v>658</v>
      </c>
      <c r="EU86" s="409">
        <v>156</v>
      </c>
      <c r="EV86" s="43"/>
      <c r="EW86" s="43">
        <f t="shared" si="189"/>
        <v>149</v>
      </c>
      <c r="EX86" s="43">
        <f t="shared" si="166"/>
        <v>7</v>
      </c>
      <c r="EY86" s="43">
        <f t="shared" si="190"/>
        <v>451</v>
      </c>
      <c r="EZ86" s="436">
        <v>70</v>
      </c>
      <c r="FA86" s="437"/>
      <c r="FB86" s="437">
        <f t="shared" si="191"/>
        <v>66</v>
      </c>
      <c r="FC86" s="437">
        <f t="shared" si="167"/>
        <v>4</v>
      </c>
      <c r="FD86" s="437">
        <f t="shared" si="192"/>
        <v>574</v>
      </c>
      <c r="FE86" s="442">
        <v>200</v>
      </c>
      <c r="FF86" s="443"/>
      <c r="FG86" s="443">
        <f t="shared" si="193"/>
        <v>200</v>
      </c>
      <c r="FH86" s="443">
        <f t="shared" si="168"/>
        <v>0</v>
      </c>
      <c r="FI86" s="443">
        <f t="shared" si="194"/>
        <v>600</v>
      </c>
      <c r="FJ86" s="392">
        <v>1000</v>
      </c>
      <c r="FK86" s="298"/>
      <c r="FL86" s="298">
        <f t="shared" si="195"/>
        <v>890</v>
      </c>
      <c r="FM86" s="298">
        <f t="shared" si="169"/>
        <v>110</v>
      </c>
      <c r="FN86" s="498">
        <f t="shared" si="196"/>
        <v>1010</v>
      </c>
      <c r="HC86" s="402"/>
      <c r="HD86" s="52"/>
      <c r="HE86" s="52">
        <f t="shared" si="197"/>
        <v>0</v>
      </c>
      <c r="HF86" s="52">
        <f t="shared" si="170"/>
        <v>0</v>
      </c>
      <c r="HG86" s="51"/>
      <c r="HH86" s="52">
        <f t="shared" si="240"/>
        <v>400</v>
      </c>
      <c r="HI86" s="51"/>
      <c r="HJ86" s="1047"/>
    </row>
    <row r="87" spans="1:218">
      <c r="A87" s="30">
        <v>44750</v>
      </c>
      <c r="B87" s="390">
        <v>562580</v>
      </c>
      <c r="C87" s="18">
        <f t="shared" si="147"/>
        <v>37188662</v>
      </c>
      <c r="D87" s="376">
        <v>7731.02</v>
      </c>
      <c r="E87" s="417">
        <f t="shared" si="255"/>
        <v>505285.37999999983</v>
      </c>
      <c r="F87" s="397">
        <v>30797</v>
      </c>
      <c r="G87" s="37"/>
      <c r="H87" s="37">
        <f t="shared" si="171"/>
        <v>28797</v>
      </c>
      <c r="I87" s="37">
        <f t="shared" si="148"/>
        <v>2000</v>
      </c>
      <c r="J87" s="37">
        <f t="shared" si="146"/>
        <v>258.69807606240829</v>
      </c>
      <c r="K87" s="37">
        <f t="shared" si="198"/>
        <v>233450</v>
      </c>
      <c r="L87" s="37">
        <f t="shared" si="149"/>
        <v>462.0161382860515</v>
      </c>
      <c r="M87" s="648"/>
      <c r="N87" s="422">
        <v>250</v>
      </c>
      <c r="O87" s="423"/>
      <c r="P87" s="423">
        <f t="shared" si="199"/>
        <v>125</v>
      </c>
      <c r="Q87" s="423">
        <f t="shared" si="200"/>
        <v>125</v>
      </c>
      <c r="R87" s="423">
        <f t="shared" si="201"/>
        <v>6225</v>
      </c>
      <c r="S87" s="68">
        <v>7.89</v>
      </c>
      <c r="T87" s="67">
        <v>24</v>
      </c>
      <c r="U87" s="68">
        <f t="shared" si="202"/>
        <v>94.679999999999993</v>
      </c>
      <c r="V87" s="68">
        <f t="shared" si="151"/>
        <v>12.246766920794407</v>
      </c>
      <c r="W87" s="423">
        <f t="shared" si="203"/>
        <v>6117.8639999999987</v>
      </c>
      <c r="X87" s="68">
        <f t="shared" si="152"/>
        <v>12.107739986460723</v>
      </c>
      <c r="Y87" s="500"/>
      <c r="Z87" s="424">
        <v>150</v>
      </c>
      <c r="AA87" s="425"/>
      <c r="AB87" s="425">
        <f t="shared" si="204"/>
        <v>125</v>
      </c>
      <c r="AC87" s="425">
        <f t="shared" si="205"/>
        <v>25</v>
      </c>
      <c r="AD87" s="425">
        <f t="shared" si="206"/>
        <v>1000</v>
      </c>
      <c r="AE87" s="72">
        <v>2.2400000000000002</v>
      </c>
      <c r="AF87" s="71">
        <v>12</v>
      </c>
      <c r="AG87" s="72">
        <f t="shared" si="207"/>
        <v>13.440000000000001</v>
      </c>
      <c r="AH87" s="72">
        <f t="shared" si="173"/>
        <v>1.7384510711393841</v>
      </c>
      <c r="AI87" s="425">
        <f t="shared" si="208"/>
        <v>910.32</v>
      </c>
      <c r="AJ87" s="72">
        <f t="shared" si="241"/>
        <v>1.8015957635663242</v>
      </c>
      <c r="AK87" s="502"/>
      <c r="AL87" s="491">
        <v>40957</v>
      </c>
      <c r="AM87" s="491"/>
      <c r="AN87" s="492">
        <f t="shared" si="248"/>
        <v>40957</v>
      </c>
      <c r="AO87" s="492">
        <f t="shared" si="249"/>
        <v>0</v>
      </c>
      <c r="AP87" s="492">
        <f t="shared" si="250"/>
        <v>42616</v>
      </c>
      <c r="AQ87" s="493">
        <f t="shared" si="174"/>
        <v>84.340457267930475</v>
      </c>
      <c r="AR87" s="504"/>
      <c r="AS87" s="413">
        <v>49235</v>
      </c>
      <c r="AT87" s="64"/>
      <c r="AU87" s="66">
        <f t="shared" si="209"/>
        <v>49235</v>
      </c>
      <c r="AV87" s="66">
        <f t="shared" si="155"/>
        <v>0</v>
      </c>
      <c r="AW87" s="412">
        <f t="shared" si="156"/>
        <v>0</v>
      </c>
      <c r="AX87" s="66">
        <f t="shared" si="210"/>
        <v>0</v>
      </c>
      <c r="AY87" s="412">
        <f t="shared" si="211"/>
        <v>0</v>
      </c>
      <c r="AZ87" s="506"/>
      <c r="BA87" s="419">
        <v>45495</v>
      </c>
      <c r="BB87" s="419"/>
      <c r="BC87" s="407"/>
      <c r="BD87" s="419">
        <f t="shared" si="175"/>
        <v>45495</v>
      </c>
      <c r="BE87" s="419">
        <f t="shared" si="176"/>
        <v>0</v>
      </c>
      <c r="BF87" s="407">
        <f t="shared" si="212"/>
        <v>0</v>
      </c>
      <c r="BG87" s="419">
        <f t="shared" si="251"/>
        <v>0</v>
      </c>
      <c r="BH87" s="407">
        <f t="shared" si="213"/>
        <v>0</v>
      </c>
      <c r="BI87" s="407">
        <f t="shared" si="214"/>
        <v>0</v>
      </c>
      <c r="BJ87" s="508"/>
      <c r="BK87" s="510"/>
      <c r="BL87" s="49">
        <v>1543</v>
      </c>
      <c r="BM87" s="50"/>
      <c r="BN87" s="52">
        <f t="shared" si="215"/>
        <v>1537</v>
      </c>
      <c r="BO87" s="52">
        <f t="shared" si="157"/>
        <v>6</v>
      </c>
      <c r="BP87" s="406">
        <f t="shared" si="216"/>
        <v>1.0665149845355328E-2</v>
      </c>
      <c r="BQ87" s="52">
        <f t="shared" si="217"/>
        <v>14563</v>
      </c>
      <c r="BR87" s="406">
        <f t="shared" si="218"/>
        <v>0.39159784775262957</v>
      </c>
      <c r="BS87" s="512"/>
      <c r="BT87" s="409">
        <v>924</v>
      </c>
      <c r="BU87" s="43">
        <v>1000</v>
      </c>
      <c r="BV87" s="43">
        <f t="shared" si="245"/>
        <v>1885</v>
      </c>
      <c r="BW87" s="43">
        <f t="shared" si="246"/>
        <v>39</v>
      </c>
      <c r="BX87" s="42">
        <f t="shared" si="219"/>
        <v>6.932347399480962E-2</v>
      </c>
      <c r="BY87" s="43">
        <f t="shared" si="247"/>
        <v>5502</v>
      </c>
      <c r="BZ87" s="42">
        <f t="shared" si="220"/>
        <v>0.14794831822666812</v>
      </c>
      <c r="CA87" s="514"/>
      <c r="CB87" s="392">
        <v>150</v>
      </c>
      <c r="CC87" s="298">
        <v>2300</v>
      </c>
      <c r="CD87" s="298">
        <f t="shared" si="177"/>
        <v>1840</v>
      </c>
      <c r="CE87" s="298">
        <f t="shared" si="158"/>
        <v>610</v>
      </c>
      <c r="CF87" s="297">
        <f t="shared" si="221"/>
        <v>1.0842902342777916</v>
      </c>
      <c r="CG87" s="298">
        <f t="shared" si="222"/>
        <v>31510</v>
      </c>
      <c r="CH87" s="297">
        <f t="shared" si="223"/>
        <v>0.84730125542026757</v>
      </c>
      <c r="CI87" s="516"/>
      <c r="CJ87" s="656">
        <v>0</v>
      </c>
      <c r="CK87" s="657"/>
      <c r="CL87" s="657">
        <f t="shared" si="252"/>
        <v>0</v>
      </c>
      <c r="CM87" s="657">
        <f t="shared" si="253"/>
        <v>0</v>
      </c>
      <c r="CN87" s="659">
        <f t="shared" si="254"/>
        <v>0</v>
      </c>
      <c r="CO87" s="464">
        <v>350</v>
      </c>
      <c r="CP87" s="465"/>
      <c r="CQ87" s="465">
        <f t="shared" si="178"/>
        <v>278</v>
      </c>
      <c r="CR87" s="465">
        <f t="shared" si="159"/>
        <v>72</v>
      </c>
      <c r="CS87" s="486">
        <f t="shared" si="224"/>
        <v>0.12798179814426391</v>
      </c>
      <c r="CT87" s="465">
        <f t="shared" si="225"/>
        <v>977</v>
      </c>
      <c r="CU87" s="486">
        <f t="shared" si="226"/>
        <v>2.6271448002081924E-2</v>
      </c>
      <c r="CV87" s="518"/>
      <c r="CW87" s="427">
        <v>5</v>
      </c>
      <c r="CX87" s="427"/>
      <c r="CY87" s="427">
        <f t="shared" si="227"/>
        <v>5</v>
      </c>
      <c r="CZ87" s="427">
        <f t="shared" si="228"/>
        <v>0</v>
      </c>
      <c r="DA87" s="607">
        <f t="shared" si="244"/>
        <v>0</v>
      </c>
      <c r="DB87" s="607">
        <f t="shared" si="229"/>
        <v>40</v>
      </c>
      <c r="DC87" s="607">
        <f t="shared" si="179"/>
        <v>1.0755966428692702E-3</v>
      </c>
      <c r="DD87" s="609"/>
      <c r="DE87" s="471">
        <v>5.6</v>
      </c>
      <c r="DF87" s="473"/>
      <c r="DG87" s="473">
        <f t="shared" si="180"/>
        <v>5.6</v>
      </c>
      <c r="DH87" s="473">
        <f t="shared" si="160"/>
        <v>0</v>
      </c>
      <c r="DI87" s="227">
        <f t="shared" si="230"/>
        <v>0</v>
      </c>
      <c r="DJ87" s="473">
        <f t="shared" si="231"/>
        <v>5.6</v>
      </c>
      <c r="DK87" s="227">
        <f t="shared" si="232"/>
        <v>1.5058353000169783E-4</v>
      </c>
      <c r="DL87" s="510"/>
      <c r="DM87" s="63">
        <v>370</v>
      </c>
      <c r="DN87" s="64">
        <v>600</v>
      </c>
      <c r="DO87" s="66">
        <f t="shared" si="233"/>
        <v>820</v>
      </c>
      <c r="DP87" s="66">
        <f t="shared" si="161"/>
        <v>150</v>
      </c>
      <c r="DQ87" s="412">
        <f t="shared" si="234"/>
        <v>0.26662874613388315</v>
      </c>
      <c r="DR87" s="66">
        <f t="shared" si="235"/>
        <v>9780</v>
      </c>
      <c r="DS87" s="412">
        <f t="shared" si="236"/>
        <v>0.26298337918153658</v>
      </c>
      <c r="DT87" s="506"/>
      <c r="DU87" s="596">
        <v>40</v>
      </c>
      <c r="DV87" s="596"/>
      <c r="DW87" s="596">
        <f t="shared" si="181"/>
        <v>40</v>
      </c>
      <c r="DX87" s="596">
        <f t="shared" si="162"/>
        <v>0</v>
      </c>
      <c r="DY87" s="592">
        <f t="shared" si="182"/>
        <v>0</v>
      </c>
      <c r="DZ87" s="596">
        <f t="shared" si="237"/>
        <v>2760</v>
      </c>
      <c r="EA87" s="592">
        <f t="shared" si="183"/>
        <v>7.4216168357979645E-2</v>
      </c>
      <c r="EB87" s="594"/>
      <c r="EC87" s="448">
        <v>55</v>
      </c>
      <c r="ED87" s="449"/>
      <c r="EE87" s="449">
        <f t="shared" si="184"/>
        <v>55</v>
      </c>
      <c r="EF87" s="449">
        <f t="shared" si="163"/>
        <v>0</v>
      </c>
      <c r="EG87" s="450">
        <f t="shared" si="242"/>
        <v>0</v>
      </c>
      <c r="EH87" s="449">
        <f t="shared" si="238"/>
        <v>315</v>
      </c>
      <c r="EI87" s="450">
        <f t="shared" si="243"/>
        <v>8.4703235625955033E-3</v>
      </c>
      <c r="EJ87" s="520"/>
      <c r="EK87" s="426">
        <v>1675</v>
      </c>
      <c r="EL87" s="427">
        <v>1250</v>
      </c>
      <c r="EM87" s="427">
        <f t="shared" si="185"/>
        <v>2163</v>
      </c>
      <c r="EN87" s="427">
        <f t="shared" si="164"/>
        <v>762</v>
      </c>
      <c r="EO87" s="427">
        <f t="shared" si="186"/>
        <v>33459</v>
      </c>
      <c r="EP87" s="456">
        <v>0</v>
      </c>
      <c r="EQ87" s="457"/>
      <c r="ER87" s="457">
        <f t="shared" si="187"/>
        <v>0</v>
      </c>
      <c r="ES87" s="457">
        <f t="shared" si="165"/>
        <v>0</v>
      </c>
      <c r="ET87" s="457">
        <f t="shared" si="188"/>
        <v>658</v>
      </c>
      <c r="EU87" s="409">
        <v>149</v>
      </c>
      <c r="EV87" s="43"/>
      <c r="EW87" s="43">
        <f t="shared" si="189"/>
        <v>138</v>
      </c>
      <c r="EX87" s="43">
        <f t="shared" si="166"/>
        <v>11</v>
      </c>
      <c r="EY87" s="43">
        <f t="shared" si="190"/>
        <v>462</v>
      </c>
      <c r="EZ87" s="436">
        <v>66</v>
      </c>
      <c r="FA87" s="437"/>
      <c r="FB87" s="437">
        <f t="shared" si="191"/>
        <v>61</v>
      </c>
      <c r="FC87" s="437">
        <f t="shared" si="167"/>
        <v>5</v>
      </c>
      <c r="FD87" s="437">
        <f t="shared" si="192"/>
        <v>579</v>
      </c>
      <c r="FE87" s="442">
        <v>200</v>
      </c>
      <c r="FF87" s="443"/>
      <c r="FG87" s="443">
        <f t="shared" si="193"/>
        <v>200</v>
      </c>
      <c r="FH87" s="443">
        <f t="shared" si="168"/>
        <v>0</v>
      </c>
      <c r="FI87" s="443">
        <f t="shared" si="194"/>
        <v>600</v>
      </c>
      <c r="FJ87" s="392">
        <v>890</v>
      </c>
      <c r="FK87" s="298"/>
      <c r="FL87" s="298">
        <f t="shared" si="195"/>
        <v>790</v>
      </c>
      <c r="FM87" s="298">
        <f t="shared" si="169"/>
        <v>100</v>
      </c>
      <c r="FN87" s="498">
        <f t="shared" si="196"/>
        <v>1110</v>
      </c>
      <c r="HC87" s="402"/>
      <c r="HD87" s="52"/>
      <c r="HE87" s="52">
        <f t="shared" si="197"/>
        <v>0</v>
      </c>
      <c r="HF87" s="52">
        <f t="shared" si="170"/>
        <v>0</v>
      </c>
      <c r="HG87" s="51"/>
      <c r="HH87" s="52">
        <f t="shared" si="240"/>
        <v>400</v>
      </c>
      <c r="HI87" s="51"/>
      <c r="HJ87" s="1047"/>
    </row>
    <row r="88" spans="1:218">
      <c r="A88" s="30">
        <v>44751</v>
      </c>
      <c r="B88" s="390">
        <v>542265</v>
      </c>
      <c r="C88" s="18">
        <f t="shared" si="147"/>
        <v>37730927</v>
      </c>
      <c r="D88" s="376">
        <v>7111.16</v>
      </c>
      <c r="E88" s="417">
        <f t="shared" si="255"/>
        <v>512396.5399999998</v>
      </c>
      <c r="F88" s="397">
        <v>28797</v>
      </c>
      <c r="G88" s="37"/>
      <c r="H88" s="37">
        <f t="shared" si="171"/>
        <v>26257</v>
      </c>
      <c r="I88" s="37">
        <f t="shared" si="148"/>
        <v>2540</v>
      </c>
      <c r="J88" s="37">
        <f t="shared" si="146"/>
        <v>357.18504435282006</v>
      </c>
      <c r="K88" s="37">
        <f t="shared" si="198"/>
        <v>235990</v>
      </c>
      <c r="L88" s="37">
        <f t="shared" si="149"/>
        <v>460.56126764634297</v>
      </c>
      <c r="M88" s="648"/>
      <c r="N88" s="422">
        <v>125</v>
      </c>
      <c r="O88" s="423">
        <v>250</v>
      </c>
      <c r="P88" s="423">
        <f t="shared" si="199"/>
        <v>275</v>
      </c>
      <c r="Q88" s="423">
        <f t="shared" si="200"/>
        <v>100</v>
      </c>
      <c r="R88" s="423">
        <f t="shared" si="201"/>
        <v>6325</v>
      </c>
      <c r="S88" s="68">
        <v>9.75</v>
      </c>
      <c r="T88" s="67">
        <v>24</v>
      </c>
      <c r="U88" s="68">
        <f t="shared" si="202"/>
        <v>117</v>
      </c>
      <c r="V88" s="68">
        <f t="shared" si="151"/>
        <v>16.453011885543287</v>
      </c>
      <c r="W88" s="423">
        <f t="shared" si="203"/>
        <v>6234.8639999999987</v>
      </c>
      <c r="X88" s="68">
        <f t="shared" si="152"/>
        <v>12.168044694447003</v>
      </c>
      <c r="Y88" s="500"/>
      <c r="Z88" s="424">
        <v>125</v>
      </c>
      <c r="AA88" s="425">
        <v>75</v>
      </c>
      <c r="AB88" s="425">
        <f t="shared" si="204"/>
        <v>200</v>
      </c>
      <c r="AC88" s="425">
        <f t="shared" si="205"/>
        <v>0</v>
      </c>
      <c r="AD88" s="425">
        <f t="shared" si="206"/>
        <v>1000</v>
      </c>
      <c r="AE88" s="72">
        <v>1.93</v>
      </c>
      <c r="AF88" s="71">
        <v>12</v>
      </c>
      <c r="AG88" s="72">
        <f t="shared" si="207"/>
        <v>11.58</v>
      </c>
      <c r="AH88" s="72">
        <f t="shared" si="173"/>
        <v>1.628426304569156</v>
      </c>
      <c r="AI88" s="425">
        <f t="shared" si="208"/>
        <v>921.90000000000009</v>
      </c>
      <c r="AJ88" s="72">
        <f t="shared" si="241"/>
        <v>1.799192476982769</v>
      </c>
      <c r="AK88" s="502"/>
      <c r="AL88" s="491">
        <v>40957</v>
      </c>
      <c r="AM88" s="491"/>
      <c r="AN88" s="492">
        <f t="shared" si="248"/>
        <v>40957</v>
      </c>
      <c r="AO88" s="492">
        <f t="shared" si="249"/>
        <v>0</v>
      </c>
      <c r="AP88" s="492">
        <f t="shared" si="250"/>
        <v>42616</v>
      </c>
      <c r="AQ88" s="493">
        <f t="shared" si="174"/>
        <v>83.169960515346219</v>
      </c>
      <c r="AR88" s="504"/>
      <c r="AS88" s="413">
        <v>49235</v>
      </c>
      <c r="AT88" s="64"/>
      <c r="AU88" s="66">
        <f t="shared" si="209"/>
        <v>49235</v>
      </c>
      <c r="AV88" s="66">
        <f t="shared" si="155"/>
        <v>0</v>
      </c>
      <c r="AW88" s="412">
        <f t="shared" si="156"/>
        <v>0</v>
      </c>
      <c r="AX88" s="66">
        <f t="shared" si="210"/>
        <v>0</v>
      </c>
      <c r="AY88" s="412">
        <f t="shared" si="211"/>
        <v>0</v>
      </c>
      <c r="AZ88" s="506"/>
      <c r="BA88" s="419">
        <v>45495</v>
      </c>
      <c r="BB88" s="419"/>
      <c r="BC88" s="407"/>
      <c r="BD88" s="419">
        <f t="shared" si="175"/>
        <v>45495</v>
      </c>
      <c r="BE88" s="419">
        <f t="shared" si="176"/>
        <v>0</v>
      </c>
      <c r="BF88" s="407">
        <f t="shared" si="212"/>
        <v>0</v>
      </c>
      <c r="BG88" s="419">
        <f t="shared" si="251"/>
        <v>0</v>
      </c>
      <c r="BH88" s="407">
        <f t="shared" si="213"/>
        <v>0</v>
      </c>
      <c r="BI88" s="407">
        <f t="shared" si="214"/>
        <v>0</v>
      </c>
      <c r="BJ88" s="508"/>
      <c r="BK88" s="510"/>
      <c r="BL88" s="49">
        <v>1537</v>
      </c>
      <c r="BM88" s="50"/>
      <c r="BN88" s="52">
        <f t="shared" si="215"/>
        <v>1513</v>
      </c>
      <c r="BO88" s="52">
        <f t="shared" si="157"/>
        <v>24</v>
      </c>
      <c r="BP88" s="406">
        <f t="shared" si="216"/>
        <v>4.4258803352604355E-2</v>
      </c>
      <c r="BQ88" s="52">
        <f t="shared" si="217"/>
        <v>14587</v>
      </c>
      <c r="BR88" s="406">
        <f t="shared" si="218"/>
        <v>0.38660592675075278</v>
      </c>
      <c r="BS88" s="512"/>
      <c r="BT88" s="409">
        <v>1885</v>
      </c>
      <c r="BU88" s="43"/>
      <c r="BV88" s="43">
        <f t="shared" si="245"/>
        <v>1865</v>
      </c>
      <c r="BW88" s="43">
        <f t="shared" si="246"/>
        <v>20</v>
      </c>
      <c r="BX88" s="42">
        <f t="shared" si="219"/>
        <v>3.6882336127170297E-2</v>
      </c>
      <c r="BY88" s="43">
        <f t="shared" si="247"/>
        <v>5522</v>
      </c>
      <c r="BZ88" s="42">
        <f t="shared" si="220"/>
        <v>0.14635208936159982</v>
      </c>
      <c r="CA88" s="514"/>
      <c r="CB88" s="392">
        <v>1840</v>
      </c>
      <c r="CC88" s="298"/>
      <c r="CD88" s="298">
        <f t="shared" si="177"/>
        <v>680</v>
      </c>
      <c r="CE88" s="298">
        <f t="shared" si="158"/>
        <v>1160</v>
      </c>
      <c r="CF88" s="297">
        <f t="shared" si="221"/>
        <v>2.139175495375877</v>
      </c>
      <c r="CG88" s="298">
        <f t="shared" si="222"/>
        <v>32670</v>
      </c>
      <c r="CH88" s="297">
        <f t="shared" si="223"/>
        <v>0.86586793905169623</v>
      </c>
      <c r="CI88" s="516"/>
      <c r="CJ88" s="656">
        <v>0</v>
      </c>
      <c r="CK88" s="657"/>
      <c r="CL88" s="657">
        <f t="shared" si="252"/>
        <v>0</v>
      </c>
      <c r="CM88" s="657">
        <f t="shared" si="253"/>
        <v>0</v>
      </c>
      <c r="CN88" s="659">
        <f t="shared" si="254"/>
        <v>0</v>
      </c>
      <c r="CO88" s="464">
        <v>278</v>
      </c>
      <c r="CP88" s="465"/>
      <c r="CQ88" s="465">
        <f t="shared" si="178"/>
        <v>278</v>
      </c>
      <c r="CR88" s="465">
        <f t="shared" si="159"/>
        <v>0</v>
      </c>
      <c r="CS88" s="486">
        <f t="shared" si="224"/>
        <v>0</v>
      </c>
      <c r="CT88" s="465">
        <f t="shared" si="225"/>
        <v>977</v>
      </c>
      <c r="CU88" s="486">
        <f t="shared" si="226"/>
        <v>2.58938774549589E-2</v>
      </c>
      <c r="CV88" s="518"/>
      <c r="CW88" s="427">
        <v>5</v>
      </c>
      <c r="CX88" s="427"/>
      <c r="CY88" s="427">
        <f t="shared" si="227"/>
        <v>5</v>
      </c>
      <c r="CZ88" s="427">
        <f t="shared" si="228"/>
        <v>0</v>
      </c>
      <c r="DA88" s="607">
        <f t="shared" si="244"/>
        <v>0</v>
      </c>
      <c r="DB88" s="607">
        <f t="shared" si="229"/>
        <v>40</v>
      </c>
      <c r="DC88" s="607">
        <f t="shared" si="179"/>
        <v>1.060138278606301E-3</v>
      </c>
      <c r="DD88" s="609"/>
      <c r="DE88" s="471">
        <v>5.6</v>
      </c>
      <c r="DF88" s="473"/>
      <c r="DG88" s="473">
        <f t="shared" si="180"/>
        <v>5.6</v>
      </c>
      <c r="DH88" s="473">
        <f t="shared" si="160"/>
        <v>0</v>
      </c>
      <c r="DI88" s="227">
        <f t="shared" si="230"/>
        <v>0</v>
      </c>
      <c r="DJ88" s="473">
        <f t="shared" si="231"/>
        <v>5.6</v>
      </c>
      <c r="DK88" s="227">
        <f t="shared" si="232"/>
        <v>1.4841935900488211E-4</v>
      </c>
      <c r="DL88" s="510"/>
      <c r="DM88" s="63">
        <v>820</v>
      </c>
      <c r="DN88" s="64"/>
      <c r="DO88" s="66">
        <f t="shared" si="233"/>
        <v>635</v>
      </c>
      <c r="DP88" s="66">
        <f t="shared" si="161"/>
        <v>185</v>
      </c>
      <c r="DQ88" s="412">
        <f t="shared" si="234"/>
        <v>0.34116160917632521</v>
      </c>
      <c r="DR88" s="66">
        <f t="shared" si="235"/>
        <v>9965</v>
      </c>
      <c r="DS88" s="412">
        <f t="shared" si="236"/>
        <v>0.26410694865779472</v>
      </c>
      <c r="DT88" s="506"/>
      <c r="DU88" s="596">
        <v>40</v>
      </c>
      <c r="DV88" s="596"/>
      <c r="DW88" s="596">
        <f t="shared" si="181"/>
        <v>40</v>
      </c>
      <c r="DX88" s="596">
        <f t="shared" si="162"/>
        <v>0</v>
      </c>
      <c r="DY88" s="592">
        <f t="shared" si="182"/>
        <v>0</v>
      </c>
      <c r="DZ88" s="596">
        <f t="shared" si="237"/>
        <v>2760</v>
      </c>
      <c r="EA88" s="592">
        <f t="shared" si="183"/>
        <v>7.3149541223834755E-2</v>
      </c>
      <c r="EB88" s="594"/>
      <c r="EC88" s="448">
        <v>55</v>
      </c>
      <c r="ED88" s="449"/>
      <c r="EE88" s="449">
        <f t="shared" si="184"/>
        <v>55</v>
      </c>
      <c r="EF88" s="449">
        <f t="shared" si="163"/>
        <v>0</v>
      </c>
      <c r="EG88" s="450">
        <f t="shared" si="242"/>
        <v>0</v>
      </c>
      <c r="EH88" s="449">
        <f t="shared" si="238"/>
        <v>315</v>
      </c>
      <c r="EI88" s="450">
        <f t="shared" si="243"/>
        <v>8.3485889440246194E-3</v>
      </c>
      <c r="EJ88" s="520"/>
      <c r="EK88" s="426">
        <v>2163</v>
      </c>
      <c r="EL88" s="427"/>
      <c r="EM88" s="427">
        <f t="shared" si="185"/>
        <v>1531</v>
      </c>
      <c r="EN88" s="427">
        <f t="shared" si="164"/>
        <v>632</v>
      </c>
      <c r="EO88" s="427">
        <f t="shared" si="186"/>
        <v>34091</v>
      </c>
      <c r="EP88" s="456">
        <v>0</v>
      </c>
      <c r="EQ88" s="457"/>
      <c r="ER88" s="457">
        <f t="shared" si="187"/>
        <v>0</v>
      </c>
      <c r="ES88" s="457">
        <f t="shared" si="165"/>
        <v>0</v>
      </c>
      <c r="ET88" s="457">
        <f t="shared" si="188"/>
        <v>658</v>
      </c>
      <c r="EU88" s="409">
        <v>138</v>
      </c>
      <c r="EV88" s="43"/>
      <c r="EW88" s="43">
        <f t="shared" si="189"/>
        <v>136</v>
      </c>
      <c r="EX88" s="43">
        <f t="shared" si="166"/>
        <v>2</v>
      </c>
      <c r="EY88" s="43">
        <f t="shared" si="190"/>
        <v>464</v>
      </c>
      <c r="EZ88" s="436">
        <v>61</v>
      </c>
      <c r="FA88" s="437"/>
      <c r="FB88" s="437">
        <f t="shared" si="191"/>
        <v>58</v>
      </c>
      <c r="FC88" s="437">
        <f t="shared" si="167"/>
        <v>3</v>
      </c>
      <c r="FD88" s="437">
        <f t="shared" si="192"/>
        <v>582</v>
      </c>
      <c r="FE88" s="442">
        <v>200</v>
      </c>
      <c r="FF88" s="443"/>
      <c r="FG88" s="443">
        <f t="shared" si="193"/>
        <v>200</v>
      </c>
      <c r="FH88" s="443">
        <f t="shared" si="168"/>
        <v>0</v>
      </c>
      <c r="FI88" s="443">
        <f t="shared" si="194"/>
        <v>600</v>
      </c>
      <c r="FJ88" s="392">
        <v>790</v>
      </c>
      <c r="FK88" s="298"/>
      <c r="FL88" s="298">
        <f t="shared" si="195"/>
        <v>700</v>
      </c>
      <c r="FM88" s="298">
        <f t="shared" si="169"/>
        <v>90</v>
      </c>
      <c r="FN88" s="498">
        <f t="shared" si="196"/>
        <v>1200</v>
      </c>
      <c r="HC88" s="402"/>
      <c r="HD88" s="52"/>
      <c r="HE88" s="52">
        <f t="shared" si="197"/>
        <v>0</v>
      </c>
      <c r="HF88" s="52">
        <f t="shared" si="170"/>
        <v>0</v>
      </c>
      <c r="HG88" s="51"/>
      <c r="HH88" s="52">
        <f t="shared" si="240"/>
        <v>400</v>
      </c>
      <c r="HI88" s="51"/>
      <c r="HJ88" s="1047"/>
    </row>
    <row r="89" spans="1:218">
      <c r="A89" s="30">
        <v>44752</v>
      </c>
      <c r="B89" s="390">
        <v>497267</v>
      </c>
      <c r="C89" s="18">
        <f t="shared" si="147"/>
        <v>38228194</v>
      </c>
      <c r="D89" s="376">
        <v>8089.94</v>
      </c>
      <c r="E89" s="417">
        <f t="shared" si="255"/>
        <v>520486.47999999981</v>
      </c>
      <c r="F89" s="397">
        <v>26257</v>
      </c>
      <c r="G89" s="37"/>
      <c r="H89" s="37">
        <f t="shared" si="171"/>
        <v>25225</v>
      </c>
      <c r="I89" s="37">
        <f t="shared" si="148"/>
        <v>1032</v>
      </c>
      <c r="J89" s="37">
        <f t="shared" si="146"/>
        <v>127.56584103219555</v>
      </c>
      <c r="K89" s="37">
        <f t="shared" si="198"/>
        <v>237022</v>
      </c>
      <c r="L89" s="37">
        <f t="shared" si="149"/>
        <v>455.38550780416062</v>
      </c>
      <c r="M89" s="648"/>
      <c r="N89" s="422">
        <v>275</v>
      </c>
      <c r="O89" s="423"/>
      <c r="P89" s="423">
        <f t="shared" si="199"/>
        <v>150</v>
      </c>
      <c r="Q89" s="423">
        <f t="shared" si="200"/>
        <v>125</v>
      </c>
      <c r="R89" s="423">
        <f t="shared" si="201"/>
        <v>6450</v>
      </c>
      <c r="S89" s="68">
        <v>9.58</v>
      </c>
      <c r="T89" s="67">
        <v>24</v>
      </c>
      <c r="U89" s="68">
        <f t="shared" si="202"/>
        <v>114.96000000000001</v>
      </c>
      <c r="V89" s="68">
        <f t="shared" si="151"/>
        <v>14.210241361493413</v>
      </c>
      <c r="W89" s="423">
        <f t="shared" si="203"/>
        <v>6349.8239999999987</v>
      </c>
      <c r="X89" s="68">
        <f t="shared" si="152"/>
        <v>12.199786630384715</v>
      </c>
      <c r="Y89" s="500"/>
      <c r="Z89" s="424">
        <v>200</v>
      </c>
      <c r="AA89" s="425"/>
      <c r="AB89" s="425">
        <f t="shared" si="204"/>
        <v>175</v>
      </c>
      <c r="AC89" s="425">
        <f t="shared" si="205"/>
        <v>25</v>
      </c>
      <c r="AD89" s="425">
        <f t="shared" si="206"/>
        <v>1025</v>
      </c>
      <c r="AE89" s="72">
        <v>2.242</v>
      </c>
      <c r="AF89" s="71">
        <v>12</v>
      </c>
      <c r="AG89" s="72">
        <f t="shared" si="207"/>
        <v>13.452</v>
      </c>
      <c r="AH89" s="72">
        <f t="shared" si="173"/>
        <v>1.6628059046173396</v>
      </c>
      <c r="AI89" s="425">
        <f t="shared" si="208"/>
        <v>935.35200000000009</v>
      </c>
      <c r="AJ89" s="72">
        <f t="shared" si="241"/>
        <v>1.7970726156037722</v>
      </c>
      <c r="AK89" s="502"/>
      <c r="AL89" s="491">
        <v>40957</v>
      </c>
      <c r="AM89" s="491"/>
      <c r="AN89" s="492">
        <f t="shared" si="248"/>
        <v>40957</v>
      </c>
      <c r="AO89" s="492">
        <f t="shared" si="249"/>
        <v>0</v>
      </c>
      <c r="AP89" s="492">
        <f t="shared" si="250"/>
        <v>42616</v>
      </c>
      <c r="AQ89" s="493">
        <f t="shared" si="174"/>
        <v>81.877246840302206</v>
      </c>
      <c r="AR89" s="504"/>
      <c r="AS89" s="413">
        <v>49235</v>
      </c>
      <c r="AT89" s="64"/>
      <c r="AU89" s="66">
        <f t="shared" si="209"/>
        <v>49235</v>
      </c>
      <c r="AV89" s="66">
        <f t="shared" si="155"/>
        <v>0</v>
      </c>
      <c r="AW89" s="412">
        <f t="shared" si="156"/>
        <v>0</v>
      </c>
      <c r="AX89" s="66">
        <f t="shared" si="210"/>
        <v>0</v>
      </c>
      <c r="AY89" s="412">
        <f t="shared" si="211"/>
        <v>0</v>
      </c>
      <c r="AZ89" s="506"/>
      <c r="BA89" s="419">
        <v>45495</v>
      </c>
      <c r="BB89" s="419"/>
      <c r="BC89" s="407"/>
      <c r="BD89" s="419">
        <f t="shared" si="175"/>
        <v>45495</v>
      </c>
      <c r="BE89" s="419">
        <f t="shared" si="176"/>
        <v>0</v>
      </c>
      <c r="BF89" s="407">
        <f t="shared" si="212"/>
        <v>0</v>
      </c>
      <c r="BG89" s="419">
        <f t="shared" si="251"/>
        <v>0</v>
      </c>
      <c r="BH89" s="407">
        <f t="shared" si="213"/>
        <v>0</v>
      </c>
      <c r="BI89" s="407">
        <f t="shared" si="214"/>
        <v>0</v>
      </c>
      <c r="BJ89" s="508"/>
      <c r="BK89" s="510"/>
      <c r="BL89" s="49">
        <v>1513</v>
      </c>
      <c r="BM89" s="50"/>
      <c r="BN89" s="52">
        <f t="shared" si="215"/>
        <v>1503</v>
      </c>
      <c r="BO89" s="52">
        <f t="shared" si="157"/>
        <v>10</v>
      </c>
      <c r="BP89" s="406">
        <f t="shared" si="216"/>
        <v>2.0109920827241702E-2</v>
      </c>
      <c r="BQ89" s="52">
        <f t="shared" si="217"/>
        <v>14597</v>
      </c>
      <c r="BR89" s="406">
        <f t="shared" si="218"/>
        <v>0.3818385979730039</v>
      </c>
      <c r="BS89" s="512"/>
      <c r="BT89" s="409">
        <v>1865</v>
      </c>
      <c r="BU89" s="43"/>
      <c r="BV89" s="43">
        <f t="shared" si="245"/>
        <v>1845</v>
      </c>
      <c r="BW89" s="43">
        <f t="shared" si="246"/>
        <v>20</v>
      </c>
      <c r="BX89" s="42">
        <f t="shared" si="219"/>
        <v>4.0219841654483404E-2</v>
      </c>
      <c r="BY89" s="43">
        <f t="shared" si="247"/>
        <v>5542</v>
      </c>
      <c r="BZ89" s="42">
        <f t="shared" si="220"/>
        <v>0.14497153592973813</v>
      </c>
      <c r="CA89" s="514"/>
      <c r="CB89" s="392">
        <v>680</v>
      </c>
      <c r="CC89" s="298"/>
      <c r="CD89" s="298">
        <f t="shared" si="177"/>
        <v>0</v>
      </c>
      <c r="CE89" s="298">
        <f t="shared" si="158"/>
        <v>680</v>
      </c>
      <c r="CF89" s="297">
        <f t="shared" si="221"/>
        <v>1.3674746162524358</v>
      </c>
      <c r="CG89" s="298">
        <f t="shared" si="222"/>
        <v>33350</v>
      </c>
      <c r="CH89" s="297">
        <f t="shared" si="223"/>
        <v>0.8723927685414592</v>
      </c>
      <c r="CI89" s="516"/>
      <c r="CJ89" s="656">
        <v>0</v>
      </c>
      <c r="CK89" s="657"/>
      <c r="CL89" s="657">
        <f t="shared" si="252"/>
        <v>0</v>
      </c>
      <c r="CM89" s="657">
        <f t="shared" si="253"/>
        <v>0</v>
      </c>
      <c r="CN89" s="659">
        <f t="shared" si="254"/>
        <v>0</v>
      </c>
      <c r="CO89" s="464">
        <v>278</v>
      </c>
      <c r="CP89" s="465"/>
      <c r="CQ89" s="465">
        <f t="shared" si="178"/>
        <v>278</v>
      </c>
      <c r="CR89" s="465">
        <f t="shared" si="159"/>
        <v>0</v>
      </c>
      <c r="CS89" s="486">
        <f t="shared" si="224"/>
        <v>0</v>
      </c>
      <c r="CT89" s="465">
        <f t="shared" si="225"/>
        <v>977</v>
      </c>
      <c r="CU89" s="486">
        <f t="shared" si="226"/>
        <v>2.5557053519190576E-2</v>
      </c>
      <c r="CV89" s="518"/>
      <c r="CW89" s="427">
        <v>5</v>
      </c>
      <c r="CX89" s="427"/>
      <c r="CY89" s="427">
        <f t="shared" si="227"/>
        <v>5</v>
      </c>
      <c r="CZ89" s="427">
        <f t="shared" si="228"/>
        <v>0</v>
      </c>
      <c r="DA89" s="607">
        <f t="shared" si="244"/>
        <v>0</v>
      </c>
      <c r="DB89" s="607">
        <f t="shared" si="229"/>
        <v>40</v>
      </c>
      <c r="DC89" s="607">
        <f t="shared" si="179"/>
        <v>1.0463481481756633E-3</v>
      </c>
      <c r="DD89" s="609"/>
      <c r="DE89" s="471">
        <v>5.6</v>
      </c>
      <c r="DF89" s="473"/>
      <c r="DG89" s="473">
        <f t="shared" si="180"/>
        <v>5.6</v>
      </c>
      <c r="DH89" s="473">
        <f t="shared" si="160"/>
        <v>0</v>
      </c>
      <c r="DI89" s="227">
        <f t="shared" si="230"/>
        <v>0</v>
      </c>
      <c r="DJ89" s="473">
        <f t="shared" si="231"/>
        <v>5.6</v>
      </c>
      <c r="DK89" s="227">
        <f t="shared" si="232"/>
        <v>1.4648874074459285E-4</v>
      </c>
      <c r="DL89" s="510"/>
      <c r="DM89" s="63">
        <v>635</v>
      </c>
      <c r="DN89" s="64"/>
      <c r="DO89" s="66">
        <f t="shared" si="233"/>
        <v>500</v>
      </c>
      <c r="DP89" s="66">
        <f t="shared" si="161"/>
        <v>135</v>
      </c>
      <c r="DQ89" s="412">
        <f t="shared" si="234"/>
        <v>0.27148393116776298</v>
      </c>
      <c r="DR89" s="66">
        <f t="shared" si="235"/>
        <v>10100</v>
      </c>
      <c r="DS89" s="412">
        <f t="shared" si="236"/>
        <v>0.26420290741435498</v>
      </c>
      <c r="DT89" s="506"/>
      <c r="DU89" s="596">
        <v>40</v>
      </c>
      <c r="DV89" s="596"/>
      <c r="DW89" s="596">
        <f t="shared" si="181"/>
        <v>40</v>
      </c>
      <c r="DX89" s="596">
        <f t="shared" si="162"/>
        <v>0</v>
      </c>
      <c r="DY89" s="592">
        <f t="shared" si="182"/>
        <v>0</v>
      </c>
      <c r="DZ89" s="596">
        <f t="shared" si="237"/>
        <v>2760</v>
      </c>
      <c r="EA89" s="592">
        <f t="shared" si="183"/>
        <v>7.2198022224120764E-2</v>
      </c>
      <c r="EB89" s="594"/>
      <c r="EC89" s="448">
        <v>55</v>
      </c>
      <c r="ED89" s="449"/>
      <c r="EE89" s="449">
        <f t="shared" si="184"/>
        <v>55</v>
      </c>
      <c r="EF89" s="449">
        <f t="shared" si="163"/>
        <v>0</v>
      </c>
      <c r="EG89" s="450">
        <f t="shared" si="242"/>
        <v>0</v>
      </c>
      <c r="EH89" s="449">
        <f t="shared" si="238"/>
        <v>315</v>
      </c>
      <c r="EI89" s="450">
        <f t="shared" si="243"/>
        <v>8.2399916668833475E-3</v>
      </c>
      <c r="EJ89" s="520"/>
      <c r="EK89" s="426">
        <v>1531</v>
      </c>
      <c r="EL89" s="427">
        <v>1250</v>
      </c>
      <c r="EM89" s="427">
        <f t="shared" si="185"/>
        <v>1920</v>
      </c>
      <c r="EN89" s="427">
        <f t="shared" si="164"/>
        <v>861</v>
      </c>
      <c r="EO89" s="427">
        <f t="shared" si="186"/>
        <v>34952</v>
      </c>
      <c r="EP89" s="456">
        <v>0</v>
      </c>
      <c r="EQ89" s="457"/>
      <c r="ER89" s="457">
        <f t="shared" si="187"/>
        <v>0</v>
      </c>
      <c r="ES89" s="457">
        <f t="shared" si="165"/>
        <v>0</v>
      </c>
      <c r="ET89" s="457">
        <f t="shared" si="188"/>
        <v>658</v>
      </c>
      <c r="EU89" s="409">
        <v>136</v>
      </c>
      <c r="EV89" s="43"/>
      <c r="EW89" s="43">
        <f t="shared" si="189"/>
        <v>133</v>
      </c>
      <c r="EX89" s="43">
        <f t="shared" si="166"/>
        <v>3</v>
      </c>
      <c r="EY89" s="43">
        <f t="shared" si="190"/>
        <v>467</v>
      </c>
      <c r="EZ89" s="436">
        <v>58</v>
      </c>
      <c r="FA89" s="437"/>
      <c r="FB89" s="437">
        <f t="shared" si="191"/>
        <v>50</v>
      </c>
      <c r="FC89" s="437">
        <f t="shared" si="167"/>
        <v>8</v>
      </c>
      <c r="FD89" s="437">
        <f t="shared" si="192"/>
        <v>590</v>
      </c>
      <c r="FE89" s="442">
        <v>200</v>
      </c>
      <c r="FF89" s="443"/>
      <c r="FG89" s="443">
        <f t="shared" si="193"/>
        <v>200</v>
      </c>
      <c r="FH89" s="443">
        <f t="shared" si="168"/>
        <v>0</v>
      </c>
      <c r="FI89" s="443">
        <f t="shared" si="194"/>
        <v>600</v>
      </c>
      <c r="FJ89" s="392">
        <v>700</v>
      </c>
      <c r="FK89" s="298"/>
      <c r="FL89" s="298">
        <f t="shared" si="195"/>
        <v>620</v>
      </c>
      <c r="FM89" s="298">
        <f t="shared" si="169"/>
        <v>80</v>
      </c>
      <c r="FN89" s="498">
        <f t="shared" si="196"/>
        <v>1280</v>
      </c>
      <c r="HC89" s="402"/>
      <c r="HD89" s="52"/>
      <c r="HE89" s="52">
        <f t="shared" si="197"/>
        <v>0</v>
      </c>
      <c r="HF89" s="52">
        <f t="shared" si="170"/>
        <v>0</v>
      </c>
      <c r="HG89" s="51"/>
      <c r="HH89" s="52">
        <f t="shared" si="240"/>
        <v>400</v>
      </c>
      <c r="HI89" s="51"/>
      <c r="HJ89" s="1047"/>
    </row>
    <row r="90" spans="1:218">
      <c r="A90" s="30">
        <v>44753</v>
      </c>
      <c r="B90" s="390">
        <v>548948</v>
      </c>
      <c r="C90" s="18">
        <f t="shared" si="147"/>
        <v>38777142</v>
      </c>
      <c r="D90" s="376">
        <v>7726.52</v>
      </c>
      <c r="E90" s="417">
        <f t="shared" si="255"/>
        <v>528212.99999999977</v>
      </c>
      <c r="F90" s="397">
        <v>25225</v>
      </c>
      <c r="G90" s="37">
        <v>30020</v>
      </c>
      <c r="H90" s="37">
        <f t="shared" si="171"/>
        <v>53245</v>
      </c>
      <c r="I90" s="37">
        <f t="shared" si="148"/>
        <v>2000</v>
      </c>
      <c r="J90" s="37">
        <f t="shared" si="146"/>
        <v>258.84874432474129</v>
      </c>
      <c r="K90" s="37">
        <f t="shared" si="198"/>
        <v>239022</v>
      </c>
      <c r="L90" s="37">
        <f t="shared" si="149"/>
        <v>452.51063491432456</v>
      </c>
      <c r="M90" s="648"/>
      <c r="N90" s="422">
        <v>150</v>
      </c>
      <c r="O90" s="423">
        <v>250</v>
      </c>
      <c r="P90" s="423">
        <f t="shared" si="199"/>
        <v>250</v>
      </c>
      <c r="Q90" s="423">
        <f t="shared" si="200"/>
        <v>150</v>
      </c>
      <c r="R90" s="423">
        <f t="shared" si="201"/>
        <v>6600</v>
      </c>
      <c r="S90" s="68">
        <v>9.4700000000000006</v>
      </c>
      <c r="T90" s="67">
        <v>24</v>
      </c>
      <c r="U90" s="68">
        <f t="shared" si="202"/>
        <v>113.64000000000001</v>
      </c>
      <c r="V90" s="68">
        <f t="shared" si="151"/>
        <v>14.7077856525318</v>
      </c>
      <c r="W90" s="423">
        <f t="shared" si="203"/>
        <v>6463.463999999999</v>
      </c>
      <c r="X90" s="68">
        <f t="shared" si="152"/>
        <v>12.23647278654634</v>
      </c>
      <c r="Y90" s="500"/>
      <c r="Z90" s="424">
        <v>175</v>
      </c>
      <c r="AA90" s="425"/>
      <c r="AB90" s="425">
        <f t="shared" si="204"/>
        <v>175</v>
      </c>
      <c r="AC90" s="425">
        <f t="shared" si="205"/>
        <v>0</v>
      </c>
      <c r="AD90" s="425">
        <f t="shared" si="206"/>
        <v>1025</v>
      </c>
      <c r="AE90" s="72">
        <v>2.19</v>
      </c>
      <c r="AF90" s="71">
        <v>12</v>
      </c>
      <c r="AG90" s="72">
        <f t="shared" si="207"/>
        <v>13.14</v>
      </c>
      <c r="AH90" s="72">
        <f t="shared" si="173"/>
        <v>1.7006362502135501</v>
      </c>
      <c r="AI90" s="425">
        <f t="shared" si="208"/>
        <v>948.49200000000008</v>
      </c>
      <c r="AJ90" s="72">
        <f t="shared" si="241"/>
        <v>1.795661977270534</v>
      </c>
      <c r="AK90" s="502"/>
      <c r="AL90" s="491">
        <v>40957</v>
      </c>
      <c r="AM90" s="491"/>
      <c r="AN90" s="492">
        <f t="shared" si="248"/>
        <v>40957</v>
      </c>
      <c r="AO90" s="492">
        <f t="shared" si="249"/>
        <v>0</v>
      </c>
      <c r="AP90" s="492">
        <f t="shared" si="250"/>
        <v>42616</v>
      </c>
      <c r="AQ90" s="493">
        <f t="shared" si="174"/>
        <v>80.679574338382466</v>
      </c>
      <c r="AR90" s="504"/>
      <c r="AS90" s="413">
        <v>49235</v>
      </c>
      <c r="AT90" s="64"/>
      <c r="AU90" s="66">
        <f t="shared" si="209"/>
        <v>49235</v>
      </c>
      <c r="AV90" s="66">
        <f t="shared" si="155"/>
        <v>0</v>
      </c>
      <c r="AW90" s="412">
        <f t="shared" si="156"/>
        <v>0</v>
      </c>
      <c r="AX90" s="66">
        <f t="shared" si="210"/>
        <v>0</v>
      </c>
      <c r="AY90" s="412">
        <f t="shared" si="211"/>
        <v>0</v>
      </c>
      <c r="AZ90" s="506"/>
      <c r="BA90" s="419">
        <v>45495</v>
      </c>
      <c r="BB90" s="419"/>
      <c r="BC90" s="407"/>
      <c r="BD90" s="419">
        <f t="shared" si="175"/>
        <v>45495</v>
      </c>
      <c r="BE90" s="419">
        <f t="shared" si="176"/>
        <v>0</v>
      </c>
      <c r="BF90" s="407">
        <f t="shared" si="212"/>
        <v>0</v>
      </c>
      <c r="BG90" s="419">
        <f t="shared" si="251"/>
        <v>0</v>
      </c>
      <c r="BH90" s="407">
        <f t="shared" si="213"/>
        <v>0</v>
      </c>
      <c r="BI90" s="407">
        <f t="shared" si="214"/>
        <v>0</v>
      </c>
      <c r="BJ90" s="508"/>
      <c r="BK90" s="510"/>
      <c r="BL90" s="49">
        <v>1503</v>
      </c>
      <c r="BM90" s="50"/>
      <c r="BN90" s="52">
        <f t="shared" si="215"/>
        <v>1481</v>
      </c>
      <c r="BO90" s="52">
        <f t="shared" si="157"/>
        <v>22</v>
      </c>
      <c r="BP90" s="406">
        <f t="shared" si="216"/>
        <v>4.0076655712380775E-2</v>
      </c>
      <c r="BQ90" s="52">
        <f t="shared" si="217"/>
        <v>14619</v>
      </c>
      <c r="BR90" s="406">
        <f t="shared" si="218"/>
        <v>0.37700045041999225</v>
      </c>
      <c r="BS90" s="512"/>
      <c r="BT90" s="409">
        <v>1845</v>
      </c>
      <c r="BU90" s="43"/>
      <c r="BV90" s="43">
        <f t="shared" si="245"/>
        <v>1835</v>
      </c>
      <c r="BW90" s="43">
        <f t="shared" si="246"/>
        <v>10</v>
      </c>
      <c r="BX90" s="42">
        <f t="shared" si="219"/>
        <v>1.8216661687445804E-2</v>
      </c>
      <c r="BY90" s="43">
        <f t="shared" si="247"/>
        <v>5552</v>
      </c>
      <c r="BZ90" s="42">
        <f t="shared" si="220"/>
        <v>0.14317713254886089</v>
      </c>
      <c r="CA90" s="514"/>
      <c r="CB90" s="392">
        <v>0</v>
      </c>
      <c r="CC90" s="298">
        <v>2300</v>
      </c>
      <c r="CD90" s="298">
        <f t="shared" si="177"/>
        <v>1495</v>
      </c>
      <c r="CE90" s="298">
        <f t="shared" si="158"/>
        <v>805</v>
      </c>
      <c r="CF90" s="297">
        <f t="shared" si="221"/>
        <v>1.4664412658393873</v>
      </c>
      <c r="CG90" s="298">
        <f t="shared" si="222"/>
        <v>34155</v>
      </c>
      <c r="CH90" s="297">
        <f t="shared" si="223"/>
        <v>0.88080240673745369</v>
      </c>
      <c r="CI90" s="516"/>
      <c r="CJ90" s="656">
        <v>0</v>
      </c>
      <c r="CK90" s="657"/>
      <c r="CL90" s="657">
        <f t="shared" si="252"/>
        <v>0</v>
      </c>
      <c r="CM90" s="657">
        <f t="shared" si="253"/>
        <v>0</v>
      </c>
      <c r="CN90" s="659">
        <f t="shared" si="254"/>
        <v>0</v>
      </c>
      <c r="CO90" s="464">
        <v>278</v>
      </c>
      <c r="CP90" s="465"/>
      <c r="CQ90" s="465">
        <f t="shared" si="178"/>
        <v>278</v>
      </c>
      <c r="CR90" s="465">
        <f t="shared" si="159"/>
        <v>0</v>
      </c>
      <c r="CS90" s="486">
        <f t="shared" si="224"/>
        <v>0</v>
      </c>
      <c r="CT90" s="465">
        <f t="shared" si="225"/>
        <v>977</v>
      </c>
      <c r="CU90" s="486">
        <f t="shared" si="226"/>
        <v>2.5195255493558551E-2</v>
      </c>
      <c r="CV90" s="518"/>
      <c r="CW90" s="427">
        <v>5</v>
      </c>
      <c r="CX90" s="427"/>
      <c r="CY90" s="427">
        <f t="shared" si="227"/>
        <v>5</v>
      </c>
      <c r="CZ90" s="427">
        <f t="shared" si="228"/>
        <v>0</v>
      </c>
      <c r="DA90" s="607">
        <f t="shared" si="244"/>
        <v>0</v>
      </c>
      <c r="DB90" s="607">
        <f t="shared" si="229"/>
        <v>40</v>
      </c>
      <c r="DC90" s="607">
        <f t="shared" si="179"/>
        <v>1.0315355370955394E-3</v>
      </c>
      <c r="DD90" s="609"/>
      <c r="DE90" s="471">
        <v>5.6</v>
      </c>
      <c r="DF90" s="473"/>
      <c r="DG90" s="473">
        <f t="shared" si="180"/>
        <v>5.6</v>
      </c>
      <c r="DH90" s="473">
        <f t="shared" si="160"/>
        <v>0</v>
      </c>
      <c r="DI90" s="227">
        <f t="shared" si="230"/>
        <v>0</v>
      </c>
      <c r="DJ90" s="473">
        <f t="shared" si="231"/>
        <v>5.6</v>
      </c>
      <c r="DK90" s="227">
        <f t="shared" si="232"/>
        <v>1.4441497519337553E-4</v>
      </c>
      <c r="DL90" s="510"/>
      <c r="DM90" s="63">
        <v>500</v>
      </c>
      <c r="DN90" s="64"/>
      <c r="DO90" s="66">
        <f t="shared" si="233"/>
        <v>400</v>
      </c>
      <c r="DP90" s="66">
        <f t="shared" si="161"/>
        <v>100</v>
      </c>
      <c r="DQ90" s="412">
        <f t="shared" si="234"/>
        <v>0.18216661687445806</v>
      </c>
      <c r="DR90" s="66">
        <f t="shared" si="235"/>
        <v>10200</v>
      </c>
      <c r="DS90" s="412">
        <f t="shared" si="236"/>
        <v>0.26304156195936257</v>
      </c>
      <c r="DT90" s="506"/>
      <c r="DU90" s="596">
        <v>40</v>
      </c>
      <c r="DV90" s="596"/>
      <c r="DW90" s="596">
        <f t="shared" si="181"/>
        <v>40</v>
      </c>
      <c r="DX90" s="596">
        <f t="shared" si="162"/>
        <v>0</v>
      </c>
      <c r="DY90" s="592">
        <f t="shared" si="182"/>
        <v>0</v>
      </c>
      <c r="DZ90" s="596">
        <f t="shared" si="237"/>
        <v>2760</v>
      </c>
      <c r="EA90" s="592">
        <f t="shared" si="183"/>
        <v>7.1175952059592221E-2</v>
      </c>
      <c r="EB90" s="594"/>
      <c r="EC90" s="448">
        <v>55</v>
      </c>
      <c r="ED90" s="449"/>
      <c r="EE90" s="449">
        <f t="shared" si="184"/>
        <v>55</v>
      </c>
      <c r="EF90" s="449">
        <f t="shared" si="163"/>
        <v>0</v>
      </c>
      <c r="EG90" s="450">
        <f t="shared" si="242"/>
        <v>0</v>
      </c>
      <c r="EH90" s="449">
        <f t="shared" si="238"/>
        <v>315</v>
      </c>
      <c r="EI90" s="450">
        <f t="shared" si="243"/>
        <v>8.123342354627373E-3</v>
      </c>
      <c r="EJ90" s="520"/>
      <c r="EK90" s="426">
        <v>1920</v>
      </c>
      <c r="EL90" s="427"/>
      <c r="EM90" s="427">
        <f t="shared" si="185"/>
        <v>1338</v>
      </c>
      <c r="EN90" s="427">
        <f t="shared" si="164"/>
        <v>582</v>
      </c>
      <c r="EO90" s="427">
        <f t="shared" si="186"/>
        <v>35534</v>
      </c>
      <c r="EP90" s="456">
        <v>0</v>
      </c>
      <c r="EQ90" s="457"/>
      <c r="ER90" s="457">
        <f t="shared" si="187"/>
        <v>0</v>
      </c>
      <c r="ES90" s="457">
        <f t="shared" si="165"/>
        <v>0</v>
      </c>
      <c r="ET90" s="457">
        <f t="shared" si="188"/>
        <v>658</v>
      </c>
      <c r="EU90" s="409">
        <v>133</v>
      </c>
      <c r="EV90" s="43"/>
      <c r="EW90" s="43">
        <f t="shared" si="189"/>
        <v>124</v>
      </c>
      <c r="EX90" s="43">
        <f t="shared" si="166"/>
        <v>9</v>
      </c>
      <c r="EY90" s="43">
        <f t="shared" si="190"/>
        <v>476</v>
      </c>
      <c r="EZ90" s="436">
        <v>50</v>
      </c>
      <c r="FA90" s="437"/>
      <c r="FB90" s="437">
        <f t="shared" si="191"/>
        <v>40</v>
      </c>
      <c r="FC90" s="437">
        <f t="shared" si="167"/>
        <v>10</v>
      </c>
      <c r="FD90" s="437">
        <f t="shared" si="192"/>
        <v>600</v>
      </c>
      <c r="FE90" s="442">
        <v>200</v>
      </c>
      <c r="FF90" s="443"/>
      <c r="FG90" s="443">
        <f t="shared" si="193"/>
        <v>175</v>
      </c>
      <c r="FH90" s="443">
        <f t="shared" si="168"/>
        <v>25</v>
      </c>
      <c r="FI90" s="443">
        <f t="shared" si="194"/>
        <v>625</v>
      </c>
      <c r="FJ90" s="392">
        <v>620</v>
      </c>
      <c r="FK90" s="298"/>
      <c r="FL90" s="298">
        <f t="shared" si="195"/>
        <v>600</v>
      </c>
      <c r="FM90" s="298">
        <f t="shared" si="169"/>
        <v>20</v>
      </c>
      <c r="FN90" s="498">
        <f t="shared" si="196"/>
        <v>1300</v>
      </c>
      <c r="HC90" s="402"/>
      <c r="HD90" s="52"/>
      <c r="HE90" s="52">
        <f t="shared" si="197"/>
        <v>0</v>
      </c>
      <c r="HF90" s="52">
        <f t="shared" si="170"/>
        <v>0</v>
      </c>
      <c r="HG90" s="51"/>
      <c r="HH90" s="52">
        <f t="shared" si="240"/>
        <v>400</v>
      </c>
      <c r="HI90" s="51"/>
      <c r="HJ90" s="1047"/>
    </row>
    <row r="91" spans="1:218">
      <c r="A91" s="30">
        <v>44754</v>
      </c>
      <c r="B91" s="390">
        <v>549115</v>
      </c>
      <c r="C91" s="18">
        <f t="shared" si="147"/>
        <v>39326257</v>
      </c>
      <c r="D91" s="376">
        <v>8006.66</v>
      </c>
      <c r="E91" s="417">
        <f t="shared" si="255"/>
        <v>536219.6599999998</v>
      </c>
      <c r="F91" s="397">
        <v>53245</v>
      </c>
      <c r="G91" s="37"/>
      <c r="H91" s="37">
        <f t="shared" si="171"/>
        <v>51582</v>
      </c>
      <c r="I91" s="37">
        <f t="shared" si="148"/>
        <v>1663</v>
      </c>
      <c r="J91" s="37">
        <f t="shared" si="146"/>
        <v>207.70208801173024</v>
      </c>
      <c r="K91" s="37">
        <f t="shared" si="198"/>
        <v>240685</v>
      </c>
      <c r="L91" s="37">
        <f t="shared" si="149"/>
        <v>448.85523220092318</v>
      </c>
      <c r="M91" s="648"/>
      <c r="N91" s="422">
        <v>250</v>
      </c>
      <c r="O91" s="423"/>
      <c r="P91" s="423">
        <f t="shared" si="199"/>
        <v>175</v>
      </c>
      <c r="Q91" s="423">
        <f t="shared" si="200"/>
        <v>75</v>
      </c>
      <c r="R91" s="423">
        <f t="shared" si="201"/>
        <v>6675</v>
      </c>
      <c r="S91" s="68">
        <v>9.58</v>
      </c>
      <c r="T91" s="67">
        <v>24</v>
      </c>
      <c r="U91" s="68">
        <f t="shared" si="202"/>
        <v>114.96000000000001</v>
      </c>
      <c r="V91" s="68">
        <f t="shared" si="151"/>
        <v>14.358046925934161</v>
      </c>
      <c r="W91" s="423">
        <f t="shared" si="203"/>
        <v>6578.4239999999991</v>
      </c>
      <c r="X91" s="68">
        <f t="shared" si="152"/>
        <v>12.268151451216841</v>
      </c>
      <c r="Y91" s="500"/>
      <c r="Z91" s="424">
        <v>175</v>
      </c>
      <c r="AA91" s="425"/>
      <c r="AB91" s="425">
        <f t="shared" si="204"/>
        <v>150</v>
      </c>
      <c r="AC91" s="425">
        <f t="shared" si="205"/>
        <v>25</v>
      </c>
      <c r="AD91" s="425">
        <f t="shared" si="206"/>
        <v>1050</v>
      </c>
      <c r="AE91" s="72">
        <v>2.2799999999999998</v>
      </c>
      <c r="AF91" s="71">
        <v>12</v>
      </c>
      <c r="AG91" s="72">
        <f t="shared" si="207"/>
        <v>13.68</v>
      </c>
      <c r="AH91" s="72">
        <f t="shared" si="173"/>
        <v>1.7085776091403906</v>
      </c>
      <c r="AI91" s="425">
        <f t="shared" si="208"/>
        <v>962.17200000000003</v>
      </c>
      <c r="AJ91" s="72">
        <f t="shared" si="241"/>
        <v>1.794361661413161</v>
      </c>
      <c r="AK91" s="502"/>
      <c r="AL91" s="491">
        <v>40957</v>
      </c>
      <c r="AM91" s="491"/>
      <c r="AN91" s="492">
        <f t="shared" si="248"/>
        <v>40957</v>
      </c>
      <c r="AO91" s="492">
        <f t="shared" si="249"/>
        <v>0</v>
      </c>
      <c r="AP91" s="492">
        <f t="shared" si="250"/>
        <v>42616</v>
      </c>
      <c r="AQ91" s="493">
        <f t="shared" si="174"/>
        <v>79.474892807921321</v>
      </c>
      <c r="AR91" s="504"/>
      <c r="AS91" s="413">
        <v>49235</v>
      </c>
      <c r="AT91" s="64"/>
      <c r="AU91" s="66">
        <f t="shared" si="209"/>
        <v>49235</v>
      </c>
      <c r="AV91" s="66">
        <f t="shared" si="155"/>
        <v>0</v>
      </c>
      <c r="AW91" s="412">
        <f t="shared" si="156"/>
        <v>0</v>
      </c>
      <c r="AX91" s="66">
        <f t="shared" si="210"/>
        <v>0</v>
      </c>
      <c r="AY91" s="412">
        <f t="shared" si="211"/>
        <v>0</v>
      </c>
      <c r="AZ91" s="506"/>
      <c r="BA91" s="419">
        <v>45495</v>
      </c>
      <c r="BB91" s="419"/>
      <c r="BC91" s="407"/>
      <c r="BD91" s="419">
        <f t="shared" si="175"/>
        <v>45495</v>
      </c>
      <c r="BE91" s="419">
        <f t="shared" si="176"/>
        <v>0</v>
      </c>
      <c r="BF91" s="407">
        <f t="shared" si="212"/>
        <v>0</v>
      </c>
      <c r="BG91" s="419">
        <f t="shared" si="251"/>
        <v>0</v>
      </c>
      <c r="BH91" s="407">
        <f t="shared" si="213"/>
        <v>0</v>
      </c>
      <c r="BI91" s="407">
        <f t="shared" si="214"/>
        <v>0</v>
      </c>
      <c r="BJ91" s="508"/>
      <c r="BK91" s="510"/>
      <c r="BL91" s="49">
        <v>1481</v>
      </c>
      <c r="BM91" s="50"/>
      <c r="BN91" s="52">
        <f t="shared" si="215"/>
        <v>1425</v>
      </c>
      <c r="BO91" s="52">
        <f t="shared" si="157"/>
        <v>56</v>
      </c>
      <c r="BP91" s="406">
        <f t="shared" si="216"/>
        <v>0.10198228057874945</v>
      </c>
      <c r="BQ91" s="52">
        <f t="shared" si="217"/>
        <v>14675</v>
      </c>
      <c r="BR91" s="406">
        <f t="shared" si="218"/>
        <v>0.3731603544166433</v>
      </c>
      <c r="BS91" s="512"/>
      <c r="BT91" s="409">
        <v>1835</v>
      </c>
      <c r="BU91" s="43"/>
      <c r="BV91" s="43">
        <f t="shared" si="245"/>
        <v>1825</v>
      </c>
      <c r="BW91" s="43">
        <f t="shared" si="246"/>
        <v>10</v>
      </c>
      <c r="BX91" s="42">
        <f t="shared" si="219"/>
        <v>1.8211121531919543E-2</v>
      </c>
      <c r="BY91" s="43">
        <f t="shared" si="247"/>
        <v>5562</v>
      </c>
      <c r="BZ91" s="42">
        <f t="shared" si="220"/>
        <v>0.14143222427702692</v>
      </c>
      <c r="CA91" s="514"/>
      <c r="CB91" s="392">
        <v>1495</v>
      </c>
      <c r="CC91" s="298"/>
      <c r="CD91" s="298">
        <f t="shared" si="177"/>
        <v>747</v>
      </c>
      <c r="CE91" s="298">
        <f t="shared" si="158"/>
        <v>748</v>
      </c>
      <c r="CF91" s="297">
        <f t="shared" si="221"/>
        <v>1.3621918905875818</v>
      </c>
      <c r="CG91" s="298">
        <f t="shared" si="222"/>
        <v>34903</v>
      </c>
      <c r="CH91" s="297">
        <f t="shared" si="223"/>
        <v>0.88752407837847369</v>
      </c>
      <c r="CI91" s="516"/>
      <c r="CJ91" s="656">
        <v>0</v>
      </c>
      <c r="CK91" s="657">
        <v>1000</v>
      </c>
      <c r="CL91" s="657">
        <f t="shared" si="252"/>
        <v>750</v>
      </c>
      <c r="CM91" s="657">
        <f t="shared" si="253"/>
        <v>250</v>
      </c>
      <c r="CN91" s="659">
        <f t="shared" si="254"/>
        <v>250</v>
      </c>
      <c r="CO91" s="464">
        <v>278</v>
      </c>
      <c r="CP91" s="465"/>
      <c r="CQ91" s="465">
        <f t="shared" si="178"/>
        <v>220</v>
      </c>
      <c r="CR91" s="465">
        <f t="shared" si="159"/>
        <v>58</v>
      </c>
      <c r="CS91" s="486">
        <f t="shared" si="224"/>
        <v>0.10562450488513335</v>
      </c>
      <c r="CT91" s="465">
        <f t="shared" si="225"/>
        <v>1035</v>
      </c>
      <c r="CU91" s="486">
        <f t="shared" si="226"/>
        <v>2.631829416158268E-2</v>
      </c>
      <c r="CV91" s="518"/>
      <c r="CW91" s="427">
        <v>5</v>
      </c>
      <c r="CX91" s="427"/>
      <c r="CY91" s="427">
        <f t="shared" si="227"/>
        <v>5</v>
      </c>
      <c r="CZ91" s="427">
        <f t="shared" si="228"/>
        <v>0</v>
      </c>
      <c r="DA91" s="607">
        <f t="shared" si="244"/>
        <v>0</v>
      </c>
      <c r="DB91" s="607">
        <f t="shared" si="229"/>
        <v>40</v>
      </c>
      <c r="DC91" s="607">
        <f t="shared" si="179"/>
        <v>1.0171321415104418E-3</v>
      </c>
      <c r="DD91" s="609"/>
      <c r="DE91" s="471">
        <v>5.6</v>
      </c>
      <c r="DF91" s="473"/>
      <c r="DG91" s="473">
        <f t="shared" si="180"/>
        <v>5.6</v>
      </c>
      <c r="DH91" s="473">
        <f t="shared" si="160"/>
        <v>0</v>
      </c>
      <c r="DI91" s="227">
        <f t="shared" si="230"/>
        <v>0</v>
      </c>
      <c r="DJ91" s="473">
        <f t="shared" si="231"/>
        <v>5.6</v>
      </c>
      <c r="DK91" s="227">
        <f t="shared" si="232"/>
        <v>1.4239849981146185E-4</v>
      </c>
      <c r="DL91" s="510"/>
      <c r="DM91" s="63">
        <v>400</v>
      </c>
      <c r="DN91" s="64"/>
      <c r="DO91" s="66">
        <f t="shared" si="233"/>
        <v>282</v>
      </c>
      <c r="DP91" s="66">
        <f t="shared" si="161"/>
        <v>118</v>
      </c>
      <c r="DQ91" s="412">
        <f t="shared" si="234"/>
        <v>0.21489123407665062</v>
      </c>
      <c r="DR91" s="66">
        <f t="shared" si="235"/>
        <v>10318</v>
      </c>
      <c r="DS91" s="412">
        <f t="shared" si="236"/>
        <v>0.26236923590261846</v>
      </c>
      <c r="DT91" s="506"/>
      <c r="DU91" s="596">
        <v>40</v>
      </c>
      <c r="DV91" s="596"/>
      <c r="DW91" s="596">
        <f t="shared" si="181"/>
        <v>40</v>
      </c>
      <c r="DX91" s="596">
        <f t="shared" si="162"/>
        <v>0</v>
      </c>
      <c r="DY91" s="592">
        <f t="shared" si="182"/>
        <v>0</v>
      </c>
      <c r="DZ91" s="596">
        <f t="shared" si="237"/>
        <v>2760</v>
      </c>
      <c r="EA91" s="592">
        <f t="shared" si="183"/>
        <v>7.0182117764220481E-2</v>
      </c>
      <c r="EB91" s="594"/>
      <c r="EC91" s="448">
        <v>55</v>
      </c>
      <c r="ED91" s="449"/>
      <c r="EE91" s="449">
        <f t="shared" si="184"/>
        <v>55</v>
      </c>
      <c r="EF91" s="449">
        <f t="shared" si="163"/>
        <v>0</v>
      </c>
      <c r="EG91" s="450">
        <f t="shared" si="242"/>
        <v>0</v>
      </c>
      <c r="EH91" s="449">
        <f t="shared" si="238"/>
        <v>315</v>
      </c>
      <c r="EI91" s="450">
        <f t="shared" si="243"/>
        <v>8.0099156143947289E-3</v>
      </c>
      <c r="EJ91" s="520"/>
      <c r="EK91" s="426">
        <v>1338</v>
      </c>
      <c r="EL91" s="427"/>
      <c r="EM91" s="427">
        <f t="shared" si="185"/>
        <v>1000</v>
      </c>
      <c r="EN91" s="427">
        <f t="shared" si="164"/>
        <v>338</v>
      </c>
      <c r="EO91" s="427">
        <f t="shared" si="186"/>
        <v>35872</v>
      </c>
      <c r="EP91" s="456">
        <v>0</v>
      </c>
      <c r="EQ91" s="457"/>
      <c r="ER91" s="457">
        <f t="shared" si="187"/>
        <v>0</v>
      </c>
      <c r="ES91" s="457">
        <f t="shared" si="165"/>
        <v>0</v>
      </c>
      <c r="ET91" s="457">
        <f t="shared" si="188"/>
        <v>658</v>
      </c>
      <c r="EU91" s="409">
        <v>124</v>
      </c>
      <c r="EV91" s="43"/>
      <c r="EW91" s="43">
        <f t="shared" si="189"/>
        <v>118</v>
      </c>
      <c r="EX91" s="43">
        <f t="shared" si="166"/>
        <v>6</v>
      </c>
      <c r="EY91" s="43">
        <f t="shared" si="190"/>
        <v>482</v>
      </c>
      <c r="EZ91" s="436">
        <v>40</v>
      </c>
      <c r="FA91" s="437"/>
      <c r="FB91" s="437">
        <f t="shared" si="191"/>
        <v>36</v>
      </c>
      <c r="FC91" s="437">
        <f t="shared" si="167"/>
        <v>4</v>
      </c>
      <c r="FD91" s="437">
        <f t="shared" si="192"/>
        <v>604</v>
      </c>
      <c r="FE91" s="442">
        <v>175</v>
      </c>
      <c r="FF91" s="443"/>
      <c r="FG91" s="443">
        <f t="shared" si="193"/>
        <v>175</v>
      </c>
      <c r="FH91" s="443">
        <f t="shared" si="168"/>
        <v>0</v>
      </c>
      <c r="FI91" s="443">
        <f t="shared" si="194"/>
        <v>625</v>
      </c>
      <c r="FJ91" s="392">
        <v>600</v>
      </c>
      <c r="FK91" s="298"/>
      <c r="FL91" s="298">
        <f t="shared" si="195"/>
        <v>590</v>
      </c>
      <c r="FM91" s="298">
        <f t="shared" si="169"/>
        <v>10</v>
      </c>
      <c r="FN91" s="498">
        <f t="shared" si="196"/>
        <v>1310</v>
      </c>
      <c r="HC91" s="402"/>
      <c r="HD91" s="52"/>
      <c r="HE91" s="52">
        <f t="shared" si="197"/>
        <v>0</v>
      </c>
      <c r="HF91" s="52">
        <f t="shared" si="170"/>
        <v>0</v>
      </c>
      <c r="HG91" s="51"/>
      <c r="HH91" s="52">
        <f t="shared" si="240"/>
        <v>400</v>
      </c>
      <c r="HI91" s="51"/>
      <c r="HJ91" s="1047"/>
    </row>
    <row r="92" spans="1:218">
      <c r="A92" s="30">
        <v>44755</v>
      </c>
      <c r="B92" s="390">
        <v>531889</v>
      </c>
      <c r="C92" s="18">
        <f t="shared" si="147"/>
        <v>39858146</v>
      </c>
      <c r="D92" s="376">
        <v>8253.9</v>
      </c>
      <c r="E92" s="417">
        <f t="shared" si="255"/>
        <v>544473.55999999982</v>
      </c>
      <c r="F92" s="397">
        <v>51582</v>
      </c>
      <c r="G92" s="37"/>
      <c r="H92" s="37">
        <f t="shared" si="171"/>
        <v>49582</v>
      </c>
      <c r="I92" s="37">
        <f t="shared" si="148"/>
        <v>2000</v>
      </c>
      <c r="J92" s="37">
        <f t="shared" si="146"/>
        <v>242.30969602248635</v>
      </c>
      <c r="K92" s="37">
        <f t="shared" si="198"/>
        <v>242685</v>
      </c>
      <c r="L92" s="37">
        <f t="shared" si="149"/>
        <v>445.72412294914756</v>
      </c>
      <c r="M92" s="648"/>
      <c r="N92" s="422">
        <v>175</v>
      </c>
      <c r="O92" s="423">
        <v>125</v>
      </c>
      <c r="P92" s="423">
        <f t="shared" si="199"/>
        <v>150</v>
      </c>
      <c r="Q92" s="423">
        <f t="shared" si="200"/>
        <v>150</v>
      </c>
      <c r="R92" s="423">
        <f t="shared" si="201"/>
        <v>6825</v>
      </c>
      <c r="S92" s="68">
        <v>10.06</v>
      </c>
      <c r="T92" s="67">
        <v>24</v>
      </c>
      <c r="U92" s="68">
        <f t="shared" si="202"/>
        <v>120.72</v>
      </c>
      <c r="V92" s="68">
        <f t="shared" si="151"/>
        <v>14.625813251917275</v>
      </c>
      <c r="W92" s="423">
        <f t="shared" si="203"/>
        <v>6699.1439999999993</v>
      </c>
      <c r="X92" s="68">
        <f t="shared" si="152"/>
        <v>12.303892222057581</v>
      </c>
      <c r="Y92" s="500"/>
      <c r="Z92" s="424">
        <v>150</v>
      </c>
      <c r="AA92" s="425"/>
      <c r="AB92" s="425">
        <f t="shared" si="204"/>
        <v>150</v>
      </c>
      <c r="AC92" s="425">
        <f t="shared" si="205"/>
        <v>0</v>
      </c>
      <c r="AD92" s="425">
        <f t="shared" si="206"/>
        <v>1050</v>
      </c>
      <c r="AE92" s="72">
        <v>2.33</v>
      </c>
      <c r="AF92" s="71">
        <v>12</v>
      </c>
      <c r="AG92" s="72">
        <f t="shared" si="207"/>
        <v>13.98</v>
      </c>
      <c r="AH92" s="72">
        <f t="shared" si="173"/>
        <v>1.6937447751971797</v>
      </c>
      <c r="AI92" s="425">
        <f t="shared" si="208"/>
        <v>976.15200000000004</v>
      </c>
      <c r="AJ92" s="72">
        <f t="shared" si="241"/>
        <v>1.7928363683995974</v>
      </c>
      <c r="AK92" s="502"/>
      <c r="AL92" s="491">
        <v>40957</v>
      </c>
      <c r="AM92" s="491"/>
      <c r="AN92" s="492">
        <f t="shared" si="248"/>
        <v>40957</v>
      </c>
      <c r="AO92" s="492">
        <f t="shared" si="249"/>
        <v>0</v>
      </c>
      <c r="AP92" s="492">
        <f t="shared" si="250"/>
        <v>42616</v>
      </c>
      <c r="AQ92" s="493">
        <f t="shared" si="174"/>
        <v>78.270100021018493</v>
      </c>
      <c r="AR92" s="504"/>
      <c r="AS92" s="413">
        <v>49235</v>
      </c>
      <c r="AT92" s="64"/>
      <c r="AU92" s="66">
        <f t="shared" si="209"/>
        <v>49235</v>
      </c>
      <c r="AV92" s="66">
        <f t="shared" si="155"/>
        <v>0</v>
      </c>
      <c r="AW92" s="412">
        <f t="shared" si="156"/>
        <v>0</v>
      </c>
      <c r="AX92" s="66">
        <f t="shared" si="210"/>
        <v>0</v>
      </c>
      <c r="AY92" s="412">
        <f t="shared" si="211"/>
        <v>0</v>
      </c>
      <c r="AZ92" s="506"/>
      <c r="BA92" s="419">
        <v>45495</v>
      </c>
      <c r="BB92" s="419"/>
      <c r="BC92" s="407"/>
      <c r="BD92" s="419">
        <f t="shared" si="175"/>
        <v>45495</v>
      </c>
      <c r="BE92" s="419">
        <f t="shared" si="176"/>
        <v>0</v>
      </c>
      <c r="BF92" s="407">
        <f t="shared" si="212"/>
        <v>0</v>
      </c>
      <c r="BG92" s="419">
        <f t="shared" si="251"/>
        <v>0</v>
      </c>
      <c r="BH92" s="407">
        <f t="shared" si="213"/>
        <v>0</v>
      </c>
      <c r="BI92" s="407">
        <f t="shared" si="214"/>
        <v>0</v>
      </c>
      <c r="BJ92" s="508"/>
      <c r="BK92" s="510"/>
      <c r="BL92" s="49">
        <v>1425</v>
      </c>
      <c r="BM92" s="50"/>
      <c r="BN92" s="52">
        <f t="shared" si="215"/>
        <v>1407</v>
      </c>
      <c r="BO92" s="52">
        <f t="shared" si="157"/>
        <v>18</v>
      </c>
      <c r="BP92" s="406">
        <f t="shared" si="216"/>
        <v>3.3841647411395989E-2</v>
      </c>
      <c r="BQ92" s="52">
        <f t="shared" si="217"/>
        <v>14693</v>
      </c>
      <c r="BR92" s="406">
        <f t="shared" si="218"/>
        <v>0.36863229915410517</v>
      </c>
      <c r="BS92" s="512"/>
      <c r="BT92" s="409">
        <v>1825</v>
      </c>
      <c r="BU92" s="43"/>
      <c r="BV92" s="43">
        <f t="shared" si="245"/>
        <v>1815</v>
      </c>
      <c r="BW92" s="43">
        <f t="shared" si="246"/>
        <v>10</v>
      </c>
      <c r="BX92" s="42">
        <f t="shared" si="219"/>
        <v>1.8800915228553327E-2</v>
      </c>
      <c r="BY92" s="43">
        <f t="shared" si="247"/>
        <v>5572</v>
      </c>
      <c r="BZ92" s="42">
        <f t="shared" si="220"/>
        <v>0.13979576471017996</v>
      </c>
      <c r="CA92" s="514"/>
      <c r="CB92" s="392">
        <v>747</v>
      </c>
      <c r="CC92" s="298"/>
      <c r="CD92" s="298">
        <f t="shared" si="177"/>
        <v>115</v>
      </c>
      <c r="CE92" s="298">
        <f t="shared" si="158"/>
        <v>632</v>
      </c>
      <c r="CF92" s="297">
        <f t="shared" si="221"/>
        <v>1.1882178424445702</v>
      </c>
      <c r="CG92" s="298">
        <f t="shared" si="222"/>
        <v>35535</v>
      </c>
      <c r="CH92" s="297">
        <f t="shared" si="223"/>
        <v>0.89153670118023054</v>
      </c>
      <c r="CI92" s="516"/>
      <c r="CJ92" s="656">
        <v>750</v>
      </c>
      <c r="CK92" s="657"/>
      <c r="CL92" s="657">
        <f t="shared" si="252"/>
        <v>450</v>
      </c>
      <c r="CM92" s="657">
        <f t="shared" si="253"/>
        <v>300</v>
      </c>
      <c r="CN92" s="659">
        <f t="shared" si="254"/>
        <v>550</v>
      </c>
      <c r="CO92" s="464">
        <f>220</f>
        <v>220</v>
      </c>
      <c r="CP92" s="465"/>
      <c r="CQ92" s="465">
        <f t="shared" si="178"/>
        <v>220</v>
      </c>
      <c r="CR92" s="465">
        <f t="shared" si="159"/>
        <v>0</v>
      </c>
      <c r="CS92" s="486">
        <f t="shared" si="224"/>
        <v>0</v>
      </c>
      <c r="CT92" s="465">
        <f t="shared" si="225"/>
        <v>1035</v>
      </c>
      <c r="CU92" s="486">
        <f t="shared" si="226"/>
        <v>2.5967088383890211E-2</v>
      </c>
      <c r="CV92" s="518"/>
      <c r="CW92" s="427">
        <v>5</v>
      </c>
      <c r="CX92" s="427"/>
      <c r="CY92" s="427">
        <f t="shared" si="227"/>
        <v>5</v>
      </c>
      <c r="CZ92" s="427">
        <f t="shared" si="228"/>
        <v>0</v>
      </c>
      <c r="DA92" s="607">
        <f t="shared" si="244"/>
        <v>0</v>
      </c>
      <c r="DB92" s="607">
        <f t="shared" si="229"/>
        <v>40</v>
      </c>
      <c r="DC92" s="607">
        <f t="shared" si="179"/>
        <v>1.0035589713580757E-3</v>
      </c>
      <c r="DD92" s="609"/>
      <c r="DE92" s="471">
        <v>5.6</v>
      </c>
      <c r="DF92" s="473"/>
      <c r="DG92" s="473">
        <f t="shared" si="180"/>
        <v>5.6</v>
      </c>
      <c r="DH92" s="473">
        <f t="shared" si="160"/>
        <v>0</v>
      </c>
      <c r="DI92" s="227">
        <f t="shared" si="230"/>
        <v>0</v>
      </c>
      <c r="DJ92" s="473">
        <f t="shared" si="231"/>
        <v>5.6</v>
      </c>
      <c r="DK92" s="227">
        <f t="shared" si="232"/>
        <v>1.4049825599013059E-4</v>
      </c>
      <c r="DL92" s="510"/>
      <c r="DM92" s="63">
        <v>282</v>
      </c>
      <c r="DN92" s="64"/>
      <c r="DO92" s="66">
        <f t="shared" si="233"/>
        <v>200</v>
      </c>
      <c r="DP92" s="66">
        <f t="shared" si="161"/>
        <v>82</v>
      </c>
      <c r="DQ92" s="412">
        <f t="shared" si="234"/>
        <v>0.15416750487413727</v>
      </c>
      <c r="DR92" s="66">
        <f t="shared" si="235"/>
        <v>10400</v>
      </c>
      <c r="DS92" s="412">
        <f t="shared" si="236"/>
        <v>0.26092533255309969</v>
      </c>
      <c r="DT92" s="506"/>
      <c r="DU92" s="596">
        <v>40</v>
      </c>
      <c r="DV92" s="596"/>
      <c r="DW92" s="596">
        <f t="shared" si="181"/>
        <v>40</v>
      </c>
      <c r="DX92" s="596">
        <f t="shared" si="162"/>
        <v>0</v>
      </c>
      <c r="DY92" s="592">
        <f t="shared" si="182"/>
        <v>0</v>
      </c>
      <c r="DZ92" s="596">
        <f t="shared" si="237"/>
        <v>2760</v>
      </c>
      <c r="EA92" s="592">
        <f t="shared" si="183"/>
        <v>6.9245569023707224E-2</v>
      </c>
      <c r="EB92" s="594"/>
      <c r="EC92" s="448">
        <v>55</v>
      </c>
      <c r="ED92" s="449"/>
      <c r="EE92" s="449">
        <f t="shared" si="184"/>
        <v>55</v>
      </c>
      <c r="EF92" s="449">
        <f t="shared" si="163"/>
        <v>0</v>
      </c>
      <c r="EG92" s="450">
        <f t="shared" si="242"/>
        <v>0</v>
      </c>
      <c r="EH92" s="449">
        <f t="shared" si="238"/>
        <v>315</v>
      </c>
      <c r="EI92" s="450">
        <f t="shared" si="243"/>
        <v>7.9030268994448455E-3</v>
      </c>
      <c r="EJ92" s="520"/>
      <c r="EK92" s="426">
        <v>1000</v>
      </c>
      <c r="EL92" s="427">
        <v>2500</v>
      </c>
      <c r="EM92" s="427">
        <f t="shared" si="185"/>
        <v>3238</v>
      </c>
      <c r="EN92" s="427">
        <f t="shared" si="164"/>
        <v>262</v>
      </c>
      <c r="EO92" s="427">
        <f t="shared" si="186"/>
        <v>36134</v>
      </c>
      <c r="EP92" s="456">
        <v>0</v>
      </c>
      <c r="EQ92" s="457">
        <v>140</v>
      </c>
      <c r="ER92" s="457">
        <f t="shared" si="187"/>
        <v>112</v>
      </c>
      <c r="ES92" s="457">
        <f t="shared" si="165"/>
        <v>28</v>
      </c>
      <c r="ET92" s="457">
        <f t="shared" si="188"/>
        <v>686</v>
      </c>
      <c r="EU92" s="409">
        <v>118</v>
      </c>
      <c r="EV92" s="43"/>
      <c r="EW92" s="43">
        <f t="shared" si="189"/>
        <v>107</v>
      </c>
      <c r="EX92" s="43">
        <f t="shared" si="166"/>
        <v>11</v>
      </c>
      <c r="EY92" s="43">
        <f t="shared" si="190"/>
        <v>493</v>
      </c>
      <c r="EZ92" s="436">
        <v>36</v>
      </c>
      <c r="FA92" s="437"/>
      <c r="FB92" s="437">
        <f t="shared" si="191"/>
        <v>31</v>
      </c>
      <c r="FC92" s="437">
        <f t="shared" si="167"/>
        <v>5</v>
      </c>
      <c r="FD92" s="437">
        <f t="shared" si="192"/>
        <v>609</v>
      </c>
      <c r="FE92" s="442">
        <v>175</v>
      </c>
      <c r="FF92" s="443"/>
      <c r="FG92" s="443">
        <f t="shared" si="193"/>
        <v>150</v>
      </c>
      <c r="FH92" s="443">
        <f t="shared" si="168"/>
        <v>25</v>
      </c>
      <c r="FI92" s="443">
        <f t="shared" si="194"/>
        <v>650</v>
      </c>
      <c r="FJ92" s="392">
        <v>590</v>
      </c>
      <c r="FK92" s="298"/>
      <c r="FL92" s="298">
        <f t="shared" si="195"/>
        <v>520</v>
      </c>
      <c r="FM92" s="298">
        <f t="shared" si="169"/>
        <v>70</v>
      </c>
      <c r="FN92" s="498">
        <f t="shared" si="196"/>
        <v>1380</v>
      </c>
      <c r="HC92" s="402"/>
      <c r="HD92" s="52"/>
      <c r="HE92" s="52">
        <f t="shared" si="197"/>
        <v>0</v>
      </c>
      <c r="HF92" s="52">
        <f t="shared" si="170"/>
        <v>0</v>
      </c>
      <c r="HG92" s="51"/>
      <c r="HH92" s="52">
        <f t="shared" si="240"/>
        <v>400</v>
      </c>
      <c r="HI92" s="51"/>
      <c r="HJ92" s="1047"/>
    </row>
    <row r="93" spans="1:218">
      <c r="A93" s="30">
        <v>44756</v>
      </c>
      <c r="B93" s="390">
        <v>570271</v>
      </c>
      <c r="C93" s="18">
        <f t="shared" si="147"/>
        <v>40428417</v>
      </c>
      <c r="D93" s="376">
        <v>8441.9</v>
      </c>
      <c r="E93" s="417">
        <f t="shared" si="255"/>
        <v>552915.45999999985</v>
      </c>
      <c r="F93" s="397">
        <v>49582</v>
      </c>
      <c r="G93" s="37"/>
      <c r="H93" s="37">
        <f t="shared" si="171"/>
        <v>46582</v>
      </c>
      <c r="I93" s="37">
        <f t="shared" si="148"/>
        <v>3000</v>
      </c>
      <c r="J93" s="37">
        <f t="shared" si="146"/>
        <v>355.37023655812084</v>
      </c>
      <c r="K93" s="37">
        <f t="shared" si="198"/>
        <v>245685</v>
      </c>
      <c r="L93" s="37">
        <f t="shared" si="149"/>
        <v>444.34460197586094</v>
      </c>
      <c r="M93" s="648"/>
      <c r="N93" s="422">
        <v>150</v>
      </c>
      <c r="O93" s="423">
        <v>250</v>
      </c>
      <c r="P93" s="423">
        <f t="shared" si="199"/>
        <v>275</v>
      </c>
      <c r="Q93" s="423">
        <f t="shared" si="200"/>
        <v>125</v>
      </c>
      <c r="R93" s="423">
        <f t="shared" si="201"/>
        <v>6950</v>
      </c>
      <c r="S93" s="68">
        <v>9.91</v>
      </c>
      <c r="T93" s="67">
        <v>24</v>
      </c>
      <c r="U93" s="68">
        <f t="shared" si="202"/>
        <v>118.92</v>
      </c>
      <c r="V93" s="68">
        <f t="shared" si="151"/>
        <v>14.086876177163909</v>
      </c>
      <c r="W93" s="423">
        <f t="shared" si="203"/>
        <v>6818.0639999999994</v>
      </c>
      <c r="X93" s="68">
        <f t="shared" si="152"/>
        <v>12.331114778378598</v>
      </c>
      <c r="Y93" s="500"/>
      <c r="Z93" s="424">
        <v>150</v>
      </c>
      <c r="AA93" s="425"/>
      <c r="AB93" s="425">
        <f t="shared" si="204"/>
        <v>125</v>
      </c>
      <c r="AC93" s="425">
        <f t="shared" si="205"/>
        <v>25</v>
      </c>
      <c r="AD93" s="425">
        <f t="shared" si="206"/>
        <v>1075</v>
      </c>
      <c r="AE93" s="72">
        <v>2.7</v>
      </c>
      <c r="AF93" s="71">
        <v>12</v>
      </c>
      <c r="AG93" s="72">
        <f t="shared" si="207"/>
        <v>16.200000000000003</v>
      </c>
      <c r="AH93" s="72">
        <f t="shared" si="173"/>
        <v>1.9189992774138529</v>
      </c>
      <c r="AI93" s="425">
        <f t="shared" si="208"/>
        <v>992.35200000000009</v>
      </c>
      <c r="AJ93" s="72">
        <f t="shared" si="241"/>
        <v>1.7947626206726077</v>
      </c>
      <c r="AK93" s="502"/>
      <c r="AL93" s="491">
        <v>40957</v>
      </c>
      <c r="AM93" s="491"/>
      <c r="AN93" s="492">
        <f t="shared" si="248"/>
        <v>40957</v>
      </c>
      <c r="AO93" s="492">
        <f t="shared" si="249"/>
        <v>0</v>
      </c>
      <c r="AP93" s="492">
        <f t="shared" si="250"/>
        <v>42616</v>
      </c>
      <c r="AQ93" s="493">
        <f t="shared" si="174"/>
        <v>77.075074008601632</v>
      </c>
      <c r="AR93" s="504"/>
      <c r="AS93" s="413">
        <v>49235</v>
      </c>
      <c r="AT93" s="64"/>
      <c r="AU93" s="66">
        <f t="shared" si="209"/>
        <v>49235</v>
      </c>
      <c r="AV93" s="66">
        <f t="shared" si="155"/>
        <v>0</v>
      </c>
      <c r="AW93" s="412">
        <f t="shared" si="156"/>
        <v>0</v>
      </c>
      <c r="AX93" s="66">
        <f t="shared" si="210"/>
        <v>0</v>
      </c>
      <c r="AY93" s="412">
        <f t="shared" si="211"/>
        <v>0</v>
      </c>
      <c r="AZ93" s="506"/>
      <c r="BA93" s="419">
        <v>45495</v>
      </c>
      <c r="BB93" s="419"/>
      <c r="BC93" s="407"/>
      <c r="BD93" s="419">
        <f t="shared" si="175"/>
        <v>45495</v>
      </c>
      <c r="BE93" s="419">
        <f t="shared" si="176"/>
        <v>0</v>
      </c>
      <c r="BF93" s="407">
        <f t="shared" si="212"/>
        <v>0</v>
      </c>
      <c r="BG93" s="419">
        <f t="shared" si="251"/>
        <v>0</v>
      </c>
      <c r="BH93" s="407">
        <f t="shared" si="213"/>
        <v>0</v>
      </c>
      <c r="BI93" s="407">
        <f t="shared" si="214"/>
        <v>0</v>
      </c>
      <c r="BJ93" s="508"/>
      <c r="BK93" s="510"/>
      <c r="BL93" s="49">
        <v>1407</v>
      </c>
      <c r="BM93" s="50"/>
      <c r="BN93" s="52">
        <f t="shared" si="215"/>
        <v>1366</v>
      </c>
      <c r="BO93" s="52">
        <f t="shared" si="157"/>
        <v>41</v>
      </c>
      <c r="BP93" s="406">
        <f t="shared" si="216"/>
        <v>7.1895642597992887E-2</v>
      </c>
      <c r="BQ93" s="52">
        <f t="shared" si="217"/>
        <v>14734</v>
      </c>
      <c r="BR93" s="406">
        <f t="shared" si="218"/>
        <v>0.36444662179080622</v>
      </c>
      <c r="BS93" s="512"/>
      <c r="BT93" s="409">
        <v>1815</v>
      </c>
      <c r="BU93" s="43"/>
      <c r="BV93" s="43">
        <f t="shared" si="245"/>
        <v>1805</v>
      </c>
      <c r="BW93" s="43">
        <f t="shared" si="246"/>
        <v>10</v>
      </c>
      <c r="BX93" s="42">
        <f t="shared" si="219"/>
        <v>1.7535522584876312E-2</v>
      </c>
      <c r="BY93" s="43">
        <f t="shared" si="247"/>
        <v>5582</v>
      </c>
      <c r="BZ93" s="42">
        <f t="shared" si="220"/>
        <v>0.13807119878079818</v>
      </c>
      <c r="CA93" s="514"/>
      <c r="CB93" s="392">
        <v>115</v>
      </c>
      <c r="CC93" s="298"/>
      <c r="CD93" s="298">
        <f t="shared" si="177"/>
        <v>0</v>
      </c>
      <c r="CE93" s="298">
        <f t="shared" si="158"/>
        <v>115</v>
      </c>
      <c r="CF93" s="297">
        <f t="shared" si="221"/>
        <v>0.2016585097260776</v>
      </c>
      <c r="CG93" s="298">
        <f t="shared" si="222"/>
        <v>35650</v>
      </c>
      <c r="CH93" s="297">
        <f t="shared" si="223"/>
        <v>0.88180548845135343</v>
      </c>
      <c r="CI93" s="516"/>
      <c r="CJ93" s="656">
        <v>450</v>
      </c>
      <c r="CK93" s="657"/>
      <c r="CL93" s="657">
        <f t="shared" si="252"/>
        <v>150</v>
      </c>
      <c r="CM93" s="657">
        <f t="shared" si="253"/>
        <v>300</v>
      </c>
      <c r="CN93" s="659">
        <f t="shared" si="254"/>
        <v>850</v>
      </c>
      <c r="CO93" s="464">
        <v>220</v>
      </c>
      <c r="CP93" s="465"/>
      <c r="CQ93" s="465">
        <f t="shared" si="178"/>
        <v>140</v>
      </c>
      <c r="CR93" s="465">
        <f t="shared" si="159"/>
        <v>80</v>
      </c>
      <c r="CS93" s="486">
        <f t="shared" si="224"/>
        <v>0.1402841806790105</v>
      </c>
      <c r="CT93" s="465">
        <f t="shared" si="225"/>
        <v>1115</v>
      </c>
      <c r="CU93" s="486">
        <f t="shared" si="226"/>
        <v>2.7579610648618767E-2</v>
      </c>
      <c r="CV93" s="518"/>
      <c r="CW93" s="427">
        <v>5</v>
      </c>
      <c r="CX93" s="427"/>
      <c r="CY93" s="427">
        <f t="shared" si="227"/>
        <v>5</v>
      </c>
      <c r="CZ93" s="427">
        <f t="shared" si="228"/>
        <v>0</v>
      </c>
      <c r="DA93" s="607">
        <f t="shared" si="244"/>
        <v>0</v>
      </c>
      <c r="DB93" s="607">
        <f t="shared" si="229"/>
        <v>40</v>
      </c>
      <c r="DC93" s="607">
        <f t="shared" si="179"/>
        <v>9.8940307259618907E-4</v>
      </c>
      <c r="DD93" s="609"/>
      <c r="DE93" s="471">
        <v>5.6</v>
      </c>
      <c r="DF93" s="473"/>
      <c r="DG93" s="473">
        <f t="shared" si="180"/>
        <v>5.6</v>
      </c>
      <c r="DH93" s="473">
        <f t="shared" si="160"/>
        <v>0</v>
      </c>
      <c r="DI93" s="227">
        <f t="shared" si="230"/>
        <v>0</v>
      </c>
      <c r="DJ93" s="473">
        <f t="shared" si="231"/>
        <v>5.6</v>
      </c>
      <c r="DK93" s="227">
        <f t="shared" si="232"/>
        <v>1.3851643016346647E-4</v>
      </c>
      <c r="DL93" s="510"/>
      <c r="DM93" s="63">
        <v>200</v>
      </c>
      <c r="DN93" s="64"/>
      <c r="DO93" s="66">
        <f t="shared" si="233"/>
        <v>66</v>
      </c>
      <c r="DP93" s="66">
        <f t="shared" si="161"/>
        <v>134</v>
      </c>
      <c r="DQ93" s="412">
        <f t="shared" si="234"/>
        <v>0.23497600263734258</v>
      </c>
      <c r="DR93" s="66">
        <f t="shared" si="235"/>
        <v>10534</v>
      </c>
      <c r="DS93" s="412">
        <f t="shared" si="236"/>
        <v>0.26055929916820636</v>
      </c>
      <c r="DT93" s="506"/>
      <c r="DU93" s="596">
        <v>40</v>
      </c>
      <c r="DV93" s="596"/>
      <c r="DW93" s="596">
        <f t="shared" si="181"/>
        <v>40</v>
      </c>
      <c r="DX93" s="596">
        <f t="shared" si="162"/>
        <v>0</v>
      </c>
      <c r="DY93" s="592">
        <f t="shared" si="182"/>
        <v>0</v>
      </c>
      <c r="DZ93" s="596">
        <f t="shared" si="237"/>
        <v>2760</v>
      </c>
      <c r="EA93" s="592">
        <f t="shared" si="183"/>
        <v>6.8268812009137037E-2</v>
      </c>
      <c r="EB93" s="594"/>
      <c r="EC93" s="448">
        <v>55</v>
      </c>
      <c r="ED93" s="449"/>
      <c r="EE93" s="449">
        <f t="shared" si="184"/>
        <v>55</v>
      </c>
      <c r="EF93" s="449">
        <f t="shared" si="163"/>
        <v>0</v>
      </c>
      <c r="EG93" s="450">
        <f t="shared" si="242"/>
        <v>0</v>
      </c>
      <c r="EH93" s="449">
        <f t="shared" si="238"/>
        <v>315</v>
      </c>
      <c r="EI93" s="450">
        <f t="shared" si="243"/>
        <v>7.7915491966949885E-3</v>
      </c>
      <c r="EJ93" s="520"/>
      <c r="EK93" s="426">
        <v>3238</v>
      </c>
      <c r="EL93" s="427"/>
      <c r="EM93" s="427">
        <f t="shared" si="185"/>
        <v>2750</v>
      </c>
      <c r="EN93" s="427">
        <f t="shared" si="164"/>
        <v>488</v>
      </c>
      <c r="EO93" s="427">
        <f t="shared" si="186"/>
        <v>36622</v>
      </c>
      <c r="EP93" s="456">
        <v>112</v>
      </c>
      <c r="EQ93" s="457"/>
      <c r="ER93" s="457">
        <f t="shared" si="187"/>
        <v>98</v>
      </c>
      <c r="ES93" s="457">
        <f t="shared" si="165"/>
        <v>14</v>
      </c>
      <c r="ET93" s="457">
        <f t="shared" si="188"/>
        <v>700</v>
      </c>
      <c r="EU93" s="409">
        <v>107</v>
      </c>
      <c r="EV93" s="43"/>
      <c r="EW93" s="43">
        <f t="shared" si="189"/>
        <v>100</v>
      </c>
      <c r="EX93" s="43">
        <f t="shared" si="166"/>
        <v>7</v>
      </c>
      <c r="EY93" s="43">
        <f t="shared" si="190"/>
        <v>500</v>
      </c>
      <c r="EZ93" s="436">
        <v>31</v>
      </c>
      <c r="FA93" s="437"/>
      <c r="FB93" s="437">
        <f t="shared" si="191"/>
        <v>28</v>
      </c>
      <c r="FC93" s="437">
        <f t="shared" si="167"/>
        <v>3</v>
      </c>
      <c r="FD93" s="437">
        <f t="shared" si="192"/>
        <v>612</v>
      </c>
      <c r="FE93" s="442">
        <v>150</v>
      </c>
      <c r="FF93" s="443"/>
      <c r="FG93" s="443">
        <f t="shared" si="193"/>
        <v>150</v>
      </c>
      <c r="FH93" s="443">
        <f t="shared" si="168"/>
        <v>0</v>
      </c>
      <c r="FI93" s="443">
        <f t="shared" si="194"/>
        <v>650</v>
      </c>
      <c r="FJ93" s="392">
        <v>520</v>
      </c>
      <c r="FK93" s="298"/>
      <c r="FL93" s="298">
        <f t="shared" si="195"/>
        <v>450</v>
      </c>
      <c r="FM93" s="298">
        <f t="shared" si="169"/>
        <v>70</v>
      </c>
      <c r="FN93" s="498">
        <f t="shared" si="196"/>
        <v>1450</v>
      </c>
      <c r="HC93" s="402"/>
      <c r="HD93" s="52"/>
      <c r="HE93" s="52">
        <f t="shared" si="197"/>
        <v>0</v>
      </c>
      <c r="HF93" s="52">
        <f t="shared" si="170"/>
        <v>0</v>
      </c>
      <c r="HG93" s="51"/>
      <c r="HH93" s="52">
        <f t="shared" si="240"/>
        <v>400</v>
      </c>
      <c r="HI93" s="51"/>
      <c r="HJ93" s="1047"/>
    </row>
    <row r="94" spans="1:218">
      <c r="A94" s="30">
        <v>44757</v>
      </c>
      <c r="B94" s="390">
        <v>474880</v>
      </c>
      <c r="C94" s="18">
        <f t="shared" si="147"/>
        <v>40903297</v>
      </c>
      <c r="D94" s="376">
        <v>7138.76</v>
      </c>
      <c r="E94" s="417">
        <f t="shared" si="255"/>
        <v>560054.21999999986</v>
      </c>
      <c r="F94" s="397">
        <v>46582</v>
      </c>
      <c r="G94" s="37"/>
      <c r="H94" s="37">
        <f t="shared" si="171"/>
        <v>44582</v>
      </c>
      <c r="I94" s="37">
        <f t="shared" si="148"/>
        <v>2000</v>
      </c>
      <c r="J94" s="37">
        <f t="shared" si="146"/>
        <v>280.16070017762189</v>
      </c>
      <c r="K94" s="37">
        <f t="shared" si="198"/>
        <v>247685</v>
      </c>
      <c r="L94" s="37">
        <f t="shared" si="149"/>
        <v>442.25182340381269</v>
      </c>
      <c r="M94" s="648"/>
      <c r="N94" s="422">
        <v>275</v>
      </c>
      <c r="O94" s="423">
        <v>250</v>
      </c>
      <c r="P94" s="423">
        <f t="shared" si="199"/>
        <v>425</v>
      </c>
      <c r="Q94" s="423">
        <f t="shared" si="200"/>
        <v>100</v>
      </c>
      <c r="R94" s="423">
        <f t="shared" si="201"/>
        <v>7050</v>
      </c>
      <c r="S94" s="68">
        <v>9.77</v>
      </c>
      <c r="T94" s="67">
        <v>24</v>
      </c>
      <c r="U94" s="68">
        <f t="shared" si="202"/>
        <v>117.24</v>
      </c>
      <c r="V94" s="68">
        <f t="shared" si="151"/>
        <v>16.423020244412193</v>
      </c>
      <c r="W94" s="423">
        <f t="shared" si="203"/>
        <v>6935.3039999999992</v>
      </c>
      <c r="X94" s="68">
        <f t="shared" si="152"/>
        <v>12.383272462441226</v>
      </c>
      <c r="Y94" s="500"/>
      <c r="Z94" s="424">
        <v>125</v>
      </c>
      <c r="AA94" s="425">
        <v>100</v>
      </c>
      <c r="AB94" s="425">
        <f t="shared" si="204"/>
        <v>200</v>
      </c>
      <c r="AC94" s="425">
        <f t="shared" si="205"/>
        <v>25</v>
      </c>
      <c r="AD94" s="425">
        <f t="shared" si="206"/>
        <v>1100</v>
      </c>
      <c r="AE94" s="72">
        <v>2.08</v>
      </c>
      <c r="AF94" s="71">
        <v>12</v>
      </c>
      <c r="AG94" s="72">
        <f t="shared" si="207"/>
        <v>12.48</v>
      </c>
      <c r="AH94" s="72">
        <f t="shared" si="173"/>
        <v>1.7482027691083606</v>
      </c>
      <c r="AI94" s="425">
        <f t="shared" si="208"/>
        <v>1004.8320000000001</v>
      </c>
      <c r="AJ94" s="72">
        <f t="shared" si="241"/>
        <v>1.7941691431233218</v>
      </c>
      <c r="AK94" s="502"/>
      <c r="AL94" s="491">
        <v>40957</v>
      </c>
      <c r="AM94" s="491"/>
      <c r="AN94" s="492">
        <f t="shared" si="248"/>
        <v>40957</v>
      </c>
      <c r="AO94" s="492">
        <f t="shared" si="249"/>
        <v>0</v>
      </c>
      <c r="AP94" s="492">
        <f t="shared" si="250"/>
        <v>42616</v>
      </c>
      <c r="AQ94" s="493">
        <f t="shared" si="174"/>
        <v>76.092632602607679</v>
      </c>
      <c r="AR94" s="504"/>
      <c r="AS94" s="413">
        <v>49235</v>
      </c>
      <c r="AT94" s="64"/>
      <c r="AU94" s="66">
        <f t="shared" si="209"/>
        <v>49235</v>
      </c>
      <c r="AV94" s="66">
        <f t="shared" si="155"/>
        <v>0</v>
      </c>
      <c r="AW94" s="412">
        <f t="shared" si="156"/>
        <v>0</v>
      </c>
      <c r="AX94" s="66">
        <f t="shared" si="210"/>
        <v>0</v>
      </c>
      <c r="AY94" s="412">
        <f t="shared" si="211"/>
        <v>0</v>
      </c>
      <c r="AZ94" s="506"/>
      <c r="BA94" s="419">
        <v>45495</v>
      </c>
      <c r="BB94" s="419"/>
      <c r="BC94" s="407"/>
      <c r="BD94" s="419">
        <f t="shared" si="175"/>
        <v>45495</v>
      </c>
      <c r="BE94" s="419">
        <f t="shared" si="176"/>
        <v>0</v>
      </c>
      <c r="BF94" s="407">
        <f t="shared" si="212"/>
        <v>0</v>
      </c>
      <c r="BG94" s="419">
        <f t="shared" si="251"/>
        <v>0</v>
      </c>
      <c r="BH94" s="407">
        <f t="shared" si="213"/>
        <v>0</v>
      </c>
      <c r="BI94" s="407">
        <f t="shared" si="214"/>
        <v>0</v>
      </c>
      <c r="BJ94" s="508"/>
      <c r="BK94" s="510"/>
      <c r="BL94" s="49">
        <v>1366</v>
      </c>
      <c r="BM94" s="50"/>
      <c r="BN94" s="52">
        <f t="shared" si="215"/>
        <v>1320</v>
      </c>
      <c r="BO94" s="52">
        <f t="shared" si="157"/>
        <v>46</v>
      </c>
      <c r="BP94" s="406">
        <f t="shared" si="216"/>
        <v>9.686657681940701E-2</v>
      </c>
      <c r="BQ94" s="52">
        <f t="shared" si="217"/>
        <v>14780</v>
      </c>
      <c r="BR94" s="406">
        <f t="shared" si="218"/>
        <v>0.36134006508081734</v>
      </c>
      <c r="BS94" s="512"/>
      <c r="BT94" s="409">
        <v>1805</v>
      </c>
      <c r="BU94" s="43"/>
      <c r="BV94" s="43">
        <f t="shared" si="245"/>
        <v>1785</v>
      </c>
      <c r="BW94" s="43">
        <f t="shared" si="246"/>
        <v>20</v>
      </c>
      <c r="BX94" s="42">
        <f t="shared" si="219"/>
        <v>4.2115902964959567E-2</v>
      </c>
      <c r="BY94" s="43">
        <f t="shared" si="247"/>
        <v>5602</v>
      </c>
      <c r="BZ94" s="42">
        <f t="shared" si="220"/>
        <v>0.13695717487028003</v>
      </c>
      <c r="CA94" s="514"/>
      <c r="CB94" s="392">
        <v>0</v>
      </c>
      <c r="CC94" s="298">
        <v>2300</v>
      </c>
      <c r="CD94" s="298">
        <f t="shared" si="177"/>
        <v>2000</v>
      </c>
      <c r="CE94" s="298">
        <f t="shared" si="158"/>
        <v>300</v>
      </c>
      <c r="CF94" s="297">
        <f t="shared" si="221"/>
        <v>0.63173854447439348</v>
      </c>
      <c r="CG94" s="298">
        <f t="shared" si="222"/>
        <v>35950</v>
      </c>
      <c r="CH94" s="297">
        <f t="shared" si="223"/>
        <v>0.87890225572769842</v>
      </c>
      <c r="CI94" s="516"/>
      <c r="CJ94" s="656">
        <v>150</v>
      </c>
      <c r="CK94" s="657"/>
      <c r="CL94" s="657">
        <f t="shared" si="252"/>
        <v>0</v>
      </c>
      <c r="CM94" s="657">
        <f t="shared" si="253"/>
        <v>150</v>
      </c>
      <c r="CN94" s="659">
        <f t="shared" si="254"/>
        <v>1000</v>
      </c>
      <c r="CO94" s="464">
        <v>140</v>
      </c>
      <c r="CP94" s="465"/>
      <c r="CQ94" s="465">
        <f t="shared" si="178"/>
        <v>140</v>
      </c>
      <c r="CR94" s="465">
        <f t="shared" si="159"/>
        <v>0</v>
      </c>
      <c r="CS94" s="486">
        <f t="shared" si="224"/>
        <v>0</v>
      </c>
      <c r="CT94" s="465">
        <f t="shared" si="225"/>
        <v>1115</v>
      </c>
      <c r="CU94" s="486">
        <f t="shared" si="226"/>
        <v>2.7259416276394541E-2</v>
      </c>
      <c r="CV94" s="518"/>
      <c r="CW94" s="427">
        <v>5</v>
      </c>
      <c r="CX94" s="427"/>
      <c r="CY94" s="427">
        <f t="shared" si="227"/>
        <v>0</v>
      </c>
      <c r="CZ94" s="427">
        <f t="shared" si="228"/>
        <v>5</v>
      </c>
      <c r="DA94" s="607">
        <f t="shared" si="244"/>
        <v>1.0528975741239892E-2</v>
      </c>
      <c r="DB94" s="607">
        <f t="shared" si="229"/>
        <v>45</v>
      </c>
      <c r="DC94" s="607">
        <f t="shared" si="179"/>
        <v>1.1001558138455196E-3</v>
      </c>
      <c r="DD94" s="609"/>
      <c r="DE94" s="471">
        <v>5.6</v>
      </c>
      <c r="DF94" s="473">
        <v>16</v>
      </c>
      <c r="DG94" s="473">
        <f t="shared" si="180"/>
        <v>16</v>
      </c>
      <c r="DH94" s="473">
        <f t="shared" si="160"/>
        <v>5.6000000000000014</v>
      </c>
      <c r="DI94" s="227">
        <f t="shared" si="230"/>
        <v>1.1792452830188684E-2</v>
      </c>
      <c r="DJ94" s="473">
        <f t="shared" si="231"/>
        <v>11.200000000000001</v>
      </c>
      <c r="DK94" s="227">
        <f t="shared" si="232"/>
        <v>2.7381655811266272E-4</v>
      </c>
      <c r="DL94" s="510"/>
      <c r="DM94" s="63">
        <v>66</v>
      </c>
      <c r="DN94" s="108">
        <v>1000</v>
      </c>
      <c r="DO94" s="66">
        <f t="shared" si="233"/>
        <v>800</v>
      </c>
      <c r="DP94" s="66">
        <f t="shared" si="161"/>
        <v>266</v>
      </c>
      <c r="DQ94" s="412">
        <f t="shared" si="234"/>
        <v>0.56014150943396224</v>
      </c>
      <c r="DR94" s="66">
        <f t="shared" si="235"/>
        <v>10800</v>
      </c>
      <c r="DS94" s="412">
        <f t="shared" si="236"/>
        <v>0.2640373953229247</v>
      </c>
      <c r="DT94" s="506"/>
      <c r="DU94" s="596">
        <v>40</v>
      </c>
      <c r="DV94" s="596"/>
      <c r="DW94" s="596">
        <f t="shared" si="181"/>
        <v>40</v>
      </c>
      <c r="DX94" s="596">
        <f t="shared" si="162"/>
        <v>0</v>
      </c>
      <c r="DY94" s="592">
        <f t="shared" si="182"/>
        <v>0</v>
      </c>
      <c r="DZ94" s="596">
        <f t="shared" si="237"/>
        <v>2760</v>
      </c>
      <c r="EA94" s="592">
        <f t="shared" si="183"/>
        <v>6.7476223249191863E-2</v>
      </c>
      <c r="EB94" s="594"/>
      <c r="EC94" s="448">
        <v>55</v>
      </c>
      <c r="ED94" s="449"/>
      <c r="EE94" s="449">
        <f t="shared" si="184"/>
        <v>55</v>
      </c>
      <c r="EF94" s="449">
        <f t="shared" si="163"/>
        <v>0</v>
      </c>
      <c r="EG94" s="450">
        <f t="shared" si="242"/>
        <v>0</v>
      </c>
      <c r="EH94" s="449">
        <f t="shared" si="238"/>
        <v>315</v>
      </c>
      <c r="EI94" s="450">
        <f t="shared" si="243"/>
        <v>7.7010906969186372E-3</v>
      </c>
      <c r="EJ94" s="520"/>
      <c r="EK94" s="426">
        <v>2750</v>
      </c>
      <c r="EL94" s="427">
        <v>1250</v>
      </c>
      <c r="EM94" s="427">
        <f t="shared" si="185"/>
        <v>3634</v>
      </c>
      <c r="EN94" s="427">
        <f t="shared" si="164"/>
        <v>366</v>
      </c>
      <c r="EO94" s="427">
        <f t="shared" si="186"/>
        <v>36988</v>
      </c>
      <c r="EP94" s="456">
        <v>98</v>
      </c>
      <c r="EQ94" s="457"/>
      <c r="ER94" s="457">
        <f t="shared" si="187"/>
        <v>70</v>
      </c>
      <c r="ES94" s="457">
        <f t="shared" si="165"/>
        <v>28</v>
      </c>
      <c r="ET94" s="457">
        <f t="shared" si="188"/>
        <v>728</v>
      </c>
      <c r="EU94" s="409">
        <v>100</v>
      </c>
      <c r="EV94" s="43"/>
      <c r="EW94" s="43">
        <f t="shared" si="189"/>
        <v>98</v>
      </c>
      <c r="EX94" s="43">
        <f t="shared" si="166"/>
        <v>2</v>
      </c>
      <c r="EY94" s="43">
        <f t="shared" si="190"/>
        <v>502</v>
      </c>
      <c r="EZ94" s="436">
        <v>28</v>
      </c>
      <c r="FA94" s="437"/>
      <c r="FB94" s="437">
        <f t="shared" si="191"/>
        <v>24</v>
      </c>
      <c r="FC94" s="437">
        <f t="shared" si="167"/>
        <v>4</v>
      </c>
      <c r="FD94" s="437">
        <f t="shared" si="192"/>
        <v>616</v>
      </c>
      <c r="FE94" s="442">
        <v>150</v>
      </c>
      <c r="FF94" s="443"/>
      <c r="FG94" s="443">
        <f t="shared" si="193"/>
        <v>150</v>
      </c>
      <c r="FH94" s="443">
        <f t="shared" si="168"/>
        <v>0</v>
      </c>
      <c r="FI94" s="443">
        <f t="shared" si="194"/>
        <v>650</v>
      </c>
      <c r="FJ94" s="392">
        <v>450</v>
      </c>
      <c r="FK94" s="298"/>
      <c r="FL94" s="298">
        <f t="shared" si="195"/>
        <v>450</v>
      </c>
      <c r="FM94" s="298">
        <f t="shared" si="169"/>
        <v>0</v>
      </c>
      <c r="FN94" s="498">
        <f t="shared" si="196"/>
        <v>1450</v>
      </c>
      <c r="HC94" s="402"/>
      <c r="HD94" s="52"/>
      <c r="HE94" s="52">
        <f t="shared" si="197"/>
        <v>0</v>
      </c>
      <c r="HF94" s="52">
        <f t="shared" si="170"/>
        <v>0</v>
      </c>
      <c r="HG94" s="51"/>
      <c r="HH94" s="52">
        <f t="shared" si="240"/>
        <v>400</v>
      </c>
      <c r="HI94" s="51"/>
      <c r="HJ94" s="1047"/>
    </row>
    <row r="95" spans="1:218">
      <c r="A95" s="30">
        <v>44758</v>
      </c>
      <c r="B95" s="390">
        <v>559021</v>
      </c>
      <c r="C95" s="18">
        <f t="shared" si="147"/>
        <v>41462318</v>
      </c>
      <c r="D95" s="376">
        <v>8334.2000000000007</v>
      </c>
      <c r="E95" s="417">
        <f t="shared" si="255"/>
        <v>568388.41999999981</v>
      </c>
      <c r="F95" s="397">
        <v>44582</v>
      </c>
      <c r="G95" s="37"/>
      <c r="H95" s="37">
        <f t="shared" si="171"/>
        <v>38099</v>
      </c>
      <c r="I95" s="37">
        <f t="shared" si="148"/>
        <v>6483</v>
      </c>
      <c r="J95" s="37">
        <f t="shared" si="146"/>
        <v>777.87910057354031</v>
      </c>
      <c r="K95" s="37">
        <f t="shared" si="198"/>
        <v>254168</v>
      </c>
      <c r="L95" s="37">
        <f t="shared" si="149"/>
        <v>447.17307928264984</v>
      </c>
      <c r="M95" s="648"/>
      <c r="N95" s="422">
        <v>425</v>
      </c>
      <c r="O95" s="423"/>
      <c r="P95" s="423">
        <f t="shared" si="199"/>
        <v>225</v>
      </c>
      <c r="Q95" s="423">
        <f t="shared" si="200"/>
        <v>200</v>
      </c>
      <c r="R95" s="423">
        <f t="shared" si="201"/>
        <v>7250</v>
      </c>
      <c r="S95" s="68">
        <v>8.64</v>
      </c>
      <c r="T95" s="67">
        <v>24</v>
      </c>
      <c r="U95" s="68">
        <f t="shared" si="202"/>
        <v>103.68</v>
      </c>
      <c r="V95" s="68">
        <f t="shared" si="151"/>
        <v>12.44030620815435</v>
      </c>
      <c r="W95" s="423">
        <f t="shared" si="203"/>
        <v>7038.9839999999995</v>
      </c>
      <c r="X95" s="68">
        <f t="shared" si="152"/>
        <v>12.384108740287147</v>
      </c>
      <c r="Y95" s="500"/>
      <c r="Z95" s="424">
        <v>200</v>
      </c>
      <c r="AA95" s="425"/>
      <c r="AB95" s="425">
        <f t="shared" si="204"/>
        <v>200</v>
      </c>
      <c r="AC95" s="425">
        <f t="shared" si="205"/>
        <v>0</v>
      </c>
      <c r="AD95" s="425">
        <f t="shared" si="206"/>
        <v>1100</v>
      </c>
      <c r="AE95" s="72">
        <v>2.31</v>
      </c>
      <c r="AF95" s="71">
        <v>12</v>
      </c>
      <c r="AG95" s="72">
        <f t="shared" si="207"/>
        <v>13.86</v>
      </c>
      <c r="AH95" s="72">
        <f t="shared" si="173"/>
        <v>1.6630270451873004</v>
      </c>
      <c r="AI95" s="425">
        <f t="shared" si="208"/>
        <v>1018.6920000000001</v>
      </c>
      <c r="AJ95" s="72">
        <f t="shared" si="241"/>
        <v>1.7922462248615136</v>
      </c>
      <c r="AK95" s="502"/>
      <c r="AL95" s="491">
        <v>40957</v>
      </c>
      <c r="AM95" s="491"/>
      <c r="AN95" s="492">
        <f t="shared" si="248"/>
        <v>40957</v>
      </c>
      <c r="AO95" s="492">
        <f t="shared" si="249"/>
        <v>0</v>
      </c>
      <c r="AP95" s="492">
        <f t="shared" si="250"/>
        <v>42616</v>
      </c>
      <c r="AQ95" s="493">
        <f t="shared" si="174"/>
        <v>74.976896960708686</v>
      </c>
      <c r="AR95" s="504"/>
      <c r="AS95" s="413">
        <v>49235</v>
      </c>
      <c r="AT95" s="64"/>
      <c r="AU95" s="66">
        <f t="shared" si="209"/>
        <v>49235</v>
      </c>
      <c r="AV95" s="66">
        <f t="shared" si="155"/>
        <v>0</v>
      </c>
      <c r="AW95" s="412">
        <f t="shared" si="156"/>
        <v>0</v>
      </c>
      <c r="AX95" s="66">
        <f t="shared" si="210"/>
        <v>0</v>
      </c>
      <c r="AY95" s="412">
        <f t="shared" si="211"/>
        <v>0</v>
      </c>
      <c r="AZ95" s="506"/>
      <c r="BA95" s="419">
        <v>45495</v>
      </c>
      <c r="BB95" s="419"/>
      <c r="BC95" s="407"/>
      <c r="BD95" s="419">
        <f t="shared" si="175"/>
        <v>45495</v>
      </c>
      <c r="BE95" s="419">
        <f t="shared" si="176"/>
        <v>0</v>
      </c>
      <c r="BF95" s="407">
        <f t="shared" si="212"/>
        <v>0</v>
      </c>
      <c r="BG95" s="419">
        <f t="shared" si="251"/>
        <v>0</v>
      </c>
      <c r="BH95" s="407">
        <f t="shared" si="213"/>
        <v>0</v>
      </c>
      <c r="BI95" s="407">
        <f t="shared" si="214"/>
        <v>0</v>
      </c>
      <c r="BJ95" s="508"/>
      <c r="BK95" s="510"/>
      <c r="BL95" s="49">
        <v>1320</v>
      </c>
      <c r="BM95" s="50"/>
      <c r="BN95" s="52">
        <f t="shared" si="215"/>
        <v>1289</v>
      </c>
      <c r="BO95" s="52">
        <f t="shared" si="157"/>
        <v>31</v>
      </c>
      <c r="BP95" s="406">
        <f t="shared" si="216"/>
        <v>5.5454088486836813E-2</v>
      </c>
      <c r="BQ95" s="52">
        <f t="shared" si="217"/>
        <v>14811</v>
      </c>
      <c r="BR95" s="406">
        <f t="shared" si="218"/>
        <v>0.35721591831889382</v>
      </c>
      <c r="BS95" s="512"/>
      <c r="BT95" s="409">
        <v>1785</v>
      </c>
      <c r="BU95" s="43"/>
      <c r="BV95" s="43">
        <f t="shared" si="245"/>
        <v>1765</v>
      </c>
      <c r="BW95" s="43">
        <f t="shared" si="246"/>
        <v>20</v>
      </c>
      <c r="BX95" s="42">
        <f t="shared" si="219"/>
        <v>3.57768312818302E-2</v>
      </c>
      <c r="BY95" s="43">
        <f t="shared" si="247"/>
        <v>5622</v>
      </c>
      <c r="BZ95" s="42">
        <f t="shared" si="220"/>
        <v>0.13559299796022017</v>
      </c>
      <c r="CA95" s="514"/>
      <c r="CB95" s="392">
        <v>2000</v>
      </c>
      <c r="CC95" s="298"/>
      <c r="CD95" s="298">
        <f t="shared" si="177"/>
        <v>1438</v>
      </c>
      <c r="CE95" s="298">
        <f t="shared" si="158"/>
        <v>562</v>
      </c>
      <c r="CF95" s="297">
        <f t="shared" si="221"/>
        <v>1.0053289590194285</v>
      </c>
      <c r="CG95" s="298">
        <f t="shared" si="222"/>
        <v>36512</v>
      </c>
      <c r="CH95" s="297">
        <f t="shared" si="223"/>
        <v>0.88060681990813927</v>
      </c>
      <c r="CI95" s="516"/>
      <c r="CJ95" s="656">
        <v>0</v>
      </c>
      <c r="CK95" s="657"/>
      <c r="CL95" s="657">
        <f t="shared" si="252"/>
        <v>0</v>
      </c>
      <c r="CM95" s="657">
        <f t="shared" si="253"/>
        <v>0</v>
      </c>
      <c r="CN95" s="659">
        <f t="shared" si="254"/>
        <v>1000</v>
      </c>
      <c r="CO95" s="464">
        <v>140</v>
      </c>
      <c r="CP95" s="465"/>
      <c r="CQ95" s="465">
        <f t="shared" si="178"/>
        <v>140</v>
      </c>
      <c r="CR95" s="465">
        <f t="shared" si="159"/>
        <v>0</v>
      </c>
      <c r="CS95" s="486">
        <f t="shared" si="224"/>
        <v>0</v>
      </c>
      <c r="CT95" s="465">
        <f t="shared" si="225"/>
        <v>1115</v>
      </c>
      <c r="CU95" s="486">
        <f t="shared" si="226"/>
        <v>2.6891887713561987E-2</v>
      </c>
      <c r="CV95" s="518"/>
      <c r="CW95" s="427">
        <v>0</v>
      </c>
      <c r="CX95" s="427"/>
      <c r="CY95" s="427">
        <f t="shared" si="227"/>
        <v>0</v>
      </c>
      <c r="CZ95" s="427">
        <f t="shared" si="228"/>
        <v>0</v>
      </c>
      <c r="DA95" s="607">
        <f t="shared" si="244"/>
        <v>0</v>
      </c>
      <c r="DB95" s="607">
        <f t="shared" si="229"/>
        <v>45</v>
      </c>
      <c r="DC95" s="607">
        <f t="shared" si="179"/>
        <v>1.085322822520439E-3</v>
      </c>
      <c r="DD95" s="609"/>
      <c r="DE95" s="471">
        <v>16</v>
      </c>
      <c r="DF95" s="473"/>
      <c r="DG95" s="473">
        <f t="shared" si="180"/>
        <v>16</v>
      </c>
      <c r="DH95" s="473">
        <f t="shared" si="160"/>
        <v>0</v>
      </c>
      <c r="DI95" s="227">
        <f t="shared" si="230"/>
        <v>0</v>
      </c>
      <c r="DJ95" s="473">
        <f t="shared" si="231"/>
        <v>11.200000000000001</v>
      </c>
      <c r="DK95" s="227">
        <f t="shared" si="232"/>
        <v>2.7012479138286484E-4</v>
      </c>
      <c r="DL95" s="510"/>
      <c r="DM95" s="63">
        <v>800</v>
      </c>
      <c r="DN95" s="64"/>
      <c r="DO95" s="66">
        <f t="shared" si="233"/>
        <v>570</v>
      </c>
      <c r="DP95" s="66">
        <f t="shared" si="161"/>
        <v>230</v>
      </c>
      <c r="DQ95" s="412">
        <f t="shared" si="234"/>
        <v>0.41143355974104728</v>
      </c>
      <c r="DR95" s="66">
        <f t="shared" si="235"/>
        <v>11030</v>
      </c>
      <c r="DS95" s="412">
        <f t="shared" si="236"/>
        <v>0.26602468294223203</v>
      </c>
      <c r="DT95" s="506"/>
      <c r="DU95" s="596">
        <v>40</v>
      </c>
      <c r="DV95" s="596"/>
      <c r="DW95" s="596">
        <f t="shared" si="181"/>
        <v>40</v>
      </c>
      <c r="DX95" s="596">
        <f t="shared" si="162"/>
        <v>0</v>
      </c>
      <c r="DY95" s="592">
        <f t="shared" si="182"/>
        <v>0</v>
      </c>
      <c r="DZ95" s="596">
        <f t="shared" si="237"/>
        <v>2760</v>
      </c>
      <c r="EA95" s="592">
        <f t="shared" si="183"/>
        <v>6.6566466447920247E-2</v>
      </c>
      <c r="EB95" s="594"/>
      <c r="EC95" s="448">
        <v>55</v>
      </c>
      <c r="ED95" s="449"/>
      <c r="EE95" s="449">
        <f t="shared" si="184"/>
        <v>55</v>
      </c>
      <c r="EF95" s="449">
        <f t="shared" si="163"/>
        <v>0</v>
      </c>
      <c r="EG95" s="450">
        <f t="shared" si="242"/>
        <v>0</v>
      </c>
      <c r="EH95" s="449">
        <f t="shared" si="238"/>
        <v>315</v>
      </c>
      <c r="EI95" s="450">
        <f t="shared" si="243"/>
        <v>7.5972597576430727E-3</v>
      </c>
      <c r="EJ95" s="520"/>
      <c r="EK95" s="426">
        <v>3634</v>
      </c>
      <c r="EL95" s="427"/>
      <c r="EM95" s="427">
        <f t="shared" si="185"/>
        <v>3313</v>
      </c>
      <c r="EN95" s="427">
        <f t="shared" si="164"/>
        <v>321</v>
      </c>
      <c r="EO95" s="427">
        <f t="shared" si="186"/>
        <v>37309</v>
      </c>
      <c r="EP95" s="456">
        <v>70</v>
      </c>
      <c r="EQ95" s="457"/>
      <c r="ER95" s="457">
        <f t="shared" si="187"/>
        <v>70</v>
      </c>
      <c r="ES95" s="457">
        <f t="shared" si="165"/>
        <v>0</v>
      </c>
      <c r="ET95" s="457">
        <f t="shared" si="188"/>
        <v>728</v>
      </c>
      <c r="EU95" s="409">
        <v>98</v>
      </c>
      <c r="EV95" s="43"/>
      <c r="EW95" s="43">
        <f t="shared" si="189"/>
        <v>96</v>
      </c>
      <c r="EX95" s="43">
        <f t="shared" si="166"/>
        <v>2</v>
      </c>
      <c r="EY95" s="43">
        <f t="shared" si="190"/>
        <v>504</v>
      </c>
      <c r="EZ95" s="436">
        <v>24</v>
      </c>
      <c r="FA95" s="437"/>
      <c r="FB95" s="437">
        <f t="shared" si="191"/>
        <v>20</v>
      </c>
      <c r="FC95" s="437">
        <f t="shared" si="167"/>
        <v>4</v>
      </c>
      <c r="FD95" s="437">
        <f t="shared" si="192"/>
        <v>620</v>
      </c>
      <c r="FE95" s="442">
        <v>150</v>
      </c>
      <c r="FF95" s="443"/>
      <c r="FG95" s="443">
        <f t="shared" si="193"/>
        <v>125</v>
      </c>
      <c r="FH95" s="443">
        <f t="shared" si="168"/>
        <v>25</v>
      </c>
      <c r="FI95" s="443">
        <f t="shared" si="194"/>
        <v>675</v>
      </c>
      <c r="FJ95" s="392">
        <v>450</v>
      </c>
      <c r="FK95" s="298"/>
      <c r="FL95" s="298">
        <f t="shared" si="195"/>
        <v>441</v>
      </c>
      <c r="FM95" s="298">
        <f t="shared" si="169"/>
        <v>9</v>
      </c>
      <c r="FN95" s="498">
        <f t="shared" si="196"/>
        <v>1459</v>
      </c>
      <c r="HC95" s="402"/>
      <c r="HD95" s="52"/>
      <c r="HE95" s="52">
        <f t="shared" si="197"/>
        <v>0</v>
      </c>
      <c r="HF95" s="52">
        <f t="shared" si="170"/>
        <v>0</v>
      </c>
      <c r="HG95" s="51"/>
      <c r="HH95" s="52">
        <f t="shared" si="240"/>
        <v>400</v>
      </c>
      <c r="HI95" s="51"/>
      <c r="HJ95" s="1047"/>
    </row>
    <row r="96" spans="1:218">
      <c r="A96" s="30">
        <v>44759</v>
      </c>
      <c r="B96" s="390">
        <v>524751</v>
      </c>
      <c r="C96" s="18">
        <f t="shared" si="147"/>
        <v>41987069</v>
      </c>
      <c r="D96" s="376">
        <v>7832.92</v>
      </c>
      <c r="E96" s="417">
        <f t="shared" si="255"/>
        <v>576221.33999999985</v>
      </c>
      <c r="F96" s="397">
        <v>38099</v>
      </c>
      <c r="G96" s="37"/>
      <c r="H96" s="37">
        <f t="shared" si="171"/>
        <v>34337</v>
      </c>
      <c r="I96" s="37">
        <f t="shared" si="148"/>
        <v>3762</v>
      </c>
      <c r="J96" s="37">
        <f t="shared" si="146"/>
        <v>480.28066161788962</v>
      </c>
      <c r="K96" s="37">
        <f t="shared" si="198"/>
        <v>257930</v>
      </c>
      <c r="L96" s="37">
        <f t="shared" si="149"/>
        <v>447.62313037556032</v>
      </c>
      <c r="M96" s="648"/>
      <c r="N96" s="422">
        <v>225</v>
      </c>
      <c r="O96" s="423"/>
      <c r="P96" s="423">
        <f t="shared" si="199"/>
        <v>175</v>
      </c>
      <c r="Q96" s="423">
        <f t="shared" si="200"/>
        <v>50</v>
      </c>
      <c r="R96" s="423">
        <f t="shared" si="201"/>
        <v>7300</v>
      </c>
      <c r="S96" s="68">
        <v>8.81</v>
      </c>
      <c r="T96" s="67">
        <v>24</v>
      </c>
      <c r="U96" s="68">
        <f t="shared" si="202"/>
        <v>105.72</v>
      </c>
      <c r="V96" s="68">
        <f t="shared" si="151"/>
        <v>13.496882388687743</v>
      </c>
      <c r="W96" s="423">
        <f t="shared" si="203"/>
        <v>7144.7039999999997</v>
      </c>
      <c r="X96" s="68">
        <f t="shared" si="152"/>
        <v>12.399235335504933</v>
      </c>
      <c r="Y96" s="500"/>
      <c r="Z96" s="424">
        <v>200</v>
      </c>
      <c r="AA96" s="425"/>
      <c r="AB96" s="425">
        <f t="shared" si="204"/>
        <v>175</v>
      </c>
      <c r="AC96" s="425">
        <f t="shared" si="205"/>
        <v>25</v>
      </c>
      <c r="AD96" s="425">
        <f t="shared" si="206"/>
        <v>1125</v>
      </c>
      <c r="AE96" s="72">
        <v>2.2799999999999998</v>
      </c>
      <c r="AF96" s="71">
        <v>12</v>
      </c>
      <c r="AG96" s="72">
        <f t="shared" si="207"/>
        <v>13.68</v>
      </c>
      <c r="AH96" s="72">
        <f t="shared" si="173"/>
        <v>1.7464751331559623</v>
      </c>
      <c r="AI96" s="425">
        <f t="shared" si="208"/>
        <v>1032.3720000000001</v>
      </c>
      <c r="AJ96" s="72">
        <f t="shared" si="241"/>
        <v>1.7916240311405343</v>
      </c>
      <c r="AK96" s="502"/>
      <c r="AL96" s="491">
        <v>40957</v>
      </c>
      <c r="AM96" s="491"/>
      <c r="AN96" s="492">
        <f t="shared" si="248"/>
        <v>40957</v>
      </c>
      <c r="AO96" s="492">
        <f t="shared" si="249"/>
        <v>0</v>
      </c>
      <c r="AP96" s="492">
        <f t="shared" si="250"/>
        <v>42616</v>
      </c>
      <c r="AQ96" s="493">
        <f t="shared" si="174"/>
        <v>73.957691327433324</v>
      </c>
      <c r="AR96" s="504"/>
      <c r="AS96" s="413">
        <v>49235</v>
      </c>
      <c r="AT96" s="64"/>
      <c r="AU96" s="66">
        <f t="shared" si="209"/>
        <v>49235</v>
      </c>
      <c r="AV96" s="66">
        <f t="shared" si="155"/>
        <v>0</v>
      </c>
      <c r="AW96" s="412">
        <f t="shared" si="156"/>
        <v>0</v>
      </c>
      <c r="AX96" s="66">
        <f t="shared" si="210"/>
        <v>0</v>
      </c>
      <c r="AY96" s="412">
        <f t="shared" si="211"/>
        <v>0</v>
      </c>
      <c r="AZ96" s="506"/>
      <c r="BA96" s="419">
        <v>45495</v>
      </c>
      <c r="BB96" s="419"/>
      <c r="BC96" s="407"/>
      <c r="BD96" s="419">
        <f t="shared" si="175"/>
        <v>45495</v>
      </c>
      <c r="BE96" s="419">
        <f t="shared" si="176"/>
        <v>0</v>
      </c>
      <c r="BF96" s="407">
        <f t="shared" si="212"/>
        <v>0</v>
      </c>
      <c r="BG96" s="419">
        <f t="shared" si="251"/>
        <v>0</v>
      </c>
      <c r="BH96" s="407">
        <f t="shared" si="213"/>
        <v>0</v>
      </c>
      <c r="BI96" s="407">
        <f t="shared" si="214"/>
        <v>0</v>
      </c>
      <c r="BJ96" s="508"/>
      <c r="BK96" s="510"/>
      <c r="BL96" s="49">
        <v>1289</v>
      </c>
      <c r="BM96" s="50"/>
      <c r="BN96" s="52">
        <f t="shared" si="215"/>
        <v>1258</v>
      </c>
      <c r="BO96" s="52">
        <f t="shared" si="157"/>
        <v>31</v>
      </c>
      <c r="BP96" s="406">
        <f t="shared" si="216"/>
        <v>5.9075637778679795E-2</v>
      </c>
      <c r="BQ96" s="52">
        <f t="shared" si="217"/>
        <v>14842</v>
      </c>
      <c r="BR96" s="406">
        <f t="shared" si="218"/>
        <v>0.35348978515266211</v>
      </c>
      <c r="BS96" s="512"/>
      <c r="BT96" s="409">
        <v>1765</v>
      </c>
      <c r="BU96" s="43"/>
      <c r="BV96" s="43">
        <f t="shared" si="245"/>
        <v>1745</v>
      </c>
      <c r="BW96" s="43">
        <f t="shared" si="246"/>
        <v>20</v>
      </c>
      <c r="BX96" s="42">
        <f t="shared" si="219"/>
        <v>3.8113314695922447E-2</v>
      </c>
      <c r="BY96" s="43">
        <f t="shared" si="247"/>
        <v>5642</v>
      </c>
      <c r="BZ96" s="42">
        <f t="shared" si="220"/>
        <v>0.13437470474540625</v>
      </c>
      <c r="CA96" s="514"/>
      <c r="CB96" s="392">
        <v>1438</v>
      </c>
      <c r="CC96" s="298"/>
      <c r="CD96" s="298">
        <f t="shared" si="177"/>
        <v>977</v>
      </c>
      <c r="CE96" s="298">
        <f t="shared" si="158"/>
        <v>461</v>
      </c>
      <c r="CF96" s="297">
        <f t="shared" si="221"/>
        <v>0.8785119037410124</v>
      </c>
      <c r="CG96" s="298">
        <f t="shared" si="222"/>
        <v>36973</v>
      </c>
      <c r="CH96" s="297">
        <f t="shared" si="223"/>
        <v>0.88058063781494245</v>
      </c>
      <c r="CI96" s="516"/>
      <c r="CJ96" s="656">
        <v>0</v>
      </c>
      <c r="CK96" s="657"/>
      <c r="CL96" s="657">
        <f t="shared" si="252"/>
        <v>0</v>
      </c>
      <c r="CM96" s="657">
        <f t="shared" si="253"/>
        <v>0</v>
      </c>
      <c r="CN96" s="659">
        <f t="shared" si="254"/>
        <v>1000</v>
      </c>
      <c r="CO96" s="464">
        <f>7*20</f>
        <v>140</v>
      </c>
      <c r="CP96" s="465"/>
      <c r="CQ96" s="465">
        <f t="shared" si="178"/>
        <v>140</v>
      </c>
      <c r="CR96" s="465">
        <f t="shared" si="159"/>
        <v>0</v>
      </c>
      <c r="CS96" s="486">
        <f t="shared" si="224"/>
        <v>0</v>
      </c>
      <c r="CT96" s="465">
        <f t="shared" si="225"/>
        <v>1115</v>
      </c>
      <c r="CU96" s="486">
        <f t="shared" si="226"/>
        <v>2.6555795071096771E-2</v>
      </c>
      <c r="CV96" s="518"/>
      <c r="CW96" s="427">
        <v>0</v>
      </c>
      <c r="CX96" s="427"/>
      <c r="CY96" s="427">
        <f t="shared" si="227"/>
        <v>0</v>
      </c>
      <c r="CZ96" s="427">
        <f t="shared" si="228"/>
        <v>0</v>
      </c>
      <c r="DA96" s="607">
        <f t="shared" si="244"/>
        <v>0</v>
      </c>
      <c r="DB96" s="607">
        <f t="shared" si="229"/>
        <v>45</v>
      </c>
      <c r="DC96" s="607">
        <f t="shared" si="179"/>
        <v>1.0717585454702732E-3</v>
      </c>
      <c r="DD96" s="609"/>
      <c r="DE96" s="471">
        <v>16</v>
      </c>
      <c r="DF96" s="473"/>
      <c r="DG96" s="473">
        <f t="shared" si="180"/>
        <v>16</v>
      </c>
      <c r="DH96" s="473">
        <f t="shared" si="160"/>
        <v>0</v>
      </c>
      <c r="DI96" s="227">
        <f t="shared" si="230"/>
        <v>0</v>
      </c>
      <c r="DJ96" s="473">
        <f t="shared" si="231"/>
        <v>11.200000000000001</v>
      </c>
      <c r="DK96" s="227">
        <f t="shared" si="232"/>
        <v>2.6674879353926807E-4</v>
      </c>
      <c r="DL96" s="510"/>
      <c r="DM96" s="63">
        <v>570</v>
      </c>
      <c r="DN96" s="64"/>
      <c r="DO96" s="66">
        <f t="shared" si="233"/>
        <v>400</v>
      </c>
      <c r="DP96" s="66">
        <f t="shared" si="161"/>
        <v>170</v>
      </c>
      <c r="DQ96" s="412">
        <f t="shared" si="234"/>
        <v>0.32396317491534082</v>
      </c>
      <c r="DR96" s="66">
        <f t="shared" si="235"/>
        <v>11200</v>
      </c>
      <c r="DS96" s="412">
        <f t="shared" si="236"/>
        <v>0.266748793539268</v>
      </c>
      <c r="DT96" s="506"/>
      <c r="DU96" s="596">
        <v>40</v>
      </c>
      <c r="DV96" s="596"/>
      <c r="DW96" s="596">
        <f t="shared" si="181"/>
        <v>40</v>
      </c>
      <c r="DX96" s="596">
        <f t="shared" si="162"/>
        <v>0</v>
      </c>
      <c r="DY96" s="592">
        <f t="shared" si="182"/>
        <v>0</v>
      </c>
      <c r="DZ96" s="596">
        <f t="shared" si="237"/>
        <v>2760</v>
      </c>
      <c r="EA96" s="592">
        <f t="shared" si="183"/>
        <v>6.5734524122176757E-2</v>
      </c>
      <c r="EB96" s="594"/>
      <c r="EC96" s="448">
        <v>55</v>
      </c>
      <c r="ED96" s="449"/>
      <c r="EE96" s="449">
        <f t="shared" si="184"/>
        <v>55</v>
      </c>
      <c r="EF96" s="449">
        <f t="shared" si="163"/>
        <v>0</v>
      </c>
      <c r="EG96" s="450">
        <f t="shared" si="242"/>
        <v>0</v>
      </c>
      <c r="EH96" s="449">
        <f t="shared" si="238"/>
        <v>315</v>
      </c>
      <c r="EI96" s="450">
        <f t="shared" si="243"/>
        <v>7.5023098182919129E-3</v>
      </c>
      <c r="EJ96" s="520"/>
      <c r="EK96" s="426">
        <v>3313</v>
      </c>
      <c r="EL96" s="427"/>
      <c r="EM96" s="427">
        <f t="shared" si="185"/>
        <v>2820</v>
      </c>
      <c r="EN96" s="427">
        <f t="shared" si="164"/>
        <v>493</v>
      </c>
      <c r="EO96" s="427">
        <f t="shared" si="186"/>
        <v>37802</v>
      </c>
      <c r="EP96" s="456">
        <v>70</v>
      </c>
      <c r="EQ96" s="457"/>
      <c r="ER96" s="457">
        <f t="shared" si="187"/>
        <v>28</v>
      </c>
      <c r="ES96" s="457">
        <f t="shared" si="165"/>
        <v>42</v>
      </c>
      <c r="ET96" s="457">
        <f t="shared" si="188"/>
        <v>770</v>
      </c>
      <c r="EU96" s="409">
        <v>96</v>
      </c>
      <c r="EV96" s="43"/>
      <c r="EW96" s="43">
        <f t="shared" si="189"/>
        <v>88</v>
      </c>
      <c r="EX96" s="43">
        <f t="shared" si="166"/>
        <v>8</v>
      </c>
      <c r="EY96" s="43">
        <f t="shared" si="190"/>
        <v>512</v>
      </c>
      <c r="EZ96" s="436">
        <v>20</v>
      </c>
      <c r="FA96" s="437"/>
      <c r="FB96" s="437">
        <f t="shared" si="191"/>
        <v>17</v>
      </c>
      <c r="FC96" s="437">
        <f t="shared" si="167"/>
        <v>3</v>
      </c>
      <c r="FD96" s="437">
        <f t="shared" si="192"/>
        <v>623</v>
      </c>
      <c r="FE96" s="442">
        <v>125</v>
      </c>
      <c r="FF96" s="443"/>
      <c r="FG96" s="443">
        <f t="shared" si="193"/>
        <v>125</v>
      </c>
      <c r="FH96" s="443">
        <f t="shared" si="168"/>
        <v>0</v>
      </c>
      <c r="FI96" s="443">
        <f t="shared" si="194"/>
        <v>675</v>
      </c>
      <c r="FJ96" s="392">
        <v>441</v>
      </c>
      <c r="FK96" s="298"/>
      <c r="FL96" s="298">
        <f t="shared" si="195"/>
        <v>441</v>
      </c>
      <c r="FM96" s="298">
        <f t="shared" si="169"/>
        <v>0</v>
      </c>
      <c r="FN96" s="498">
        <f t="shared" si="196"/>
        <v>1459</v>
      </c>
      <c r="HC96" s="402"/>
      <c r="HD96" s="52"/>
      <c r="HE96" s="52">
        <f t="shared" si="197"/>
        <v>0</v>
      </c>
      <c r="HF96" s="52">
        <f t="shared" si="170"/>
        <v>0</v>
      </c>
      <c r="HG96" s="51"/>
      <c r="HH96" s="52">
        <f t="shared" si="240"/>
        <v>400</v>
      </c>
      <c r="HI96" s="51"/>
      <c r="HJ96" s="1047"/>
    </row>
    <row r="97" spans="1:218">
      <c r="A97" s="30">
        <v>44760</v>
      </c>
      <c r="B97" s="390">
        <v>452275</v>
      </c>
      <c r="C97" s="18">
        <f t="shared" si="147"/>
        <v>42439344</v>
      </c>
      <c r="D97" s="376">
        <v>7120.96</v>
      </c>
      <c r="E97" s="417">
        <f t="shared" si="255"/>
        <v>583342.29999999981</v>
      </c>
      <c r="F97" s="397">
        <v>34337</v>
      </c>
      <c r="G97" s="37"/>
      <c r="H97" s="37">
        <f t="shared" si="171"/>
        <v>29540</v>
      </c>
      <c r="I97" s="37">
        <f t="shared" si="148"/>
        <v>4797</v>
      </c>
      <c r="J97" s="37">
        <f t="shared" si="146"/>
        <v>673.64512649979781</v>
      </c>
      <c r="K97" s="37">
        <f t="shared" si="198"/>
        <v>262727</v>
      </c>
      <c r="L97" s="37">
        <f t="shared" si="149"/>
        <v>450.38221983902088</v>
      </c>
      <c r="M97" s="648"/>
      <c r="N97" s="422">
        <v>175</v>
      </c>
      <c r="O97" s="423">
        <v>250</v>
      </c>
      <c r="P97" s="423">
        <f t="shared" si="199"/>
        <v>300</v>
      </c>
      <c r="Q97" s="423">
        <f t="shared" si="200"/>
        <v>125</v>
      </c>
      <c r="R97" s="423">
        <f t="shared" si="201"/>
        <v>7425</v>
      </c>
      <c r="S97" s="68">
        <v>8.4600000000000009</v>
      </c>
      <c r="T97" s="67">
        <v>24</v>
      </c>
      <c r="U97" s="68">
        <f t="shared" si="202"/>
        <v>101.52000000000001</v>
      </c>
      <c r="V97" s="68">
        <f t="shared" si="151"/>
        <v>14.256504740933808</v>
      </c>
      <c r="W97" s="423">
        <f t="shared" si="203"/>
        <v>7246.2240000000002</v>
      </c>
      <c r="X97" s="68">
        <f t="shared" si="152"/>
        <v>12.421907343252842</v>
      </c>
      <c r="Y97" s="500"/>
      <c r="Z97" s="424">
        <v>175</v>
      </c>
      <c r="AA97" s="425"/>
      <c r="AB97" s="425">
        <f t="shared" si="204"/>
        <v>175</v>
      </c>
      <c r="AC97" s="425">
        <f t="shared" si="205"/>
        <v>0</v>
      </c>
      <c r="AD97" s="425">
        <f t="shared" si="206"/>
        <v>1125</v>
      </c>
      <c r="AE97" s="72">
        <v>2.11</v>
      </c>
      <c r="AF97" s="71">
        <v>12</v>
      </c>
      <c r="AG97" s="72">
        <f t="shared" si="207"/>
        <v>12.66</v>
      </c>
      <c r="AH97" s="72">
        <f t="shared" si="173"/>
        <v>1.7778501775041566</v>
      </c>
      <c r="AI97" s="425">
        <f t="shared" si="208"/>
        <v>1045.0320000000002</v>
      </c>
      <c r="AJ97" s="72">
        <f t="shared" si="241"/>
        <v>1.7914558913351568</v>
      </c>
      <c r="AK97" s="502"/>
      <c r="AL97" s="491">
        <v>40957</v>
      </c>
      <c r="AM97" s="491"/>
      <c r="AN97" s="492">
        <f t="shared" si="248"/>
        <v>40957</v>
      </c>
      <c r="AO97" s="492">
        <f t="shared" si="249"/>
        <v>0</v>
      </c>
      <c r="AP97" s="492">
        <f t="shared" si="250"/>
        <v>42616</v>
      </c>
      <c r="AQ97" s="493">
        <f t="shared" si="174"/>
        <v>73.054877042175775</v>
      </c>
      <c r="AR97" s="504"/>
      <c r="AS97" s="413">
        <v>49235</v>
      </c>
      <c r="AT97" s="64"/>
      <c r="AU97" s="66">
        <f t="shared" si="209"/>
        <v>49235</v>
      </c>
      <c r="AV97" s="66">
        <f t="shared" si="155"/>
        <v>0</v>
      </c>
      <c r="AW97" s="412">
        <f t="shared" si="156"/>
        <v>0</v>
      </c>
      <c r="AX97" s="66">
        <f t="shared" si="210"/>
        <v>0</v>
      </c>
      <c r="AY97" s="412">
        <f t="shared" si="211"/>
        <v>0</v>
      </c>
      <c r="AZ97" s="506"/>
      <c r="BA97" s="419">
        <v>45495</v>
      </c>
      <c r="BB97" s="419"/>
      <c r="BC97" s="407"/>
      <c r="BD97" s="419">
        <f t="shared" si="175"/>
        <v>45495</v>
      </c>
      <c r="BE97" s="419">
        <f t="shared" si="176"/>
        <v>0</v>
      </c>
      <c r="BF97" s="407">
        <f t="shared" si="212"/>
        <v>0</v>
      </c>
      <c r="BG97" s="419">
        <f t="shared" si="251"/>
        <v>0</v>
      </c>
      <c r="BH97" s="407">
        <f t="shared" si="213"/>
        <v>0</v>
      </c>
      <c r="BI97" s="407">
        <f t="shared" si="214"/>
        <v>0</v>
      </c>
      <c r="BJ97" s="508"/>
      <c r="BK97" s="510"/>
      <c r="BL97" s="49">
        <v>1258</v>
      </c>
      <c r="BM97" s="50"/>
      <c r="BN97" s="52">
        <f t="shared" si="215"/>
        <v>1202</v>
      </c>
      <c r="BO97" s="52">
        <f t="shared" si="157"/>
        <v>56</v>
      </c>
      <c r="BP97" s="406">
        <f t="shared" si="216"/>
        <v>0.12381847327400365</v>
      </c>
      <c r="BQ97" s="52">
        <f t="shared" si="217"/>
        <v>14898</v>
      </c>
      <c r="BR97" s="406">
        <f t="shared" si="218"/>
        <v>0.35104218387541525</v>
      </c>
      <c r="BS97" s="512"/>
      <c r="BT97" s="409">
        <v>1745</v>
      </c>
      <c r="BU97" s="43"/>
      <c r="BV97" s="43">
        <f t="shared" si="245"/>
        <v>1685</v>
      </c>
      <c r="BW97" s="43">
        <f t="shared" si="246"/>
        <v>60</v>
      </c>
      <c r="BX97" s="42">
        <f t="shared" si="219"/>
        <v>0.13266264993643248</v>
      </c>
      <c r="BY97" s="43">
        <f t="shared" si="247"/>
        <v>5702</v>
      </c>
      <c r="BZ97" s="42">
        <f t="shared" si="220"/>
        <v>0.13435645942123894</v>
      </c>
      <c r="CA97" s="514"/>
      <c r="CB97" s="392">
        <v>977</v>
      </c>
      <c r="CC97" s="298"/>
      <c r="CD97" s="298">
        <f t="shared" si="177"/>
        <v>368</v>
      </c>
      <c r="CE97" s="298">
        <f t="shared" si="158"/>
        <v>609</v>
      </c>
      <c r="CF97" s="297">
        <f t="shared" si="221"/>
        <v>1.3465258968547897</v>
      </c>
      <c r="CG97" s="298">
        <f t="shared" si="222"/>
        <v>37582</v>
      </c>
      <c r="CH97" s="297">
        <f t="shared" si="223"/>
        <v>0.88554620448421639</v>
      </c>
      <c r="CI97" s="516"/>
      <c r="CJ97" s="656">
        <v>0</v>
      </c>
      <c r="CK97" s="657"/>
      <c r="CL97" s="657">
        <f t="shared" si="252"/>
        <v>0</v>
      </c>
      <c r="CM97" s="657">
        <f t="shared" si="253"/>
        <v>0</v>
      </c>
      <c r="CN97" s="659">
        <f t="shared" si="254"/>
        <v>1000</v>
      </c>
      <c r="CO97" s="464">
        <v>140</v>
      </c>
      <c r="CP97" s="465"/>
      <c r="CQ97" s="465">
        <f t="shared" si="178"/>
        <v>60</v>
      </c>
      <c r="CR97" s="465">
        <f t="shared" si="159"/>
        <v>80</v>
      </c>
      <c r="CS97" s="486">
        <f t="shared" si="224"/>
        <v>0.17688353324857664</v>
      </c>
      <c r="CT97" s="465">
        <f t="shared" si="225"/>
        <v>1195</v>
      </c>
      <c r="CU97" s="486">
        <f t="shared" si="226"/>
        <v>2.8157833919393287E-2</v>
      </c>
      <c r="CV97" s="518"/>
      <c r="CW97" s="427">
        <v>0</v>
      </c>
      <c r="CX97" s="427"/>
      <c r="CY97" s="427">
        <f t="shared" si="227"/>
        <v>0</v>
      </c>
      <c r="CZ97" s="427">
        <f t="shared" si="228"/>
        <v>0</v>
      </c>
      <c r="DA97" s="607">
        <f t="shared" si="244"/>
        <v>0</v>
      </c>
      <c r="DB97" s="607">
        <f t="shared" si="229"/>
        <v>45</v>
      </c>
      <c r="DC97" s="607">
        <f t="shared" si="179"/>
        <v>1.0603368421528852E-3</v>
      </c>
      <c r="DD97" s="609"/>
      <c r="DE97" s="471">
        <v>16</v>
      </c>
      <c r="DF97" s="473"/>
      <c r="DG97" s="473">
        <f t="shared" si="180"/>
        <v>16</v>
      </c>
      <c r="DH97" s="473">
        <f t="shared" si="160"/>
        <v>0</v>
      </c>
      <c r="DI97" s="227">
        <f t="shared" si="230"/>
        <v>0</v>
      </c>
      <c r="DJ97" s="473">
        <f t="shared" si="231"/>
        <v>11.200000000000001</v>
      </c>
      <c r="DK97" s="227">
        <f t="shared" si="232"/>
        <v>2.6390605849138481E-4</v>
      </c>
      <c r="DL97" s="510"/>
      <c r="DM97" s="63">
        <v>400</v>
      </c>
      <c r="DN97" s="64"/>
      <c r="DO97" s="66">
        <f t="shared" si="233"/>
        <v>200</v>
      </c>
      <c r="DP97" s="66">
        <f t="shared" si="161"/>
        <v>200</v>
      </c>
      <c r="DQ97" s="412">
        <f t="shared" si="234"/>
        <v>0.4422088331214416</v>
      </c>
      <c r="DR97" s="66">
        <f t="shared" si="235"/>
        <v>11400</v>
      </c>
      <c r="DS97" s="412">
        <f t="shared" si="236"/>
        <v>0.26861866667873097</v>
      </c>
      <c r="DT97" s="506"/>
      <c r="DU97" s="596">
        <v>40</v>
      </c>
      <c r="DV97" s="596"/>
      <c r="DW97" s="596">
        <f t="shared" si="181"/>
        <v>40</v>
      </c>
      <c r="DX97" s="596">
        <f t="shared" si="162"/>
        <v>0</v>
      </c>
      <c r="DY97" s="592">
        <f t="shared" si="182"/>
        <v>0</v>
      </c>
      <c r="DZ97" s="596">
        <f t="shared" si="237"/>
        <v>2760</v>
      </c>
      <c r="EA97" s="592">
        <f t="shared" si="183"/>
        <v>6.5033992985376959E-2</v>
      </c>
      <c r="EB97" s="594"/>
      <c r="EC97" s="448">
        <v>55</v>
      </c>
      <c r="ED97" s="449"/>
      <c r="EE97" s="449">
        <f t="shared" si="184"/>
        <v>55</v>
      </c>
      <c r="EF97" s="449">
        <f t="shared" si="163"/>
        <v>0</v>
      </c>
      <c r="EG97" s="450">
        <f t="shared" si="242"/>
        <v>0</v>
      </c>
      <c r="EH97" s="449">
        <f t="shared" si="238"/>
        <v>315</v>
      </c>
      <c r="EI97" s="450">
        <f t="shared" si="243"/>
        <v>7.4223578950701969E-3</v>
      </c>
      <c r="EJ97" s="520"/>
      <c r="EK97" s="426">
        <v>2820</v>
      </c>
      <c r="EL97" s="427"/>
      <c r="EM97" s="427">
        <f t="shared" si="185"/>
        <v>2400</v>
      </c>
      <c r="EN97" s="427">
        <f t="shared" si="164"/>
        <v>420</v>
      </c>
      <c r="EO97" s="427">
        <f t="shared" si="186"/>
        <v>38222</v>
      </c>
      <c r="EP97" s="456">
        <v>28</v>
      </c>
      <c r="EQ97" s="457"/>
      <c r="ER97" s="457">
        <f t="shared" si="187"/>
        <v>14</v>
      </c>
      <c r="ES97" s="457">
        <f t="shared" si="165"/>
        <v>14</v>
      </c>
      <c r="ET97" s="457">
        <f t="shared" si="188"/>
        <v>784</v>
      </c>
      <c r="EU97" s="409">
        <v>88</v>
      </c>
      <c r="EV97" s="43"/>
      <c r="EW97" s="43">
        <f t="shared" si="189"/>
        <v>80</v>
      </c>
      <c r="EX97" s="43">
        <f t="shared" si="166"/>
        <v>8</v>
      </c>
      <c r="EY97" s="43">
        <f t="shared" si="190"/>
        <v>520</v>
      </c>
      <c r="EZ97" s="436">
        <v>17</v>
      </c>
      <c r="FA97" s="437"/>
      <c r="FB97" s="437">
        <f t="shared" si="191"/>
        <v>12</v>
      </c>
      <c r="FC97" s="437">
        <f t="shared" si="167"/>
        <v>5</v>
      </c>
      <c r="FD97" s="437">
        <f t="shared" si="192"/>
        <v>628</v>
      </c>
      <c r="FE97" s="442">
        <v>125</v>
      </c>
      <c r="FF97" s="443"/>
      <c r="FG97" s="443">
        <f t="shared" si="193"/>
        <v>100</v>
      </c>
      <c r="FH97" s="443">
        <f t="shared" si="168"/>
        <v>25</v>
      </c>
      <c r="FI97" s="443">
        <f t="shared" si="194"/>
        <v>700</v>
      </c>
      <c r="FJ97" s="392">
        <v>441</v>
      </c>
      <c r="FK97" s="298"/>
      <c r="FL97" s="298">
        <f t="shared" si="195"/>
        <v>405</v>
      </c>
      <c r="FM97" s="298">
        <f t="shared" si="169"/>
        <v>36</v>
      </c>
      <c r="FN97" s="498">
        <f t="shared" si="196"/>
        <v>1495</v>
      </c>
      <c r="HC97" s="402"/>
      <c r="HD97" s="52"/>
      <c r="HE97" s="52">
        <f t="shared" si="197"/>
        <v>0</v>
      </c>
      <c r="HF97" s="52">
        <f t="shared" si="170"/>
        <v>0</v>
      </c>
      <c r="HG97" s="51"/>
      <c r="HH97" s="52">
        <f t="shared" si="240"/>
        <v>400</v>
      </c>
      <c r="HI97" s="51"/>
      <c r="HJ97" s="1047"/>
    </row>
    <row r="98" spans="1:218">
      <c r="A98" s="30">
        <v>44761</v>
      </c>
      <c r="B98" s="390">
        <v>540807</v>
      </c>
      <c r="C98" s="18">
        <f t="shared" si="147"/>
        <v>42980151</v>
      </c>
      <c r="D98" s="376">
        <v>6369.58</v>
      </c>
      <c r="E98" s="417">
        <f t="shared" si="255"/>
        <v>589711.87999999977</v>
      </c>
      <c r="F98" s="397">
        <v>29540</v>
      </c>
      <c r="G98" s="37"/>
      <c r="H98" s="37">
        <f t="shared" si="171"/>
        <v>28402</v>
      </c>
      <c r="I98" s="37">
        <f t="shared" si="148"/>
        <v>1138</v>
      </c>
      <c r="J98" s="37">
        <f t="shared" si="146"/>
        <v>178.66170139946433</v>
      </c>
      <c r="K98" s="37">
        <f t="shared" si="198"/>
        <v>263865</v>
      </c>
      <c r="L98" s="37">
        <f t="shared" si="149"/>
        <v>447.44731952830949</v>
      </c>
      <c r="M98" s="648"/>
      <c r="N98" s="422">
        <v>300</v>
      </c>
      <c r="O98" s="423"/>
      <c r="P98" s="423">
        <f t="shared" si="199"/>
        <v>200</v>
      </c>
      <c r="Q98" s="423">
        <f t="shared" si="200"/>
        <v>100</v>
      </c>
      <c r="R98" s="423">
        <f t="shared" si="201"/>
        <v>7525</v>
      </c>
      <c r="S98" s="68">
        <v>7.84</v>
      </c>
      <c r="T98" s="67">
        <v>24</v>
      </c>
      <c r="U98" s="68">
        <f t="shared" si="202"/>
        <v>94.08</v>
      </c>
      <c r="V98" s="68">
        <f t="shared" si="151"/>
        <v>14.770204628876629</v>
      </c>
      <c r="W98" s="423">
        <f t="shared" si="203"/>
        <v>7340.3040000000001</v>
      </c>
      <c r="X98" s="68">
        <f t="shared" si="152"/>
        <v>12.447271708346799</v>
      </c>
      <c r="Y98" s="500"/>
      <c r="Z98" s="424">
        <v>175</v>
      </c>
      <c r="AA98" s="425"/>
      <c r="AB98" s="425">
        <f t="shared" si="204"/>
        <v>175</v>
      </c>
      <c r="AC98" s="425">
        <f t="shared" si="205"/>
        <v>0</v>
      </c>
      <c r="AD98" s="425">
        <f t="shared" si="206"/>
        <v>1125</v>
      </c>
      <c r="AE98" s="72">
        <v>1.93</v>
      </c>
      <c r="AF98" s="71">
        <v>12</v>
      </c>
      <c r="AG98" s="72">
        <f t="shared" si="207"/>
        <v>11.58</v>
      </c>
      <c r="AH98" s="72">
        <f t="shared" si="173"/>
        <v>1.8180162585288198</v>
      </c>
      <c r="AI98" s="425">
        <f t="shared" si="208"/>
        <v>1056.6120000000001</v>
      </c>
      <c r="AJ98" s="72">
        <f t="shared" si="241"/>
        <v>1.791742774454536</v>
      </c>
      <c r="AK98" s="502"/>
      <c r="AL98" s="491">
        <v>40957</v>
      </c>
      <c r="AM98" s="491"/>
      <c r="AN98" s="492">
        <f t="shared" si="248"/>
        <v>40957</v>
      </c>
      <c r="AO98" s="492">
        <f t="shared" si="249"/>
        <v>0</v>
      </c>
      <c r="AP98" s="492">
        <f t="shared" si="250"/>
        <v>42616</v>
      </c>
      <c r="AQ98" s="493">
        <f t="shared" si="174"/>
        <v>72.265798681213639</v>
      </c>
      <c r="AR98" s="504"/>
      <c r="AS98" s="413">
        <v>49235</v>
      </c>
      <c r="AT98" s="64"/>
      <c r="AU98" s="66">
        <f t="shared" si="209"/>
        <v>46523</v>
      </c>
      <c r="AV98" s="66">
        <f t="shared" si="155"/>
        <v>2712</v>
      </c>
      <c r="AW98" s="412">
        <f t="shared" si="156"/>
        <v>5.01472798983741</v>
      </c>
      <c r="AX98" s="66">
        <f t="shared" si="210"/>
        <v>2712</v>
      </c>
      <c r="AY98" s="412">
        <f t="shared" si="211"/>
        <v>6.3098894184899446E-2</v>
      </c>
      <c r="AZ98" s="506"/>
      <c r="BA98" s="419">
        <v>45495</v>
      </c>
      <c r="BB98" s="419"/>
      <c r="BC98" s="407"/>
      <c r="BD98" s="419">
        <f t="shared" si="175"/>
        <v>45495</v>
      </c>
      <c r="BE98" s="419">
        <f t="shared" si="176"/>
        <v>0</v>
      </c>
      <c r="BF98" s="407">
        <f t="shared" si="212"/>
        <v>0</v>
      </c>
      <c r="BG98" s="419">
        <f t="shared" si="251"/>
        <v>0</v>
      </c>
      <c r="BH98" s="407">
        <f t="shared" si="213"/>
        <v>0</v>
      </c>
      <c r="BI98" s="407">
        <f t="shared" si="214"/>
        <v>0</v>
      </c>
      <c r="BJ98" s="508"/>
      <c r="BK98" s="510"/>
      <c r="BL98" s="49">
        <v>1202</v>
      </c>
      <c r="BM98" s="50"/>
      <c r="BN98" s="52">
        <f t="shared" si="215"/>
        <v>1159</v>
      </c>
      <c r="BO98" s="52">
        <f t="shared" si="157"/>
        <v>43</v>
      </c>
      <c r="BP98" s="406">
        <f t="shared" si="216"/>
        <v>7.9510805148601996E-2</v>
      </c>
      <c r="BQ98" s="52">
        <f t="shared" si="217"/>
        <v>14941</v>
      </c>
      <c r="BR98" s="406">
        <f t="shared" si="218"/>
        <v>0.34762558186452158</v>
      </c>
      <c r="BS98" s="512"/>
      <c r="BT98" s="409">
        <v>1685</v>
      </c>
      <c r="BU98" s="43"/>
      <c r="BV98" s="43">
        <f t="shared" si="245"/>
        <v>1645</v>
      </c>
      <c r="BW98" s="43">
        <f t="shared" si="246"/>
        <v>40</v>
      </c>
      <c r="BX98" s="42">
        <f t="shared" si="219"/>
        <v>7.3963539673118139E-2</v>
      </c>
      <c r="BY98" s="43">
        <f t="shared" si="247"/>
        <v>5742</v>
      </c>
      <c r="BZ98" s="42">
        <f t="shared" si="220"/>
        <v>0.1335965525109486</v>
      </c>
      <c r="CA98" s="514"/>
      <c r="CB98" s="392">
        <v>368</v>
      </c>
      <c r="CC98" s="298">
        <v>2300</v>
      </c>
      <c r="CD98" s="298">
        <f t="shared" si="177"/>
        <v>2450</v>
      </c>
      <c r="CE98" s="298">
        <f t="shared" si="158"/>
        <v>218</v>
      </c>
      <c r="CF98" s="297">
        <f t="shared" si="221"/>
        <v>0.40310129121849386</v>
      </c>
      <c r="CG98" s="298">
        <f t="shared" si="222"/>
        <v>37800</v>
      </c>
      <c r="CH98" s="297">
        <f t="shared" si="223"/>
        <v>0.87947573753289043</v>
      </c>
      <c r="CI98" s="516"/>
      <c r="CJ98" s="656">
        <v>0</v>
      </c>
      <c r="CK98" s="657"/>
      <c r="CL98" s="657">
        <f t="shared" si="252"/>
        <v>0</v>
      </c>
      <c r="CM98" s="657">
        <f t="shared" si="253"/>
        <v>0</v>
      </c>
      <c r="CN98" s="659">
        <f t="shared" si="254"/>
        <v>1000</v>
      </c>
      <c r="CO98" s="464">
        <v>60</v>
      </c>
      <c r="CP98" s="465"/>
      <c r="CQ98" s="465">
        <f t="shared" si="178"/>
        <v>60</v>
      </c>
      <c r="CR98" s="465">
        <f t="shared" si="159"/>
        <v>0</v>
      </c>
      <c r="CS98" s="486">
        <f t="shared" si="224"/>
        <v>0</v>
      </c>
      <c r="CT98" s="465">
        <f t="shared" si="225"/>
        <v>1195</v>
      </c>
      <c r="CU98" s="486">
        <f t="shared" si="226"/>
        <v>2.7803531914068893E-2</v>
      </c>
      <c r="CV98" s="518"/>
      <c r="CW98" s="427">
        <v>0</v>
      </c>
      <c r="CX98" s="427"/>
      <c r="CY98" s="427">
        <f t="shared" si="227"/>
        <v>0</v>
      </c>
      <c r="CZ98" s="427">
        <f t="shared" si="228"/>
        <v>0</v>
      </c>
      <c r="DA98" s="607">
        <f t="shared" si="244"/>
        <v>0</v>
      </c>
      <c r="DB98" s="607">
        <f t="shared" si="229"/>
        <v>45</v>
      </c>
      <c r="DC98" s="607">
        <f t="shared" si="179"/>
        <v>1.0469949256343934E-3</v>
      </c>
      <c r="DD98" s="609"/>
      <c r="DE98" s="471">
        <v>16</v>
      </c>
      <c r="DF98" s="473"/>
      <c r="DG98" s="473">
        <f t="shared" si="180"/>
        <v>0</v>
      </c>
      <c r="DH98" s="473">
        <f t="shared" si="160"/>
        <v>16</v>
      </c>
      <c r="DI98" s="227">
        <f t="shared" si="230"/>
        <v>2.9585415869247254E-2</v>
      </c>
      <c r="DJ98" s="473">
        <f t="shared" si="231"/>
        <v>27.200000000000003</v>
      </c>
      <c r="DK98" s="227">
        <f t="shared" si="232"/>
        <v>6.3285026616123348E-4</v>
      </c>
      <c r="DL98" s="510"/>
      <c r="DM98" s="63">
        <v>200</v>
      </c>
      <c r="DN98" s="64"/>
      <c r="DO98" s="66">
        <f t="shared" si="233"/>
        <v>0</v>
      </c>
      <c r="DP98" s="66">
        <f t="shared" si="161"/>
        <v>200</v>
      </c>
      <c r="DQ98" s="412">
        <f t="shared" si="234"/>
        <v>0.3698176983655907</v>
      </c>
      <c r="DR98" s="66">
        <f t="shared" si="235"/>
        <v>11600</v>
      </c>
      <c r="DS98" s="412">
        <f t="shared" si="236"/>
        <v>0.26989202527464362</v>
      </c>
      <c r="DT98" s="506"/>
      <c r="DU98" s="596">
        <v>40</v>
      </c>
      <c r="DV98" s="596"/>
      <c r="DW98" s="596">
        <f t="shared" si="181"/>
        <v>40</v>
      </c>
      <c r="DX98" s="596">
        <f t="shared" si="162"/>
        <v>0</v>
      </c>
      <c r="DY98" s="592">
        <f t="shared" si="182"/>
        <v>0</v>
      </c>
      <c r="DZ98" s="596">
        <f t="shared" si="237"/>
        <v>2760</v>
      </c>
      <c r="EA98" s="592">
        <f t="shared" si="183"/>
        <v>6.421568877224279E-2</v>
      </c>
      <c r="EB98" s="594"/>
      <c r="EC98" s="448">
        <v>55</v>
      </c>
      <c r="ED98" s="449"/>
      <c r="EE98" s="449">
        <f t="shared" si="184"/>
        <v>55</v>
      </c>
      <c r="EF98" s="449">
        <f t="shared" si="163"/>
        <v>0</v>
      </c>
      <c r="EG98" s="450">
        <f t="shared" si="242"/>
        <v>0</v>
      </c>
      <c r="EH98" s="449">
        <f t="shared" si="238"/>
        <v>315</v>
      </c>
      <c r="EI98" s="450">
        <f t="shared" si="243"/>
        <v>7.3289644794407539E-3</v>
      </c>
      <c r="EJ98" s="520"/>
      <c r="EK98" s="426">
        <v>2400</v>
      </c>
      <c r="EL98" s="427"/>
      <c r="EM98" s="427">
        <f t="shared" si="185"/>
        <v>1668</v>
      </c>
      <c r="EN98" s="427">
        <f t="shared" si="164"/>
        <v>732</v>
      </c>
      <c r="EO98" s="427">
        <f t="shared" si="186"/>
        <v>38954</v>
      </c>
      <c r="EP98" s="456">
        <v>14</v>
      </c>
      <c r="EQ98" s="457">
        <v>140</v>
      </c>
      <c r="ER98" s="457">
        <f t="shared" si="187"/>
        <v>126</v>
      </c>
      <c r="ES98" s="457">
        <f t="shared" si="165"/>
        <v>28</v>
      </c>
      <c r="ET98" s="457">
        <f t="shared" si="188"/>
        <v>812</v>
      </c>
      <c r="EU98" s="409">
        <v>80</v>
      </c>
      <c r="EV98" s="43"/>
      <c r="EW98" s="43">
        <f t="shared" si="189"/>
        <v>71</v>
      </c>
      <c r="EX98" s="43">
        <f t="shared" si="166"/>
        <v>9</v>
      </c>
      <c r="EY98" s="43">
        <f t="shared" si="190"/>
        <v>529</v>
      </c>
      <c r="EZ98" s="436">
        <v>12</v>
      </c>
      <c r="FA98" s="437"/>
      <c r="FB98" s="437">
        <f t="shared" si="191"/>
        <v>8</v>
      </c>
      <c r="FC98" s="437">
        <f t="shared" si="167"/>
        <v>4</v>
      </c>
      <c r="FD98" s="437">
        <f t="shared" si="192"/>
        <v>632</v>
      </c>
      <c r="FE98" s="442">
        <v>100</v>
      </c>
      <c r="FF98" s="443"/>
      <c r="FG98" s="443">
        <f t="shared" si="193"/>
        <v>100</v>
      </c>
      <c r="FH98" s="443">
        <f t="shared" si="168"/>
        <v>0</v>
      </c>
      <c r="FI98" s="443">
        <f t="shared" si="194"/>
        <v>700</v>
      </c>
      <c r="FJ98" s="392">
        <v>405</v>
      </c>
      <c r="FK98" s="298"/>
      <c r="FL98" s="298">
        <f t="shared" si="195"/>
        <v>279</v>
      </c>
      <c r="FM98" s="298">
        <f t="shared" si="169"/>
        <v>126</v>
      </c>
      <c r="FN98" s="498">
        <f t="shared" si="196"/>
        <v>1621</v>
      </c>
      <c r="HC98" s="402"/>
      <c r="HD98" s="52"/>
      <c r="HE98" s="52">
        <f t="shared" si="197"/>
        <v>0</v>
      </c>
      <c r="HF98" s="52">
        <f t="shared" si="170"/>
        <v>0</v>
      </c>
      <c r="HG98" s="51"/>
      <c r="HH98" s="52">
        <f t="shared" si="240"/>
        <v>400</v>
      </c>
      <c r="HI98" s="51"/>
      <c r="HJ98" s="1047"/>
    </row>
    <row r="99" spans="1:218">
      <c r="A99" s="30">
        <v>44762</v>
      </c>
      <c r="B99" s="390">
        <v>546365</v>
      </c>
      <c r="C99" s="18">
        <f t="shared" si="147"/>
        <v>43526516</v>
      </c>
      <c r="D99" s="376">
        <v>6532.78</v>
      </c>
      <c r="E99" s="417">
        <f t="shared" si="255"/>
        <v>596244.6599999998</v>
      </c>
      <c r="F99" s="397">
        <v>28402</v>
      </c>
      <c r="G99" s="37"/>
      <c r="H99" s="37">
        <f t="shared" si="171"/>
        <v>15556</v>
      </c>
      <c r="I99" s="37">
        <f t="shared" si="148"/>
        <v>12846</v>
      </c>
      <c r="J99" s="37">
        <f t="shared" si="146"/>
        <v>1966.3910310771219</v>
      </c>
      <c r="K99" s="37">
        <f t="shared" si="198"/>
        <v>276711</v>
      </c>
      <c r="L99" s="37">
        <f t="shared" si="149"/>
        <v>464.0896909667922</v>
      </c>
      <c r="M99" s="648"/>
      <c r="N99" s="422">
        <v>200</v>
      </c>
      <c r="O99" s="423"/>
      <c r="P99" s="423">
        <f t="shared" si="199"/>
        <v>75</v>
      </c>
      <c r="Q99" s="423">
        <f t="shared" si="200"/>
        <v>125</v>
      </c>
      <c r="R99" s="423">
        <f t="shared" si="201"/>
        <v>7650</v>
      </c>
      <c r="S99" s="68">
        <v>9.06</v>
      </c>
      <c r="T99" s="67">
        <v>24</v>
      </c>
      <c r="U99" s="68">
        <f t="shared" si="202"/>
        <v>108.72</v>
      </c>
      <c r="V99" s="68">
        <f t="shared" si="151"/>
        <v>16.642225821166488</v>
      </c>
      <c r="W99" s="423">
        <f t="shared" si="203"/>
        <v>7449.0240000000003</v>
      </c>
      <c r="X99" s="68">
        <f t="shared" si="152"/>
        <v>12.493233901667148</v>
      </c>
      <c r="Y99" s="500"/>
      <c r="Z99" s="424">
        <v>175</v>
      </c>
      <c r="AA99" s="425"/>
      <c r="AB99" s="425">
        <f t="shared" si="204"/>
        <v>150</v>
      </c>
      <c r="AC99" s="425">
        <f t="shared" si="205"/>
        <v>25</v>
      </c>
      <c r="AD99" s="425">
        <f t="shared" si="206"/>
        <v>1150</v>
      </c>
      <c r="AE99" s="72">
        <v>1.95</v>
      </c>
      <c r="AF99" s="71">
        <v>12</v>
      </c>
      <c r="AG99" s="72">
        <f t="shared" si="207"/>
        <v>11.7</v>
      </c>
      <c r="AH99" s="72">
        <f t="shared" si="173"/>
        <v>1.7909680105559962</v>
      </c>
      <c r="AI99" s="425">
        <f t="shared" si="208"/>
        <v>1068.3120000000001</v>
      </c>
      <c r="AJ99" s="72">
        <f t="shared" si="241"/>
        <v>1.7917342857208995</v>
      </c>
      <c r="AK99" s="502"/>
      <c r="AL99" s="491">
        <v>40957</v>
      </c>
      <c r="AM99" s="491"/>
      <c r="AN99" s="492">
        <f t="shared" si="248"/>
        <v>40957</v>
      </c>
      <c r="AO99" s="492">
        <f t="shared" si="249"/>
        <v>0</v>
      </c>
      <c r="AP99" s="492">
        <f t="shared" si="250"/>
        <v>42616</v>
      </c>
      <c r="AQ99" s="493">
        <f t="shared" si="174"/>
        <v>71.474015381538194</v>
      </c>
      <c r="AR99" s="504"/>
      <c r="AS99" s="413">
        <v>46523</v>
      </c>
      <c r="AT99" s="64"/>
      <c r="AU99" s="66">
        <f t="shared" si="209"/>
        <v>42728</v>
      </c>
      <c r="AV99" s="66">
        <f t="shared" si="155"/>
        <v>3795</v>
      </c>
      <c r="AW99" s="412">
        <f t="shared" si="156"/>
        <v>6.9459061250263101</v>
      </c>
      <c r="AX99" s="66">
        <f t="shared" si="210"/>
        <v>6507</v>
      </c>
      <c r="AY99" s="412">
        <f t="shared" si="211"/>
        <v>0.14949508019433488</v>
      </c>
      <c r="AZ99" s="506"/>
      <c r="BA99" s="419">
        <v>45495</v>
      </c>
      <c r="BB99" s="419"/>
      <c r="BC99" s="407"/>
      <c r="BD99" s="419">
        <f t="shared" si="175"/>
        <v>45495</v>
      </c>
      <c r="BE99" s="419">
        <f t="shared" si="176"/>
        <v>0</v>
      </c>
      <c r="BF99" s="407">
        <f t="shared" si="212"/>
        <v>0</v>
      </c>
      <c r="BG99" s="419">
        <f t="shared" si="251"/>
        <v>0</v>
      </c>
      <c r="BH99" s="407">
        <f t="shared" si="213"/>
        <v>0</v>
      </c>
      <c r="BI99" s="407">
        <f t="shared" si="214"/>
        <v>0</v>
      </c>
      <c r="BJ99" s="508"/>
      <c r="BK99" s="510"/>
      <c r="BL99" s="49">
        <v>1159</v>
      </c>
      <c r="BM99" s="50"/>
      <c r="BN99" s="52">
        <f t="shared" si="215"/>
        <v>1100</v>
      </c>
      <c r="BO99" s="52">
        <f t="shared" si="157"/>
        <v>59</v>
      </c>
      <c r="BP99" s="406">
        <f t="shared" si="216"/>
        <v>0.1079864193350599</v>
      </c>
      <c r="BQ99" s="52">
        <f t="shared" si="217"/>
        <v>15000</v>
      </c>
      <c r="BR99" s="406">
        <f t="shared" si="218"/>
        <v>0.34461752004226576</v>
      </c>
      <c r="BS99" s="512"/>
      <c r="BT99" s="409">
        <v>1645</v>
      </c>
      <c r="BU99" s="43"/>
      <c r="BV99" s="43">
        <f t="shared" si="245"/>
        <v>1586</v>
      </c>
      <c r="BW99" s="43">
        <f t="shared" si="246"/>
        <v>59</v>
      </c>
      <c r="BX99" s="42">
        <f t="shared" si="219"/>
        <v>0.1079864193350599</v>
      </c>
      <c r="BY99" s="43">
        <f t="shared" si="247"/>
        <v>5801</v>
      </c>
      <c r="BZ99" s="42">
        <f t="shared" si="220"/>
        <v>0.13327508225101223</v>
      </c>
      <c r="CA99" s="514"/>
      <c r="CB99" s="392">
        <v>2450</v>
      </c>
      <c r="CC99" s="298"/>
      <c r="CD99" s="298">
        <f t="shared" si="177"/>
        <v>2450</v>
      </c>
      <c r="CE99" s="298">
        <f t="shared" si="158"/>
        <v>0</v>
      </c>
      <c r="CF99" s="297">
        <f t="shared" si="221"/>
        <v>0</v>
      </c>
      <c r="CG99" s="298">
        <f t="shared" si="222"/>
        <v>37800</v>
      </c>
      <c r="CH99" s="297">
        <f t="shared" si="223"/>
        <v>0.86843615050650969</v>
      </c>
      <c r="CI99" s="516"/>
      <c r="CJ99" s="656">
        <v>0</v>
      </c>
      <c r="CK99" s="657"/>
      <c r="CL99" s="657">
        <f t="shared" si="252"/>
        <v>0</v>
      </c>
      <c r="CM99" s="657">
        <f t="shared" si="253"/>
        <v>0</v>
      </c>
      <c r="CN99" s="659">
        <f t="shared" si="254"/>
        <v>1000</v>
      </c>
      <c r="CO99" s="464">
        <v>60</v>
      </c>
      <c r="CP99" s="465"/>
      <c r="CQ99" s="465">
        <f t="shared" si="178"/>
        <v>0</v>
      </c>
      <c r="CR99" s="465">
        <f t="shared" si="159"/>
        <v>60</v>
      </c>
      <c r="CS99" s="486">
        <f t="shared" si="224"/>
        <v>0.10981669762887447</v>
      </c>
      <c r="CT99" s="465">
        <f t="shared" si="225"/>
        <v>1255</v>
      </c>
      <c r="CU99" s="486">
        <f t="shared" si="226"/>
        <v>2.8832999176869566E-2</v>
      </c>
      <c r="CV99" s="518"/>
      <c r="CW99" s="427">
        <v>0</v>
      </c>
      <c r="CX99" s="427"/>
      <c r="CY99" s="427">
        <f t="shared" si="227"/>
        <v>0</v>
      </c>
      <c r="CZ99" s="427">
        <f t="shared" si="228"/>
        <v>0</v>
      </c>
      <c r="DA99" s="607">
        <f t="shared" si="244"/>
        <v>0</v>
      </c>
      <c r="DB99" s="607">
        <f t="shared" si="229"/>
        <v>45</v>
      </c>
      <c r="DC99" s="607">
        <f t="shared" si="179"/>
        <v>1.0338525601267972E-3</v>
      </c>
      <c r="DD99" s="609"/>
      <c r="DE99" s="471">
        <v>0</v>
      </c>
      <c r="DF99" s="473">
        <v>32</v>
      </c>
      <c r="DG99" s="473">
        <f t="shared" si="180"/>
        <v>19</v>
      </c>
      <c r="DH99" s="473">
        <f t="shared" si="160"/>
        <v>13</v>
      </c>
      <c r="DI99" s="227">
        <f t="shared" si="230"/>
        <v>2.3793617819589469E-2</v>
      </c>
      <c r="DJ99" s="473">
        <f t="shared" si="231"/>
        <v>40.200000000000003</v>
      </c>
      <c r="DK99" s="227">
        <f t="shared" si="232"/>
        <v>9.2357495371327212E-4</v>
      </c>
      <c r="DL99" s="510"/>
      <c r="DM99" s="63">
        <v>0</v>
      </c>
      <c r="DN99" s="64"/>
      <c r="DO99" s="66">
        <f t="shared" si="233"/>
        <v>0</v>
      </c>
      <c r="DP99" s="66">
        <f t="shared" si="161"/>
        <v>0</v>
      </c>
      <c r="DQ99" s="412">
        <f t="shared" si="234"/>
        <v>0</v>
      </c>
      <c r="DR99" s="66">
        <f t="shared" si="235"/>
        <v>11600</v>
      </c>
      <c r="DS99" s="412">
        <f t="shared" si="236"/>
        <v>0.26650421549935216</v>
      </c>
      <c r="DT99" s="506"/>
      <c r="DU99" s="596">
        <v>40</v>
      </c>
      <c r="DV99" s="596"/>
      <c r="DW99" s="596">
        <f t="shared" si="181"/>
        <v>40</v>
      </c>
      <c r="DX99" s="596">
        <f t="shared" si="162"/>
        <v>0</v>
      </c>
      <c r="DY99" s="592">
        <f t="shared" si="182"/>
        <v>0</v>
      </c>
      <c r="DZ99" s="596">
        <f t="shared" si="237"/>
        <v>2760</v>
      </c>
      <c r="EA99" s="592">
        <f t="shared" si="183"/>
        <v>6.3409623687776889E-2</v>
      </c>
      <c r="EB99" s="594"/>
      <c r="EC99" s="448">
        <v>55</v>
      </c>
      <c r="ED99" s="449"/>
      <c r="EE99" s="449">
        <f t="shared" si="184"/>
        <v>55</v>
      </c>
      <c r="EF99" s="449">
        <f t="shared" si="163"/>
        <v>0</v>
      </c>
      <c r="EG99" s="450">
        <f t="shared" si="242"/>
        <v>0</v>
      </c>
      <c r="EH99" s="449">
        <f t="shared" si="238"/>
        <v>315</v>
      </c>
      <c r="EI99" s="450">
        <f t="shared" si="243"/>
        <v>7.2369679208875801E-3</v>
      </c>
      <c r="EJ99" s="520"/>
      <c r="EK99" s="426">
        <v>1668</v>
      </c>
      <c r="EL99" s="427"/>
      <c r="EM99" s="427">
        <f t="shared" si="185"/>
        <v>948</v>
      </c>
      <c r="EN99" s="427">
        <f t="shared" si="164"/>
        <v>720</v>
      </c>
      <c r="EO99" s="427">
        <f t="shared" si="186"/>
        <v>39674</v>
      </c>
      <c r="EP99" s="456">
        <v>126</v>
      </c>
      <c r="EQ99" s="457"/>
      <c r="ER99" s="457">
        <f t="shared" si="187"/>
        <v>84</v>
      </c>
      <c r="ES99" s="457">
        <f t="shared" si="165"/>
        <v>42</v>
      </c>
      <c r="ET99" s="457">
        <f t="shared" si="188"/>
        <v>854</v>
      </c>
      <c r="EU99" s="409">
        <v>71</v>
      </c>
      <c r="EV99" s="43"/>
      <c r="EW99" s="43">
        <f t="shared" si="189"/>
        <v>64</v>
      </c>
      <c r="EX99" s="43">
        <f t="shared" si="166"/>
        <v>7</v>
      </c>
      <c r="EY99" s="43">
        <f t="shared" si="190"/>
        <v>536</v>
      </c>
      <c r="EZ99" s="436">
        <v>8</v>
      </c>
      <c r="FA99" s="437">
        <v>50</v>
      </c>
      <c r="FB99" s="437">
        <f t="shared" si="191"/>
        <v>50</v>
      </c>
      <c r="FC99" s="437">
        <f t="shared" si="167"/>
        <v>8</v>
      </c>
      <c r="FD99" s="437">
        <f t="shared" si="192"/>
        <v>640</v>
      </c>
      <c r="FE99" s="442">
        <v>100</v>
      </c>
      <c r="FF99" s="443"/>
      <c r="FG99" s="443">
        <f t="shared" si="193"/>
        <v>75</v>
      </c>
      <c r="FH99" s="443">
        <f t="shared" si="168"/>
        <v>25</v>
      </c>
      <c r="FI99" s="443">
        <f t="shared" si="194"/>
        <v>725</v>
      </c>
      <c r="FJ99" s="392">
        <v>279</v>
      </c>
      <c r="FK99" s="298"/>
      <c r="FL99" s="298">
        <f t="shared" si="195"/>
        <v>200</v>
      </c>
      <c r="FM99" s="298">
        <f t="shared" si="169"/>
        <v>79</v>
      </c>
      <c r="FN99" s="498">
        <f t="shared" si="196"/>
        <v>1700</v>
      </c>
      <c r="HC99" s="402"/>
      <c r="HD99" s="52"/>
      <c r="HE99" s="52">
        <f t="shared" si="197"/>
        <v>0</v>
      </c>
      <c r="HF99" s="52">
        <f t="shared" si="170"/>
        <v>0</v>
      </c>
      <c r="HG99" s="51"/>
      <c r="HH99" s="52">
        <f t="shared" si="240"/>
        <v>400</v>
      </c>
      <c r="HI99" s="51"/>
      <c r="HJ99" s="1047"/>
    </row>
    <row r="100" spans="1:218">
      <c r="A100" s="30">
        <v>44763</v>
      </c>
      <c r="B100" s="390">
        <v>573916</v>
      </c>
      <c r="C100" s="18">
        <f t="shared" si="147"/>
        <v>44100432</v>
      </c>
      <c r="D100" s="376">
        <v>7053.02</v>
      </c>
      <c r="E100" s="417">
        <f t="shared" si="255"/>
        <v>603297.67999999982</v>
      </c>
      <c r="F100" s="397">
        <v>15556</v>
      </c>
      <c r="G100" s="37"/>
      <c r="H100" s="37">
        <f t="shared" si="171"/>
        <v>14539</v>
      </c>
      <c r="I100" s="37">
        <f t="shared" si="148"/>
        <v>1017</v>
      </c>
      <c r="J100" s="37">
        <f t="shared" si="146"/>
        <v>144.19355113128844</v>
      </c>
      <c r="K100" s="37">
        <f t="shared" si="198"/>
        <v>277728</v>
      </c>
      <c r="L100" s="37">
        <f t="shared" si="149"/>
        <v>460.349855812474</v>
      </c>
      <c r="M100" s="648"/>
      <c r="N100" s="422">
        <v>75</v>
      </c>
      <c r="O100" s="423">
        <v>250</v>
      </c>
      <c r="P100" s="423">
        <f t="shared" si="199"/>
        <v>225</v>
      </c>
      <c r="Q100" s="423">
        <f t="shared" si="200"/>
        <v>100</v>
      </c>
      <c r="R100" s="423">
        <f t="shared" si="201"/>
        <v>7750</v>
      </c>
      <c r="S100" s="68">
        <v>8.9499999999999993</v>
      </c>
      <c r="T100" s="67">
        <v>24</v>
      </c>
      <c r="U100" s="68">
        <f t="shared" si="202"/>
        <v>107.39999999999999</v>
      </c>
      <c r="V100" s="68">
        <f t="shared" si="151"/>
        <v>15.22751955899742</v>
      </c>
      <c r="W100" s="423">
        <f t="shared" si="203"/>
        <v>7556.424</v>
      </c>
      <c r="X100" s="68">
        <f t="shared" si="152"/>
        <v>12.525199831698345</v>
      </c>
      <c r="Y100" s="500"/>
      <c r="Z100" s="424">
        <v>150</v>
      </c>
      <c r="AA100" s="425"/>
      <c r="AB100" s="425">
        <f t="shared" si="204"/>
        <v>150</v>
      </c>
      <c r="AC100" s="425">
        <f t="shared" si="205"/>
        <v>0</v>
      </c>
      <c r="AD100" s="425">
        <f t="shared" si="206"/>
        <v>1150</v>
      </c>
      <c r="AE100" s="72">
        <v>2.36</v>
      </c>
      <c r="AF100" s="71">
        <v>12</v>
      </c>
      <c r="AG100" s="72">
        <f t="shared" si="207"/>
        <v>14.16</v>
      </c>
      <c r="AH100" s="72">
        <f t="shared" si="173"/>
        <v>2.0076506234208891</v>
      </c>
      <c r="AI100" s="425">
        <f t="shared" si="208"/>
        <v>1082.4720000000002</v>
      </c>
      <c r="AJ100" s="72">
        <f t="shared" si="241"/>
        <v>1.7942585159618061</v>
      </c>
      <c r="AK100" s="502"/>
      <c r="AL100" s="491">
        <v>40957</v>
      </c>
      <c r="AM100" s="491"/>
      <c r="AN100" s="492">
        <f t="shared" si="248"/>
        <v>40957</v>
      </c>
      <c r="AO100" s="492">
        <f t="shared" si="249"/>
        <v>0</v>
      </c>
      <c r="AP100" s="492">
        <f t="shared" si="250"/>
        <v>42616</v>
      </c>
      <c r="AQ100" s="493">
        <f t="shared" si="174"/>
        <v>70.638428445473238</v>
      </c>
      <c r="AR100" s="504"/>
      <c r="AS100" s="413">
        <v>42728</v>
      </c>
      <c r="AT100" s="64"/>
      <c r="AU100" s="66">
        <f t="shared" si="209"/>
        <v>39335</v>
      </c>
      <c r="AV100" s="66">
        <f t="shared" si="155"/>
        <v>3393</v>
      </c>
      <c r="AW100" s="412">
        <f t="shared" si="156"/>
        <v>5.912014998710613</v>
      </c>
      <c r="AX100" s="66">
        <f t="shared" si="210"/>
        <v>9900</v>
      </c>
      <c r="AY100" s="412">
        <f t="shared" si="211"/>
        <v>0.22448759685619407</v>
      </c>
      <c r="AZ100" s="506"/>
      <c r="BA100" s="419">
        <v>45495</v>
      </c>
      <c r="BB100" s="419"/>
      <c r="BC100" s="407"/>
      <c r="BD100" s="419">
        <f t="shared" si="175"/>
        <v>45495</v>
      </c>
      <c r="BE100" s="419">
        <f t="shared" si="176"/>
        <v>0</v>
      </c>
      <c r="BF100" s="407">
        <f t="shared" si="212"/>
        <v>0</v>
      </c>
      <c r="BG100" s="419">
        <f t="shared" si="251"/>
        <v>0</v>
      </c>
      <c r="BH100" s="407">
        <f t="shared" si="213"/>
        <v>0</v>
      </c>
      <c r="BI100" s="407">
        <f t="shared" si="214"/>
        <v>0</v>
      </c>
      <c r="BJ100" s="508"/>
      <c r="BK100" s="510"/>
      <c r="BL100" s="49">
        <v>1100</v>
      </c>
      <c r="BM100" s="50"/>
      <c r="BN100" s="52">
        <f t="shared" si="215"/>
        <v>1038</v>
      </c>
      <c r="BO100" s="52">
        <f t="shared" si="157"/>
        <v>62</v>
      </c>
      <c r="BP100" s="406">
        <f t="shared" si="216"/>
        <v>0.10802974651342705</v>
      </c>
      <c r="BQ100" s="52">
        <f t="shared" si="217"/>
        <v>15062</v>
      </c>
      <c r="BR100" s="406">
        <f t="shared" si="218"/>
        <v>0.3415386044290904</v>
      </c>
      <c r="BS100" s="512"/>
      <c r="BT100" s="409">
        <v>1586</v>
      </c>
      <c r="BU100" s="43"/>
      <c r="BV100" s="43">
        <f t="shared" si="245"/>
        <v>1500</v>
      </c>
      <c r="BW100" s="43">
        <f t="shared" si="246"/>
        <v>86</v>
      </c>
      <c r="BX100" s="42">
        <f t="shared" si="219"/>
        <v>0.14984771290572141</v>
      </c>
      <c r="BY100" s="43">
        <f t="shared" si="247"/>
        <v>5887</v>
      </c>
      <c r="BZ100" s="42">
        <f t="shared" si="220"/>
        <v>0.1334907558275166</v>
      </c>
      <c r="CA100" s="514"/>
      <c r="CB100" s="392">
        <v>2450</v>
      </c>
      <c r="CC100" s="298"/>
      <c r="CD100" s="298">
        <f t="shared" si="177"/>
        <v>2290</v>
      </c>
      <c r="CE100" s="298">
        <f t="shared" si="158"/>
        <v>160</v>
      </c>
      <c r="CF100" s="297">
        <f t="shared" si="221"/>
        <v>0.27878644261529562</v>
      </c>
      <c r="CG100" s="298">
        <f t="shared" si="222"/>
        <v>37960</v>
      </c>
      <c r="CH100" s="297">
        <f t="shared" si="223"/>
        <v>0.86076254309708344</v>
      </c>
      <c r="CI100" s="516"/>
      <c r="CJ100" s="656">
        <v>0</v>
      </c>
      <c r="CK100" s="657">
        <v>1000</v>
      </c>
      <c r="CL100" s="657">
        <f t="shared" si="252"/>
        <v>700</v>
      </c>
      <c r="CM100" s="657">
        <f t="shared" si="253"/>
        <v>300</v>
      </c>
      <c r="CN100" s="659">
        <f t="shared" si="254"/>
        <v>1300</v>
      </c>
      <c r="CO100" s="464">
        <v>0</v>
      </c>
      <c r="CP100" s="465"/>
      <c r="CQ100" s="465">
        <f t="shared" si="178"/>
        <v>0</v>
      </c>
      <c r="CR100" s="465">
        <f t="shared" si="159"/>
        <v>0</v>
      </c>
      <c r="CS100" s="486">
        <f t="shared" si="224"/>
        <v>0</v>
      </c>
      <c r="CT100" s="465">
        <f t="shared" si="225"/>
        <v>1255</v>
      </c>
      <c r="CU100" s="486">
        <f t="shared" si="226"/>
        <v>2.8457771116618541E-2</v>
      </c>
      <c r="CV100" s="518"/>
      <c r="CW100" s="427">
        <v>0</v>
      </c>
      <c r="CX100" s="427">
        <v>30</v>
      </c>
      <c r="CY100" s="427">
        <f t="shared" si="227"/>
        <v>15</v>
      </c>
      <c r="CZ100" s="427">
        <f t="shared" si="228"/>
        <v>15</v>
      </c>
      <c r="DA100" s="607">
        <f t="shared" si="244"/>
        <v>2.6136228995183964E-2</v>
      </c>
      <c r="DB100" s="607">
        <f t="shared" si="229"/>
        <v>60</v>
      </c>
      <c r="DC100" s="607">
        <f t="shared" si="179"/>
        <v>1.3605308900375397E-3</v>
      </c>
      <c r="DD100" s="609"/>
      <c r="DE100" s="471">
        <v>19</v>
      </c>
      <c r="DF100" s="473"/>
      <c r="DG100" s="473">
        <f t="shared" si="180"/>
        <v>19</v>
      </c>
      <c r="DH100" s="473">
        <f t="shared" si="160"/>
        <v>0</v>
      </c>
      <c r="DI100" s="227">
        <f t="shared" si="230"/>
        <v>0</v>
      </c>
      <c r="DJ100" s="473">
        <f t="shared" si="231"/>
        <v>40.200000000000003</v>
      </c>
      <c r="DK100" s="227">
        <f t="shared" si="232"/>
        <v>9.115556963251516E-4</v>
      </c>
      <c r="DL100" s="510"/>
      <c r="DM100" s="63">
        <v>0</v>
      </c>
      <c r="DN100" s="64">
        <v>2000</v>
      </c>
      <c r="DO100" s="66">
        <f t="shared" si="233"/>
        <v>1850</v>
      </c>
      <c r="DP100" s="66">
        <f t="shared" si="161"/>
        <v>150</v>
      </c>
      <c r="DQ100" s="412">
        <f t="shared" si="234"/>
        <v>0.26136228995183963</v>
      </c>
      <c r="DR100" s="66">
        <f t="shared" si="235"/>
        <v>11750</v>
      </c>
      <c r="DS100" s="412">
        <f t="shared" si="236"/>
        <v>0.26643729929901822</v>
      </c>
      <c r="DT100" s="506"/>
      <c r="DU100" s="596">
        <v>40</v>
      </c>
      <c r="DV100" s="596"/>
      <c r="DW100" s="596">
        <f t="shared" si="181"/>
        <v>40</v>
      </c>
      <c r="DX100" s="596">
        <f t="shared" si="162"/>
        <v>0</v>
      </c>
      <c r="DY100" s="592">
        <f t="shared" si="182"/>
        <v>0</v>
      </c>
      <c r="DZ100" s="596">
        <f t="shared" si="237"/>
        <v>2760</v>
      </c>
      <c r="EA100" s="592">
        <f t="shared" si="183"/>
        <v>6.2584420941726823E-2</v>
      </c>
      <c r="EB100" s="594"/>
      <c r="EC100" s="448">
        <v>55</v>
      </c>
      <c r="ED100" s="449"/>
      <c r="EE100" s="449">
        <f t="shared" si="184"/>
        <v>55</v>
      </c>
      <c r="EF100" s="449">
        <f t="shared" si="163"/>
        <v>0</v>
      </c>
      <c r="EG100" s="450">
        <f t="shared" si="242"/>
        <v>0</v>
      </c>
      <c r="EH100" s="449">
        <f t="shared" si="238"/>
        <v>315</v>
      </c>
      <c r="EI100" s="450">
        <f t="shared" si="243"/>
        <v>7.1427871726970835E-3</v>
      </c>
      <c r="EJ100" s="520"/>
      <c r="EK100" s="426">
        <v>948</v>
      </c>
      <c r="EL100" s="427">
        <v>1200</v>
      </c>
      <c r="EM100" s="427">
        <f t="shared" si="185"/>
        <v>1440</v>
      </c>
      <c r="EN100" s="427">
        <f t="shared" si="164"/>
        <v>708</v>
      </c>
      <c r="EO100" s="427">
        <f t="shared" si="186"/>
        <v>40382</v>
      </c>
      <c r="EP100" s="456">
        <v>84</v>
      </c>
      <c r="EQ100" s="457"/>
      <c r="ER100" s="457">
        <f t="shared" si="187"/>
        <v>70</v>
      </c>
      <c r="ES100" s="457">
        <f t="shared" si="165"/>
        <v>14</v>
      </c>
      <c r="ET100" s="457">
        <f t="shared" si="188"/>
        <v>868</v>
      </c>
      <c r="EU100" s="409">
        <v>64</v>
      </c>
      <c r="EV100" s="43"/>
      <c r="EW100" s="43">
        <f t="shared" si="189"/>
        <v>55</v>
      </c>
      <c r="EX100" s="43">
        <f t="shared" si="166"/>
        <v>9</v>
      </c>
      <c r="EY100" s="43">
        <f t="shared" si="190"/>
        <v>545</v>
      </c>
      <c r="EZ100" s="436">
        <v>50</v>
      </c>
      <c r="FA100" s="437"/>
      <c r="FB100" s="437">
        <f t="shared" si="191"/>
        <v>43</v>
      </c>
      <c r="FC100" s="437">
        <f t="shared" si="167"/>
        <v>7</v>
      </c>
      <c r="FD100" s="437">
        <f t="shared" si="192"/>
        <v>647</v>
      </c>
      <c r="FE100" s="442">
        <v>75</v>
      </c>
      <c r="FF100" s="443"/>
      <c r="FG100" s="443">
        <f t="shared" si="193"/>
        <v>75</v>
      </c>
      <c r="FH100" s="443">
        <f t="shared" si="168"/>
        <v>0</v>
      </c>
      <c r="FI100" s="443">
        <f t="shared" si="194"/>
        <v>725</v>
      </c>
      <c r="FJ100" s="392">
        <v>200</v>
      </c>
      <c r="FK100" s="298"/>
      <c r="FL100" s="298">
        <f t="shared" si="195"/>
        <v>131</v>
      </c>
      <c r="FM100" s="298">
        <f t="shared" si="169"/>
        <v>69</v>
      </c>
      <c r="FN100" s="498">
        <f t="shared" si="196"/>
        <v>1769</v>
      </c>
      <c r="HC100" s="402"/>
      <c r="HD100" s="52"/>
      <c r="HE100" s="52">
        <f t="shared" si="197"/>
        <v>0</v>
      </c>
      <c r="HF100" s="52">
        <f t="shared" si="170"/>
        <v>0</v>
      </c>
      <c r="HG100" s="51"/>
      <c r="HH100" s="52">
        <f t="shared" si="240"/>
        <v>400</v>
      </c>
      <c r="HI100" s="51"/>
      <c r="HJ100" s="1047"/>
    </row>
    <row r="101" spans="1:218">
      <c r="A101" s="30">
        <v>44764</v>
      </c>
      <c r="B101" s="390">
        <v>635234</v>
      </c>
      <c r="C101" s="18">
        <f t="shared" si="147"/>
        <v>44735666</v>
      </c>
      <c r="D101" s="376">
        <v>7559.52</v>
      </c>
      <c r="E101" s="417">
        <f t="shared" si="255"/>
        <v>610857.19999999984</v>
      </c>
      <c r="F101" s="397">
        <v>14539</v>
      </c>
      <c r="G101" s="37"/>
      <c r="H101" s="37">
        <f t="shared" si="171"/>
        <v>9327</v>
      </c>
      <c r="I101" s="37">
        <f t="shared" si="148"/>
        <v>5212</v>
      </c>
      <c r="J101" s="37">
        <f t="shared" si="146"/>
        <v>689.46176476813343</v>
      </c>
      <c r="K101" s="37">
        <f t="shared" si="198"/>
        <v>282940</v>
      </c>
      <c r="L101" s="37">
        <f t="shared" si="149"/>
        <v>463.18517650279</v>
      </c>
      <c r="M101" s="648"/>
      <c r="N101" s="422">
        <v>225</v>
      </c>
      <c r="O101" s="423">
        <v>250</v>
      </c>
      <c r="P101" s="423">
        <f t="shared" si="199"/>
        <v>375</v>
      </c>
      <c r="Q101" s="423">
        <f t="shared" si="200"/>
        <v>100</v>
      </c>
      <c r="R101" s="423">
        <f t="shared" si="201"/>
        <v>7850</v>
      </c>
      <c r="S101" s="68">
        <v>9.8699999999999992</v>
      </c>
      <c r="T101" s="67">
        <v>24</v>
      </c>
      <c r="U101" s="68">
        <f t="shared" si="202"/>
        <v>118.44</v>
      </c>
      <c r="V101" s="68">
        <f t="shared" si="151"/>
        <v>15.667661438821511</v>
      </c>
      <c r="W101" s="423">
        <f t="shared" si="203"/>
        <v>7674.8639999999996</v>
      </c>
      <c r="X101" s="68">
        <f t="shared" si="152"/>
        <v>12.564088628242414</v>
      </c>
      <c r="Y101" s="500"/>
      <c r="Z101" s="424">
        <v>150</v>
      </c>
      <c r="AA101" s="425"/>
      <c r="AB101" s="425">
        <f t="shared" si="204"/>
        <v>125</v>
      </c>
      <c r="AC101" s="425">
        <f t="shared" si="205"/>
        <v>25</v>
      </c>
      <c r="AD101" s="425">
        <f t="shared" si="206"/>
        <v>1175</v>
      </c>
      <c r="AE101" s="72">
        <v>2.5299999999999998</v>
      </c>
      <c r="AF101" s="71">
        <v>12</v>
      </c>
      <c r="AG101" s="72">
        <f t="shared" si="207"/>
        <v>15.18</v>
      </c>
      <c r="AH101" s="72">
        <f t="shared" si="173"/>
        <v>2.0080640040637499</v>
      </c>
      <c r="AI101" s="425">
        <f t="shared" si="208"/>
        <v>1097.6520000000003</v>
      </c>
      <c r="AJ101" s="72">
        <f t="shared" si="241"/>
        <v>1.796904415631019</v>
      </c>
      <c r="AK101" s="502"/>
      <c r="AL101" s="491">
        <v>40957</v>
      </c>
      <c r="AM101" s="491"/>
      <c r="AN101" s="492">
        <f t="shared" si="248"/>
        <v>40957</v>
      </c>
      <c r="AO101" s="492">
        <f t="shared" si="249"/>
        <v>0</v>
      </c>
      <c r="AP101" s="492">
        <f t="shared" si="250"/>
        <v>42616</v>
      </c>
      <c r="AQ101" s="493">
        <f t="shared" si="174"/>
        <v>69.764259142726004</v>
      </c>
      <c r="AR101" s="504"/>
      <c r="AS101" s="413">
        <v>39335</v>
      </c>
      <c r="AT101" s="64"/>
      <c r="AU101" s="66">
        <f t="shared" si="209"/>
        <v>35344</v>
      </c>
      <c r="AV101" s="66">
        <f t="shared" si="155"/>
        <v>3991</v>
      </c>
      <c r="AW101" s="412">
        <f t="shared" si="156"/>
        <v>6.2827241614900968</v>
      </c>
      <c r="AX101" s="66">
        <f t="shared" si="210"/>
        <v>13891</v>
      </c>
      <c r="AY101" s="412">
        <f t="shared" si="211"/>
        <v>0.3105128690830265</v>
      </c>
      <c r="AZ101" s="506"/>
      <c r="BA101" s="419">
        <v>45495</v>
      </c>
      <c r="BB101" s="419"/>
      <c r="BC101" s="407"/>
      <c r="BD101" s="419">
        <f t="shared" si="175"/>
        <v>45495</v>
      </c>
      <c r="BE101" s="419">
        <f t="shared" si="176"/>
        <v>0</v>
      </c>
      <c r="BF101" s="407">
        <f t="shared" si="212"/>
        <v>0</v>
      </c>
      <c r="BG101" s="419">
        <f t="shared" si="251"/>
        <v>0</v>
      </c>
      <c r="BH101" s="407">
        <f t="shared" si="213"/>
        <v>0</v>
      </c>
      <c r="BI101" s="407">
        <f t="shared" si="214"/>
        <v>0</v>
      </c>
      <c r="BJ101" s="508"/>
      <c r="BK101" s="510"/>
      <c r="BL101" s="49">
        <v>1038</v>
      </c>
      <c r="BM101" s="50"/>
      <c r="BN101" s="52">
        <f t="shared" si="215"/>
        <v>677</v>
      </c>
      <c r="BO101" s="52">
        <f t="shared" si="157"/>
        <v>361</v>
      </c>
      <c r="BP101" s="406">
        <f t="shared" si="216"/>
        <v>0.56829451824052235</v>
      </c>
      <c r="BQ101" s="52">
        <f t="shared" si="217"/>
        <v>15423</v>
      </c>
      <c r="BR101" s="406">
        <f t="shared" si="218"/>
        <v>0.34475847526222142</v>
      </c>
      <c r="BS101" s="512"/>
      <c r="BT101" s="409">
        <v>1500</v>
      </c>
      <c r="BU101" s="43"/>
      <c r="BV101" s="43">
        <f t="shared" si="245"/>
        <v>1433</v>
      </c>
      <c r="BW101" s="43">
        <f t="shared" si="246"/>
        <v>67</v>
      </c>
      <c r="BX101" s="42">
        <f t="shared" si="219"/>
        <v>0.1054729438285734</v>
      </c>
      <c r="BY101" s="43">
        <f t="shared" si="247"/>
        <v>5954</v>
      </c>
      <c r="BZ101" s="42">
        <f t="shared" si="220"/>
        <v>0.13309291069903822</v>
      </c>
      <c r="CA101" s="514"/>
      <c r="CB101" s="392">
        <v>2290</v>
      </c>
      <c r="CC101" s="298"/>
      <c r="CD101" s="298">
        <f t="shared" si="177"/>
        <v>1323</v>
      </c>
      <c r="CE101" s="298">
        <f t="shared" si="158"/>
        <v>967</v>
      </c>
      <c r="CF101" s="297">
        <f t="shared" si="221"/>
        <v>1.5222736818243356</v>
      </c>
      <c r="CG101" s="298">
        <f t="shared" si="222"/>
        <v>38927</v>
      </c>
      <c r="CH101" s="297">
        <f t="shared" si="223"/>
        <v>0.87015581706104472</v>
      </c>
      <c r="CI101" s="516"/>
      <c r="CJ101" s="656">
        <v>700</v>
      </c>
      <c r="CK101" s="657"/>
      <c r="CL101" s="657">
        <f t="shared" si="252"/>
        <v>400</v>
      </c>
      <c r="CM101" s="657">
        <f t="shared" si="253"/>
        <v>300</v>
      </c>
      <c r="CN101" s="659">
        <f t="shared" si="254"/>
        <v>1600</v>
      </c>
      <c r="CO101" s="464">
        <v>0</v>
      </c>
      <c r="CP101" s="465"/>
      <c r="CQ101" s="465">
        <f t="shared" si="178"/>
        <v>0</v>
      </c>
      <c r="CR101" s="465">
        <f t="shared" si="159"/>
        <v>0</v>
      </c>
      <c r="CS101" s="486">
        <f t="shared" si="224"/>
        <v>0</v>
      </c>
      <c r="CT101" s="465">
        <f t="shared" si="225"/>
        <v>1255</v>
      </c>
      <c r="CU101" s="486">
        <f t="shared" si="226"/>
        <v>2.8053678691181215E-2</v>
      </c>
      <c r="CV101" s="518"/>
      <c r="CW101" s="427">
        <v>15</v>
      </c>
      <c r="CX101" s="427"/>
      <c r="CY101" s="427">
        <f t="shared" si="227"/>
        <v>15</v>
      </c>
      <c r="CZ101" s="427">
        <f t="shared" si="228"/>
        <v>0</v>
      </c>
      <c r="DA101" s="607">
        <f t="shared" si="244"/>
        <v>0</v>
      </c>
      <c r="DB101" s="607">
        <f t="shared" si="229"/>
        <v>60</v>
      </c>
      <c r="DC101" s="607">
        <f t="shared" si="179"/>
        <v>1.3412117302556757E-3</v>
      </c>
      <c r="DD101" s="609"/>
      <c r="DE101" s="471">
        <v>19</v>
      </c>
      <c r="DF101" s="473"/>
      <c r="DG101" s="473">
        <f t="shared" si="180"/>
        <v>4</v>
      </c>
      <c r="DH101" s="473">
        <f t="shared" si="160"/>
        <v>15</v>
      </c>
      <c r="DI101" s="227">
        <f t="shared" si="230"/>
        <v>2.3613345633262704E-2</v>
      </c>
      <c r="DJ101" s="473">
        <f t="shared" si="231"/>
        <v>55.2</v>
      </c>
      <c r="DK101" s="227">
        <f t="shared" si="232"/>
        <v>1.2339147918352215E-3</v>
      </c>
      <c r="DL101" s="510"/>
      <c r="DM101" s="63">
        <v>1850</v>
      </c>
      <c r="DN101" s="64"/>
      <c r="DO101" s="66">
        <f t="shared" si="233"/>
        <v>1700</v>
      </c>
      <c r="DP101" s="66">
        <f t="shared" si="161"/>
        <v>150</v>
      </c>
      <c r="DQ101" s="412">
        <f t="shared" si="234"/>
        <v>0.23613345633262703</v>
      </c>
      <c r="DR101" s="66">
        <f t="shared" si="235"/>
        <v>11900</v>
      </c>
      <c r="DS101" s="412">
        <f t="shared" si="236"/>
        <v>0.26600699316737569</v>
      </c>
      <c r="DT101" s="506"/>
      <c r="DU101" s="596">
        <v>40</v>
      </c>
      <c r="DV101" s="596"/>
      <c r="DW101" s="596">
        <f t="shared" si="181"/>
        <v>40</v>
      </c>
      <c r="DX101" s="596">
        <f t="shared" si="162"/>
        <v>0</v>
      </c>
      <c r="DY101" s="592">
        <f t="shared" si="182"/>
        <v>0</v>
      </c>
      <c r="DZ101" s="596">
        <f t="shared" si="237"/>
        <v>2760</v>
      </c>
      <c r="EA101" s="592">
        <f t="shared" si="183"/>
        <v>6.1695739591761077E-2</v>
      </c>
      <c r="EB101" s="594"/>
      <c r="EC101" s="448">
        <v>55</v>
      </c>
      <c r="ED101" s="449"/>
      <c r="EE101" s="449">
        <f t="shared" si="184"/>
        <v>55</v>
      </c>
      <c r="EF101" s="449">
        <f t="shared" si="163"/>
        <v>0</v>
      </c>
      <c r="EG101" s="450">
        <f t="shared" si="242"/>
        <v>0</v>
      </c>
      <c r="EH101" s="449">
        <f t="shared" si="238"/>
        <v>315</v>
      </c>
      <c r="EI101" s="450">
        <f t="shared" si="243"/>
        <v>7.0413615838422969E-3</v>
      </c>
      <c r="EJ101" s="520"/>
      <c r="EK101" s="426">
        <v>1440</v>
      </c>
      <c r="EL101" s="427">
        <v>2500</v>
      </c>
      <c r="EM101" s="427">
        <f t="shared" si="185"/>
        <v>3200</v>
      </c>
      <c r="EN101" s="427">
        <f t="shared" si="164"/>
        <v>740</v>
      </c>
      <c r="EO101" s="427">
        <f t="shared" si="186"/>
        <v>41122</v>
      </c>
      <c r="EP101" s="456">
        <v>70</v>
      </c>
      <c r="EQ101" s="457"/>
      <c r="ER101" s="457">
        <f t="shared" si="187"/>
        <v>56</v>
      </c>
      <c r="ES101" s="457">
        <f t="shared" si="165"/>
        <v>14</v>
      </c>
      <c r="ET101" s="457">
        <f t="shared" si="188"/>
        <v>882</v>
      </c>
      <c r="EU101" s="409">
        <v>55</v>
      </c>
      <c r="EV101" s="43"/>
      <c r="EW101" s="43">
        <f t="shared" si="189"/>
        <v>46</v>
      </c>
      <c r="EX101" s="43">
        <f t="shared" si="166"/>
        <v>9</v>
      </c>
      <c r="EY101" s="43">
        <f t="shared" si="190"/>
        <v>554</v>
      </c>
      <c r="EZ101" s="436">
        <v>43</v>
      </c>
      <c r="FA101" s="437"/>
      <c r="FB101" s="437">
        <f t="shared" si="191"/>
        <v>39</v>
      </c>
      <c r="FC101" s="437">
        <f t="shared" si="167"/>
        <v>4</v>
      </c>
      <c r="FD101" s="437">
        <f t="shared" si="192"/>
        <v>651</v>
      </c>
      <c r="FE101" s="442">
        <v>75</v>
      </c>
      <c r="FF101" s="443"/>
      <c r="FG101" s="443">
        <f t="shared" si="193"/>
        <v>75</v>
      </c>
      <c r="FH101" s="443">
        <f t="shared" si="168"/>
        <v>0</v>
      </c>
      <c r="FI101" s="443">
        <f t="shared" si="194"/>
        <v>725</v>
      </c>
      <c r="FJ101" s="392">
        <v>131</v>
      </c>
      <c r="FK101" s="298"/>
      <c r="FL101" s="298">
        <f t="shared" si="195"/>
        <v>45</v>
      </c>
      <c r="FM101" s="298">
        <f t="shared" si="169"/>
        <v>86</v>
      </c>
      <c r="FN101" s="498">
        <f t="shared" si="196"/>
        <v>1855</v>
      </c>
      <c r="HC101" s="402"/>
      <c r="HD101" s="52"/>
      <c r="HE101" s="52">
        <f t="shared" si="197"/>
        <v>0</v>
      </c>
      <c r="HF101" s="52">
        <f t="shared" si="170"/>
        <v>0</v>
      </c>
      <c r="HG101" s="51"/>
      <c r="HH101" s="52">
        <f t="shared" si="240"/>
        <v>400</v>
      </c>
      <c r="HI101" s="51"/>
      <c r="HJ101" s="1047"/>
    </row>
    <row r="102" spans="1:218">
      <c r="A102" s="30">
        <v>44765</v>
      </c>
      <c r="B102" s="390">
        <v>724162</v>
      </c>
      <c r="C102" s="18">
        <f t="shared" si="147"/>
        <v>45459828</v>
      </c>
      <c r="D102" s="376">
        <v>7733.98</v>
      </c>
      <c r="E102" s="417">
        <f t="shared" si="255"/>
        <v>618591.17999999982</v>
      </c>
      <c r="F102" s="397">
        <v>9327</v>
      </c>
      <c r="G102" s="37"/>
      <c r="H102" s="37">
        <f t="shared" si="171"/>
        <v>7099</v>
      </c>
      <c r="I102" s="37">
        <f t="shared" si="148"/>
        <v>2228</v>
      </c>
      <c r="J102" s="37">
        <f t="shared" si="146"/>
        <v>288.07935888119704</v>
      </c>
      <c r="K102" s="37">
        <f t="shared" si="198"/>
        <v>285168</v>
      </c>
      <c r="L102" s="37">
        <f t="shared" si="149"/>
        <v>460.99590362733602</v>
      </c>
      <c r="M102" s="648"/>
      <c r="N102" s="422">
        <v>375</v>
      </c>
      <c r="O102" s="423"/>
      <c r="P102" s="423">
        <f t="shared" si="199"/>
        <v>300</v>
      </c>
      <c r="Q102" s="423">
        <f t="shared" si="200"/>
        <v>75</v>
      </c>
      <c r="R102" s="423">
        <f t="shared" si="201"/>
        <v>7925</v>
      </c>
      <c r="S102" s="68">
        <v>5.69</v>
      </c>
      <c r="T102" s="67">
        <v>24</v>
      </c>
      <c r="U102" s="68">
        <f t="shared" si="202"/>
        <v>68.28</v>
      </c>
      <c r="V102" s="68">
        <f t="shared" si="151"/>
        <v>8.8285720935404548</v>
      </c>
      <c r="W102" s="423">
        <f t="shared" si="203"/>
        <v>7743.1439999999993</v>
      </c>
      <c r="X102" s="68">
        <f t="shared" si="152"/>
        <v>12.517385068438902</v>
      </c>
      <c r="Y102" s="500"/>
      <c r="Z102" s="424">
        <v>125</v>
      </c>
      <c r="AA102" s="425"/>
      <c r="AB102" s="425">
        <f t="shared" si="204"/>
        <v>100</v>
      </c>
      <c r="AC102" s="425">
        <f t="shared" si="205"/>
        <v>25</v>
      </c>
      <c r="AD102" s="425">
        <f t="shared" si="206"/>
        <v>1200</v>
      </c>
      <c r="AE102" s="72">
        <v>2.42</v>
      </c>
      <c r="AF102" s="71">
        <v>12</v>
      </c>
      <c r="AG102" s="72">
        <f t="shared" si="207"/>
        <v>14.52</v>
      </c>
      <c r="AH102" s="72">
        <f t="shared" si="173"/>
        <v>1.8774292149708172</v>
      </c>
      <c r="AI102" s="425">
        <f t="shared" si="208"/>
        <v>1112.1720000000003</v>
      </c>
      <c r="AJ102" s="72">
        <f t="shared" si="241"/>
        <v>1.7979111826327698</v>
      </c>
      <c r="AK102" s="502"/>
      <c r="AL102" s="491">
        <v>40957</v>
      </c>
      <c r="AM102" s="491"/>
      <c r="AN102" s="492">
        <f t="shared" si="248"/>
        <v>35919</v>
      </c>
      <c r="AO102" s="492">
        <f t="shared" si="249"/>
        <v>5038</v>
      </c>
      <c r="AP102" s="492">
        <f t="shared" si="250"/>
        <v>47654</v>
      </c>
      <c r="AQ102" s="493">
        <f t="shared" si="174"/>
        <v>77.036339250747176</v>
      </c>
      <c r="AR102" s="504"/>
      <c r="AS102" s="413">
        <v>35344</v>
      </c>
      <c r="AT102" s="64"/>
      <c r="AU102" s="66">
        <f t="shared" si="209"/>
        <v>31000</v>
      </c>
      <c r="AV102" s="66">
        <f t="shared" si="155"/>
        <v>4344</v>
      </c>
      <c r="AW102" s="412">
        <f t="shared" si="156"/>
        <v>5.9986577588992516</v>
      </c>
      <c r="AX102" s="66">
        <f t="shared" si="210"/>
        <v>18235</v>
      </c>
      <c r="AY102" s="412">
        <f t="shared" si="211"/>
        <v>0.40112338304491607</v>
      </c>
      <c r="AZ102" s="506"/>
      <c r="BA102" s="419">
        <v>45495</v>
      </c>
      <c r="BB102" s="419"/>
      <c r="BC102" s="407"/>
      <c r="BD102" s="419">
        <f t="shared" si="175"/>
        <v>45495</v>
      </c>
      <c r="BE102" s="419">
        <f t="shared" si="176"/>
        <v>0</v>
      </c>
      <c r="BF102" s="407">
        <f t="shared" si="212"/>
        <v>0</v>
      </c>
      <c r="BG102" s="419">
        <f t="shared" si="251"/>
        <v>0</v>
      </c>
      <c r="BH102" s="407">
        <f t="shared" si="213"/>
        <v>0</v>
      </c>
      <c r="BI102" s="407">
        <f t="shared" si="214"/>
        <v>0</v>
      </c>
      <c r="BJ102" s="508"/>
      <c r="BK102" s="510"/>
      <c r="BL102" s="49">
        <v>677</v>
      </c>
      <c r="BM102" s="50">
        <v>900</v>
      </c>
      <c r="BN102" s="52">
        <f t="shared" si="215"/>
        <v>1086</v>
      </c>
      <c r="BO102" s="52">
        <f t="shared" si="157"/>
        <v>491</v>
      </c>
      <c r="BP102" s="406">
        <f t="shared" si="216"/>
        <v>0.67802508278534357</v>
      </c>
      <c r="BQ102" s="52">
        <f t="shared" si="217"/>
        <v>15914</v>
      </c>
      <c r="BR102" s="406">
        <f t="shared" si="218"/>
        <v>0.35006731657673673</v>
      </c>
      <c r="BS102" s="512"/>
      <c r="BT102" s="409">
        <v>1433</v>
      </c>
      <c r="BU102" s="43"/>
      <c r="BV102" s="43">
        <f t="shared" si="245"/>
        <v>1210</v>
      </c>
      <c r="BW102" s="43">
        <f t="shared" si="246"/>
        <v>223</v>
      </c>
      <c r="BX102" s="42">
        <f t="shared" si="219"/>
        <v>0.3079421455420196</v>
      </c>
      <c r="BY102" s="43">
        <f t="shared" si="247"/>
        <v>6177</v>
      </c>
      <c r="BZ102" s="42">
        <f t="shared" si="220"/>
        <v>0.13587820877808865</v>
      </c>
      <c r="CA102" s="514"/>
      <c r="CB102" s="392">
        <v>1323</v>
      </c>
      <c r="CC102" s="298"/>
      <c r="CD102" s="298">
        <f t="shared" si="177"/>
        <v>828</v>
      </c>
      <c r="CE102" s="298">
        <f t="shared" si="158"/>
        <v>495</v>
      </c>
      <c r="CF102" s="297">
        <f t="shared" si="221"/>
        <v>0.68354870871434847</v>
      </c>
      <c r="CG102" s="298">
        <f t="shared" si="222"/>
        <v>39422</v>
      </c>
      <c r="CH102" s="297">
        <f t="shared" si="223"/>
        <v>0.86718321943497012</v>
      </c>
      <c r="CI102" s="516"/>
      <c r="CJ102" s="656">
        <v>400</v>
      </c>
      <c r="CK102" s="657"/>
      <c r="CL102" s="657">
        <f t="shared" si="252"/>
        <v>100</v>
      </c>
      <c r="CM102" s="657">
        <f t="shared" si="253"/>
        <v>300</v>
      </c>
      <c r="CN102" s="659">
        <f t="shared" si="254"/>
        <v>1900</v>
      </c>
      <c r="CO102" s="464">
        <v>0</v>
      </c>
      <c r="CP102" s="465"/>
      <c r="CQ102" s="465">
        <f t="shared" si="178"/>
        <v>0</v>
      </c>
      <c r="CR102" s="465">
        <f t="shared" si="159"/>
        <v>0</v>
      </c>
      <c r="CS102" s="486">
        <f t="shared" si="224"/>
        <v>0</v>
      </c>
      <c r="CT102" s="465">
        <f t="shared" si="225"/>
        <v>1255</v>
      </c>
      <c r="CU102" s="486">
        <f t="shared" si="226"/>
        <v>2.7606791649101708E-2</v>
      </c>
      <c r="CV102" s="518"/>
      <c r="CW102" s="427">
        <v>15</v>
      </c>
      <c r="CX102" s="427"/>
      <c r="CY102" s="427">
        <f t="shared" si="227"/>
        <v>15</v>
      </c>
      <c r="CZ102" s="427">
        <f t="shared" si="228"/>
        <v>0</v>
      </c>
      <c r="DA102" s="607">
        <f t="shared" si="244"/>
        <v>0</v>
      </c>
      <c r="DB102" s="607">
        <f t="shared" si="229"/>
        <v>60</v>
      </c>
      <c r="DC102" s="607">
        <f t="shared" si="179"/>
        <v>1.3198466127060577E-3</v>
      </c>
      <c r="DD102" s="609"/>
      <c r="DE102" s="471">
        <v>4</v>
      </c>
      <c r="DF102" s="473"/>
      <c r="DG102" s="473">
        <f t="shared" si="180"/>
        <v>4</v>
      </c>
      <c r="DH102" s="473">
        <f t="shared" si="160"/>
        <v>0</v>
      </c>
      <c r="DI102" s="227">
        <f t="shared" si="230"/>
        <v>0</v>
      </c>
      <c r="DJ102" s="473">
        <f t="shared" si="231"/>
        <v>55.2</v>
      </c>
      <c r="DK102" s="227">
        <f t="shared" si="232"/>
        <v>1.2142588836895731E-3</v>
      </c>
      <c r="DL102" s="510"/>
      <c r="DM102" s="63">
        <v>1700</v>
      </c>
      <c r="DN102" s="64"/>
      <c r="DO102" s="66">
        <f t="shared" si="233"/>
        <v>1540</v>
      </c>
      <c r="DP102" s="66">
        <f t="shared" si="161"/>
        <v>160</v>
      </c>
      <c r="DQ102" s="412">
        <f t="shared" si="234"/>
        <v>0.22094503716019342</v>
      </c>
      <c r="DR102" s="66">
        <f t="shared" si="235"/>
        <v>12060</v>
      </c>
      <c r="DS102" s="412">
        <f t="shared" si="236"/>
        <v>0.26528916915391759</v>
      </c>
      <c r="DT102" s="506"/>
      <c r="DU102" s="596">
        <v>40</v>
      </c>
      <c r="DV102" s="596"/>
      <c r="DW102" s="596">
        <f t="shared" si="181"/>
        <v>40</v>
      </c>
      <c r="DX102" s="596">
        <f t="shared" si="162"/>
        <v>0</v>
      </c>
      <c r="DY102" s="592">
        <f t="shared" si="182"/>
        <v>0</v>
      </c>
      <c r="DZ102" s="596">
        <f t="shared" si="237"/>
        <v>2760</v>
      </c>
      <c r="EA102" s="592">
        <f t="shared" si="183"/>
        <v>6.0712944184478659E-2</v>
      </c>
      <c r="EB102" s="594"/>
      <c r="EC102" s="448">
        <v>55</v>
      </c>
      <c r="ED102" s="449"/>
      <c r="EE102" s="449">
        <f t="shared" si="184"/>
        <v>55</v>
      </c>
      <c r="EF102" s="449">
        <f t="shared" si="163"/>
        <v>0</v>
      </c>
      <c r="EG102" s="450">
        <f t="shared" si="242"/>
        <v>0</v>
      </c>
      <c r="EH102" s="449">
        <f t="shared" si="238"/>
        <v>315</v>
      </c>
      <c r="EI102" s="450">
        <f t="shared" si="243"/>
        <v>6.9291947167068029E-3</v>
      </c>
      <c r="EJ102" s="520"/>
      <c r="EK102" s="426">
        <v>3200</v>
      </c>
      <c r="EL102" s="427"/>
      <c r="EM102" s="427">
        <f t="shared" si="185"/>
        <v>2450</v>
      </c>
      <c r="EN102" s="427">
        <f t="shared" si="164"/>
        <v>750</v>
      </c>
      <c r="EO102" s="427">
        <f t="shared" si="186"/>
        <v>41872</v>
      </c>
      <c r="EP102" s="456">
        <v>56</v>
      </c>
      <c r="EQ102" s="457"/>
      <c r="ER102" s="457">
        <f t="shared" si="187"/>
        <v>14</v>
      </c>
      <c r="ES102" s="457">
        <f t="shared" si="165"/>
        <v>42</v>
      </c>
      <c r="ET102" s="457">
        <f t="shared" si="188"/>
        <v>924</v>
      </c>
      <c r="EU102" s="409">
        <v>46</v>
      </c>
      <c r="EV102" s="43"/>
      <c r="EW102" s="43">
        <f t="shared" si="189"/>
        <v>41</v>
      </c>
      <c r="EX102" s="43">
        <f t="shared" si="166"/>
        <v>5</v>
      </c>
      <c r="EY102" s="43">
        <f t="shared" si="190"/>
        <v>559</v>
      </c>
      <c r="EZ102" s="436">
        <v>39</v>
      </c>
      <c r="FA102" s="437"/>
      <c r="FB102" s="437">
        <f t="shared" si="191"/>
        <v>35</v>
      </c>
      <c r="FC102" s="437">
        <f t="shared" si="167"/>
        <v>4</v>
      </c>
      <c r="FD102" s="437">
        <f t="shared" si="192"/>
        <v>655</v>
      </c>
      <c r="FE102" s="442">
        <v>75</v>
      </c>
      <c r="FF102" s="443"/>
      <c r="FG102" s="443">
        <f t="shared" si="193"/>
        <v>75</v>
      </c>
      <c r="FH102" s="443">
        <f t="shared" si="168"/>
        <v>0</v>
      </c>
      <c r="FI102" s="443">
        <f t="shared" si="194"/>
        <v>725</v>
      </c>
      <c r="FJ102" s="392">
        <v>45</v>
      </c>
      <c r="FK102" s="298"/>
      <c r="FL102" s="298">
        <f t="shared" si="195"/>
        <v>0</v>
      </c>
      <c r="FM102" s="298">
        <f t="shared" si="169"/>
        <v>45</v>
      </c>
      <c r="FN102" s="498">
        <f t="shared" si="196"/>
        <v>1900</v>
      </c>
      <c r="HC102" s="402"/>
      <c r="HD102" s="52"/>
      <c r="HE102" s="52">
        <f t="shared" si="197"/>
        <v>0</v>
      </c>
      <c r="HF102" s="52">
        <f t="shared" si="170"/>
        <v>0</v>
      </c>
      <c r="HG102" s="51"/>
      <c r="HH102" s="52">
        <f t="shared" si="240"/>
        <v>400</v>
      </c>
      <c r="HI102" s="51"/>
      <c r="HJ102" s="1047"/>
    </row>
    <row r="103" spans="1:218">
      <c r="A103" s="30">
        <v>44766</v>
      </c>
      <c r="B103" s="390">
        <v>679055</v>
      </c>
      <c r="C103" s="18">
        <f t="shared" si="147"/>
        <v>46138883</v>
      </c>
      <c r="D103" s="376">
        <v>7998.02</v>
      </c>
      <c r="E103" s="417">
        <f t="shared" si="255"/>
        <v>626589.19999999984</v>
      </c>
      <c r="F103" s="397">
        <v>7099</v>
      </c>
      <c r="G103" s="37"/>
      <c r="H103" s="37">
        <f t="shared" si="171"/>
        <v>5831</v>
      </c>
      <c r="I103" s="37">
        <f t="shared" si="148"/>
        <v>1268</v>
      </c>
      <c r="J103" s="37">
        <f t="shared" si="146"/>
        <v>158.5392384615192</v>
      </c>
      <c r="K103" s="37">
        <f t="shared" si="198"/>
        <v>286436</v>
      </c>
      <c r="L103" s="37">
        <f t="shared" si="149"/>
        <v>457.13523310009185</v>
      </c>
      <c r="M103" s="648"/>
      <c r="N103" s="422">
        <v>300</v>
      </c>
      <c r="O103" s="423"/>
      <c r="P103" s="423">
        <f t="shared" si="199"/>
        <v>225</v>
      </c>
      <c r="Q103" s="423">
        <f t="shared" si="200"/>
        <v>75</v>
      </c>
      <c r="R103" s="423">
        <f t="shared" si="201"/>
        <v>8000</v>
      </c>
      <c r="S103" s="68">
        <v>5.59</v>
      </c>
      <c r="T103" s="67">
        <v>24</v>
      </c>
      <c r="U103" s="68">
        <f t="shared" si="202"/>
        <v>67.08</v>
      </c>
      <c r="V103" s="68">
        <f t="shared" si="151"/>
        <v>8.3870758012608118</v>
      </c>
      <c r="W103" s="423">
        <f t="shared" si="203"/>
        <v>7810.2239999999993</v>
      </c>
      <c r="X103" s="68">
        <f t="shared" si="152"/>
        <v>12.464664248920986</v>
      </c>
      <c r="Y103" s="500"/>
      <c r="Z103" s="424">
        <v>100</v>
      </c>
      <c r="AA103" s="425"/>
      <c r="AB103" s="425">
        <f t="shared" si="204"/>
        <v>75</v>
      </c>
      <c r="AC103" s="425">
        <f t="shared" si="205"/>
        <v>25</v>
      </c>
      <c r="AD103" s="425">
        <f t="shared" si="206"/>
        <v>1225</v>
      </c>
      <c r="AE103" s="72">
        <v>2.4700000000000002</v>
      </c>
      <c r="AF103" s="71">
        <v>12</v>
      </c>
      <c r="AG103" s="72">
        <f t="shared" si="207"/>
        <v>14.82</v>
      </c>
      <c r="AH103" s="72">
        <f t="shared" si="173"/>
        <v>1.8529586072552955</v>
      </c>
      <c r="AI103" s="425">
        <f t="shared" si="208"/>
        <v>1126.9920000000002</v>
      </c>
      <c r="AJ103" s="72">
        <f t="shared" si="241"/>
        <v>1.798613828645627</v>
      </c>
      <c r="AK103" s="502"/>
      <c r="AL103" s="491">
        <v>35919</v>
      </c>
      <c r="AM103" s="491"/>
      <c r="AN103" s="492">
        <f t="shared" si="248"/>
        <v>35919</v>
      </c>
      <c r="AO103" s="492">
        <f t="shared" si="249"/>
        <v>0</v>
      </c>
      <c r="AP103" s="492">
        <f t="shared" si="250"/>
        <v>47654</v>
      </c>
      <c r="AQ103" s="493">
        <f t="shared" si="174"/>
        <v>76.053018468878832</v>
      </c>
      <c r="AR103" s="504"/>
      <c r="AS103" s="413">
        <v>31000</v>
      </c>
      <c r="AT103" s="64"/>
      <c r="AU103" s="66">
        <f t="shared" si="209"/>
        <v>27009</v>
      </c>
      <c r="AV103" s="66">
        <f t="shared" si="155"/>
        <v>3991</v>
      </c>
      <c r="AW103" s="412">
        <f t="shared" si="156"/>
        <v>5.8772853450751414</v>
      </c>
      <c r="AX103" s="66">
        <f t="shared" si="210"/>
        <v>22226</v>
      </c>
      <c r="AY103" s="412">
        <f t="shared" si="211"/>
        <v>0.48171950760056326</v>
      </c>
      <c r="AZ103" s="506"/>
      <c r="BA103" s="419">
        <v>45495</v>
      </c>
      <c r="BB103" s="419"/>
      <c r="BC103" s="407"/>
      <c r="BD103" s="419">
        <f t="shared" si="175"/>
        <v>45495</v>
      </c>
      <c r="BE103" s="419">
        <f t="shared" si="176"/>
        <v>0</v>
      </c>
      <c r="BF103" s="407">
        <f t="shared" si="212"/>
        <v>0</v>
      </c>
      <c r="BG103" s="419">
        <f t="shared" si="251"/>
        <v>0</v>
      </c>
      <c r="BH103" s="407">
        <f t="shared" si="213"/>
        <v>0</v>
      </c>
      <c r="BI103" s="407">
        <f t="shared" si="214"/>
        <v>0</v>
      </c>
      <c r="BJ103" s="508"/>
      <c r="BK103" s="510"/>
      <c r="BL103" s="49">
        <v>1086</v>
      </c>
      <c r="BM103" s="50"/>
      <c r="BN103" s="52">
        <f t="shared" si="215"/>
        <v>857</v>
      </c>
      <c r="BO103" s="52">
        <f t="shared" si="157"/>
        <v>229</v>
      </c>
      <c r="BP103" s="406">
        <f t="shared" si="216"/>
        <v>0.33723336106795471</v>
      </c>
      <c r="BQ103" s="52">
        <f t="shared" si="217"/>
        <v>16143</v>
      </c>
      <c r="BR103" s="406">
        <f t="shared" si="218"/>
        <v>0.3498784311705162</v>
      </c>
      <c r="BS103" s="512"/>
      <c r="BT103" s="409">
        <v>1210</v>
      </c>
      <c r="BU103" s="43"/>
      <c r="BV103" s="43">
        <f t="shared" si="245"/>
        <v>1080</v>
      </c>
      <c r="BW103" s="43">
        <f t="shared" si="246"/>
        <v>130</v>
      </c>
      <c r="BX103" s="42">
        <f t="shared" si="219"/>
        <v>0.19144251938355508</v>
      </c>
      <c r="BY103" s="43">
        <f t="shared" si="247"/>
        <v>6307</v>
      </c>
      <c r="BZ103" s="42">
        <f t="shared" si="220"/>
        <v>0.13669598373241937</v>
      </c>
      <c r="CA103" s="514"/>
      <c r="CB103" s="392">
        <v>828</v>
      </c>
      <c r="CC103" s="298"/>
      <c r="CD103" s="298">
        <f t="shared" si="177"/>
        <v>230</v>
      </c>
      <c r="CE103" s="298">
        <f t="shared" si="158"/>
        <v>598</v>
      </c>
      <c r="CF103" s="297">
        <f t="shared" si="221"/>
        <v>0.88063558916435336</v>
      </c>
      <c r="CG103" s="298">
        <f t="shared" si="222"/>
        <v>40020</v>
      </c>
      <c r="CH103" s="297">
        <f t="shared" si="223"/>
        <v>0.86738120643276084</v>
      </c>
      <c r="CI103" s="516"/>
      <c r="CJ103" s="656">
        <v>100</v>
      </c>
      <c r="CK103" s="657">
        <v>125</v>
      </c>
      <c r="CL103" s="657">
        <f t="shared" si="252"/>
        <v>0</v>
      </c>
      <c r="CM103" s="657">
        <f t="shared" si="253"/>
        <v>225</v>
      </c>
      <c r="CN103" s="659">
        <f t="shared" si="254"/>
        <v>2125</v>
      </c>
      <c r="CO103" s="464">
        <v>0</v>
      </c>
      <c r="CP103" s="465"/>
      <c r="CQ103" s="465">
        <f t="shared" si="178"/>
        <v>0</v>
      </c>
      <c r="CR103" s="465">
        <f t="shared" si="159"/>
        <v>0</v>
      </c>
      <c r="CS103" s="486">
        <f t="shared" si="224"/>
        <v>0</v>
      </c>
      <c r="CT103" s="465">
        <f t="shared" si="225"/>
        <v>1255</v>
      </c>
      <c r="CU103" s="486">
        <f t="shared" si="226"/>
        <v>2.7200485109273236E-2</v>
      </c>
      <c r="CV103" s="518"/>
      <c r="CW103" s="427">
        <v>15</v>
      </c>
      <c r="CX103" s="427"/>
      <c r="CY103" s="427">
        <f t="shared" si="227"/>
        <v>15</v>
      </c>
      <c r="CZ103" s="427">
        <f t="shared" si="228"/>
        <v>0</v>
      </c>
      <c r="DA103" s="607">
        <f t="shared" si="244"/>
        <v>0</v>
      </c>
      <c r="DB103" s="607">
        <f t="shared" si="229"/>
        <v>60</v>
      </c>
      <c r="DC103" s="607">
        <f t="shared" si="179"/>
        <v>1.3004215988497165E-3</v>
      </c>
      <c r="DD103" s="609"/>
      <c r="DE103" s="471">
        <v>4</v>
      </c>
      <c r="DF103" s="473"/>
      <c r="DG103" s="473">
        <f t="shared" si="180"/>
        <v>4</v>
      </c>
      <c r="DH103" s="473">
        <f t="shared" si="160"/>
        <v>0</v>
      </c>
      <c r="DI103" s="227">
        <f t="shared" si="230"/>
        <v>0</v>
      </c>
      <c r="DJ103" s="473">
        <f t="shared" si="231"/>
        <v>55.2</v>
      </c>
      <c r="DK103" s="227">
        <f t="shared" si="232"/>
        <v>1.196387870941739E-3</v>
      </c>
      <c r="DL103" s="510"/>
      <c r="DM103" s="63">
        <v>1540</v>
      </c>
      <c r="DN103" s="64"/>
      <c r="DO103" s="66">
        <f t="shared" si="233"/>
        <v>1420</v>
      </c>
      <c r="DP103" s="66">
        <f t="shared" si="161"/>
        <v>120</v>
      </c>
      <c r="DQ103" s="412">
        <f t="shared" si="234"/>
        <v>0.17671617173866624</v>
      </c>
      <c r="DR103" s="66">
        <f t="shared" si="235"/>
        <v>12180</v>
      </c>
      <c r="DS103" s="412">
        <f t="shared" si="236"/>
        <v>0.2639855845664924</v>
      </c>
      <c r="DT103" s="506"/>
      <c r="DU103" s="596">
        <v>40</v>
      </c>
      <c r="DV103" s="596"/>
      <c r="DW103" s="596">
        <f t="shared" si="181"/>
        <v>40</v>
      </c>
      <c r="DX103" s="596">
        <f t="shared" si="162"/>
        <v>0</v>
      </c>
      <c r="DY103" s="592">
        <f t="shared" si="182"/>
        <v>0</v>
      </c>
      <c r="DZ103" s="596">
        <f t="shared" si="237"/>
        <v>2760</v>
      </c>
      <c r="EA103" s="592">
        <f t="shared" si="183"/>
        <v>5.9819393547086958E-2</v>
      </c>
      <c r="EB103" s="594"/>
      <c r="EC103" s="448">
        <v>55</v>
      </c>
      <c r="ED103" s="449"/>
      <c r="EE103" s="449">
        <f t="shared" si="184"/>
        <v>50</v>
      </c>
      <c r="EF103" s="449">
        <f t="shared" si="163"/>
        <v>5</v>
      </c>
      <c r="EG103" s="450">
        <f t="shared" si="242"/>
        <v>7.3631738224444266E-3</v>
      </c>
      <c r="EH103" s="449">
        <f t="shared" si="238"/>
        <v>320</v>
      </c>
      <c r="EI103" s="450">
        <f t="shared" si="243"/>
        <v>6.9355818605318208E-3</v>
      </c>
      <c r="EJ103" s="520"/>
      <c r="EK103" s="426">
        <v>2450</v>
      </c>
      <c r="EL103" s="427"/>
      <c r="EM103" s="427">
        <f t="shared" si="185"/>
        <v>1625</v>
      </c>
      <c r="EN103" s="427">
        <f t="shared" si="164"/>
        <v>825</v>
      </c>
      <c r="EO103" s="427">
        <f t="shared" si="186"/>
        <v>42697</v>
      </c>
      <c r="EP103" s="456">
        <v>14</v>
      </c>
      <c r="EQ103" s="457"/>
      <c r="ER103" s="457">
        <f t="shared" si="187"/>
        <v>14</v>
      </c>
      <c r="ES103" s="457">
        <f t="shared" si="165"/>
        <v>0</v>
      </c>
      <c r="ET103" s="457">
        <f t="shared" si="188"/>
        <v>924</v>
      </c>
      <c r="EU103" s="409">
        <v>41</v>
      </c>
      <c r="EV103" s="43"/>
      <c r="EW103" s="43">
        <f t="shared" si="189"/>
        <v>36</v>
      </c>
      <c r="EX103" s="43">
        <f t="shared" si="166"/>
        <v>5</v>
      </c>
      <c r="EY103" s="43">
        <f t="shared" si="190"/>
        <v>564</v>
      </c>
      <c r="EZ103" s="436">
        <v>35</v>
      </c>
      <c r="FA103" s="437"/>
      <c r="FB103" s="437">
        <f t="shared" si="191"/>
        <v>29</v>
      </c>
      <c r="FC103" s="437">
        <f t="shared" si="167"/>
        <v>6</v>
      </c>
      <c r="FD103" s="437">
        <f t="shared" si="192"/>
        <v>661</v>
      </c>
      <c r="FE103" s="442">
        <v>75</v>
      </c>
      <c r="FF103" s="443"/>
      <c r="FG103" s="443">
        <f t="shared" si="193"/>
        <v>75</v>
      </c>
      <c r="FH103" s="443">
        <f t="shared" si="168"/>
        <v>0</v>
      </c>
      <c r="FI103" s="443">
        <f t="shared" si="194"/>
        <v>725</v>
      </c>
      <c r="FJ103" s="392">
        <v>0</v>
      </c>
      <c r="FK103" s="298"/>
      <c r="FL103" s="298">
        <f t="shared" si="195"/>
        <v>0</v>
      </c>
      <c r="FM103" s="298">
        <f t="shared" si="169"/>
        <v>0</v>
      </c>
      <c r="FN103" s="498">
        <f t="shared" si="196"/>
        <v>1900</v>
      </c>
      <c r="HC103" s="402"/>
      <c r="HD103" s="52"/>
      <c r="HE103" s="52">
        <f t="shared" si="197"/>
        <v>0</v>
      </c>
      <c r="HF103" s="52">
        <f t="shared" si="170"/>
        <v>0</v>
      </c>
      <c r="HG103" s="51"/>
      <c r="HH103" s="52">
        <f t="shared" si="240"/>
        <v>400</v>
      </c>
      <c r="HI103" s="51"/>
      <c r="HJ103" s="1047"/>
    </row>
    <row r="104" spans="1:218">
      <c r="A104" s="30">
        <v>44767</v>
      </c>
      <c r="B104" s="390">
        <v>693722</v>
      </c>
      <c r="C104" s="18">
        <f t="shared" si="147"/>
        <v>46832605</v>
      </c>
      <c r="D104" s="376">
        <v>7535.02</v>
      </c>
      <c r="E104" s="417">
        <f t="shared" si="255"/>
        <v>634124.21999999986</v>
      </c>
      <c r="F104" s="397">
        <v>5831</v>
      </c>
      <c r="G104" s="37">
        <v>36360</v>
      </c>
      <c r="H104" s="37">
        <f t="shared" si="171"/>
        <v>42191</v>
      </c>
      <c r="I104" s="37">
        <f t="shared" si="148"/>
        <v>0</v>
      </c>
      <c r="J104" s="37">
        <f t="shared" si="146"/>
        <v>0</v>
      </c>
      <c r="K104" s="37">
        <f t="shared" si="198"/>
        <v>286436</v>
      </c>
      <c r="L104" s="37">
        <f t="shared" si="149"/>
        <v>451.7032956098098</v>
      </c>
      <c r="M104" s="648"/>
      <c r="N104" s="422">
        <v>225</v>
      </c>
      <c r="O104" s="423"/>
      <c r="P104" s="423">
        <f t="shared" si="199"/>
        <v>175</v>
      </c>
      <c r="Q104" s="423">
        <f t="shared" si="200"/>
        <v>50</v>
      </c>
      <c r="R104" s="423">
        <f t="shared" si="201"/>
        <v>8050</v>
      </c>
      <c r="S104" s="68">
        <v>5.49</v>
      </c>
      <c r="T104" s="67">
        <v>24</v>
      </c>
      <c r="U104" s="68">
        <f t="shared" si="202"/>
        <v>65.88</v>
      </c>
      <c r="V104" s="68">
        <f t="shared" si="151"/>
        <v>8.7431752005966796</v>
      </c>
      <c r="W104" s="423">
        <f t="shared" si="203"/>
        <v>7876.1039999999994</v>
      </c>
      <c r="X104" s="68">
        <f t="shared" si="152"/>
        <v>12.420443426683814</v>
      </c>
      <c r="Y104" s="500"/>
      <c r="Z104" s="424">
        <v>75</v>
      </c>
      <c r="AA104" s="425"/>
      <c r="AB104" s="425">
        <f t="shared" si="204"/>
        <v>75</v>
      </c>
      <c r="AC104" s="425">
        <f t="shared" si="205"/>
        <v>0</v>
      </c>
      <c r="AD104" s="425">
        <f t="shared" si="206"/>
        <v>1225</v>
      </c>
      <c r="AE104" s="72">
        <v>3.35</v>
      </c>
      <c r="AF104" s="71">
        <v>12</v>
      </c>
      <c r="AG104" s="72">
        <f t="shared" si="207"/>
        <v>20.100000000000001</v>
      </c>
      <c r="AH104" s="72">
        <f t="shared" si="173"/>
        <v>2.6675443462658359</v>
      </c>
      <c r="AI104" s="425">
        <f t="shared" si="208"/>
        <v>1147.0920000000001</v>
      </c>
      <c r="AJ104" s="72">
        <f t="shared" si="241"/>
        <v>1.8089389489018417</v>
      </c>
      <c r="AK104" s="502"/>
      <c r="AL104" s="491">
        <v>35919</v>
      </c>
      <c r="AM104" s="491"/>
      <c r="AN104" s="492">
        <f t="shared" si="248"/>
        <v>35919</v>
      </c>
      <c r="AO104" s="492">
        <f t="shared" si="249"/>
        <v>0</v>
      </c>
      <c r="AP104" s="492">
        <f t="shared" si="250"/>
        <v>47654</v>
      </c>
      <c r="AQ104" s="493">
        <f t="shared" si="174"/>
        <v>75.149313804793664</v>
      </c>
      <c r="AR104" s="504"/>
      <c r="AS104" s="413">
        <v>27009</v>
      </c>
      <c r="AT104" s="64"/>
      <c r="AU104" s="66">
        <f t="shared" si="209"/>
        <v>27009</v>
      </c>
      <c r="AV104" s="66">
        <f t="shared" si="155"/>
        <v>0</v>
      </c>
      <c r="AW104" s="412">
        <f t="shared" si="156"/>
        <v>0</v>
      </c>
      <c r="AX104" s="66">
        <f t="shared" si="210"/>
        <v>22226</v>
      </c>
      <c r="AY104" s="412">
        <f t="shared" si="211"/>
        <v>0.47458389299506187</v>
      </c>
      <c r="AZ104" s="506"/>
      <c r="BA104" s="419">
        <v>45495</v>
      </c>
      <c r="BB104" s="419"/>
      <c r="BC104" s="407"/>
      <c r="BD104" s="419">
        <f t="shared" si="175"/>
        <v>19140</v>
      </c>
      <c r="BE104" s="419">
        <f t="shared" si="176"/>
        <v>26355</v>
      </c>
      <c r="BF104" s="407">
        <f t="shared" si="212"/>
        <v>37.99072250843998</v>
      </c>
      <c r="BG104" s="419">
        <f t="shared" si="251"/>
        <v>26355</v>
      </c>
      <c r="BH104" s="407">
        <f t="shared" si="213"/>
        <v>0.56274896517073947</v>
      </c>
      <c r="BI104" s="407">
        <f t="shared" si="214"/>
        <v>6.8908036551519128E-2</v>
      </c>
      <c r="BJ104" s="508"/>
      <c r="BK104" s="510"/>
      <c r="BL104" s="49">
        <v>857</v>
      </c>
      <c r="BM104" s="50">
        <v>1800</v>
      </c>
      <c r="BN104" s="52">
        <f t="shared" si="215"/>
        <v>2504</v>
      </c>
      <c r="BO104" s="52">
        <f t="shared" si="157"/>
        <v>153</v>
      </c>
      <c r="BP104" s="406">
        <f t="shared" si="216"/>
        <v>0.22054944199549675</v>
      </c>
      <c r="BQ104" s="52">
        <f t="shared" si="217"/>
        <v>16296</v>
      </c>
      <c r="BR104" s="406">
        <f t="shared" si="218"/>
        <v>0.34796270675099111</v>
      </c>
      <c r="BS104" s="512"/>
      <c r="BT104" s="409">
        <v>1080</v>
      </c>
      <c r="BU104" s="43">
        <v>1000</v>
      </c>
      <c r="BV104" s="43">
        <f t="shared" si="245"/>
        <v>1885</v>
      </c>
      <c r="BW104" s="43">
        <f t="shared" si="246"/>
        <v>195</v>
      </c>
      <c r="BX104" s="42">
        <f t="shared" si="219"/>
        <v>0.28109242607269197</v>
      </c>
      <c r="BY104" s="43">
        <f t="shared" si="247"/>
        <v>6502</v>
      </c>
      <c r="BZ104" s="42">
        <f t="shared" si="220"/>
        <v>0.13883489931854101</v>
      </c>
      <c r="CA104" s="514"/>
      <c r="CB104" s="392">
        <v>230</v>
      </c>
      <c r="CC104" s="298">
        <v>2300</v>
      </c>
      <c r="CD104" s="298">
        <f t="shared" si="177"/>
        <v>1828</v>
      </c>
      <c r="CE104" s="298">
        <f t="shared" si="158"/>
        <v>702</v>
      </c>
      <c r="CF104" s="297">
        <f t="shared" si="221"/>
        <v>1.011932733861691</v>
      </c>
      <c r="CG104" s="298">
        <f t="shared" si="222"/>
        <v>40722</v>
      </c>
      <c r="CH104" s="297">
        <f t="shared" si="223"/>
        <v>0.86952241926324625</v>
      </c>
      <c r="CI104" s="516"/>
      <c r="CJ104" s="656">
        <v>0</v>
      </c>
      <c r="CK104" s="657">
        <v>1000</v>
      </c>
      <c r="CL104" s="657">
        <f t="shared" si="252"/>
        <v>750</v>
      </c>
      <c r="CM104" s="657">
        <f t="shared" si="253"/>
        <v>250</v>
      </c>
      <c r="CN104" s="659">
        <f t="shared" si="254"/>
        <v>2375</v>
      </c>
      <c r="CO104" s="464">
        <v>0</v>
      </c>
      <c r="CP104" s="465"/>
      <c r="CQ104" s="465">
        <f t="shared" si="178"/>
        <v>0</v>
      </c>
      <c r="CR104" s="465">
        <f t="shared" si="159"/>
        <v>0</v>
      </c>
      <c r="CS104" s="486">
        <f t="shared" si="224"/>
        <v>0</v>
      </c>
      <c r="CT104" s="465">
        <f t="shared" si="225"/>
        <v>1255</v>
      </c>
      <c r="CU104" s="486">
        <f t="shared" si="226"/>
        <v>2.6797569770035213E-2</v>
      </c>
      <c r="CV104" s="518"/>
      <c r="CW104" s="427">
        <v>15</v>
      </c>
      <c r="CX104" s="427"/>
      <c r="CY104" s="427">
        <f t="shared" si="227"/>
        <v>15</v>
      </c>
      <c r="CZ104" s="427">
        <f t="shared" si="228"/>
        <v>0</v>
      </c>
      <c r="DA104" s="607">
        <f t="shared" si="244"/>
        <v>0</v>
      </c>
      <c r="DB104" s="607">
        <f t="shared" si="229"/>
        <v>60</v>
      </c>
      <c r="DC104" s="607">
        <f t="shared" si="179"/>
        <v>1.2811587141052692E-3</v>
      </c>
      <c r="DD104" s="609"/>
      <c r="DE104" s="471">
        <v>4</v>
      </c>
      <c r="DF104" s="473"/>
      <c r="DG104" s="473">
        <f t="shared" si="180"/>
        <v>4</v>
      </c>
      <c r="DH104" s="473">
        <f t="shared" si="160"/>
        <v>0</v>
      </c>
      <c r="DI104" s="227">
        <f t="shared" si="230"/>
        <v>0</v>
      </c>
      <c r="DJ104" s="473">
        <f t="shared" si="231"/>
        <v>55.2</v>
      </c>
      <c r="DK104" s="227">
        <f t="shared" si="232"/>
        <v>1.1786660169768478E-3</v>
      </c>
      <c r="DL104" s="510"/>
      <c r="DM104" s="63">
        <v>1420</v>
      </c>
      <c r="DN104" s="64"/>
      <c r="DO104" s="66">
        <f t="shared" si="233"/>
        <v>1250</v>
      </c>
      <c r="DP104" s="66">
        <f t="shared" si="161"/>
        <v>170</v>
      </c>
      <c r="DQ104" s="412">
        <f t="shared" si="234"/>
        <v>0.24505493555055194</v>
      </c>
      <c r="DR104" s="66">
        <f t="shared" si="235"/>
        <v>12350</v>
      </c>
      <c r="DS104" s="412">
        <f t="shared" si="236"/>
        <v>0.2637051686533346</v>
      </c>
      <c r="DT104" s="506"/>
      <c r="DU104" s="596">
        <v>40</v>
      </c>
      <c r="DV104" s="596"/>
      <c r="DW104" s="596">
        <f t="shared" si="181"/>
        <v>40</v>
      </c>
      <c r="DX104" s="596">
        <f t="shared" si="162"/>
        <v>0</v>
      </c>
      <c r="DY104" s="592">
        <f t="shared" si="182"/>
        <v>0</v>
      </c>
      <c r="DZ104" s="596">
        <f t="shared" si="237"/>
        <v>2760</v>
      </c>
      <c r="EA104" s="592">
        <f t="shared" si="183"/>
        <v>5.8933300848842379E-2</v>
      </c>
      <c r="EB104" s="594"/>
      <c r="EC104" s="448">
        <v>50</v>
      </c>
      <c r="ED104" s="449"/>
      <c r="EE104" s="449">
        <f t="shared" si="184"/>
        <v>50</v>
      </c>
      <c r="EF104" s="449">
        <f t="shared" si="163"/>
        <v>0</v>
      </c>
      <c r="EG104" s="450">
        <f t="shared" si="242"/>
        <v>0</v>
      </c>
      <c r="EH104" s="449">
        <f t="shared" si="238"/>
        <v>320</v>
      </c>
      <c r="EI104" s="450">
        <f t="shared" si="243"/>
        <v>6.8328464752281026E-3</v>
      </c>
      <c r="EJ104" s="520"/>
      <c r="EK104" s="426">
        <v>1625</v>
      </c>
      <c r="EL104" s="427">
        <v>2500</v>
      </c>
      <c r="EM104" s="427">
        <f t="shared" si="185"/>
        <v>3125</v>
      </c>
      <c r="EN104" s="427">
        <f t="shared" si="164"/>
        <v>1000</v>
      </c>
      <c r="EO104" s="427">
        <f t="shared" si="186"/>
        <v>43697</v>
      </c>
      <c r="EP104" s="456">
        <v>14</v>
      </c>
      <c r="EQ104" s="457">
        <v>140</v>
      </c>
      <c r="ER104" s="457">
        <f t="shared" si="187"/>
        <v>140</v>
      </c>
      <c r="ES104" s="457">
        <f t="shared" si="165"/>
        <v>14</v>
      </c>
      <c r="ET104" s="457">
        <f t="shared" si="188"/>
        <v>938</v>
      </c>
      <c r="EU104" s="409">
        <v>36</v>
      </c>
      <c r="EV104" s="43"/>
      <c r="EW104" s="43">
        <f t="shared" si="189"/>
        <v>24</v>
      </c>
      <c r="EX104" s="43">
        <f t="shared" si="166"/>
        <v>12</v>
      </c>
      <c r="EY104" s="43">
        <f t="shared" si="190"/>
        <v>576</v>
      </c>
      <c r="EZ104" s="436">
        <v>29</v>
      </c>
      <c r="FA104" s="437"/>
      <c r="FB104" s="437">
        <f t="shared" si="191"/>
        <v>25</v>
      </c>
      <c r="FC104" s="437">
        <f t="shared" si="167"/>
        <v>4</v>
      </c>
      <c r="FD104" s="437">
        <f t="shared" si="192"/>
        <v>665</v>
      </c>
      <c r="FE104" s="442">
        <v>75</v>
      </c>
      <c r="FF104" s="443"/>
      <c r="FG104" s="443">
        <f t="shared" si="193"/>
        <v>50</v>
      </c>
      <c r="FH104" s="443">
        <f t="shared" si="168"/>
        <v>25</v>
      </c>
      <c r="FI104" s="443">
        <f t="shared" si="194"/>
        <v>750</v>
      </c>
      <c r="FJ104" s="392">
        <v>0</v>
      </c>
      <c r="FK104" s="298"/>
      <c r="FL104" s="298">
        <f t="shared" si="195"/>
        <v>0</v>
      </c>
      <c r="FM104" s="298">
        <f t="shared" si="169"/>
        <v>0</v>
      </c>
      <c r="FN104" s="498">
        <f t="shared" si="196"/>
        <v>1900</v>
      </c>
      <c r="HC104" s="402"/>
      <c r="HD104" s="52"/>
      <c r="HE104" s="52">
        <f t="shared" si="197"/>
        <v>0</v>
      </c>
      <c r="HF104" s="52">
        <f t="shared" si="170"/>
        <v>0</v>
      </c>
      <c r="HG104" s="51"/>
      <c r="HH104" s="52">
        <f t="shared" si="240"/>
        <v>400</v>
      </c>
      <c r="HI104" s="51"/>
      <c r="HJ104" s="1047"/>
    </row>
    <row r="105" spans="1:218">
      <c r="A105" s="30">
        <v>44768</v>
      </c>
      <c r="B105" s="390">
        <v>674052</v>
      </c>
      <c r="C105" s="18">
        <f t="shared" si="147"/>
        <v>47506657</v>
      </c>
      <c r="D105" s="376">
        <v>7827.14</v>
      </c>
      <c r="E105" s="417">
        <f t="shared" si="255"/>
        <v>641951.35999999987</v>
      </c>
      <c r="F105" s="397">
        <v>42191</v>
      </c>
      <c r="G105" s="37"/>
      <c r="H105" s="37">
        <f t="shared" si="171"/>
        <v>31174</v>
      </c>
      <c r="I105" s="37">
        <f t="shared" si="148"/>
        <v>11017</v>
      </c>
      <c r="J105" s="37">
        <f t="shared" si="146"/>
        <v>1407.5383856683284</v>
      </c>
      <c r="K105" s="37">
        <f t="shared" si="198"/>
        <v>297453</v>
      </c>
      <c r="L105" s="37">
        <f t="shared" si="149"/>
        <v>463.35753537464279</v>
      </c>
      <c r="M105" s="648"/>
      <c r="N105" s="422">
        <v>175</v>
      </c>
      <c r="O105" s="423"/>
      <c r="P105" s="423">
        <f t="shared" si="199"/>
        <v>100</v>
      </c>
      <c r="Q105" s="423">
        <f t="shared" si="200"/>
        <v>75</v>
      </c>
      <c r="R105" s="423">
        <f t="shared" si="201"/>
        <v>8125</v>
      </c>
      <c r="S105" s="68">
        <v>5.88</v>
      </c>
      <c r="T105" s="67">
        <v>24</v>
      </c>
      <c r="U105" s="68">
        <f t="shared" si="202"/>
        <v>70.56</v>
      </c>
      <c r="V105" s="68">
        <f t="shared" si="151"/>
        <v>9.0147870103256107</v>
      </c>
      <c r="W105" s="423">
        <f t="shared" si="203"/>
        <v>7946.6639999999998</v>
      </c>
      <c r="X105" s="68">
        <f t="shared" si="152"/>
        <v>12.378919175434104</v>
      </c>
      <c r="Y105" s="500"/>
      <c r="Z105" s="424">
        <v>75</v>
      </c>
      <c r="AA105" s="425"/>
      <c r="AB105" s="425">
        <f t="shared" si="204"/>
        <v>50</v>
      </c>
      <c r="AC105" s="425">
        <f t="shared" si="205"/>
        <v>25</v>
      </c>
      <c r="AD105" s="425">
        <f t="shared" si="206"/>
        <v>1250</v>
      </c>
      <c r="AE105" s="72">
        <v>2.48</v>
      </c>
      <c r="AF105" s="71">
        <v>12</v>
      </c>
      <c r="AG105" s="72">
        <f t="shared" si="207"/>
        <v>14.879999999999999</v>
      </c>
      <c r="AH105" s="72">
        <f t="shared" si="173"/>
        <v>1.9010775327897542</v>
      </c>
      <c r="AI105" s="425">
        <f t="shared" si="208"/>
        <v>1161.9720000000002</v>
      </c>
      <c r="AJ105" s="72">
        <f t="shared" si="241"/>
        <v>1.8100623698343756</v>
      </c>
      <c r="AK105" s="502"/>
      <c r="AL105" s="491">
        <v>35919</v>
      </c>
      <c r="AM105" s="491"/>
      <c r="AN105" s="492">
        <f t="shared" si="248"/>
        <v>35919</v>
      </c>
      <c r="AO105" s="492">
        <f t="shared" si="249"/>
        <v>0</v>
      </c>
      <c r="AP105" s="492">
        <f t="shared" si="250"/>
        <v>47654</v>
      </c>
      <c r="AQ105" s="493">
        <f t="shared" si="174"/>
        <v>74.233038465718039</v>
      </c>
      <c r="AR105" s="504"/>
      <c r="AS105" s="413">
        <v>27009</v>
      </c>
      <c r="AT105" s="64"/>
      <c r="AU105" s="66">
        <f t="shared" si="209"/>
        <v>23285</v>
      </c>
      <c r="AV105" s="66">
        <f t="shared" si="155"/>
        <v>3724</v>
      </c>
      <c r="AW105" s="412">
        <f t="shared" si="156"/>
        <v>5.5247963065164116</v>
      </c>
      <c r="AX105" s="66">
        <f t="shared" si="210"/>
        <v>25950</v>
      </c>
      <c r="AY105" s="412">
        <f t="shared" si="211"/>
        <v>0.54623923548230302</v>
      </c>
      <c r="AZ105" s="506"/>
      <c r="BA105" s="419">
        <v>19140</v>
      </c>
      <c r="BB105" s="419"/>
      <c r="BC105" s="407"/>
      <c r="BD105" s="419">
        <f t="shared" si="175"/>
        <v>6600</v>
      </c>
      <c r="BE105" s="419">
        <f t="shared" si="176"/>
        <v>12540</v>
      </c>
      <c r="BF105" s="407">
        <f t="shared" si="212"/>
        <v>18.603905930106283</v>
      </c>
      <c r="BG105" s="419">
        <f t="shared" si="251"/>
        <v>38895</v>
      </c>
      <c r="BH105" s="407">
        <f t="shared" si="213"/>
        <v>0.81872736277781033</v>
      </c>
      <c r="BI105" s="407">
        <f t="shared" si="214"/>
        <v>0.10025233013605842</v>
      </c>
      <c r="BJ105" s="508"/>
      <c r="BK105" s="510"/>
      <c r="BL105" s="49">
        <v>2504</v>
      </c>
      <c r="BM105" s="50"/>
      <c r="BN105" s="52">
        <f t="shared" si="215"/>
        <v>2281</v>
      </c>
      <c r="BO105" s="52">
        <f t="shared" si="157"/>
        <v>223</v>
      </c>
      <c r="BP105" s="406">
        <f t="shared" si="216"/>
        <v>0.33083500976185815</v>
      </c>
      <c r="BQ105" s="52">
        <f t="shared" si="217"/>
        <v>16519</v>
      </c>
      <c r="BR105" s="406">
        <f t="shared" si="218"/>
        <v>0.34771968905326256</v>
      </c>
      <c r="BS105" s="512"/>
      <c r="BT105" s="409">
        <v>1885</v>
      </c>
      <c r="BU105" s="43"/>
      <c r="BV105" s="43">
        <f t="shared" si="245"/>
        <v>1785</v>
      </c>
      <c r="BW105" s="43">
        <f t="shared" si="246"/>
        <v>100</v>
      </c>
      <c r="BX105" s="42">
        <f t="shared" si="219"/>
        <v>0.14835650661966732</v>
      </c>
      <c r="BY105" s="43">
        <f t="shared" si="247"/>
        <v>6602</v>
      </c>
      <c r="BZ105" s="42">
        <f t="shared" si="220"/>
        <v>0.13896999740478477</v>
      </c>
      <c r="CA105" s="514"/>
      <c r="CB105" s="392">
        <v>1828</v>
      </c>
      <c r="CC105" s="298"/>
      <c r="CD105" s="298">
        <f t="shared" si="177"/>
        <v>1208</v>
      </c>
      <c r="CE105" s="298">
        <f t="shared" si="158"/>
        <v>620</v>
      </c>
      <c r="CF105" s="297">
        <f t="shared" si="221"/>
        <v>0.91981034104193737</v>
      </c>
      <c r="CG105" s="298">
        <f t="shared" si="222"/>
        <v>41342</v>
      </c>
      <c r="CH105" s="297">
        <f t="shared" si="223"/>
        <v>0.87023593346086214</v>
      </c>
      <c r="CI105" s="516"/>
      <c r="CJ105" s="656">
        <v>750</v>
      </c>
      <c r="CK105" s="657"/>
      <c r="CL105" s="657">
        <f t="shared" si="252"/>
        <v>375</v>
      </c>
      <c r="CM105" s="657">
        <f t="shared" si="253"/>
        <v>375</v>
      </c>
      <c r="CN105" s="659">
        <f t="shared" si="254"/>
        <v>2750</v>
      </c>
      <c r="CO105" s="464">
        <v>0</v>
      </c>
      <c r="CP105" s="465"/>
      <c r="CQ105" s="465">
        <f t="shared" si="178"/>
        <v>0</v>
      </c>
      <c r="CR105" s="465">
        <f t="shared" si="159"/>
        <v>0</v>
      </c>
      <c r="CS105" s="486">
        <f t="shared" si="224"/>
        <v>0</v>
      </c>
      <c r="CT105" s="465">
        <f t="shared" si="225"/>
        <v>1255</v>
      </c>
      <c r="CU105" s="486">
        <f t="shared" si="226"/>
        <v>2.6417350309452421E-2</v>
      </c>
      <c r="CV105" s="518"/>
      <c r="CW105" s="427">
        <v>15</v>
      </c>
      <c r="CX105" s="427"/>
      <c r="CY105" s="427">
        <f t="shared" si="227"/>
        <v>15</v>
      </c>
      <c r="CZ105" s="427">
        <f t="shared" si="228"/>
        <v>0</v>
      </c>
      <c r="DA105" s="607">
        <f t="shared" si="244"/>
        <v>0</v>
      </c>
      <c r="DB105" s="607">
        <f t="shared" si="229"/>
        <v>60</v>
      </c>
      <c r="DC105" s="607">
        <f t="shared" si="179"/>
        <v>1.262980891288562E-3</v>
      </c>
      <c r="DD105" s="609"/>
      <c r="DE105" s="471">
        <v>4</v>
      </c>
      <c r="DF105" s="473"/>
      <c r="DG105" s="473">
        <f t="shared" si="180"/>
        <v>4</v>
      </c>
      <c r="DH105" s="473">
        <f t="shared" si="160"/>
        <v>0</v>
      </c>
      <c r="DI105" s="227">
        <f t="shared" si="230"/>
        <v>0</v>
      </c>
      <c r="DJ105" s="473">
        <f t="shared" si="231"/>
        <v>55.2</v>
      </c>
      <c r="DK105" s="227">
        <f t="shared" si="232"/>
        <v>1.161942419985477E-3</v>
      </c>
      <c r="DL105" s="510"/>
      <c r="DM105" s="63">
        <v>1250</v>
      </c>
      <c r="DN105" s="64"/>
      <c r="DO105" s="66">
        <f t="shared" si="233"/>
        <v>1100</v>
      </c>
      <c r="DP105" s="66">
        <f t="shared" si="161"/>
        <v>150</v>
      </c>
      <c r="DQ105" s="412">
        <f t="shared" si="234"/>
        <v>0.22253475992950097</v>
      </c>
      <c r="DR105" s="66">
        <f t="shared" si="235"/>
        <v>12500</v>
      </c>
      <c r="DS105" s="412">
        <f t="shared" si="236"/>
        <v>0.26312101901845042</v>
      </c>
      <c r="DT105" s="506"/>
      <c r="DU105" s="596">
        <v>40</v>
      </c>
      <c r="DV105" s="596"/>
      <c r="DW105" s="596">
        <f t="shared" si="181"/>
        <v>40</v>
      </c>
      <c r="DX105" s="596">
        <f t="shared" si="162"/>
        <v>0</v>
      </c>
      <c r="DY105" s="592">
        <f t="shared" si="182"/>
        <v>0</v>
      </c>
      <c r="DZ105" s="596">
        <f t="shared" si="237"/>
        <v>2760</v>
      </c>
      <c r="EA105" s="592">
        <f t="shared" si="183"/>
        <v>5.8097120999273846E-2</v>
      </c>
      <c r="EB105" s="594"/>
      <c r="EC105" s="448">
        <v>50</v>
      </c>
      <c r="ED105" s="449"/>
      <c r="EE105" s="449">
        <f t="shared" si="184"/>
        <v>50</v>
      </c>
      <c r="EF105" s="449">
        <f t="shared" si="163"/>
        <v>0</v>
      </c>
      <c r="EG105" s="450">
        <f t="shared" si="242"/>
        <v>0</v>
      </c>
      <c r="EH105" s="449">
        <f t="shared" si="238"/>
        <v>320</v>
      </c>
      <c r="EI105" s="450">
        <f t="shared" si="243"/>
        <v>6.7358980868723302E-3</v>
      </c>
      <c r="EJ105" s="520"/>
      <c r="EK105" s="426">
        <v>3125</v>
      </c>
      <c r="EL105" s="427"/>
      <c r="EM105" s="427">
        <f t="shared" si="185"/>
        <v>2238</v>
      </c>
      <c r="EN105" s="427">
        <f t="shared" si="164"/>
        <v>887</v>
      </c>
      <c r="EO105" s="427">
        <f t="shared" si="186"/>
        <v>44584</v>
      </c>
      <c r="EP105" s="456">
        <v>140</v>
      </c>
      <c r="EQ105" s="457"/>
      <c r="ER105" s="457">
        <f t="shared" si="187"/>
        <v>98</v>
      </c>
      <c r="ES105" s="457">
        <f t="shared" si="165"/>
        <v>42</v>
      </c>
      <c r="ET105" s="457">
        <f t="shared" si="188"/>
        <v>980</v>
      </c>
      <c r="EU105" s="409">
        <v>24</v>
      </c>
      <c r="EV105" s="43"/>
      <c r="EW105" s="43">
        <f t="shared" si="189"/>
        <v>24</v>
      </c>
      <c r="EX105" s="43">
        <f t="shared" si="166"/>
        <v>0</v>
      </c>
      <c r="EY105" s="43">
        <f t="shared" si="190"/>
        <v>576</v>
      </c>
      <c r="EZ105" s="436">
        <v>25</v>
      </c>
      <c r="FA105" s="437"/>
      <c r="FB105" s="437">
        <f t="shared" si="191"/>
        <v>22</v>
      </c>
      <c r="FC105" s="437">
        <f t="shared" si="167"/>
        <v>3</v>
      </c>
      <c r="FD105" s="437">
        <f t="shared" si="192"/>
        <v>668</v>
      </c>
      <c r="FE105" s="442">
        <v>50</v>
      </c>
      <c r="FF105" s="443">
        <v>200</v>
      </c>
      <c r="FG105" s="443">
        <f t="shared" si="193"/>
        <v>250</v>
      </c>
      <c r="FH105" s="443">
        <f t="shared" si="168"/>
        <v>0</v>
      </c>
      <c r="FI105" s="443">
        <f t="shared" si="194"/>
        <v>750</v>
      </c>
      <c r="FJ105" s="392">
        <v>0</v>
      </c>
      <c r="FK105" s="298"/>
      <c r="FL105" s="298">
        <f t="shared" si="195"/>
        <v>0</v>
      </c>
      <c r="FM105" s="298">
        <f t="shared" si="169"/>
        <v>0</v>
      </c>
      <c r="FN105" s="498">
        <f t="shared" si="196"/>
        <v>1900</v>
      </c>
      <c r="HC105" s="402"/>
      <c r="HD105" s="52"/>
      <c r="HE105" s="52">
        <f t="shared" si="197"/>
        <v>0</v>
      </c>
      <c r="HF105" s="52">
        <f t="shared" si="170"/>
        <v>0</v>
      </c>
      <c r="HG105" s="51"/>
      <c r="HH105" s="52">
        <f t="shared" si="240"/>
        <v>400</v>
      </c>
      <c r="HI105" s="51"/>
      <c r="HJ105" s="1047"/>
    </row>
    <row r="106" spans="1:218">
      <c r="A106" s="30">
        <v>44769</v>
      </c>
      <c r="B106" s="390">
        <v>703587</v>
      </c>
      <c r="C106" s="18">
        <f t="shared" si="147"/>
        <v>48210244</v>
      </c>
      <c r="D106" s="376">
        <v>7665.66</v>
      </c>
      <c r="E106" s="417">
        <f t="shared" si="255"/>
        <v>649617.0199999999</v>
      </c>
      <c r="F106" s="397">
        <v>31174</v>
      </c>
      <c r="G106" s="37"/>
      <c r="H106" s="37">
        <f t="shared" si="171"/>
        <v>27478</v>
      </c>
      <c r="I106" s="37">
        <f>F106+G106-H106</f>
        <v>3696</v>
      </c>
      <c r="J106" s="37">
        <f t="shared" si="146"/>
        <v>482.15026494783228</v>
      </c>
      <c r="K106" s="37">
        <f t="shared" si="198"/>
        <v>301149</v>
      </c>
      <c r="L106" s="37">
        <f t="shared" si="149"/>
        <v>463.57929476663043</v>
      </c>
      <c r="M106" s="648"/>
      <c r="N106" s="422">
        <v>100</v>
      </c>
      <c r="O106" s="423"/>
      <c r="P106" s="423">
        <f t="shared" si="199"/>
        <v>0</v>
      </c>
      <c r="Q106" s="423">
        <f t="shared" si="200"/>
        <v>100</v>
      </c>
      <c r="R106" s="423">
        <f t="shared" si="201"/>
        <v>8225</v>
      </c>
      <c r="S106" s="68">
        <v>7</v>
      </c>
      <c r="T106" s="67">
        <v>24</v>
      </c>
      <c r="U106" s="68">
        <f t="shared" si="202"/>
        <v>84</v>
      </c>
      <c r="V106" s="68">
        <f t="shared" si="151"/>
        <v>10.957960566996189</v>
      </c>
      <c r="W106" s="423">
        <f t="shared" si="203"/>
        <v>8030.6639999999998</v>
      </c>
      <c r="X106" s="68">
        <f t="shared" si="152"/>
        <v>12.36215147195497</v>
      </c>
      <c r="Y106" s="500"/>
      <c r="Z106" s="424">
        <v>50</v>
      </c>
      <c r="AA106" s="425"/>
      <c r="AB106" s="425">
        <f t="shared" si="204"/>
        <v>50</v>
      </c>
      <c r="AC106" s="425">
        <f t="shared" si="205"/>
        <v>0</v>
      </c>
      <c r="AD106" s="425">
        <f t="shared" si="206"/>
        <v>1250</v>
      </c>
      <c r="AE106" s="72">
        <v>2.4900000000000002</v>
      </c>
      <c r="AF106" s="71">
        <v>12</v>
      </c>
      <c r="AG106" s="72">
        <f t="shared" si="207"/>
        <v>14.940000000000001</v>
      </c>
      <c r="AH106" s="72">
        <f t="shared" si="173"/>
        <v>1.9489515579871795</v>
      </c>
      <c r="AI106" s="425">
        <f t="shared" si="208"/>
        <v>1176.9120000000003</v>
      </c>
      <c r="AJ106" s="72">
        <f t="shared" si="241"/>
        <v>1.8117013005601368</v>
      </c>
      <c r="AK106" s="502"/>
      <c r="AL106" s="491">
        <v>35919</v>
      </c>
      <c r="AM106" s="491"/>
      <c r="AN106" s="492">
        <f t="shared" si="248"/>
        <v>35919</v>
      </c>
      <c r="AO106" s="492">
        <f t="shared" si="249"/>
        <v>0</v>
      </c>
      <c r="AP106" s="492">
        <f t="shared" si="250"/>
        <v>47654</v>
      </c>
      <c r="AQ106" s="493">
        <f t="shared" si="174"/>
        <v>73.357068138393302</v>
      </c>
      <c r="AR106" s="504"/>
      <c r="AS106" s="413">
        <v>23285</v>
      </c>
      <c r="AT106" s="64"/>
      <c r="AU106" s="66">
        <f t="shared" si="209"/>
        <v>18103</v>
      </c>
      <c r="AV106" s="66">
        <f t="shared" si="155"/>
        <v>5182</v>
      </c>
      <c r="AW106" s="412">
        <f t="shared" si="156"/>
        <v>7.365116183215437</v>
      </c>
      <c r="AX106" s="66">
        <f t="shared" si="210"/>
        <v>31132</v>
      </c>
      <c r="AY106" s="412">
        <f t="shared" si="211"/>
        <v>0.64575487317591673</v>
      </c>
      <c r="AZ106" s="506"/>
      <c r="BA106" s="419">
        <v>6600</v>
      </c>
      <c r="BB106" s="419"/>
      <c r="BC106" s="407"/>
      <c r="BD106" s="419">
        <f t="shared" si="175"/>
        <v>6600</v>
      </c>
      <c r="BE106" s="419">
        <f t="shared" si="176"/>
        <v>0</v>
      </c>
      <c r="BF106" s="407">
        <f t="shared" si="212"/>
        <v>0</v>
      </c>
      <c r="BG106" s="419">
        <f t="shared" si="251"/>
        <v>38895</v>
      </c>
      <c r="BH106" s="407">
        <f t="shared" si="213"/>
        <v>0.80677874187900811</v>
      </c>
      <c r="BI106" s="407">
        <f t="shared" si="214"/>
        <v>9.8789233699470388E-2</v>
      </c>
      <c r="BJ106" s="508"/>
      <c r="BK106" s="510"/>
      <c r="BL106" s="49">
        <v>2281</v>
      </c>
      <c r="BM106" s="50"/>
      <c r="BN106" s="52">
        <f t="shared" si="215"/>
        <v>1823</v>
      </c>
      <c r="BO106" s="52">
        <f t="shared" si="157"/>
        <v>458</v>
      </c>
      <c r="BP106" s="406">
        <f t="shared" si="216"/>
        <v>0.65095006019156121</v>
      </c>
      <c r="BQ106" s="52">
        <f t="shared" si="217"/>
        <v>16977</v>
      </c>
      <c r="BR106" s="406">
        <f t="shared" si="218"/>
        <v>0.35214507522509114</v>
      </c>
      <c r="BS106" s="512"/>
      <c r="BT106" s="409">
        <v>1785</v>
      </c>
      <c r="BU106" s="43"/>
      <c r="BV106" s="43">
        <f t="shared" si="245"/>
        <v>1586</v>
      </c>
      <c r="BW106" s="43">
        <f t="shared" si="246"/>
        <v>199</v>
      </c>
      <c r="BX106" s="42">
        <f t="shared" si="219"/>
        <v>0.28283637986489235</v>
      </c>
      <c r="BY106" s="43">
        <f t="shared" si="247"/>
        <v>6801</v>
      </c>
      <c r="BZ106" s="42">
        <f t="shared" si="220"/>
        <v>0.14106960338138924</v>
      </c>
      <c r="CA106" s="514"/>
      <c r="CB106" s="392">
        <v>1208</v>
      </c>
      <c r="CC106" s="298">
        <v>1150</v>
      </c>
      <c r="CD106" s="298">
        <f t="shared" si="177"/>
        <v>1667</v>
      </c>
      <c r="CE106" s="298">
        <f t="shared" si="158"/>
        <v>691</v>
      </c>
      <c r="CF106" s="297">
        <f t="shared" si="221"/>
        <v>0.98211024365146027</v>
      </c>
      <c r="CG106" s="298">
        <f t="shared" si="222"/>
        <v>42033</v>
      </c>
      <c r="CH106" s="297">
        <f t="shared" si="223"/>
        <v>0.87186864268930064</v>
      </c>
      <c r="CI106" s="516"/>
      <c r="CJ106" s="656">
        <v>375</v>
      </c>
      <c r="CK106" s="657">
        <v>1000</v>
      </c>
      <c r="CL106" s="657">
        <f t="shared" si="252"/>
        <v>1000</v>
      </c>
      <c r="CM106" s="657">
        <f t="shared" si="253"/>
        <v>375</v>
      </c>
      <c r="CN106" s="659">
        <f t="shared" si="254"/>
        <v>3125</v>
      </c>
      <c r="CO106" s="464">
        <v>0</v>
      </c>
      <c r="CP106" s="465"/>
      <c r="CQ106" s="465">
        <f t="shared" si="178"/>
        <v>0</v>
      </c>
      <c r="CR106" s="465">
        <f t="shared" si="159"/>
        <v>0</v>
      </c>
      <c r="CS106" s="486">
        <f t="shared" si="224"/>
        <v>0</v>
      </c>
      <c r="CT106" s="465">
        <f t="shared" si="225"/>
        <v>1255</v>
      </c>
      <c r="CU106" s="486">
        <f t="shared" si="226"/>
        <v>2.6031811828208129E-2</v>
      </c>
      <c r="CV106" s="518"/>
      <c r="CW106" s="427">
        <v>15</v>
      </c>
      <c r="CX106" s="427"/>
      <c r="CY106" s="427">
        <f t="shared" si="227"/>
        <v>15</v>
      </c>
      <c r="CZ106" s="427">
        <f t="shared" si="228"/>
        <v>0</v>
      </c>
      <c r="DA106" s="607">
        <f t="shared" si="244"/>
        <v>0</v>
      </c>
      <c r="DB106" s="607">
        <f t="shared" si="229"/>
        <v>60</v>
      </c>
      <c r="DC106" s="607">
        <f t="shared" si="179"/>
        <v>1.2445487726633368E-3</v>
      </c>
      <c r="DD106" s="609"/>
      <c r="DE106" s="471">
        <v>4</v>
      </c>
      <c r="DF106" s="473"/>
      <c r="DG106" s="473">
        <f t="shared" si="180"/>
        <v>4</v>
      </c>
      <c r="DH106" s="473">
        <f t="shared" si="160"/>
        <v>0</v>
      </c>
      <c r="DI106" s="227">
        <f t="shared" si="230"/>
        <v>0</v>
      </c>
      <c r="DJ106" s="473">
        <f t="shared" si="231"/>
        <v>55.2</v>
      </c>
      <c r="DK106" s="227">
        <f t="shared" si="232"/>
        <v>1.1449848708502699E-3</v>
      </c>
      <c r="DL106" s="510"/>
      <c r="DM106" s="63">
        <v>1100</v>
      </c>
      <c r="DN106" s="64"/>
      <c r="DO106" s="66">
        <f t="shared" si="233"/>
        <v>890</v>
      </c>
      <c r="DP106" s="66">
        <f t="shared" si="161"/>
        <v>210</v>
      </c>
      <c r="DQ106" s="412">
        <f t="shared" si="234"/>
        <v>0.29847055161621805</v>
      </c>
      <c r="DR106" s="66">
        <f t="shared" si="235"/>
        <v>12710</v>
      </c>
      <c r="DS106" s="412">
        <f t="shared" si="236"/>
        <v>0.26363691500918351</v>
      </c>
      <c r="DT106" s="506"/>
      <c r="DU106" s="596">
        <v>40</v>
      </c>
      <c r="DV106" s="596"/>
      <c r="DW106" s="596">
        <f t="shared" si="181"/>
        <v>40</v>
      </c>
      <c r="DX106" s="596">
        <f t="shared" si="162"/>
        <v>0</v>
      </c>
      <c r="DY106" s="592">
        <f t="shared" si="182"/>
        <v>0</v>
      </c>
      <c r="DZ106" s="596">
        <f t="shared" si="237"/>
        <v>2760</v>
      </c>
      <c r="EA106" s="592">
        <f t="shared" si="183"/>
        <v>5.7249243542513498E-2</v>
      </c>
      <c r="EB106" s="594"/>
      <c r="EC106" s="448">
        <v>50</v>
      </c>
      <c r="ED106" s="449"/>
      <c r="EE106" s="449">
        <f t="shared" si="184"/>
        <v>50</v>
      </c>
      <c r="EF106" s="449">
        <f t="shared" si="163"/>
        <v>0</v>
      </c>
      <c r="EG106" s="450">
        <f t="shared" si="242"/>
        <v>0</v>
      </c>
      <c r="EH106" s="449">
        <f t="shared" si="238"/>
        <v>320</v>
      </c>
      <c r="EI106" s="450">
        <f t="shared" si="243"/>
        <v>6.6375934542044629E-3</v>
      </c>
      <c r="EJ106" s="520"/>
      <c r="EK106" s="426">
        <v>2238</v>
      </c>
      <c r="EL106" s="427">
        <v>2500</v>
      </c>
      <c r="EM106" s="427">
        <f t="shared" si="185"/>
        <v>3731</v>
      </c>
      <c r="EN106" s="427">
        <f t="shared" si="164"/>
        <v>1007</v>
      </c>
      <c r="EO106" s="427">
        <f t="shared" si="186"/>
        <v>45591</v>
      </c>
      <c r="EP106" s="456">
        <v>98</v>
      </c>
      <c r="EQ106" s="457"/>
      <c r="ER106" s="457">
        <f t="shared" si="187"/>
        <v>56</v>
      </c>
      <c r="ES106" s="457">
        <f t="shared" si="165"/>
        <v>42</v>
      </c>
      <c r="ET106" s="457">
        <f t="shared" si="188"/>
        <v>1022</v>
      </c>
      <c r="EU106" s="409">
        <v>24</v>
      </c>
      <c r="EV106" s="43"/>
      <c r="EW106" s="43">
        <f t="shared" si="189"/>
        <v>24</v>
      </c>
      <c r="EX106" s="43">
        <f t="shared" si="166"/>
        <v>0</v>
      </c>
      <c r="EY106" s="43">
        <f t="shared" si="190"/>
        <v>576</v>
      </c>
      <c r="EZ106" s="436">
        <v>22</v>
      </c>
      <c r="FA106" s="437"/>
      <c r="FB106" s="437">
        <f t="shared" si="191"/>
        <v>19</v>
      </c>
      <c r="FC106" s="437">
        <f t="shared" si="167"/>
        <v>3</v>
      </c>
      <c r="FD106" s="437">
        <f t="shared" si="192"/>
        <v>671</v>
      </c>
      <c r="FE106" s="442">
        <v>250</v>
      </c>
      <c r="FF106" s="443"/>
      <c r="FG106" s="443">
        <f t="shared" si="193"/>
        <v>225</v>
      </c>
      <c r="FH106" s="443">
        <f t="shared" si="168"/>
        <v>25</v>
      </c>
      <c r="FI106" s="443">
        <f t="shared" si="194"/>
        <v>775</v>
      </c>
      <c r="FJ106" s="392">
        <v>0</v>
      </c>
      <c r="FK106" s="298"/>
      <c r="FL106" s="298">
        <f t="shared" si="195"/>
        <v>0</v>
      </c>
      <c r="FM106" s="298">
        <f t="shared" si="169"/>
        <v>0</v>
      </c>
      <c r="FN106" s="498">
        <f t="shared" si="196"/>
        <v>1900</v>
      </c>
      <c r="HC106" s="402"/>
      <c r="HD106" s="52"/>
      <c r="HE106" s="52">
        <f t="shared" si="197"/>
        <v>0</v>
      </c>
      <c r="HF106" s="52">
        <f t="shared" si="170"/>
        <v>0</v>
      </c>
      <c r="HG106" s="51"/>
      <c r="HH106" s="52">
        <f t="shared" si="240"/>
        <v>400</v>
      </c>
      <c r="HI106" s="51"/>
      <c r="HJ106" s="1047"/>
    </row>
    <row r="107" spans="1:218">
      <c r="A107" s="30">
        <v>44770</v>
      </c>
      <c r="B107" s="390">
        <v>670060</v>
      </c>
      <c r="C107" s="18">
        <f t="shared" si="147"/>
        <v>48880304</v>
      </c>
      <c r="D107" s="376">
        <v>7813.94</v>
      </c>
      <c r="E107" s="417">
        <f t="shared" si="255"/>
        <v>657430.95999999985</v>
      </c>
      <c r="F107" s="397">
        <v>27478</v>
      </c>
      <c r="G107" s="37"/>
      <c r="H107" s="37">
        <f t="shared" si="171"/>
        <v>24705</v>
      </c>
      <c r="I107" s="37">
        <f t="shared" si="148"/>
        <v>2773</v>
      </c>
      <c r="J107" s="37">
        <f t="shared" si="146"/>
        <v>354.87858877851636</v>
      </c>
      <c r="K107" s="37">
        <f t="shared" si="198"/>
        <v>303922</v>
      </c>
      <c r="L107" s="37">
        <f t="shared" si="149"/>
        <v>462.28732519685423</v>
      </c>
      <c r="M107" s="648"/>
      <c r="N107" s="422">
        <v>0</v>
      </c>
      <c r="O107" s="423">
        <v>375</v>
      </c>
      <c r="P107" s="423">
        <f t="shared" si="199"/>
        <v>325</v>
      </c>
      <c r="Q107" s="423">
        <f t="shared" si="200"/>
        <v>50</v>
      </c>
      <c r="R107" s="423">
        <f t="shared" si="201"/>
        <v>8275</v>
      </c>
      <c r="S107" s="68">
        <v>5.93</v>
      </c>
      <c r="T107" s="67">
        <v>24</v>
      </c>
      <c r="U107" s="68">
        <f t="shared" si="202"/>
        <v>71.16</v>
      </c>
      <c r="V107" s="68">
        <f t="shared" si="151"/>
        <v>9.1068014343596193</v>
      </c>
      <c r="W107" s="423">
        <f t="shared" si="203"/>
        <v>8101.8239999999996</v>
      </c>
      <c r="X107" s="68">
        <f t="shared" si="152"/>
        <v>12.323459789602854</v>
      </c>
      <c r="Y107" s="500"/>
      <c r="Z107" s="424">
        <v>50</v>
      </c>
      <c r="AA107" s="425"/>
      <c r="AB107" s="425">
        <f t="shared" si="204"/>
        <v>25</v>
      </c>
      <c r="AC107" s="425">
        <f t="shared" si="205"/>
        <v>25</v>
      </c>
      <c r="AD107" s="425">
        <f t="shared" si="206"/>
        <v>1275</v>
      </c>
      <c r="AE107" s="72">
        <v>2.9</v>
      </c>
      <c r="AF107" s="71">
        <v>12</v>
      </c>
      <c r="AG107" s="72">
        <f t="shared" si="207"/>
        <v>17.399999999999999</v>
      </c>
      <c r="AH107" s="72">
        <f t="shared" si="173"/>
        <v>2.2267895581486421</v>
      </c>
      <c r="AI107" s="425">
        <f t="shared" si="208"/>
        <v>1194.3120000000004</v>
      </c>
      <c r="AJ107" s="72">
        <f t="shared" si="241"/>
        <v>1.8166348600315396</v>
      </c>
      <c r="AK107" s="502"/>
      <c r="AL107" s="491">
        <v>35919</v>
      </c>
      <c r="AM107" s="491"/>
      <c r="AN107" s="492">
        <f t="shared" si="248"/>
        <v>35919</v>
      </c>
      <c r="AO107" s="492">
        <f t="shared" si="249"/>
        <v>0</v>
      </c>
      <c r="AP107" s="492">
        <f t="shared" si="250"/>
        <v>47654</v>
      </c>
      <c r="AQ107" s="493">
        <f t="shared" si="174"/>
        <v>72.485177759197725</v>
      </c>
      <c r="AR107" s="504"/>
      <c r="AS107" s="413">
        <v>18103</v>
      </c>
      <c r="AT107" s="64"/>
      <c r="AU107" s="66">
        <f t="shared" si="209"/>
        <v>15357</v>
      </c>
      <c r="AV107" s="66">
        <f t="shared" si="155"/>
        <v>2746</v>
      </c>
      <c r="AW107" s="412">
        <f t="shared" si="156"/>
        <v>4.0981404650329818</v>
      </c>
      <c r="AX107" s="66">
        <f t="shared" si="210"/>
        <v>33878</v>
      </c>
      <c r="AY107" s="412">
        <f t="shared" si="211"/>
        <v>0.69308079589685034</v>
      </c>
      <c r="AZ107" s="506"/>
      <c r="BA107" s="419">
        <v>6600</v>
      </c>
      <c r="BB107" s="419"/>
      <c r="BC107" s="407"/>
      <c r="BD107" s="419">
        <f t="shared" si="175"/>
        <v>6600</v>
      </c>
      <c r="BE107" s="419">
        <f t="shared" si="176"/>
        <v>0</v>
      </c>
      <c r="BF107" s="407">
        <f t="shared" si="212"/>
        <v>0</v>
      </c>
      <c r="BG107" s="419">
        <f t="shared" si="251"/>
        <v>38895</v>
      </c>
      <c r="BH107" s="407">
        <f t="shared" si="213"/>
        <v>0.79571927375901752</v>
      </c>
      <c r="BI107" s="407">
        <f t="shared" si="214"/>
        <v>9.7435013113349095E-2</v>
      </c>
      <c r="BJ107" s="508"/>
      <c r="BK107" s="510"/>
      <c r="BL107" s="49">
        <v>1823</v>
      </c>
      <c r="BM107" s="50"/>
      <c r="BN107" s="52">
        <f t="shared" si="215"/>
        <v>1098</v>
      </c>
      <c r="BO107" s="52">
        <f t="shared" si="157"/>
        <v>725</v>
      </c>
      <c r="BP107" s="406">
        <f t="shared" si="216"/>
        <v>1.0819926573739664</v>
      </c>
      <c r="BQ107" s="52">
        <f t="shared" si="217"/>
        <v>17702</v>
      </c>
      <c r="BR107" s="406">
        <f t="shared" si="218"/>
        <v>0.36214995716884246</v>
      </c>
      <c r="BS107" s="512"/>
      <c r="BT107" s="409">
        <v>1586</v>
      </c>
      <c r="BU107" s="43"/>
      <c r="BV107" s="43">
        <f t="shared" si="245"/>
        <v>1184</v>
      </c>
      <c r="BW107" s="43">
        <f t="shared" si="246"/>
        <v>402</v>
      </c>
      <c r="BX107" s="42">
        <f t="shared" si="219"/>
        <v>0.59994627346804763</v>
      </c>
      <c r="BY107" s="43">
        <f t="shared" si="247"/>
        <v>7203</v>
      </c>
      <c r="BZ107" s="42">
        <f t="shared" si="220"/>
        <v>0.14735996731935219</v>
      </c>
      <c r="CA107" s="514"/>
      <c r="CB107" s="392">
        <v>1667</v>
      </c>
      <c r="CC107" s="298"/>
      <c r="CD107" s="298">
        <f t="shared" si="177"/>
        <v>1150</v>
      </c>
      <c r="CE107" s="298">
        <f t="shared" si="158"/>
        <v>517</v>
      </c>
      <c r="CF107" s="297">
        <f t="shared" si="221"/>
        <v>0.77157269498253889</v>
      </c>
      <c r="CG107" s="298">
        <f t="shared" si="222"/>
        <v>42550</v>
      </c>
      <c r="CH107" s="297">
        <f t="shared" si="223"/>
        <v>0.8704937677965342</v>
      </c>
      <c r="CI107" s="516"/>
      <c r="CJ107" s="656">
        <v>1000</v>
      </c>
      <c r="CK107" s="657"/>
      <c r="CL107" s="657">
        <f t="shared" si="252"/>
        <v>500</v>
      </c>
      <c r="CM107" s="657">
        <f t="shared" si="253"/>
        <v>500</v>
      </c>
      <c r="CN107" s="659">
        <f t="shared" si="254"/>
        <v>3625</v>
      </c>
      <c r="CO107" s="464">
        <v>0</v>
      </c>
      <c r="CP107" s="465"/>
      <c r="CQ107" s="465">
        <f t="shared" si="178"/>
        <v>0</v>
      </c>
      <c r="CR107" s="465">
        <f t="shared" si="159"/>
        <v>0</v>
      </c>
      <c r="CS107" s="486">
        <f t="shared" si="224"/>
        <v>0</v>
      </c>
      <c r="CT107" s="465">
        <f t="shared" si="225"/>
        <v>1255</v>
      </c>
      <c r="CU107" s="486">
        <f t="shared" si="226"/>
        <v>2.5674963068969457E-2</v>
      </c>
      <c r="CV107" s="518"/>
      <c r="CW107" s="427">
        <v>15</v>
      </c>
      <c r="CX107" s="427"/>
      <c r="CY107" s="427">
        <f t="shared" si="227"/>
        <v>15</v>
      </c>
      <c r="CZ107" s="427">
        <f t="shared" si="228"/>
        <v>0</v>
      </c>
      <c r="DA107" s="607">
        <f t="shared" si="244"/>
        <v>0</v>
      </c>
      <c r="DB107" s="607">
        <f t="shared" si="229"/>
        <v>60</v>
      </c>
      <c r="DC107" s="607">
        <f t="shared" si="179"/>
        <v>1.2274882742136792E-3</v>
      </c>
      <c r="DD107" s="609"/>
      <c r="DE107" s="471">
        <v>4</v>
      </c>
      <c r="DF107" s="473"/>
      <c r="DG107" s="473">
        <f t="shared" si="180"/>
        <v>4</v>
      </c>
      <c r="DH107" s="473">
        <f t="shared" si="160"/>
        <v>0</v>
      </c>
      <c r="DI107" s="227">
        <f t="shared" si="230"/>
        <v>0</v>
      </c>
      <c r="DJ107" s="473">
        <f t="shared" si="231"/>
        <v>55.2</v>
      </c>
      <c r="DK107" s="227">
        <f t="shared" si="232"/>
        <v>1.1292892122765849E-3</v>
      </c>
      <c r="DL107" s="510"/>
      <c r="DM107" s="63">
        <v>890</v>
      </c>
      <c r="DN107" s="64"/>
      <c r="DO107" s="66">
        <f t="shared" si="233"/>
        <v>790</v>
      </c>
      <c r="DP107" s="66">
        <f t="shared" si="161"/>
        <v>100</v>
      </c>
      <c r="DQ107" s="412">
        <f t="shared" si="234"/>
        <v>0.1492403665343402</v>
      </c>
      <c r="DR107" s="66">
        <f t="shared" si="235"/>
        <v>12810</v>
      </c>
      <c r="DS107" s="412">
        <f t="shared" si="236"/>
        <v>0.26206874654462053</v>
      </c>
      <c r="DT107" s="506"/>
      <c r="DU107" s="596">
        <v>40</v>
      </c>
      <c r="DV107" s="596"/>
      <c r="DW107" s="596">
        <f t="shared" si="181"/>
        <v>40</v>
      </c>
      <c r="DX107" s="596">
        <f t="shared" si="162"/>
        <v>0</v>
      </c>
      <c r="DY107" s="592">
        <f t="shared" si="182"/>
        <v>0</v>
      </c>
      <c r="DZ107" s="596">
        <f t="shared" si="237"/>
        <v>2760</v>
      </c>
      <c r="EA107" s="592">
        <f t="shared" si="183"/>
        <v>5.6464460613829245E-2</v>
      </c>
      <c r="EB107" s="594"/>
      <c r="EC107" s="448">
        <v>50</v>
      </c>
      <c r="ED107" s="449"/>
      <c r="EE107" s="449">
        <f t="shared" si="184"/>
        <v>50</v>
      </c>
      <c r="EF107" s="449">
        <f t="shared" si="163"/>
        <v>0</v>
      </c>
      <c r="EG107" s="450">
        <f t="shared" si="242"/>
        <v>0</v>
      </c>
      <c r="EH107" s="449">
        <f t="shared" si="238"/>
        <v>320</v>
      </c>
      <c r="EI107" s="450">
        <f t="shared" si="243"/>
        <v>6.5466041291396227E-3</v>
      </c>
      <c r="EJ107" s="520"/>
      <c r="EK107" s="426">
        <v>3731</v>
      </c>
      <c r="EL107" s="427"/>
      <c r="EM107" s="427">
        <f t="shared" si="185"/>
        <v>3063</v>
      </c>
      <c r="EN107" s="427">
        <f t="shared" si="164"/>
        <v>668</v>
      </c>
      <c r="EO107" s="427">
        <f t="shared" si="186"/>
        <v>46259</v>
      </c>
      <c r="EP107" s="456">
        <v>56</v>
      </c>
      <c r="EQ107" s="457"/>
      <c r="ER107" s="457">
        <f t="shared" si="187"/>
        <v>14</v>
      </c>
      <c r="ES107" s="457">
        <f t="shared" si="165"/>
        <v>42</v>
      </c>
      <c r="ET107" s="457">
        <f t="shared" si="188"/>
        <v>1064</v>
      </c>
      <c r="EU107" s="409">
        <v>24</v>
      </c>
      <c r="EV107" s="43"/>
      <c r="EW107" s="43">
        <f t="shared" si="189"/>
        <v>20</v>
      </c>
      <c r="EX107" s="43">
        <f t="shared" si="166"/>
        <v>4</v>
      </c>
      <c r="EY107" s="43">
        <f t="shared" si="190"/>
        <v>580</v>
      </c>
      <c r="EZ107" s="436">
        <v>19</v>
      </c>
      <c r="FA107" s="437"/>
      <c r="FB107" s="437">
        <f t="shared" si="191"/>
        <v>15</v>
      </c>
      <c r="FC107" s="437">
        <f t="shared" si="167"/>
        <v>4</v>
      </c>
      <c r="FD107" s="437">
        <f t="shared" si="192"/>
        <v>675</v>
      </c>
      <c r="FE107" s="442">
        <v>225</v>
      </c>
      <c r="FF107" s="443"/>
      <c r="FG107" s="443">
        <f t="shared" si="193"/>
        <v>225</v>
      </c>
      <c r="FH107" s="443">
        <f t="shared" si="168"/>
        <v>0</v>
      </c>
      <c r="FI107" s="443">
        <f t="shared" si="194"/>
        <v>775</v>
      </c>
      <c r="FJ107" s="392">
        <v>0</v>
      </c>
      <c r="FK107" s="298"/>
      <c r="FL107" s="298">
        <f t="shared" si="195"/>
        <v>0</v>
      </c>
      <c r="FM107" s="298">
        <f t="shared" si="169"/>
        <v>0</v>
      </c>
      <c r="FN107" s="498">
        <f t="shared" si="196"/>
        <v>1900</v>
      </c>
      <c r="HC107" s="402"/>
      <c r="HD107" s="52"/>
      <c r="HE107" s="52">
        <f t="shared" si="197"/>
        <v>0</v>
      </c>
      <c r="HF107" s="52">
        <f t="shared" si="170"/>
        <v>0</v>
      </c>
      <c r="HG107" s="51"/>
      <c r="HH107" s="52">
        <f t="shared" si="240"/>
        <v>400</v>
      </c>
      <c r="HI107" s="51"/>
      <c r="HJ107" s="1047"/>
    </row>
    <row r="108" spans="1:218">
      <c r="A108" s="30">
        <v>44771</v>
      </c>
      <c r="B108" s="390">
        <v>679759</v>
      </c>
      <c r="C108" s="18">
        <f t="shared" si="147"/>
        <v>49560063</v>
      </c>
      <c r="D108" s="376">
        <v>7569.52</v>
      </c>
      <c r="E108" s="417">
        <f t="shared" si="255"/>
        <v>665000.47999999986</v>
      </c>
      <c r="F108" s="397">
        <v>24705</v>
      </c>
      <c r="G108" s="37"/>
      <c r="H108" s="37">
        <f t="shared" si="171"/>
        <v>18236</v>
      </c>
      <c r="I108" s="37">
        <f t="shared" si="148"/>
        <v>6469</v>
      </c>
      <c r="J108" s="37">
        <f t="shared" si="146"/>
        <v>854.61165305065572</v>
      </c>
      <c r="K108" s="37">
        <f t="shared" si="198"/>
        <v>310391</v>
      </c>
      <c r="L108" s="37">
        <f t="shared" si="149"/>
        <v>466.75304655419205</v>
      </c>
      <c r="M108" s="648"/>
      <c r="N108" s="422">
        <v>325</v>
      </c>
      <c r="O108" s="423"/>
      <c r="P108" s="423">
        <f t="shared" si="199"/>
        <v>275</v>
      </c>
      <c r="Q108" s="423">
        <f t="shared" si="200"/>
        <v>50</v>
      </c>
      <c r="R108" s="423">
        <f t="shared" si="201"/>
        <v>8325</v>
      </c>
      <c r="S108" s="68">
        <v>5.56</v>
      </c>
      <c r="T108" s="67">
        <v>24</v>
      </c>
      <c r="U108" s="68">
        <f t="shared" si="202"/>
        <v>66.72</v>
      </c>
      <c r="V108" s="68">
        <f t="shared" si="151"/>
        <v>8.8142973398577453</v>
      </c>
      <c r="W108" s="423">
        <f t="shared" si="203"/>
        <v>8168.5439999999999</v>
      </c>
      <c r="X108" s="68">
        <f t="shared" si="152"/>
        <v>12.283515945732853</v>
      </c>
      <c r="Y108" s="500"/>
      <c r="Z108" s="424">
        <v>25</v>
      </c>
      <c r="AA108" s="425">
        <v>100</v>
      </c>
      <c r="AB108" s="425">
        <f t="shared" si="204"/>
        <v>100</v>
      </c>
      <c r="AC108" s="425">
        <f t="shared" si="205"/>
        <v>25</v>
      </c>
      <c r="AD108" s="425">
        <f t="shared" si="206"/>
        <v>1300</v>
      </c>
      <c r="AE108" s="72">
        <v>2.4</v>
      </c>
      <c r="AF108" s="71">
        <v>12</v>
      </c>
      <c r="AG108" s="72">
        <f t="shared" si="207"/>
        <v>14.399999999999999</v>
      </c>
      <c r="AH108" s="72">
        <f t="shared" si="173"/>
        <v>1.9023663323433979</v>
      </c>
      <c r="AI108" s="425">
        <f t="shared" si="208"/>
        <v>1208.7120000000004</v>
      </c>
      <c r="AJ108" s="72">
        <f t="shared" si="241"/>
        <v>1.817610718115573</v>
      </c>
      <c r="AK108" s="502"/>
      <c r="AL108" s="491">
        <v>35919</v>
      </c>
      <c r="AM108" s="491"/>
      <c r="AN108" s="492">
        <f t="shared" si="248"/>
        <v>35919</v>
      </c>
      <c r="AO108" s="492">
        <f t="shared" si="249"/>
        <v>0</v>
      </c>
      <c r="AP108" s="492">
        <f t="shared" si="250"/>
        <v>47654</v>
      </c>
      <c r="AQ108" s="493">
        <f t="shared" si="174"/>
        <v>71.660098651357373</v>
      </c>
      <c r="AR108" s="504"/>
      <c r="AS108" s="413">
        <v>15357</v>
      </c>
      <c r="AT108" s="64"/>
      <c r="AU108" s="66">
        <f t="shared" si="209"/>
        <v>8445</v>
      </c>
      <c r="AV108" s="66">
        <f t="shared" si="155"/>
        <v>6912</v>
      </c>
      <c r="AW108" s="412">
        <f t="shared" si="156"/>
        <v>10.168309650920399</v>
      </c>
      <c r="AX108" s="66">
        <f t="shared" si="210"/>
        <v>40790</v>
      </c>
      <c r="AY108" s="412">
        <f t="shared" si="211"/>
        <v>0.82304173019311944</v>
      </c>
      <c r="AZ108" s="506"/>
      <c r="BA108" s="419">
        <v>6600</v>
      </c>
      <c r="BB108" s="419"/>
      <c r="BC108" s="407"/>
      <c r="BD108" s="419">
        <f t="shared" si="175"/>
        <v>6600</v>
      </c>
      <c r="BE108" s="419">
        <f t="shared" si="176"/>
        <v>0</v>
      </c>
      <c r="BF108" s="407">
        <f t="shared" si="212"/>
        <v>0</v>
      </c>
      <c r="BG108" s="419">
        <f t="shared" si="251"/>
        <v>38895</v>
      </c>
      <c r="BH108" s="407">
        <f t="shared" si="213"/>
        <v>0.78480529776566266</v>
      </c>
      <c r="BI108" s="407">
        <f t="shared" si="214"/>
        <v>9.6098607889672991E-2</v>
      </c>
      <c r="BJ108" s="508"/>
      <c r="BK108" s="510"/>
      <c r="BL108" s="49">
        <v>1098</v>
      </c>
      <c r="BM108" s="50">
        <v>1800</v>
      </c>
      <c r="BN108" s="52">
        <f t="shared" si="215"/>
        <v>1871</v>
      </c>
      <c r="BO108" s="52">
        <f t="shared" si="157"/>
        <v>1027</v>
      </c>
      <c r="BP108" s="406">
        <f t="shared" si="216"/>
        <v>1.5108295734223454</v>
      </c>
      <c r="BQ108" s="52">
        <f t="shared" si="217"/>
        <v>18729</v>
      </c>
      <c r="BR108" s="406">
        <f t="shared" si="218"/>
        <v>0.37790508861943939</v>
      </c>
      <c r="BS108" s="512"/>
      <c r="BT108" s="409">
        <v>1184</v>
      </c>
      <c r="BU108" s="43"/>
      <c r="BV108" s="43">
        <f t="shared" si="245"/>
        <v>1023</v>
      </c>
      <c r="BW108" s="43">
        <f t="shared" si="246"/>
        <v>161</v>
      </c>
      <c r="BX108" s="42">
        <f t="shared" si="219"/>
        <v>0.23684864782959844</v>
      </c>
      <c r="BY108" s="43">
        <f t="shared" si="247"/>
        <v>7364</v>
      </c>
      <c r="BZ108" s="42">
        <f t="shared" si="220"/>
        <v>0.14858738173920399</v>
      </c>
      <c r="CA108" s="514"/>
      <c r="CB108" s="392">
        <v>1150</v>
      </c>
      <c r="CC108" s="298">
        <v>1150</v>
      </c>
      <c r="CD108" s="298">
        <f t="shared" si="177"/>
        <v>1725</v>
      </c>
      <c r="CE108" s="298">
        <f t="shared" si="158"/>
        <v>575</v>
      </c>
      <c r="CF108" s="297">
        <f t="shared" si="221"/>
        <v>0.84588802796285156</v>
      </c>
      <c r="CG108" s="298">
        <f t="shared" si="222"/>
        <v>43125</v>
      </c>
      <c r="CH108" s="297">
        <f t="shared" si="223"/>
        <v>0.87015627885703051</v>
      </c>
      <c r="CI108" s="516"/>
      <c r="CJ108" s="656">
        <v>500</v>
      </c>
      <c r="CK108" s="657">
        <v>1875</v>
      </c>
      <c r="CL108" s="657">
        <f t="shared" si="252"/>
        <v>1675</v>
      </c>
      <c r="CM108" s="657">
        <f t="shared" si="253"/>
        <v>700</v>
      </c>
      <c r="CN108" s="659">
        <f t="shared" si="254"/>
        <v>4325</v>
      </c>
      <c r="CO108" s="464">
        <v>0</v>
      </c>
      <c r="CP108" s="465"/>
      <c r="CQ108" s="465">
        <f t="shared" si="178"/>
        <v>0</v>
      </c>
      <c r="CR108" s="465">
        <f t="shared" si="159"/>
        <v>0</v>
      </c>
      <c r="CS108" s="486">
        <f t="shared" si="224"/>
        <v>0</v>
      </c>
      <c r="CT108" s="465">
        <f t="shared" si="225"/>
        <v>1255</v>
      </c>
      <c r="CU108" s="486">
        <f t="shared" si="226"/>
        <v>2.5322808810795901E-2</v>
      </c>
      <c r="CV108" s="518"/>
      <c r="CW108" s="427">
        <v>15</v>
      </c>
      <c r="CX108" s="427"/>
      <c r="CY108" s="427">
        <f t="shared" si="227"/>
        <v>15</v>
      </c>
      <c r="CZ108" s="427">
        <f t="shared" si="228"/>
        <v>0</v>
      </c>
      <c r="DA108" s="607">
        <f t="shared" si="244"/>
        <v>0</v>
      </c>
      <c r="DB108" s="607">
        <f t="shared" si="229"/>
        <v>60</v>
      </c>
      <c r="DC108" s="607">
        <f t="shared" si="179"/>
        <v>1.2106522140619554E-3</v>
      </c>
      <c r="DD108" s="609"/>
      <c r="DE108" s="471">
        <v>4</v>
      </c>
      <c r="DF108" s="473"/>
      <c r="DG108" s="473">
        <f t="shared" si="180"/>
        <v>4</v>
      </c>
      <c r="DH108" s="473">
        <f t="shared" si="160"/>
        <v>0</v>
      </c>
      <c r="DI108" s="227">
        <f t="shared" si="230"/>
        <v>0</v>
      </c>
      <c r="DJ108" s="473">
        <f t="shared" si="231"/>
        <v>55.2</v>
      </c>
      <c r="DK108" s="227">
        <f t="shared" si="232"/>
        <v>1.1138000369369991E-3</v>
      </c>
      <c r="DL108" s="510"/>
      <c r="DM108" s="63">
        <v>790</v>
      </c>
      <c r="DN108" s="64">
        <v>1000</v>
      </c>
      <c r="DO108" s="66">
        <f t="shared" si="233"/>
        <v>1680</v>
      </c>
      <c r="DP108" s="66">
        <f t="shared" si="161"/>
        <v>110</v>
      </c>
      <c r="DQ108" s="412">
        <f t="shared" si="234"/>
        <v>0.16182205752332812</v>
      </c>
      <c r="DR108" s="66">
        <f t="shared" si="235"/>
        <v>12920</v>
      </c>
      <c r="DS108" s="412">
        <f t="shared" si="236"/>
        <v>0.26069377676134109</v>
      </c>
      <c r="DT108" s="506"/>
      <c r="DU108" s="596">
        <v>40</v>
      </c>
      <c r="DV108" s="596"/>
      <c r="DW108" s="596">
        <f t="shared" si="181"/>
        <v>40</v>
      </c>
      <c r="DX108" s="596">
        <f t="shared" si="162"/>
        <v>0</v>
      </c>
      <c r="DY108" s="592">
        <f t="shared" si="182"/>
        <v>0</v>
      </c>
      <c r="DZ108" s="596">
        <f t="shared" si="237"/>
        <v>2760</v>
      </c>
      <c r="EA108" s="592">
        <f t="shared" si="183"/>
        <v>5.5690001846849954E-2</v>
      </c>
      <c r="EB108" s="594"/>
      <c r="EC108" s="448">
        <v>50</v>
      </c>
      <c r="ED108" s="449"/>
      <c r="EE108" s="449">
        <f t="shared" si="184"/>
        <v>50</v>
      </c>
      <c r="EF108" s="449">
        <f t="shared" si="163"/>
        <v>0</v>
      </c>
      <c r="EG108" s="450">
        <f t="shared" si="242"/>
        <v>0</v>
      </c>
      <c r="EH108" s="449">
        <f t="shared" si="238"/>
        <v>320</v>
      </c>
      <c r="EI108" s="450">
        <f t="shared" si="243"/>
        <v>6.4568118083304293E-3</v>
      </c>
      <c r="EJ108" s="520"/>
      <c r="EK108" s="426">
        <v>3063</v>
      </c>
      <c r="EL108" s="427">
        <v>1250</v>
      </c>
      <c r="EM108" s="427">
        <f t="shared" si="185"/>
        <v>3375</v>
      </c>
      <c r="EN108" s="427">
        <f t="shared" si="164"/>
        <v>938</v>
      </c>
      <c r="EO108" s="427">
        <f t="shared" si="186"/>
        <v>47197</v>
      </c>
      <c r="EP108" s="456">
        <v>14</v>
      </c>
      <c r="EQ108" s="457"/>
      <c r="ER108" s="457">
        <f t="shared" si="187"/>
        <v>14</v>
      </c>
      <c r="ES108" s="457">
        <f t="shared" si="165"/>
        <v>0</v>
      </c>
      <c r="ET108" s="457">
        <f t="shared" si="188"/>
        <v>1064</v>
      </c>
      <c r="EU108" s="409">
        <v>20</v>
      </c>
      <c r="EV108" s="43">
        <v>60</v>
      </c>
      <c r="EW108" s="43">
        <f t="shared" si="189"/>
        <v>67</v>
      </c>
      <c r="EX108" s="43">
        <f t="shared" si="166"/>
        <v>13</v>
      </c>
      <c r="EY108" s="43">
        <f t="shared" si="190"/>
        <v>593</v>
      </c>
      <c r="EZ108" s="436">
        <v>15</v>
      </c>
      <c r="FA108" s="437"/>
      <c r="FB108" s="437">
        <f t="shared" si="191"/>
        <v>13</v>
      </c>
      <c r="FC108" s="437">
        <f t="shared" si="167"/>
        <v>2</v>
      </c>
      <c r="FD108" s="437">
        <f t="shared" si="192"/>
        <v>677</v>
      </c>
      <c r="FE108" s="442">
        <v>225</v>
      </c>
      <c r="FF108" s="443"/>
      <c r="FG108" s="443">
        <f t="shared" si="193"/>
        <v>225</v>
      </c>
      <c r="FH108" s="443">
        <f t="shared" si="168"/>
        <v>0</v>
      </c>
      <c r="FI108" s="443">
        <f t="shared" si="194"/>
        <v>775</v>
      </c>
      <c r="FJ108" s="392">
        <v>0</v>
      </c>
      <c r="FK108" s="298"/>
      <c r="FL108" s="298">
        <f t="shared" si="195"/>
        <v>0</v>
      </c>
      <c r="FM108" s="298">
        <f t="shared" si="169"/>
        <v>0</v>
      </c>
      <c r="FN108" s="498">
        <f t="shared" si="196"/>
        <v>1900</v>
      </c>
      <c r="HC108" s="402"/>
      <c r="HD108" s="52"/>
      <c r="HE108" s="52">
        <f t="shared" si="197"/>
        <v>0</v>
      </c>
      <c r="HF108" s="52">
        <f t="shared" si="170"/>
        <v>0</v>
      </c>
      <c r="HG108" s="51"/>
      <c r="HH108" s="52">
        <f t="shared" si="240"/>
        <v>400</v>
      </c>
      <c r="HI108" s="51"/>
      <c r="HJ108" s="1047"/>
    </row>
    <row r="109" spans="1:218">
      <c r="A109" s="30">
        <v>44772</v>
      </c>
      <c r="B109" s="390">
        <v>679277</v>
      </c>
      <c r="C109" s="18">
        <f t="shared" si="147"/>
        <v>50239340</v>
      </c>
      <c r="D109" s="376">
        <v>7839.44</v>
      </c>
      <c r="E109" s="417">
        <f t="shared" si="255"/>
        <v>672839.91999999981</v>
      </c>
      <c r="F109" s="397">
        <v>18236</v>
      </c>
      <c r="G109" s="37"/>
      <c r="H109" s="37">
        <f t="shared" si="171"/>
        <v>16387</v>
      </c>
      <c r="I109" s="37">
        <f t="shared" si="148"/>
        <v>1849</v>
      </c>
      <c r="J109" s="37">
        <f t="shared" si="146"/>
        <v>235.85868378353558</v>
      </c>
      <c r="K109" s="37">
        <f t="shared" si="198"/>
        <v>312240</v>
      </c>
      <c r="L109" s="37">
        <f t="shared" si="149"/>
        <v>464.0628338461251</v>
      </c>
      <c r="M109" s="648"/>
      <c r="N109" s="422">
        <v>275</v>
      </c>
      <c r="O109" s="423"/>
      <c r="P109" s="423">
        <f t="shared" si="199"/>
        <v>175</v>
      </c>
      <c r="Q109" s="423">
        <f t="shared" si="200"/>
        <v>100</v>
      </c>
      <c r="R109" s="423">
        <f t="shared" si="201"/>
        <v>8425</v>
      </c>
      <c r="S109" s="68">
        <v>5.6</v>
      </c>
      <c r="T109" s="67">
        <v>24</v>
      </c>
      <c r="U109" s="68">
        <f t="shared" si="202"/>
        <v>67.199999999999989</v>
      </c>
      <c r="V109" s="68">
        <f t="shared" si="151"/>
        <v>8.5720408600614313</v>
      </c>
      <c r="W109" s="423">
        <f t="shared" si="203"/>
        <v>8235.7440000000006</v>
      </c>
      <c r="X109" s="68">
        <f t="shared" si="152"/>
        <v>12.240272545065405</v>
      </c>
      <c r="Y109" s="500"/>
      <c r="Z109" s="424">
        <v>100</v>
      </c>
      <c r="AA109" s="425"/>
      <c r="AB109" s="425">
        <f t="shared" si="204"/>
        <v>100</v>
      </c>
      <c r="AC109" s="425">
        <f t="shared" si="205"/>
        <v>0</v>
      </c>
      <c r="AD109" s="425">
        <f t="shared" si="206"/>
        <v>1300</v>
      </c>
      <c r="AE109" s="72">
        <v>2.4500000000000002</v>
      </c>
      <c r="AF109" s="71">
        <v>12</v>
      </c>
      <c r="AG109" s="72">
        <f t="shared" si="207"/>
        <v>14.700000000000001</v>
      </c>
      <c r="AH109" s="72">
        <f t="shared" si="173"/>
        <v>1.8751339381384389</v>
      </c>
      <c r="AI109" s="425">
        <f t="shared" si="208"/>
        <v>1223.4120000000005</v>
      </c>
      <c r="AJ109" s="72">
        <f t="shared" si="241"/>
        <v>1.8182809367196893</v>
      </c>
      <c r="AK109" s="502"/>
      <c r="AL109" s="491">
        <v>35919</v>
      </c>
      <c r="AM109" s="491"/>
      <c r="AN109" s="492">
        <f t="shared" si="248"/>
        <v>35919</v>
      </c>
      <c r="AO109" s="492">
        <f t="shared" si="249"/>
        <v>0</v>
      </c>
      <c r="AP109" s="492">
        <f t="shared" si="250"/>
        <v>47654</v>
      </c>
      <c r="AQ109" s="493">
        <f t="shared" si="174"/>
        <v>70.825167448447488</v>
      </c>
      <c r="AR109" s="504"/>
      <c r="AS109" s="413">
        <v>8445</v>
      </c>
      <c r="AT109" s="64">
        <v>35440</v>
      </c>
      <c r="AU109" s="66">
        <f t="shared" si="209"/>
        <v>40649</v>
      </c>
      <c r="AV109" s="66">
        <f t="shared" si="155"/>
        <v>3236</v>
      </c>
      <c r="AW109" s="412">
        <f t="shared" si="156"/>
        <v>4.7638886639765516</v>
      </c>
      <c r="AX109" s="66">
        <f t="shared" si="210"/>
        <v>44026</v>
      </c>
      <c r="AY109" s="412">
        <f t="shared" si="211"/>
        <v>0.87632520650151857</v>
      </c>
      <c r="AZ109" s="506"/>
      <c r="BA109" s="419">
        <v>6600</v>
      </c>
      <c r="BB109" s="419"/>
      <c r="BC109" s="407"/>
      <c r="BD109" s="419">
        <f t="shared" si="175"/>
        <v>6600</v>
      </c>
      <c r="BE109" s="419">
        <f t="shared" si="176"/>
        <v>0</v>
      </c>
      <c r="BF109" s="407">
        <f t="shared" si="212"/>
        <v>0</v>
      </c>
      <c r="BG109" s="419">
        <f t="shared" si="251"/>
        <v>38895</v>
      </c>
      <c r="BH109" s="407">
        <f t="shared" si="213"/>
        <v>0.77419408774080234</v>
      </c>
      <c r="BI109" s="407">
        <f t="shared" si="214"/>
        <v>9.4799276049894174E-2</v>
      </c>
      <c r="BJ109" s="508"/>
      <c r="BK109" s="510"/>
      <c r="BL109" s="49">
        <v>1871</v>
      </c>
      <c r="BM109" s="50"/>
      <c r="BN109" s="52">
        <f t="shared" si="215"/>
        <v>1507</v>
      </c>
      <c r="BO109" s="52">
        <f t="shared" si="157"/>
        <v>364</v>
      </c>
      <c r="BP109" s="406">
        <f t="shared" si="216"/>
        <v>0.53586386702332034</v>
      </c>
      <c r="BQ109" s="52">
        <f t="shared" si="217"/>
        <v>19093</v>
      </c>
      <c r="BR109" s="406">
        <f t="shared" si="218"/>
        <v>0.38004082059995214</v>
      </c>
      <c r="BS109" s="512"/>
      <c r="BT109" s="409">
        <v>1023</v>
      </c>
      <c r="BU109" s="43"/>
      <c r="BV109" s="43">
        <f t="shared" si="245"/>
        <v>725</v>
      </c>
      <c r="BW109" s="43">
        <f t="shared" si="246"/>
        <v>298</v>
      </c>
      <c r="BX109" s="42">
        <f t="shared" si="219"/>
        <v>0.43870173728832274</v>
      </c>
      <c r="BY109" s="43">
        <f t="shared" si="247"/>
        <v>7662</v>
      </c>
      <c r="BZ109" s="42">
        <f t="shared" si="220"/>
        <v>0.15250996529811101</v>
      </c>
      <c r="CA109" s="514"/>
      <c r="CB109" s="392">
        <v>1725</v>
      </c>
      <c r="CC109" s="298"/>
      <c r="CD109" s="298">
        <f t="shared" si="177"/>
        <v>1150</v>
      </c>
      <c r="CE109" s="298">
        <f t="shared" si="158"/>
        <v>575</v>
      </c>
      <c r="CF109" s="297">
        <f t="shared" si="221"/>
        <v>0.84648825147914619</v>
      </c>
      <c r="CG109" s="298">
        <f t="shared" si="222"/>
        <v>43700</v>
      </c>
      <c r="CH109" s="297">
        <f t="shared" si="223"/>
        <v>0.86983626775351741</v>
      </c>
      <c r="CI109" s="516"/>
      <c r="CJ109" s="656">
        <v>1675</v>
      </c>
      <c r="CK109" s="657"/>
      <c r="CL109" s="657">
        <f t="shared" si="252"/>
        <v>1225</v>
      </c>
      <c r="CM109" s="657">
        <f t="shared" si="253"/>
        <v>450</v>
      </c>
      <c r="CN109" s="659">
        <f t="shared" si="254"/>
        <v>4775</v>
      </c>
      <c r="CO109" s="464">
        <v>0</v>
      </c>
      <c r="CP109" s="465">
        <v>60</v>
      </c>
      <c r="CQ109" s="465">
        <f t="shared" si="178"/>
        <v>0</v>
      </c>
      <c r="CR109" s="465">
        <f t="shared" si="159"/>
        <v>60</v>
      </c>
      <c r="CS109" s="486">
        <f t="shared" si="224"/>
        <v>8.832920884999787E-2</v>
      </c>
      <c r="CT109" s="465">
        <f t="shared" si="225"/>
        <v>1315</v>
      </c>
      <c r="CU109" s="486">
        <f t="shared" si="226"/>
        <v>2.6174706912949094E-2</v>
      </c>
      <c r="CV109" s="518"/>
      <c r="CW109" s="427">
        <v>15</v>
      </c>
      <c r="CX109" s="427"/>
      <c r="CY109" s="427">
        <f t="shared" si="227"/>
        <v>15</v>
      </c>
      <c r="CZ109" s="427">
        <f t="shared" si="228"/>
        <v>0</v>
      </c>
      <c r="DA109" s="607">
        <f t="shared" si="244"/>
        <v>0</v>
      </c>
      <c r="DB109" s="607">
        <f t="shared" si="229"/>
        <v>60</v>
      </c>
      <c r="DC109" s="607">
        <f t="shared" si="179"/>
        <v>1.194283205153571E-3</v>
      </c>
      <c r="DD109" s="609"/>
      <c r="DE109" s="471">
        <v>4</v>
      </c>
      <c r="DF109" s="473"/>
      <c r="DG109" s="473">
        <f t="shared" si="180"/>
        <v>0</v>
      </c>
      <c r="DH109" s="473">
        <f t="shared" si="160"/>
        <v>4</v>
      </c>
      <c r="DI109" s="227">
        <f t="shared" si="230"/>
        <v>5.8886139233331912E-3</v>
      </c>
      <c r="DJ109" s="473">
        <f t="shared" si="231"/>
        <v>59.2</v>
      </c>
      <c r="DK109" s="227">
        <f t="shared" si="232"/>
        <v>1.1783594290848565E-3</v>
      </c>
      <c r="DL109" s="510"/>
      <c r="DM109" s="63">
        <v>1680</v>
      </c>
      <c r="DN109" s="64"/>
      <c r="DO109" s="66">
        <f t="shared" si="233"/>
        <v>1570</v>
      </c>
      <c r="DP109" s="66">
        <f t="shared" si="161"/>
        <v>110</v>
      </c>
      <c r="DQ109" s="412">
        <f t="shared" si="234"/>
        <v>0.16193688289166275</v>
      </c>
      <c r="DR109" s="66">
        <f t="shared" si="235"/>
        <v>13030</v>
      </c>
      <c r="DS109" s="412">
        <f t="shared" si="236"/>
        <v>0.25935850271918381</v>
      </c>
      <c r="DT109" s="506"/>
      <c r="DU109" s="596">
        <v>40</v>
      </c>
      <c r="DV109" s="596"/>
      <c r="DW109" s="596">
        <f t="shared" si="181"/>
        <v>40</v>
      </c>
      <c r="DX109" s="596">
        <f t="shared" si="162"/>
        <v>0</v>
      </c>
      <c r="DY109" s="592">
        <f t="shared" si="182"/>
        <v>0</v>
      </c>
      <c r="DZ109" s="596">
        <f t="shared" si="237"/>
        <v>2760</v>
      </c>
      <c r="EA109" s="592">
        <f t="shared" si="183"/>
        <v>5.4937027437064259E-2</v>
      </c>
      <c r="EB109" s="594"/>
      <c r="EC109" s="448">
        <v>50</v>
      </c>
      <c r="ED109" s="449"/>
      <c r="EE109" s="449">
        <f t="shared" si="184"/>
        <v>50</v>
      </c>
      <c r="EF109" s="449">
        <f t="shared" si="163"/>
        <v>0</v>
      </c>
      <c r="EG109" s="450">
        <f t="shared" si="242"/>
        <v>0</v>
      </c>
      <c r="EH109" s="449">
        <f t="shared" si="238"/>
        <v>320</v>
      </c>
      <c r="EI109" s="450">
        <f t="shared" si="243"/>
        <v>6.369510427485711E-3</v>
      </c>
      <c r="EJ109" s="520"/>
      <c r="EK109" s="426">
        <v>3375</v>
      </c>
      <c r="EL109" s="427"/>
      <c r="EM109" s="427">
        <f t="shared" si="185"/>
        <v>2738</v>
      </c>
      <c r="EN109" s="427">
        <f t="shared" si="164"/>
        <v>637</v>
      </c>
      <c r="EO109" s="427">
        <f t="shared" si="186"/>
        <v>47834</v>
      </c>
      <c r="EP109" s="456">
        <v>14</v>
      </c>
      <c r="EQ109" s="457"/>
      <c r="ER109" s="457">
        <f t="shared" si="187"/>
        <v>0</v>
      </c>
      <c r="ES109" s="457">
        <f t="shared" si="165"/>
        <v>14</v>
      </c>
      <c r="ET109" s="457">
        <f t="shared" si="188"/>
        <v>1078</v>
      </c>
      <c r="EU109" s="409">
        <v>67</v>
      </c>
      <c r="EV109" s="43"/>
      <c r="EW109" s="43">
        <f t="shared" si="189"/>
        <v>49</v>
      </c>
      <c r="EX109" s="43">
        <f t="shared" si="166"/>
        <v>18</v>
      </c>
      <c r="EY109" s="43">
        <f t="shared" si="190"/>
        <v>611</v>
      </c>
      <c r="EZ109" s="436">
        <v>13</v>
      </c>
      <c r="FA109" s="437"/>
      <c r="FB109" s="437">
        <f t="shared" si="191"/>
        <v>10</v>
      </c>
      <c r="FC109" s="437">
        <f t="shared" si="167"/>
        <v>3</v>
      </c>
      <c r="FD109" s="437">
        <f t="shared" si="192"/>
        <v>680</v>
      </c>
      <c r="FE109" s="442">
        <v>225</v>
      </c>
      <c r="FF109" s="443"/>
      <c r="FG109" s="443">
        <f t="shared" si="193"/>
        <v>225</v>
      </c>
      <c r="FH109" s="443">
        <f t="shared" si="168"/>
        <v>0</v>
      </c>
      <c r="FI109" s="443">
        <f t="shared" si="194"/>
        <v>775</v>
      </c>
      <c r="FJ109" s="392">
        <v>0</v>
      </c>
      <c r="FK109" s="298"/>
      <c r="FL109" s="298">
        <f t="shared" si="195"/>
        <v>0</v>
      </c>
      <c r="FM109" s="298">
        <f t="shared" si="169"/>
        <v>0</v>
      </c>
      <c r="FN109" s="498">
        <f t="shared" si="196"/>
        <v>1900</v>
      </c>
      <c r="HC109" s="402"/>
      <c r="HD109" s="52"/>
      <c r="HE109" s="52">
        <f t="shared" si="197"/>
        <v>0</v>
      </c>
      <c r="HF109" s="52">
        <f t="shared" si="170"/>
        <v>0</v>
      </c>
      <c r="HG109" s="51"/>
      <c r="HH109" s="52">
        <f t="shared" si="240"/>
        <v>400</v>
      </c>
      <c r="HI109" s="51"/>
      <c r="HJ109" s="1047"/>
    </row>
    <row r="110" spans="1:218" ht="15.75" thickBot="1">
      <c r="A110" s="30">
        <v>44773</v>
      </c>
      <c r="B110" s="390">
        <v>697847</v>
      </c>
      <c r="C110" s="18">
        <f t="shared" si="147"/>
        <v>50937187</v>
      </c>
      <c r="D110" s="376">
        <v>7605.84</v>
      </c>
      <c r="E110" s="417">
        <f t="shared" si="255"/>
        <v>680445.75999999978</v>
      </c>
      <c r="F110" s="397">
        <v>16387</v>
      </c>
      <c r="G110" s="37"/>
      <c r="H110" s="37">
        <f t="shared" si="171"/>
        <v>15463</v>
      </c>
      <c r="I110" s="37">
        <f t="shared" si="148"/>
        <v>924</v>
      </c>
      <c r="J110" s="37">
        <f t="shared" si="146"/>
        <v>121.48559527941687</v>
      </c>
      <c r="K110" s="37">
        <f t="shared" si="198"/>
        <v>313164</v>
      </c>
      <c r="L110" s="37">
        <f t="shared" si="149"/>
        <v>460.23359745823109</v>
      </c>
      <c r="M110" s="648"/>
      <c r="N110" s="422">
        <v>175</v>
      </c>
      <c r="O110" s="423"/>
      <c r="P110" s="423">
        <f t="shared" si="199"/>
        <v>125</v>
      </c>
      <c r="Q110" s="423">
        <f t="shared" si="200"/>
        <v>50</v>
      </c>
      <c r="R110" s="423">
        <f t="shared" si="201"/>
        <v>8475</v>
      </c>
      <c r="S110" s="68">
        <v>5.6</v>
      </c>
      <c r="T110" s="67">
        <v>24</v>
      </c>
      <c r="U110" s="68">
        <f t="shared" si="202"/>
        <v>67.199999999999989</v>
      </c>
      <c r="V110" s="68">
        <f t="shared" si="151"/>
        <v>8.8353160203212244</v>
      </c>
      <c r="W110" s="423">
        <f t="shared" si="203"/>
        <v>8302.9440000000013</v>
      </c>
      <c r="X110" s="68">
        <f t="shared" si="152"/>
        <v>12.202212855290631</v>
      </c>
      <c r="Y110" s="500"/>
      <c r="Z110" s="424">
        <v>100</v>
      </c>
      <c r="AA110" s="425"/>
      <c r="AB110" s="425">
        <f t="shared" si="204"/>
        <v>75</v>
      </c>
      <c r="AC110" s="425">
        <f t="shared" si="205"/>
        <v>25</v>
      </c>
      <c r="AD110" s="425">
        <f t="shared" si="206"/>
        <v>1325</v>
      </c>
      <c r="AE110" s="72">
        <v>2.5</v>
      </c>
      <c r="AF110" s="71">
        <v>12</v>
      </c>
      <c r="AG110" s="72">
        <f t="shared" si="207"/>
        <v>15</v>
      </c>
      <c r="AH110" s="72">
        <f t="shared" si="173"/>
        <v>1.9721687545359881</v>
      </c>
      <c r="AI110" s="425">
        <f t="shared" si="208"/>
        <v>1238.4120000000005</v>
      </c>
      <c r="AJ110" s="72">
        <f t="shared" si="241"/>
        <v>1.8200010534270958</v>
      </c>
      <c r="AK110" s="502"/>
      <c r="AL110" s="491">
        <v>35919</v>
      </c>
      <c r="AM110" s="491"/>
      <c r="AN110" s="492">
        <f t="shared" si="248"/>
        <v>35919</v>
      </c>
      <c r="AO110" s="492">
        <f t="shared" si="249"/>
        <v>0</v>
      </c>
      <c r="AP110" s="492">
        <f t="shared" si="250"/>
        <v>47654</v>
      </c>
      <c r="AQ110" s="493">
        <f t="shared" si="174"/>
        <v>70.033502743848402</v>
      </c>
      <c r="AR110" s="504"/>
      <c r="AS110" s="413">
        <v>40649</v>
      </c>
      <c r="AT110" s="64"/>
      <c r="AU110" s="66">
        <f t="shared" si="209"/>
        <v>37480</v>
      </c>
      <c r="AV110" s="66">
        <f t="shared" si="155"/>
        <v>3169</v>
      </c>
      <c r="AW110" s="412">
        <f t="shared" si="156"/>
        <v>4.5411100140861826</v>
      </c>
      <c r="AX110" s="66">
        <f t="shared" si="210"/>
        <v>47195</v>
      </c>
      <c r="AY110" s="412">
        <f t="shared" si="211"/>
        <v>0.92653330071014717</v>
      </c>
      <c r="AZ110" s="506"/>
      <c r="BA110" s="419">
        <v>6600</v>
      </c>
      <c r="BB110" s="419"/>
      <c r="BC110" s="407"/>
      <c r="BD110" s="419">
        <f t="shared" si="175"/>
        <v>6600</v>
      </c>
      <c r="BE110" s="419">
        <f t="shared" si="176"/>
        <v>0</v>
      </c>
      <c r="BF110" s="407">
        <f t="shared" si="212"/>
        <v>0</v>
      </c>
      <c r="BG110" s="419">
        <f t="shared" si="251"/>
        <v>38895</v>
      </c>
      <c r="BH110" s="407">
        <f t="shared" si="213"/>
        <v>0.76358751416720361</v>
      </c>
      <c r="BI110" s="407">
        <f t="shared" si="214"/>
        <v>9.3500511938841263E-2</v>
      </c>
      <c r="BJ110" s="508"/>
      <c r="BK110" s="510"/>
      <c r="BL110" s="49">
        <v>1507</v>
      </c>
      <c r="BM110" s="50"/>
      <c r="BN110" s="52">
        <f t="shared" si="215"/>
        <v>1265</v>
      </c>
      <c r="BO110" s="52">
        <f t="shared" si="157"/>
        <v>242</v>
      </c>
      <c r="BP110" s="406">
        <f t="shared" si="216"/>
        <v>0.34678088463517076</v>
      </c>
      <c r="BQ110" s="52">
        <f t="shared" si="217"/>
        <v>19335</v>
      </c>
      <c r="BR110" s="406">
        <f t="shared" si="218"/>
        <v>0.37958515455515829</v>
      </c>
      <c r="BS110" s="512"/>
      <c r="BT110" s="409">
        <v>725</v>
      </c>
      <c r="BU110" s="43"/>
      <c r="BV110" s="43">
        <f t="shared" si="245"/>
        <v>470</v>
      </c>
      <c r="BW110" s="43">
        <f t="shared" si="246"/>
        <v>255</v>
      </c>
      <c r="BX110" s="42">
        <f t="shared" si="219"/>
        <v>0.36540960984284521</v>
      </c>
      <c r="BY110" s="43">
        <f t="shared" si="247"/>
        <v>7917</v>
      </c>
      <c r="BZ110" s="42">
        <f t="shared" si="220"/>
        <v>0.1554267219349981</v>
      </c>
      <c r="CA110" s="514"/>
      <c r="CB110" s="392">
        <v>1150</v>
      </c>
      <c r="CC110" s="298"/>
      <c r="CD110" s="298">
        <f t="shared" si="177"/>
        <v>610</v>
      </c>
      <c r="CE110" s="298">
        <f t="shared" si="158"/>
        <v>540</v>
      </c>
      <c r="CF110" s="297">
        <f t="shared" si="221"/>
        <v>0.77380858554955456</v>
      </c>
      <c r="CG110" s="298">
        <f t="shared" si="222"/>
        <v>44240</v>
      </c>
      <c r="CH110" s="297">
        <f t="shared" si="223"/>
        <v>0.86852067429636426</v>
      </c>
      <c r="CI110" s="516"/>
      <c r="CJ110" s="656">
        <v>1225</v>
      </c>
      <c r="CK110" s="657"/>
      <c r="CL110" s="657">
        <f t="shared" si="252"/>
        <v>750</v>
      </c>
      <c r="CM110" s="657">
        <f t="shared" si="253"/>
        <v>475</v>
      </c>
      <c r="CN110" s="659">
        <f t="shared" si="254"/>
        <v>5250</v>
      </c>
      <c r="CO110" s="464">
        <v>0</v>
      </c>
      <c r="CP110" s="465"/>
      <c r="CQ110" s="465">
        <f t="shared" si="178"/>
        <v>0</v>
      </c>
      <c r="CR110" s="465">
        <f t="shared" si="159"/>
        <v>0</v>
      </c>
      <c r="CS110" s="486">
        <f t="shared" si="224"/>
        <v>0</v>
      </c>
      <c r="CT110" s="465">
        <f t="shared" si="225"/>
        <v>1315</v>
      </c>
      <c r="CU110" s="486">
        <f t="shared" si="226"/>
        <v>2.5816109554695276E-2</v>
      </c>
      <c r="CV110" s="518"/>
      <c r="CW110" s="427">
        <v>15</v>
      </c>
      <c r="CX110" s="427"/>
      <c r="CY110" s="427">
        <f t="shared" si="227"/>
        <v>15</v>
      </c>
      <c r="CZ110" s="427">
        <f t="shared" si="228"/>
        <v>0</v>
      </c>
      <c r="DA110" s="607">
        <f t="shared" si="244"/>
        <v>0</v>
      </c>
      <c r="DB110" s="607">
        <f t="shared" si="229"/>
        <v>60</v>
      </c>
      <c r="DC110" s="607">
        <f t="shared" si="179"/>
        <v>1.1779213485032065E-3</v>
      </c>
      <c r="DD110" s="609"/>
      <c r="DE110" s="471">
        <v>0</v>
      </c>
      <c r="DF110" s="473"/>
      <c r="DG110" s="473">
        <f t="shared" si="180"/>
        <v>0</v>
      </c>
      <c r="DH110" s="473">
        <f t="shared" si="160"/>
        <v>0</v>
      </c>
      <c r="DI110" s="227">
        <f t="shared" si="230"/>
        <v>0</v>
      </c>
      <c r="DJ110" s="473">
        <f t="shared" si="231"/>
        <v>59.2</v>
      </c>
      <c r="DK110" s="227">
        <f t="shared" si="232"/>
        <v>1.1622157305231637E-3</v>
      </c>
      <c r="DL110" s="510"/>
      <c r="DM110" s="63">
        <v>1570</v>
      </c>
      <c r="DN110" s="64"/>
      <c r="DO110" s="66">
        <f t="shared" si="233"/>
        <v>1490</v>
      </c>
      <c r="DP110" s="66">
        <f t="shared" si="161"/>
        <v>80</v>
      </c>
      <c r="DQ110" s="412">
        <f t="shared" si="234"/>
        <v>0.11463830897030437</v>
      </c>
      <c r="DR110" s="66">
        <f t="shared" si="235"/>
        <v>13110</v>
      </c>
      <c r="DS110" s="412">
        <f t="shared" si="236"/>
        <v>0.25737581464795062</v>
      </c>
      <c r="DT110" s="506"/>
      <c r="DU110" s="596">
        <v>40</v>
      </c>
      <c r="DV110" s="596"/>
      <c r="DW110" s="596">
        <f t="shared" si="181"/>
        <v>40</v>
      </c>
      <c r="DX110" s="596">
        <f t="shared" si="162"/>
        <v>0</v>
      </c>
      <c r="DY110" s="592">
        <f t="shared" si="182"/>
        <v>0</v>
      </c>
      <c r="DZ110" s="596">
        <f t="shared" si="237"/>
        <v>2760</v>
      </c>
      <c r="EA110" s="592">
        <f t="shared" si="183"/>
        <v>5.4184382031147497E-2</v>
      </c>
      <c r="EB110" s="594"/>
      <c r="EC110" s="448">
        <v>50</v>
      </c>
      <c r="ED110" s="449"/>
      <c r="EE110" s="449">
        <f t="shared" si="184"/>
        <v>50</v>
      </c>
      <c r="EF110" s="449">
        <f t="shared" si="163"/>
        <v>0</v>
      </c>
      <c r="EG110" s="450">
        <f t="shared" si="242"/>
        <v>0</v>
      </c>
      <c r="EH110" s="449">
        <f t="shared" si="238"/>
        <v>320</v>
      </c>
      <c r="EI110" s="450">
        <f t="shared" si="243"/>
        <v>6.2822471920171014E-3</v>
      </c>
      <c r="EJ110" s="520"/>
      <c r="EK110" s="426">
        <v>2738</v>
      </c>
      <c r="EL110" s="427"/>
      <c r="EM110" s="427">
        <f t="shared" si="185"/>
        <v>1688</v>
      </c>
      <c r="EN110" s="427">
        <f t="shared" si="164"/>
        <v>1050</v>
      </c>
      <c r="EO110" s="427">
        <f t="shared" si="186"/>
        <v>48884</v>
      </c>
      <c r="EP110" s="456">
        <v>0</v>
      </c>
      <c r="EQ110" s="457"/>
      <c r="ER110" s="457">
        <f t="shared" si="187"/>
        <v>0</v>
      </c>
      <c r="ES110" s="457">
        <f t="shared" si="165"/>
        <v>0</v>
      </c>
      <c r="ET110" s="457">
        <f t="shared" si="188"/>
        <v>1078</v>
      </c>
      <c r="EU110" s="409">
        <v>49</v>
      </c>
      <c r="EV110" s="43"/>
      <c r="EW110" s="43">
        <f t="shared" si="189"/>
        <v>42</v>
      </c>
      <c r="EX110" s="43">
        <f t="shared" si="166"/>
        <v>7</v>
      </c>
      <c r="EY110" s="43">
        <f t="shared" si="190"/>
        <v>618</v>
      </c>
      <c r="EZ110" s="436">
        <v>10</v>
      </c>
      <c r="FA110" s="437"/>
      <c r="FB110" s="437">
        <f t="shared" si="191"/>
        <v>8</v>
      </c>
      <c r="FC110" s="437">
        <f t="shared" si="167"/>
        <v>2</v>
      </c>
      <c r="FD110" s="437">
        <f t="shared" si="192"/>
        <v>682</v>
      </c>
      <c r="FE110" s="442">
        <v>225</v>
      </c>
      <c r="FF110" s="443"/>
      <c r="FG110" s="443">
        <f t="shared" si="193"/>
        <v>225</v>
      </c>
      <c r="FH110" s="443">
        <f t="shared" si="168"/>
        <v>0</v>
      </c>
      <c r="FI110" s="443">
        <f t="shared" si="194"/>
        <v>775</v>
      </c>
      <c r="FJ110" s="392">
        <v>0</v>
      </c>
      <c r="FK110" s="298"/>
      <c r="FL110" s="298">
        <f t="shared" si="195"/>
        <v>0</v>
      </c>
      <c r="FM110" s="298">
        <f t="shared" si="169"/>
        <v>0</v>
      </c>
      <c r="FN110" s="498">
        <f t="shared" si="196"/>
        <v>1900</v>
      </c>
      <c r="HC110" s="403"/>
      <c r="HD110" s="405"/>
      <c r="HE110" s="405">
        <f t="shared" si="197"/>
        <v>0</v>
      </c>
      <c r="HF110" s="405">
        <f t="shared" si="170"/>
        <v>0</v>
      </c>
      <c r="HG110" s="84"/>
      <c r="HH110" s="405">
        <f t="shared" si="240"/>
        <v>400</v>
      </c>
      <c r="HI110" s="84"/>
      <c r="HJ110" s="1048"/>
    </row>
    <row r="111" spans="1:218">
      <c r="A111" s="800">
        <v>44774</v>
      </c>
      <c r="B111" s="391">
        <v>686925</v>
      </c>
      <c r="C111" s="801">
        <f t="shared" si="147"/>
        <v>51624112</v>
      </c>
      <c r="D111" s="802">
        <v>7482.18</v>
      </c>
      <c r="E111" s="416">
        <f t="shared" si="255"/>
        <v>687927.93999999983</v>
      </c>
      <c r="F111" s="398">
        <v>15463</v>
      </c>
      <c r="G111" s="149"/>
      <c r="H111" s="149">
        <f t="shared" si="171"/>
        <v>11767</v>
      </c>
      <c r="I111" s="149">
        <f t="shared" si="148"/>
        <v>3696</v>
      </c>
      <c r="J111" s="149">
        <f t="shared" si="146"/>
        <v>493.97368146716599</v>
      </c>
      <c r="K111" s="149">
        <f t="shared" si="198"/>
        <v>316860</v>
      </c>
      <c r="L111" s="149">
        <f t="shared" si="149"/>
        <v>460.60056813508703</v>
      </c>
      <c r="M111" s="647"/>
      <c r="N111" s="614">
        <v>125</v>
      </c>
      <c r="O111" s="615"/>
      <c r="P111" s="615">
        <f t="shared" si="199"/>
        <v>75</v>
      </c>
      <c r="Q111" s="615">
        <f t="shared" si="200"/>
        <v>50</v>
      </c>
      <c r="R111" s="615">
        <f t="shared" si="201"/>
        <v>8525</v>
      </c>
      <c r="S111" s="102">
        <v>6</v>
      </c>
      <c r="T111" s="135">
        <v>24</v>
      </c>
      <c r="U111" s="102">
        <f t="shared" si="202"/>
        <v>72</v>
      </c>
      <c r="V111" s="102">
        <f t="shared" si="151"/>
        <v>9.6228639246850509</v>
      </c>
      <c r="W111" s="615">
        <f t="shared" si="203"/>
        <v>8374.9440000000013</v>
      </c>
      <c r="X111" s="102">
        <f t="shared" si="152"/>
        <v>12.174158822506909</v>
      </c>
      <c r="Y111" s="662"/>
      <c r="Z111" s="616">
        <v>75</v>
      </c>
      <c r="AA111" s="617"/>
      <c r="AB111" s="617">
        <f t="shared" si="204"/>
        <v>50</v>
      </c>
      <c r="AC111" s="617">
        <f t="shared" si="205"/>
        <v>25</v>
      </c>
      <c r="AD111" s="617">
        <f t="shared" si="206"/>
        <v>1350</v>
      </c>
      <c r="AE111" s="138">
        <v>2.4700000000000002</v>
      </c>
      <c r="AF111" s="137">
        <v>12</v>
      </c>
      <c r="AG111" s="138">
        <f t="shared" si="207"/>
        <v>14.82</v>
      </c>
      <c r="AH111" s="138">
        <f t="shared" si="173"/>
        <v>1.9807061578310063</v>
      </c>
      <c r="AI111" s="617">
        <f t="shared" si="208"/>
        <v>1253.2320000000004</v>
      </c>
      <c r="AJ111" s="138">
        <f t="shared" si="241"/>
        <v>1.8217489465539092</v>
      </c>
      <c r="AK111" s="663"/>
      <c r="AL111" s="618">
        <v>35919</v>
      </c>
      <c r="AM111" s="618"/>
      <c r="AN111" s="619">
        <f t="shared" si="248"/>
        <v>35919</v>
      </c>
      <c r="AO111" s="619">
        <f t="shared" si="249"/>
        <v>0</v>
      </c>
      <c r="AP111" s="619">
        <f t="shared" si="250"/>
        <v>47654</v>
      </c>
      <c r="AQ111" s="620">
        <f t="shared" si="174"/>
        <v>69.271790298268755</v>
      </c>
      <c r="AR111" s="664"/>
      <c r="AS111" s="410">
        <v>37480</v>
      </c>
      <c r="AT111" s="132"/>
      <c r="AU111" s="411">
        <f t="shared" si="209"/>
        <v>31579</v>
      </c>
      <c r="AV111" s="411">
        <f t="shared" si="155"/>
        <v>5901</v>
      </c>
      <c r="AW111" s="621">
        <f t="shared" si="156"/>
        <v>8.5904574735233101</v>
      </c>
      <c r="AX111" s="411">
        <f t="shared" si="210"/>
        <v>53096</v>
      </c>
      <c r="AY111" s="621">
        <f t="shared" si="211"/>
        <v>1.0285116381275479</v>
      </c>
      <c r="AZ111" s="665"/>
      <c r="BA111" s="622">
        <v>6600</v>
      </c>
      <c r="BB111" s="622"/>
      <c r="BC111" s="613"/>
      <c r="BD111" s="622">
        <f t="shared" si="175"/>
        <v>6600</v>
      </c>
      <c r="BE111" s="622">
        <f t="shared" si="176"/>
        <v>0</v>
      </c>
      <c r="BF111" s="613">
        <f t="shared" si="212"/>
        <v>0</v>
      </c>
      <c r="BG111" s="622">
        <f t="shared" si="251"/>
        <v>38895</v>
      </c>
      <c r="BH111" s="613">
        <f t="shared" si="213"/>
        <v>0.75342700325770251</v>
      </c>
      <c r="BI111" s="613">
        <f t="shared" si="214"/>
        <v>9.2256367745841131E-2</v>
      </c>
      <c r="BJ111" s="666"/>
      <c r="BK111" s="646"/>
      <c r="BL111" s="121">
        <v>1265</v>
      </c>
      <c r="BM111" s="122">
        <v>900</v>
      </c>
      <c r="BN111" s="404">
        <f t="shared" si="215"/>
        <v>1651</v>
      </c>
      <c r="BO111" s="404">
        <f t="shared" si="157"/>
        <v>514</v>
      </c>
      <c r="BP111" s="623">
        <f t="shared" si="216"/>
        <v>0.74826218291662117</v>
      </c>
      <c r="BQ111" s="404">
        <f t="shared" si="217"/>
        <v>19849</v>
      </c>
      <c r="BR111" s="623">
        <f t="shared" si="218"/>
        <v>0.38449087511665092</v>
      </c>
      <c r="BS111" s="667"/>
      <c r="BT111" s="624">
        <v>470</v>
      </c>
      <c r="BU111" s="625">
        <v>1000</v>
      </c>
      <c r="BV111" s="625">
        <f t="shared" si="245"/>
        <v>1239</v>
      </c>
      <c r="BW111" s="625">
        <f t="shared" si="246"/>
        <v>231</v>
      </c>
      <c r="BX111" s="126">
        <f t="shared" si="219"/>
        <v>0.33628125341194454</v>
      </c>
      <c r="BY111" s="625">
        <f t="shared" si="247"/>
        <v>8148</v>
      </c>
      <c r="BZ111" s="126">
        <f t="shared" si="220"/>
        <v>0.15783322335888314</v>
      </c>
      <c r="CA111" s="668"/>
      <c r="CB111" s="626">
        <v>610</v>
      </c>
      <c r="CC111" s="627">
        <v>2300</v>
      </c>
      <c r="CD111" s="627">
        <f t="shared" si="177"/>
        <v>2300</v>
      </c>
      <c r="CE111" s="627">
        <f t="shared" si="158"/>
        <v>610</v>
      </c>
      <c r="CF111" s="304">
        <f t="shared" si="221"/>
        <v>0.88801543108781889</v>
      </c>
      <c r="CG111" s="627">
        <f t="shared" si="222"/>
        <v>44850</v>
      </c>
      <c r="CH111" s="304">
        <f t="shared" si="223"/>
        <v>0.86878007703067128</v>
      </c>
      <c r="CI111" s="669"/>
      <c r="CJ111" s="803">
        <v>750</v>
      </c>
      <c r="CK111" s="653"/>
      <c r="CL111" s="804">
        <f t="shared" si="252"/>
        <v>150</v>
      </c>
      <c r="CM111" s="804">
        <f t="shared" si="253"/>
        <v>600</v>
      </c>
      <c r="CN111" s="803">
        <f t="shared" si="254"/>
        <v>5850</v>
      </c>
      <c r="CO111" s="628">
        <v>0</v>
      </c>
      <c r="CP111" s="629"/>
      <c r="CQ111" s="629">
        <f t="shared" si="178"/>
        <v>0</v>
      </c>
      <c r="CR111" s="629">
        <f t="shared" si="159"/>
        <v>0</v>
      </c>
      <c r="CS111" s="488">
        <f t="shared" si="224"/>
        <v>0</v>
      </c>
      <c r="CT111" s="629">
        <f t="shared" si="225"/>
        <v>1315</v>
      </c>
      <c r="CU111" s="488">
        <f t="shared" si="226"/>
        <v>2.5472593116952793E-2</v>
      </c>
      <c r="CV111" s="670"/>
      <c r="CW111" s="630">
        <v>15</v>
      </c>
      <c r="CX111" s="630"/>
      <c r="CY111" s="630">
        <f t="shared" si="227"/>
        <v>15</v>
      </c>
      <c r="CZ111" s="630">
        <f t="shared" si="228"/>
        <v>0</v>
      </c>
      <c r="DA111" s="631">
        <f t="shared" si="244"/>
        <v>0</v>
      </c>
      <c r="DB111" s="631">
        <f t="shared" si="229"/>
        <v>60</v>
      </c>
      <c r="DC111" s="631">
        <f t="shared" si="179"/>
        <v>1.1622475946898613E-3</v>
      </c>
      <c r="DD111" s="805"/>
      <c r="DE111" s="632">
        <v>0</v>
      </c>
      <c r="DF111" s="633"/>
      <c r="DG111" s="633">
        <f t="shared" si="180"/>
        <v>0</v>
      </c>
      <c r="DH111" s="633">
        <f t="shared" si="160"/>
        <v>0</v>
      </c>
      <c r="DI111" s="229">
        <f t="shared" si="230"/>
        <v>0</v>
      </c>
      <c r="DJ111" s="633">
        <f t="shared" si="231"/>
        <v>59.2</v>
      </c>
      <c r="DK111" s="229">
        <f t="shared" si="232"/>
        <v>1.1467509600939965E-3</v>
      </c>
      <c r="DL111" s="646"/>
      <c r="DM111" s="131">
        <v>1490</v>
      </c>
      <c r="DN111" s="132"/>
      <c r="DO111" s="411">
        <f t="shared" si="233"/>
        <v>1350</v>
      </c>
      <c r="DP111" s="411">
        <f t="shared" si="161"/>
        <v>140</v>
      </c>
      <c r="DQ111" s="621">
        <f t="shared" si="234"/>
        <v>0.20380682024966335</v>
      </c>
      <c r="DR111" s="411">
        <f t="shared" si="235"/>
        <v>13250</v>
      </c>
      <c r="DS111" s="621">
        <f t="shared" si="236"/>
        <v>0.25666301049401102</v>
      </c>
      <c r="DT111" s="665"/>
      <c r="DU111" s="634">
        <v>40</v>
      </c>
      <c r="DV111" s="634"/>
      <c r="DW111" s="634">
        <f t="shared" si="181"/>
        <v>40</v>
      </c>
      <c r="DX111" s="634">
        <f t="shared" si="162"/>
        <v>0</v>
      </c>
      <c r="DY111" s="635">
        <f t="shared" si="182"/>
        <v>0</v>
      </c>
      <c r="DZ111" s="634">
        <f t="shared" si="237"/>
        <v>2760</v>
      </c>
      <c r="EA111" s="635">
        <f t="shared" si="183"/>
        <v>5.3463389355733616E-2</v>
      </c>
      <c r="EB111" s="806"/>
      <c r="EC111" s="636">
        <v>50</v>
      </c>
      <c r="ED111" s="637"/>
      <c r="EE111" s="637">
        <f t="shared" si="184"/>
        <v>50</v>
      </c>
      <c r="EF111" s="637">
        <f t="shared" si="163"/>
        <v>0</v>
      </c>
      <c r="EG111" s="497">
        <f t="shared" si="242"/>
        <v>0</v>
      </c>
      <c r="EH111" s="637">
        <f t="shared" si="238"/>
        <v>320</v>
      </c>
      <c r="EI111" s="497">
        <f t="shared" si="243"/>
        <v>6.1986538383459267E-3</v>
      </c>
      <c r="EJ111" s="671"/>
      <c r="EK111" s="638">
        <v>1688</v>
      </c>
      <c r="EL111" s="630">
        <v>2500</v>
      </c>
      <c r="EM111" s="630">
        <f t="shared" si="185"/>
        <v>3375</v>
      </c>
      <c r="EN111" s="630">
        <f t="shared" si="164"/>
        <v>813</v>
      </c>
      <c r="EO111" s="630">
        <f t="shared" si="186"/>
        <v>49697</v>
      </c>
      <c r="EP111" s="639">
        <v>0</v>
      </c>
      <c r="EQ111" s="640"/>
      <c r="ER111" s="640">
        <f t="shared" si="187"/>
        <v>0</v>
      </c>
      <c r="ES111" s="640">
        <f t="shared" si="165"/>
        <v>0</v>
      </c>
      <c r="ET111" s="640">
        <f t="shared" si="188"/>
        <v>1078</v>
      </c>
      <c r="EU111" s="624">
        <v>42</v>
      </c>
      <c r="EV111" s="625"/>
      <c r="EW111" s="625">
        <f t="shared" si="189"/>
        <v>36</v>
      </c>
      <c r="EX111" s="625">
        <f t="shared" si="166"/>
        <v>6</v>
      </c>
      <c r="EY111" s="625">
        <f t="shared" si="190"/>
        <v>624</v>
      </c>
      <c r="EZ111" s="641">
        <v>8</v>
      </c>
      <c r="FA111" s="642">
        <v>100</v>
      </c>
      <c r="FB111" s="642">
        <f t="shared" si="191"/>
        <v>105</v>
      </c>
      <c r="FC111" s="642">
        <f t="shared" si="167"/>
        <v>3</v>
      </c>
      <c r="FD111" s="642">
        <f t="shared" si="192"/>
        <v>685</v>
      </c>
      <c r="FE111" s="643">
        <v>225</v>
      </c>
      <c r="FF111" s="644"/>
      <c r="FG111" s="644">
        <f t="shared" si="193"/>
        <v>200</v>
      </c>
      <c r="FH111" s="644">
        <f t="shared" si="168"/>
        <v>25</v>
      </c>
      <c r="FI111" s="644">
        <f t="shared" si="194"/>
        <v>800</v>
      </c>
      <c r="FJ111" s="626">
        <v>0</v>
      </c>
      <c r="FK111" s="627"/>
      <c r="FL111" s="627">
        <f t="shared" si="195"/>
        <v>0</v>
      </c>
      <c r="FM111" s="627">
        <f t="shared" si="169"/>
        <v>0</v>
      </c>
      <c r="FN111" s="645">
        <f t="shared" si="196"/>
        <v>1900</v>
      </c>
      <c r="HC111" s="402"/>
      <c r="HD111" s="52"/>
      <c r="HE111" s="52">
        <f t="shared" si="197"/>
        <v>0</v>
      </c>
      <c r="HF111" s="52">
        <f t="shared" si="170"/>
        <v>0</v>
      </c>
      <c r="HG111" s="51"/>
      <c r="HH111" s="52">
        <f t="shared" si="240"/>
        <v>400</v>
      </c>
      <c r="HI111" s="51"/>
      <c r="HJ111" s="1046"/>
    </row>
    <row r="112" spans="1:218">
      <c r="A112" s="807">
        <v>44775</v>
      </c>
      <c r="B112" s="390">
        <v>697035</v>
      </c>
      <c r="C112" s="18">
        <f t="shared" si="147"/>
        <v>52321147</v>
      </c>
      <c r="D112" s="376">
        <v>7498.02</v>
      </c>
      <c r="E112" s="417">
        <f t="shared" si="255"/>
        <v>695425.95999999985</v>
      </c>
      <c r="F112" s="397">
        <v>11767</v>
      </c>
      <c r="G112" s="37">
        <v>48560</v>
      </c>
      <c r="H112" s="37">
        <f t="shared" si="171"/>
        <v>58279</v>
      </c>
      <c r="I112" s="37">
        <f t="shared" si="148"/>
        <v>2048</v>
      </c>
      <c r="J112" s="37">
        <f t="shared" si="146"/>
        <v>273.13877530334673</v>
      </c>
      <c r="K112" s="37">
        <f t="shared" si="198"/>
        <v>318908</v>
      </c>
      <c r="L112" s="37">
        <f t="shared" si="149"/>
        <v>458.57937198663114</v>
      </c>
      <c r="M112" s="648"/>
      <c r="N112" s="422">
        <v>75</v>
      </c>
      <c r="O112" s="423">
        <v>250</v>
      </c>
      <c r="P112" s="423">
        <f t="shared" si="199"/>
        <v>225</v>
      </c>
      <c r="Q112" s="423">
        <f t="shared" si="200"/>
        <v>100</v>
      </c>
      <c r="R112" s="423">
        <f t="shared" si="201"/>
        <v>8625</v>
      </c>
      <c r="S112" s="68">
        <v>6.3</v>
      </c>
      <c r="T112" s="67">
        <v>24</v>
      </c>
      <c r="U112" s="68">
        <f t="shared" si="202"/>
        <v>75.599999999999994</v>
      </c>
      <c r="V112" s="68">
        <f t="shared" si="151"/>
        <v>10.082661822721198</v>
      </c>
      <c r="W112" s="423">
        <f t="shared" si="203"/>
        <v>8450.5440000000017</v>
      </c>
      <c r="X112" s="68">
        <f t="shared" si="152"/>
        <v>12.151608490427943</v>
      </c>
      <c r="Y112" s="500"/>
      <c r="Z112" s="424">
        <v>50</v>
      </c>
      <c r="AA112" s="425"/>
      <c r="AB112" s="425">
        <f t="shared" si="204"/>
        <v>50</v>
      </c>
      <c r="AC112" s="425">
        <f t="shared" si="205"/>
        <v>0</v>
      </c>
      <c r="AD112" s="425">
        <f t="shared" si="206"/>
        <v>1350</v>
      </c>
      <c r="AE112" s="72">
        <v>2.4500000000000002</v>
      </c>
      <c r="AF112" s="71">
        <v>12</v>
      </c>
      <c r="AG112" s="72">
        <f t="shared" si="207"/>
        <v>14.700000000000001</v>
      </c>
      <c r="AH112" s="72">
        <f t="shared" si="173"/>
        <v>1.9605175766402332</v>
      </c>
      <c r="AI112" s="425">
        <f t="shared" si="208"/>
        <v>1267.9320000000005</v>
      </c>
      <c r="AJ112" s="72">
        <f t="shared" si="241"/>
        <v>1.8232451374118974</v>
      </c>
      <c r="AK112" s="502"/>
      <c r="AL112" s="491">
        <v>35919</v>
      </c>
      <c r="AM112" s="491"/>
      <c r="AN112" s="492">
        <f t="shared" si="248"/>
        <v>35919</v>
      </c>
      <c r="AO112" s="492">
        <f t="shared" si="249"/>
        <v>0</v>
      </c>
      <c r="AP112" s="492">
        <f t="shared" si="250"/>
        <v>47654</v>
      </c>
      <c r="AQ112" s="493">
        <f t="shared" si="174"/>
        <v>68.524908100928542</v>
      </c>
      <c r="AR112" s="504"/>
      <c r="AS112" s="413">
        <v>31579</v>
      </c>
      <c r="AT112" s="64"/>
      <c r="AU112" s="66">
        <f t="shared" si="209"/>
        <v>26474</v>
      </c>
      <c r="AV112" s="66">
        <f t="shared" si="155"/>
        <v>5105</v>
      </c>
      <c r="AW112" s="412">
        <f t="shared" si="156"/>
        <v>7.3238790017717905</v>
      </c>
      <c r="AX112" s="66">
        <f t="shared" si="210"/>
        <v>58201</v>
      </c>
      <c r="AY112" s="412">
        <f t="shared" si="211"/>
        <v>1.1123800477845029</v>
      </c>
      <c r="AZ112" s="506"/>
      <c r="BA112" s="419">
        <v>6600</v>
      </c>
      <c r="BB112" s="419"/>
      <c r="BC112" s="407"/>
      <c r="BD112" s="419">
        <f t="shared" si="175"/>
        <v>6600</v>
      </c>
      <c r="BE112" s="419">
        <f t="shared" si="176"/>
        <v>0</v>
      </c>
      <c r="BF112" s="407">
        <f t="shared" si="212"/>
        <v>0</v>
      </c>
      <c r="BG112" s="419">
        <f t="shared" si="251"/>
        <v>38895</v>
      </c>
      <c r="BH112" s="407">
        <f t="shared" si="213"/>
        <v>0.74338966613251045</v>
      </c>
      <c r="BI112" s="407">
        <f t="shared" si="214"/>
        <v>9.1027306057042109E-2</v>
      </c>
      <c r="BJ112" s="508"/>
      <c r="BK112" s="510"/>
      <c r="BL112" s="49">
        <v>1651</v>
      </c>
      <c r="BM112" s="50">
        <v>900</v>
      </c>
      <c r="BN112" s="52">
        <f t="shared" si="215"/>
        <v>1810</v>
      </c>
      <c r="BO112" s="52">
        <f t="shared" si="157"/>
        <v>741</v>
      </c>
      <c r="BP112" s="406">
        <f t="shared" si="216"/>
        <v>1.0630743076029181</v>
      </c>
      <c r="BQ112" s="52">
        <f t="shared" si="217"/>
        <v>20590</v>
      </c>
      <c r="BR112" s="406">
        <f t="shared" si="218"/>
        <v>0.3935311280542072</v>
      </c>
      <c r="BS112" s="512"/>
      <c r="BT112" s="409">
        <v>1239</v>
      </c>
      <c r="BU112" s="43">
        <v>1000</v>
      </c>
      <c r="BV112" s="43">
        <f t="shared" si="245"/>
        <v>1944</v>
      </c>
      <c r="BW112" s="43">
        <f t="shared" si="246"/>
        <v>295</v>
      </c>
      <c r="BX112" s="42">
        <f t="shared" si="219"/>
        <v>0.42322121557741005</v>
      </c>
      <c r="BY112" s="43">
        <f t="shared" si="247"/>
        <v>8443</v>
      </c>
      <c r="BZ112" s="42">
        <f t="shared" si="220"/>
        <v>0.16136878650615208</v>
      </c>
      <c r="CA112" s="514"/>
      <c r="CB112" s="392">
        <v>2300</v>
      </c>
      <c r="CC112" s="298"/>
      <c r="CD112" s="298">
        <f t="shared" si="177"/>
        <v>1759</v>
      </c>
      <c r="CE112" s="298">
        <f t="shared" si="158"/>
        <v>541</v>
      </c>
      <c r="CF112" s="297">
        <f t="shared" si="221"/>
        <v>0.7761446699233181</v>
      </c>
      <c r="CG112" s="298">
        <f t="shared" si="222"/>
        <v>45391</v>
      </c>
      <c r="CH112" s="297">
        <f t="shared" si="223"/>
        <v>0.86754596568764064</v>
      </c>
      <c r="CI112" s="516"/>
      <c r="CJ112" s="659">
        <v>150</v>
      </c>
      <c r="CK112" s="651"/>
      <c r="CL112" s="657">
        <f t="shared" si="252"/>
        <v>0</v>
      </c>
      <c r="CM112" s="657">
        <f t="shared" si="253"/>
        <v>150</v>
      </c>
      <c r="CN112" s="659">
        <f t="shared" si="254"/>
        <v>6000</v>
      </c>
      <c r="CO112" s="464">
        <v>0</v>
      </c>
      <c r="CP112" s="465"/>
      <c r="CQ112" s="465">
        <f t="shared" si="178"/>
        <v>0</v>
      </c>
      <c r="CR112" s="465">
        <f t="shared" si="159"/>
        <v>0</v>
      </c>
      <c r="CS112" s="486">
        <f t="shared" si="224"/>
        <v>0</v>
      </c>
      <c r="CT112" s="465">
        <f t="shared" si="225"/>
        <v>1315</v>
      </c>
      <c r="CU112" s="486">
        <f t="shared" si="226"/>
        <v>2.5133241058343005E-2</v>
      </c>
      <c r="CV112" s="518"/>
      <c r="CW112" s="427">
        <v>15</v>
      </c>
      <c r="CX112" s="427"/>
      <c r="CY112" s="427">
        <f t="shared" si="227"/>
        <v>15</v>
      </c>
      <c r="CZ112" s="427">
        <f t="shared" si="228"/>
        <v>0</v>
      </c>
      <c r="DA112" s="607">
        <f t="shared" si="244"/>
        <v>0</v>
      </c>
      <c r="DB112" s="607">
        <f t="shared" si="229"/>
        <v>60</v>
      </c>
      <c r="DC112" s="607">
        <f t="shared" si="179"/>
        <v>1.1467638505707836E-3</v>
      </c>
      <c r="DD112" s="609"/>
      <c r="DE112" s="471">
        <v>0</v>
      </c>
      <c r="DF112" s="473"/>
      <c r="DG112" s="473">
        <f t="shared" si="180"/>
        <v>0</v>
      </c>
      <c r="DH112" s="473">
        <f t="shared" si="160"/>
        <v>0</v>
      </c>
      <c r="DI112" s="227">
        <f t="shared" si="230"/>
        <v>0</v>
      </c>
      <c r="DJ112" s="473">
        <f t="shared" si="231"/>
        <v>59.2</v>
      </c>
      <c r="DK112" s="227">
        <f t="shared" si="232"/>
        <v>1.1314736658965064E-3</v>
      </c>
      <c r="DL112" s="510"/>
      <c r="DM112" s="63">
        <v>1350</v>
      </c>
      <c r="DN112" s="64"/>
      <c r="DO112" s="66">
        <f t="shared" si="233"/>
        <v>1250</v>
      </c>
      <c r="DP112" s="66">
        <f t="shared" si="161"/>
        <v>100</v>
      </c>
      <c r="DQ112" s="412">
        <f t="shared" si="234"/>
        <v>0.1434648188398</v>
      </c>
      <c r="DR112" s="66">
        <f t="shared" si="235"/>
        <v>13350</v>
      </c>
      <c r="DS112" s="412">
        <f t="shared" si="236"/>
        <v>0.25515495675199934</v>
      </c>
      <c r="DT112" s="506"/>
      <c r="DU112" s="596">
        <v>40</v>
      </c>
      <c r="DV112" s="596"/>
      <c r="DW112" s="596">
        <f t="shared" si="181"/>
        <v>40</v>
      </c>
      <c r="DX112" s="596">
        <f t="shared" si="162"/>
        <v>0</v>
      </c>
      <c r="DY112" s="592">
        <f t="shared" si="182"/>
        <v>0</v>
      </c>
      <c r="DZ112" s="596">
        <f t="shared" si="237"/>
        <v>2760</v>
      </c>
      <c r="EA112" s="592">
        <f t="shared" si="183"/>
        <v>5.2751137126256044E-2</v>
      </c>
      <c r="EB112" s="594"/>
      <c r="EC112" s="448">
        <v>50</v>
      </c>
      <c r="ED112" s="449"/>
      <c r="EE112" s="449">
        <f t="shared" si="184"/>
        <v>50</v>
      </c>
      <c r="EF112" s="449">
        <f t="shared" si="163"/>
        <v>0</v>
      </c>
      <c r="EG112" s="450">
        <f t="shared" si="242"/>
        <v>0</v>
      </c>
      <c r="EH112" s="449">
        <f t="shared" si="238"/>
        <v>320</v>
      </c>
      <c r="EI112" s="450">
        <f t="shared" si="243"/>
        <v>6.1160738697108455E-3</v>
      </c>
      <c r="EJ112" s="520"/>
      <c r="EK112" s="426">
        <v>3375</v>
      </c>
      <c r="EL112" s="427"/>
      <c r="EM112" s="427">
        <f t="shared" si="185"/>
        <v>2525</v>
      </c>
      <c r="EN112" s="427">
        <f t="shared" si="164"/>
        <v>850</v>
      </c>
      <c r="EO112" s="427">
        <f t="shared" si="186"/>
        <v>50547</v>
      </c>
      <c r="EP112" s="456">
        <v>0</v>
      </c>
      <c r="EQ112" s="457"/>
      <c r="ER112" s="457">
        <f t="shared" si="187"/>
        <v>0</v>
      </c>
      <c r="ES112" s="457">
        <f t="shared" si="165"/>
        <v>0</v>
      </c>
      <c r="ET112" s="457">
        <f t="shared" si="188"/>
        <v>1078</v>
      </c>
      <c r="EU112" s="409">
        <v>36</v>
      </c>
      <c r="EV112" s="43"/>
      <c r="EW112" s="43">
        <f t="shared" si="189"/>
        <v>36</v>
      </c>
      <c r="EX112" s="43">
        <f t="shared" si="166"/>
        <v>0</v>
      </c>
      <c r="EY112" s="43">
        <f t="shared" si="190"/>
        <v>624</v>
      </c>
      <c r="EZ112" s="436">
        <v>105</v>
      </c>
      <c r="FA112" s="437"/>
      <c r="FB112" s="437">
        <f t="shared" si="191"/>
        <v>95</v>
      </c>
      <c r="FC112" s="437">
        <f t="shared" si="167"/>
        <v>10</v>
      </c>
      <c r="FD112" s="437">
        <f t="shared" si="192"/>
        <v>695</v>
      </c>
      <c r="FE112" s="442">
        <v>200</v>
      </c>
      <c r="FF112" s="443"/>
      <c r="FG112" s="443">
        <f t="shared" si="193"/>
        <v>200</v>
      </c>
      <c r="FH112" s="443">
        <f t="shared" si="168"/>
        <v>0</v>
      </c>
      <c r="FI112" s="443">
        <f t="shared" si="194"/>
        <v>800</v>
      </c>
      <c r="FJ112" s="392">
        <v>0</v>
      </c>
      <c r="FK112" s="298"/>
      <c r="FL112" s="298">
        <f t="shared" si="195"/>
        <v>0</v>
      </c>
      <c r="FM112" s="298">
        <f t="shared" si="169"/>
        <v>0</v>
      </c>
      <c r="FN112" s="498">
        <f t="shared" si="196"/>
        <v>1900</v>
      </c>
      <c r="HC112" s="402"/>
      <c r="HD112" s="52"/>
      <c r="HE112" s="52">
        <f t="shared" si="197"/>
        <v>0</v>
      </c>
      <c r="HF112" s="52">
        <f t="shared" si="170"/>
        <v>0</v>
      </c>
      <c r="HG112" s="51"/>
      <c r="HH112" s="52">
        <f t="shared" si="240"/>
        <v>400</v>
      </c>
      <c r="HI112" s="51"/>
      <c r="HJ112" s="1047"/>
    </row>
    <row r="113" spans="1:218">
      <c r="A113" s="807">
        <v>44776</v>
      </c>
      <c r="B113" s="390">
        <v>603339</v>
      </c>
      <c r="C113" s="18">
        <f t="shared" si="147"/>
        <v>52924486</v>
      </c>
      <c r="D113" s="376">
        <v>7045.12</v>
      </c>
      <c r="E113" s="417">
        <f t="shared" si="255"/>
        <v>702471.07999999984</v>
      </c>
      <c r="F113" s="397">
        <v>58279</v>
      </c>
      <c r="G113" s="37"/>
      <c r="H113" s="37">
        <f t="shared" si="171"/>
        <v>49961</v>
      </c>
      <c r="I113" s="37">
        <f t="shared" si="148"/>
        <v>8318</v>
      </c>
      <c r="J113" s="37">
        <f t="shared" si="146"/>
        <v>1180.675417877907</v>
      </c>
      <c r="K113" s="37">
        <f t="shared" si="198"/>
        <v>327226</v>
      </c>
      <c r="L113" s="37">
        <f t="shared" si="149"/>
        <v>465.82131181827452</v>
      </c>
      <c r="M113" s="648"/>
      <c r="N113" s="422">
        <v>225</v>
      </c>
      <c r="O113" s="423"/>
      <c r="P113" s="423">
        <f t="shared" si="199"/>
        <v>150</v>
      </c>
      <c r="Q113" s="423">
        <f t="shared" si="200"/>
        <v>75</v>
      </c>
      <c r="R113" s="423">
        <f t="shared" si="201"/>
        <v>8700</v>
      </c>
      <c r="S113" s="68">
        <v>5.98</v>
      </c>
      <c r="T113" s="67">
        <v>24</v>
      </c>
      <c r="U113" s="68">
        <f t="shared" si="202"/>
        <v>71.760000000000005</v>
      </c>
      <c r="V113" s="68">
        <f t="shared" si="151"/>
        <v>10.185773982558139</v>
      </c>
      <c r="W113" s="423">
        <f t="shared" si="203"/>
        <v>8522.3040000000019</v>
      </c>
      <c r="X113" s="68">
        <f t="shared" si="152"/>
        <v>12.131893031098167</v>
      </c>
      <c r="Y113" s="500"/>
      <c r="Z113" s="424">
        <v>50</v>
      </c>
      <c r="AA113" s="425"/>
      <c r="AB113" s="425">
        <f t="shared" si="204"/>
        <v>25</v>
      </c>
      <c r="AC113" s="425">
        <f t="shared" si="205"/>
        <v>25</v>
      </c>
      <c r="AD113" s="425">
        <f t="shared" si="206"/>
        <v>1375</v>
      </c>
      <c r="AE113" s="72">
        <v>2.2400000000000002</v>
      </c>
      <c r="AF113" s="71">
        <v>12</v>
      </c>
      <c r="AG113" s="72">
        <f t="shared" si="207"/>
        <v>13.440000000000001</v>
      </c>
      <c r="AH113" s="72">
        <f t="shared" si="173"/>
        <v>1.9077034883720934</v>
      </c>
      <c r="AI113" s="425">
        <f t="shared" si="208"/>
        <v>1281.3720000000005</v>
      </c>
      <c r="AJ113" s="72">
        <f t="shared" si="241"/>
        <v>1.8240921747269663</v>
      </c>
      <c r="AK113" s="502"/>
      <c r="AL113" s="491">
        <v>35919</v>
      </c>
      <c r="AM113" s="491"/>
      <c r="AN113" s="492">
        <f t="shared" si="248"/>
        <v>35919</v>
      </c>
      <c r="AO113" s="492">
        <f t="shared" si="249"/>
        <v>0</v>
      </c>
      <c r="AP113" s="492">
        <f t="shared" si="250"/>
        <v>47654</v>
      </c>
      <c r="AQ113" s="493">
        <f t="shared" si="174"/>
        <v>67.837668135747322</v>
      </c>
      <c r="AR113" s="504"/>
      <c r="AS113" s="413">
        <v>26474</v>
      </c>
      <c r="AT113" s="64"/>
      <c r="AU113" s="66">
        <f t="shared" si="209"/>
        <v>23021</v>
      </c>
      <c r="AV113" s="66">
        <f t="shared" si="155"/>
        <v>3453</v>
      </c>
      <c r="AW113" s="412">
        <f t="shared" si="156"/>
        <v>5.7231506665407013</v>
      </c>
      <c r="AX113" s="66">
        <f t="shared" si="210"/>
        <v>61654</v>
      </c>
      <c r="AY113" s="412">
        <f t="shared" si="211"/>
        <v>1.1649428206067036</v>
      </c>
      <c r="AZ113" s="506"/>
      <c r="BA113" s="419">
        <v>6600</v>
      </c>
      <c r="BB113" s="419"/>
      <c r="BC113" s="407"/>
      <c r="BD113" s="419">
        <f t="shared" si="175"/>
        <v>6600</v>
      </c>
      <c r="BE113" s="419">
        <f t="shared" si="176"/>
        <v>0</v>
      </c>
      <c r="BF113" s="407">
        <f t="shared" si="212"/>
        <v>0</v>
      </c>
      <c r="BG113" s="419">
        <f t="shared" si="251"/>
        <v>38895</v>
      </c>
      <c r="BH113" s="407">
        <f t="shared" si="213"/>
        <v>0.73491502591069091</v>
      </c>
      <c r="BI113" s="407">
        <f t="shared" si="214"/>
        <v>8.9989595009472359E-2</v>
      </c>
      <c r="BJ113" s="508"/>
      <c r="BK113" s="510"/>
      <c r="BL113" s="49">
        <v>1810</v>
      </c>
      <c r="BM113" s="50">
        <v>900</v>
      </c>
      <c r="BN113" s="52">
        <f t="shared" si="215"/>
        <v>2336</v>
      </c>
      <c r="BO113" s="52">
        <f t="shared" si="157"/>
        <v>374</v>
      </c>
      <c r="BP113" s="406">
        <f t="shared" si="216"/>
        <v>0.61988368065051325</v>
      </c>
      <c r="BQ113" s="52">
        <f t="shared" si="217"/>
        <v>20964</v>
      </c>
      <c r="BR113" s="406">
        <f t="shared" si="218"/>
        <v>0.39611154655332881</v>
      </c>
      <c r="BS113" s="512"/>
      <c r="BT113" s="409">
        <v>1944</v>
      </c>
      <c r="BU113" s="43"/>
      <c r="BV113" s="43">
        <f t="shared" si="245"/>
        <v>1665</v>
      </c>
      <c r="BW113" s="43">
        <f t="shared" si="246"/>
        <v>279</v>
      </c>
      <c r="BX113" s="42">
        <f t="shared" si="219"/>
        <v>0.46242659599329727</v>
      </c>
      <c r="BY113" s="43">
        <f t="shared" si="247"/>
        <v>8722</v>
      </c>
      <c r="BZ113" s="42">
        <f t="shared" si="220"/>
        <v>0.16480084473564846</v>
      </c>
      <c r="CA113" s="514"/>
      <c r="CB113" s="392">
        <v>1759</v>
      </c>
      <c r="CC113" s="298"/>
      <c r="CD113" s="298">
        <f t="shared" si="177"/>
        <v>1150</v>
      </c>
      <c r="CE113" s="298">
        <f t="shared" si="158"/>
        <v>609</v>
      </c>
      <c r="CF113" s="297">
        <f t="shared" si="221"/>
        <v>1.0093827848025736</v>
      </c>
      <c r="CG113" s="298">
        <f t="shared" si="222"/>
        <v>46000</v>
      </c>
      <c r="CH113" s="297">
        <f t="shared" si="223"/>
        <v>0.86916290504928095</v>
      </c>
      <c r="CI113" s="516"/>
      <c r="CJ113" s="659">
        <v>0</v>
      </c>
      <c r="CK113" s="659">
        <v>2000</v>
      </c>
      <c r="CL113" s="657">
        <f t="shared" si="252"/>
        <v>1775</v>
      </c>
      <c r="CM113" s="657">
        <f t="shared" si="253"/>
        <v>225</v>
      </c>
      <c r="CN113" s="659">
        <f t="shared" si="254"/>
        <v>6225</v>
      </c>
      <c r="CO113" s="464">
        <v>0</v>
      </c>
      <c r="CP113" s="465"/>
      <c r="CQ113" s="465">
        <f t="shared" si="178"/>
        <v>0</v>
      </c>
      <c r="CR113" s="465">
        <f t="shared" si="159"/>
        <v>0</v>
      </c>
      <c r="CS113" s="486">
        <f t="shared" si="224"/>
        <v>0</v>
      </c>
      <c r="CT113" s="465">
        <f t="shared" si="225"/>
        <v>1315</v>
      </c>
      <c r="CU113" s="486">
        <f t="shared" si="226"/>
        <v>2.484672217695227E-2</v>
      </c>
      <c r="CV113" s="518"/>
      <c r="CW113" s="427">
        <v>15</v>
      </c>
      <c r="CX113" s="427"/>
      <c r="CY113" s="427">
        <f t="shared" si="227"/>
        <v>15</v>
      </c>
      <c r="CZ113" s="427">
        <f t="shared" si="228"/>
        <v>0</v>
      </c>
      <c r="DA113" s="607">
        <f t="shared" si="244"/>
        <v>0</v>
      </c>
      <c r="DB113" s="607">
        <f t="shared" si="229"/>
        <v>60</v>
      </c>
      <c r="DC113" s="607">
        <f t="shared" si="179"/>
        <v>1.1336907457164533E-3</v>
      </c>
      <c r="DD113" s="609"/>
      <c r="DE113" s="471">
        <v>0</v>
      </c>
      <c r="DF113" s="473"/>
      <c r="DG113" s="473">
        <f t="shared" si="180"/>
        <v>0</v>
      </c>
      <c r="DH113" s="473">
        <f t="shared" si="160"/>
        <v>0</v>
      </c>
      <c r="DI113" s="227">
        <f t="shared" si="230"/>
        <v>0</v>
      </c>
      <c r="DJ113" s="473">
        <f t="shared" si="231"/>
        <v>59.2</v>
      </c>
      <c r="DK113" s="227">
        <f t="shared" si="232"/>
        <v>1.1185748691069008E-3</v>
      </c>
      <c r="DL113" s="510"/>
      <c r="DM113" s="63">
        <v>1250</v>
      </c>
      <c r="DN113" s="64"/>
      <c r="DO113" s="66">
        <f t="shared" si="233"/>
        <v>1190</v>
      </c>
      <c r="DP113" s="66">
        <f t="shared" si="161"/>
        <v>60</v>
      </c>
      <c r="DQ113" s="412">
        <f t="shared" si="234"/>
        <v>9.9446579783504796E-2</v>
      </c>
      <c r="DR113" s="66">
        <f t="shared" si="235"/>
        <v>13410</v>
      </c>
      <c r="DS113" s="412">
        <f t="shared" si="236"/>
        <v>0.25337988166762737</v>
      </c>
      <c r="DT113" s="506"/>
      <c r="DU113" s="596">
        <v>40</v>
      </c>
      <c r="DV113" s="596"/>
      <c r="DW113" s="596">
        <f t="shared" si="181"/>
        <v>40</v>
      </c>
      <c r="DX113" s="596">
        <f t="shared" si="162"/>
        <v>0</v>
      </c>
      <c r="DY113" s="592">
        <f t="shared" si="182"/>
        <v>0</v>
      </c>
      <c r="DZ113" s="596">
        <f t="shared" si="237"/>
        <v>2760</v>
      </c>
      <c r="EA113" s="592">
        <f t="shared" si="183"/>
        <v>5.2149774302956857E-2</v>
      </c>
      <c r="EB113" s="594"/>
      <c r="EC113" s="448">
        <v>50</v>
      </c>
      <c r="ED113" s="449"/>
      <c r="EE113" s="449">
        <f t="shared" si="184"/>
        <v>50</v>
      </c>
      <c r="EF113" s="449">
        <f t="shared" si="163"/>
        <v>0</v>
      </c>
      <c r="EG113" s="450">
        <f t="shared" si="242"/>
        <v>0</v>
      </c>
      <c r="EH113" s="449">
        <f t="shared" si="238"/>
        <v>320</v>
      </c>
      <c r="EI113" s="450">
        <f t="shared" si="243"/>
        <v>6.0463506438210848E-3</v>
      </c>
      <c r="EJ113" s="520"/>
      <c r="EK113" s="426">
        <v>2525</v>
      </c>
      <c r="EL113" s="427"/>
      <c r="EM113" s="427">
        <f t="shared" si="185"/>
        <v>1888</v>
      </c>
      <c r="EN113" s="427">
        <f t="shared" si="164"/>
        <v>637</v>
      </c>
      <c r="EO113" s="427">
        <f t="shared" si="186"/>
        <v>51184</v>
      </c>
      <c r="EP113" s="456">
        <v>0</v>
      </c>
      <c r="EQ113" s="457"/>
      <c r="ER113" s="457">
        <f t="shared" si="187"/>
        <v>0</v>
      </c>
      <c r="ES113" s="457">
        <f t="shared" si="165"/>
        <v>0</v>
      </c>
      <c r="ET113" s="457">
        <f t="shared" si="188"/>
        <v>1078</v>
      </c>
      <c r="EU113" s="409">
        <v>36</v>
      </c>
      <c r="EV113" s="43"/>
      <c r="EW113" s="43">
        <f t="shared" si="189"/>
        <v>36</v>
      </c>
      <c r="EX113" s="43">
        <f t="shared" si="166"/>
        <v>0</v>
      </c>
      <c r="EY113" s="43">
        <f t="shared" si="190"/>
        <v>624</v>
      </c>
      <c r="EZ113" s="436">
        <v>95</v>
      </c>
      <c r="FA113" s="437"/>
      <c r="FB113" s="437">
        <f t="shared" si="191"/>
        <v>85</v>
      </c>
      <c r="FC113" s="437">
        <f t="shared" si="167"/>
        <v>10</v>
      </c>
      <c r="FD113" s="437">
        <f t="shared" si="192"/>
        <v>705</v>
      </c>
      <c r="FE113" s="442">
        <v>200</v>
      </c>
      <c r="FF113" s="443"/>
      <c r="FG113" s="443">
        <f t="shared" si="193"/>
        <v>175</v>
      </c>
      <c r="FH113" s="443">
        <f t="shared" si="168"/>
        <v>25</v>
      </c>
      <c r="FI113" s="443">
        <f t="shared" si="194"/>
        <v>825</v>
      </c>
      <c r="FJ113" s="392">
        <v>0</v>
      </c>
      <c r="FK113" s="298"/>
      <c r="FL113" s="298">
        <f t="shared" si="195"/>
        <v>0</v>
      </c>
      <c r="FM113" s="298">
        <f t="shared" si="169"/>
        <v>0</v>
      </c>
      <c r="FN113" s="498">
        <f t="shared" si="196"/>
        <v>1900</v>
      </c>
      <c r="HC113" s="402"/>
      <c r="HD113" s="52"/>
      <c r="HE113" s="52">
        <f t="shared" si="197"/>
        <v>0</v>
      </c>
      <c r="HF113" s="52">
        <f t="shared" si="170"/>
        <v>0</v>
      </c>
      <c r="HG113" s="51"/>
      <c r="HH113" s="52">
        <f t="shared" si="240"/>
        <v>400</v>
      </c>
      <c r="HI113" s="51"/>
      <c r="HJ113" s="1047"/>
    </row>
    <row r="114" spans="1:218">
      <c r="A114" s="807">
        <v>44777</v>
      </c>
      <c r="B114" s="390">
        <v>655846</v>
      </c>
      <c r="C114" s="18">
        <f t="shared" si="147"/>
        <v>53580332</v>
      </c>
      <c r="D114" s="376">
        <v>7629.82</v>
      </c>
      <c r="E114" s="417">
        <f t="shared" si="255"/>
        <v>710100.89999999979</v>
      </c>
      <c r="F114" s="397">
        <v>49961</v>
      </c>
      <c r="G114" s="37"/>
      <c r="H114" s="37">
        <f t="shared" si="171"/>
        <v>43189</v>
      </c>
      <c r="I114" s="37">
        <f t="shared" si="148"/>
        <v>6772</v>
      </c>
      <c r="J114" s="37">
        <f t="shared" si="146"/>
        <v>887.5700868434642</v>
      </c>
      <c r="K114" s="37">
        <f t="shared" si="198"/>
        <v>333998</v>
      </c>
      <c r="L114" s="37">
        <f t="shared" si="149"/>
        <v>470.35287520407326</v>
      </c>
      <c r="M114" s="648"/>
      <c r="N114" s="422">
        <v>150</v>
      </c>
      <c r="O114" s="423"/>
      <c r="P114" s="423">
        <f t="shared" si="199"/>
        <v>75</v>
      </c>
      <c r="Q114" s="423">
        <f t="shared" si="200"/>
        <v>75</v>
      </c>
      <c r="R114" s="423">
        <f t="shared" si="201"/>
        <v>8775</v>
      </c>
      <c r="S114" s="68">
        <v>6.35</v>
      </c>
      <c r="T114" s="67">
        <v>24</v>
      </c>
      <c r="U114" s="68">
        <f t="shared" si="202"/>
        <v>76.199999999999989</v>
      </c>
      <c r="V114" s="68">
        <f t="shared" si="151"/>
        <v>9.987129447352622</v>
      </c>
      <c r="W114" s="423">
        <f t="shared" si="203"/>
        <v>8598.5040000000026</v>
      </c>
      <c r="X114" s="68">
        <f t="shared" si="152"/>
        <v>12.108848193263809</v>
      </c>
      <c r="Y114" s="500"/>
      <c r="Z114" s="424">
        <v>25</v>
      </c>
      <c r="AA114" s="425"/>
      <c r="AB114" s="425">
        <f t="shared" si="204"/>
        <v>0</v>
      </c>
      <c r="AC114" s="425">
        <f t="shared" si="205"/>
        <v>25</v>
      </c>
      <c r="AD114" s="425">
        <f t="shared" si="206"/>
        <v>1400</v>
      </c>
      <c r="AE114" s="72">
        <v>2.56</v>
      </c>
      <c r="AF114" s="71">
        <v>12</v>
      </c>
      <c r="AG114" s="72">
        <f t="shared" si="207"/>
        <v>15.36</v>
      </c>
      <c r="AH114" s="72">
        <f t="shared" si="173"/>
        <v>2.0131536523797418</v>
      </c>
      <c r="AI114" s="425">
        <f t="shared" si="208"/>
        <v>1296.7320000000004</v>
      </c>
      <c r="AJ114" s="72">
        <f t="shared" si="241"/>
        <v>1.8261235832823206</v>
      </c>
      <c r="AK114" s="502"/>
      <c r="AL114" s="491">
        <v>35919</v>
      </c>
      <c r="AM114" s="491"/>
      <c r="AN114" s="492">
        <f t="shared" si="248"/>
        <v>35919</v>
      </c>
      <c r="AO114" s="492">
        <f t="shared" si="249"/>
        <v>0</v>
      </c>
      <c r="AP114" s="492">
        <f t="shared" si="250"/>
        <v>47654</v>
      </c>
      <c r="AQ114" s="493">
        <f t="shared" si="174"/>
        <v>67.10877285185812</v>
      </c>
      <c r="AR114" s="504"/>
      <c r="AS114" s="413">
        <v>23021</v>
      </c>
      <c r="AT114" s="64"/>
      <c r="AU114" s="66">
        <f t="shared" si="209"/>
        <v>17850</v>
      </c>
      <c r="AV114" s="66">
        <f t="shared" si="155"/>
        <v>5171</v>
      </c>
      <c r="AW114" s="412">
        <f t="shared" si="156"/>
        <v>7.8844728793039831</v>
      </c>
      <c r="AX114" s="66">
        <f t="shared" si="210"/>
        <v>66825</v>
      </c>
      <c r="AY114" s="412">
        <f t="shared" si="211"/>
        <v>1.2471927198958006</v>
      </c>
      <c r="AZ114" s="506"/>
      <c r="BA114" s="419">
        <v>6600</v>
      </c>
      <c r="BB114" s="419"/>
      <c r="BC114" s="407"/>
      <c r="BD114" s="419">
        <f t="shared" si="175"/>
        <v>6600</v>
      </c>
      <c r="BE114" s="419">
        <f t="shared" si="176"/>
        <v>0</v>
      </c>
      <c r="BF114" s="407">
        <f t="shared" si="212"/>
        <v>0</v>
      </c>
      <c r="BG114" s="419">
        <f t="shared" si="251"/>
        <v>38895</v>
      </c>
      <c r="BH114" s="407">
        <f t="shared" si="213"/>
        <v>0.725919354139127</v>
      </c>
      <c r="BI114" s="407">
        <f t="shared" si="214"/>
        <v>8.8888084180301266E-2</v>
      </c>
      <c r="BJ114" s="508"/>
      <c r="BK114" s="510"/>
      <c r="BL114" s="49">
        <v>2336</v>
      </c>
      <c r="BM114" s="50"/>
      <c r="BN114" s="52">
        <f t="shared" si="215"/>
        <v>1879</v>
      </c>
      <c r="BO114" s="52">
        <f t="shared" si="157"/>
        <v>457</v>
      </c>
      <c r="BP114" s="406">
        <f t="shared" si="216"/>
        <v>0.69680992184140789</v>
      </c>
      <c r="BQ114" s="52">
        <f t="shared" si="217"/>
        <v>21421</v>
      </c>
      <c r="BR114" s="406">
        <f t="shared" si="218"/>
        <v>0.39979222226543876</v>
      </c>
      <c r="BS114" s="512"/>
      <c r="BT114" s="409">
        <v>1665</v>
      </c>
      <c r="BU114" s="43"/>
      <c r="BV114" s="43">
        <f t="shared" si="245"/>
        <v>1414</v>
      </c>
      <c r="BW114" s="43">
        <f t="shared" si="246"/>
        <v>251</v>
      </c>
      <c r="BX114" s="42">
        <f t="shared" si="219"/>
        <v>0.38271179514703146</v>
      </c>
      <c r="BY114" s="43">
        <f t="shared" si="247"/>
        <v>8973</v>
      </c>
      <c r="BZ114" s="42">
        <f t="shared" si="220"/>
        <v>0.16746816723718697</v>
      </c>
      <c r="CA114" s="514"/>
      <c r="CB114" s="392">
        <v>1150</v>
      </c>
      <c r="CC114" s="298"/>
      <c r="CD114" s="298">
        <f t="shared" si="177"/>
        <v>610</v>
      </c>
      <c r="CE114" s="298">
        <f t="shared" si="158"/>
        <v>540</v>
      </c>
      <c r="CF114" s="297">
        <f t="shared" si="221"/>
        <v>0.82336402143186049</v>
      </c>
      <c r="CG114" s="298">
        <f t="shared" si="222"/>
        <v>46540</v>
      </c>
      <c r="CH114" s="297">
        <f t="shared" si="223"/>
        <v>0.86860230727946963</v>
      </c>
      <c r="CI114" s="516"/>
      <c r="CJ114" s="659">
        <v>1775</v>
      </c>
      <c r="CK114" s="651"/>
      <c r="CL114" s="657">
        <f t="shared" si="252"/>
        <v>1175</v>
      </c>
      <c r="CM114" s="657">
        <f t="shared" si="253"/>
        <v>600</v>
      </c>
      <c r="CN114" s="659">
        <f t="shared" si="254"/>
        <v>6825</v>
      </c>
      <c r="CO114" s="464">
        <v>0</v>
      </c>
      <c r="CP114" s="465"/>
      <c r="CQ114" s="465">
        <f t="shared" si="178"/>
        <v>0</v>
      </c>
      <c r="CR114" s="465">
        <f t="shared" si="159"/>
        <v>0</v>
      </c>
      <c r="CS114" s="486">
        <f t="shared" si="224"/>
        <v>0</v>
      </c>
      <c r="CT114" s="465">
        <f t="shared" si="225"/>
        <v>1315</v>
      </c>
      <c r="CU114" s="486">
        <f t="shared" si="226"/>
        <v>2.4542587754028847E-2</v>
      </c>
      <c r="CV114" s="518"/>
      <c r="CW114" s="427">
        <v>15</v>
      </c>
      <c r="CX114" s="427"/>
      <c r="CY114" s="427">
        <f t="shared" si="227"/>
        <v>15</v>
      </c>
      <c r="CZ114" s="427">
        <f t="shared" si="228"/>
        <v>0</v>
      </c>
      <c r="DA114" s="607">
        <f t="shared" si="244"/>
        <v>0</v>
      </c>
      <c r="DB114" s="607">
        <f t="shared" si="229"/>
        <v>60</v>
      </c>
      <c r="DC114" s="607">
        <f t="shared" si="179"/>
        <v>1.1198138899176661E-3</v>
      </c>
      <c r="DD114" s="609"/>
      <c r="DE114" s="471">
        <v>0</v>
      </c>
      <c r="DF114" s="473"/>
      <c r="DG114" s="473">
        <f t="shared" si="180"/>
        <v>0</v>
      </c>
      <c r="DH114" s="473">
        <f t="shared" si="160"/>
        <v>0</v>
      </c>
      <c r="DI114" s="227">
        <f t="shared" si="230"/>
        <v>0</v>
      </c>
      <c r="DJ114" s="473">
        <f t="shared" si="231"/>
        <v>59.2</v>
      </c>
      <c r="DK114" s="227">
        <f t="shared" si="232"/>
        <v>1.1048830380520971E-3</v>
      </c>
      <c r="DL114" s="510"/>
      <c r="DM114" s="63">
        <v>1190</v>
      </c>
      <c r="DN114" s="64"/>
      <c r="DO114" s="66">
        <f t="shared" si="233"/>
        <v>1000</v>
      </c>
      <c r="DP114" s="66">
        <f t="shared" si="161"/>
        <v>190</v>
      </c>
      <c r="DQ114" s="412">
        <f t="shared" si="234"/>
        <v>0.28970215568898794</v>
      </c>
      <c r="DR114" s="66">
        <f t="shared" si="235"/>
        <v>13600</v>
      </c>
      <c r="DS114" s="412">
        <f t="shared" si="236"/>
        <v>0.25382448171467098</v>
      </c>
      <c r="DT114" s="506"/>
      <c r="DU114" s="596">
        <v>40</v>
      </c>
      <c r="DV114" s="596"/>
      <c r="DW114" s="596">
        <f t="shared" si="181"/>
        <v>40</v>
      </c>
      <c r="DX114" s="596">
        <f t="shared" si="162"/>
        <v>0</v>
      </c>
      <c r="DY114" s="592">
        <f t="shared" si="182"/>
        <v>0</v>
      </c>
      <c r="DZ114" s="596">
        <f t="shared" si="237"/>
        <v>2760</v>
      </c>
      <c r="EA114" s="592">
        <f t="shared" si="183"/>
        <v>5.1511438936212642E-2</v>
      </c>
      <c r="EB114" s="594"/>
      <c r="EC114" s="448">
        <v>50</v>
      </c>
      <c r="ED114" s="449"/>
      <c r="EE114" s="449">
        <f t="shared" si="184"/>
        <v>50</v>
      </c>
      <c r="EF114" s="449">
        <f t="shared" si="163"/>
        <v>0</v>
      </c>
      <c r="EG114" s="450">
        <f t="shared" si="242"/>
        <v>0</v>
      </c>
      <c r="EH114" s="449">
        <f t="shared" si="238"/>
        <v>320</v>
      </c>
      <c r="EI114" s="450">
        <f t="shared" si="243"/>
        <v>5.9723407462275524E-3</v>
      </c>
      <c r="EJ114" s="520"/>
      <c r="EK114" s="426">
        <v>1888</v>
      </c>
      <c r="EL114" s="427"/>
      <c r="EM114" s="427">
        <f t="shared" si="185"/>
        <v>1188</v>
      </c>
      <c r="EN114" s="427">
        <f t="shared" si="164"/>
        <v>700</v>
      </c>
      <c r="EO114" s="427">
        <f t="shared" si="186"/>
        <v>51884</v>
      </c>
      <c r="EP114" s="456">
        <v>0</v>
      </c>
      <c r="EQ114" s="457"/>
      <c r="ER114" s="457">
        <f t="shared" si="187"/>
        <v>0</v>
      </c>
      <c r="ES114" s="457">
        <f t="shared" si="165"/>
        <v>0</v>
      </c>
      <c r="ET114" s="457">
        <f t="shared" si="188"/>
        <v>1078</v>
      </c>
      <c r="EU114" s="409">
        <v>36</v>
      </c>
      <c r="EV114" s="43"/>
      <c r="EW114" s="43">
        <f t="shared" si="189"/>
        <v>27</v>
      </c>
      <c r="EX114" s="43">
        <f t="shared" si="166"/>
        <v>9</v>
      </c>
      <c r="EY114" s="43">
        <f t="shared" si="190"/>
        <v>633</v>
      </c>
      <c r="EZ114" s="436">
        <v>85</v>
      </c>
      <c r="FA114" s="437"/>
      <c r="FB114" s="437">
        <f t="shared" si="191"/>
        <v>84</v>
      </c>
      <c r="FC114" s="437">
        <f t="shared" si="167"/>
        <v>1</v>
      </c>
      <c r="FD114" s="437">
        <f t="shared" si="192"/>
        <v>706</v>
      </c>
      <c r="FE114" s="442">
        <v>175</v>
      </c>
      <c r="FF114" s="443"/>
      <c r="FG114" s="443">
        <f t="shared" si="193"/>
        <v>175</v>
      </c>
      <c r="FH114" s="443">
        <f t="shared" si="168"/>
        <v>0</v>
      </c>
      <c r="FI114" s="443">
        <f t="shared" si="194"/>
        <v>825</v>
      </c>
      <c r="FJ114" s="392">
        <v>0</v>
      </c>
      <c r="FK114" s="298"/>
      <c r="FL114" s="298">
        <f t="shared" si="195"/>
        <v>0</v>
      </c>
      <c r="FM114" s="298">
        <f t="shared" si="169"/>
        <v>0</v>
      </c>
      <c r="FN114" s="498">
        <f t="shared" si="196"/>
        <v>1900</v>
      </c>
      <c r="HC114" s="402"/>
      <c r="HD114" s="52"/>
      <c r="HE114" s="52">
        <f t="shared" si="197"/>
        <v>0</v>
      </c>
      <c r="HF114" s="52">
        <f t="shared" si="170"/>
        <v>0</v>
      </c>
      <c r="HG114" s="51"/>
      <c r="HH114" s="52">
        <f t="shared" si="240"/>
        <v>400</v>
      </c>
      <c r="HI114" s="51"/>
      <c r="HJ114" s="1047"/>
    </row>
    <row r="115" spans="1:218">
      <c r="A115" s="807">
        <v>44778</v>
      </c>
      <c r="B115" s="390">
        <v>800119</v>
      </c>
      <c r="C115" s="18">
        <f t="shared" si="147"/>
        <v>54380451</v>
      </c>
      <c r="D115" s="376">
        <v>7843.9</v>
      </c>
      <c r="E115" s="417">
        <f t="shared" si="255"/>
        <v>717944.79999999981</v>
      </c>
      <c r="F115" s="397">
        <v>43189</v>
      </c>
      <c r="G115" s="37"/>
      <c r="H115" s="37">
        <f t="shared" si="171"/>
        <v>41340</v>
      </c>
      <c r="I115" s="37">
        <f t="shared" si="148"/>
        <v>1849</v>
      </c>
      <c r="J115" s="37">
        <f t="shared" si="146"/>
        <v>235.72457578500493</v>
      </c>
      <c r="K115" s="37">
        <f t="shared" si="198"/>
        <v>335847</v>
      </c>
      <c r="L115" s="37">
        <f t="shared" si="149"/>
        <v>467.78944565097498</v>
      </c>
      <c r="M115" s="648"/>
      <c r="N115" s="422">
        <v>75</v>
      </c>
      <c r="O115" s="423">
        <v>375</v>
      </c>
      <c r="P115" s="423">
        <f t="shared" si="199"/>
        <v>375</v>
      </c>
      <c r="Q115" s="423">
        <f t="shared" si="200"/>
        <v>75</v>
      </c>
      <c r="R115" s="423">
        <f t="shared" si="201"/>
        <v>8850</v>
      </c>
      <c r="S115" s="68">
        <v>6.52</v>
      </c>
      <c r="T115" s="67">
        <v>24</v>
      </c>
      <c r="U115" s="68">
        <f t="shared" si="202"/>
        <v>78.239999999999995</v>
      </c>
      <c r="V115" s="68">
        <f t="shared" si="151"/>
        <v>9.9746299672356873</v>
      </c>
      <c r="W115" s="423">
        <f t="shared" si="203"/>
        <v>8676.7440000000024</v>
      </c>
      <c r="X115" s="68">
        <f t="shared" si="152"/>
        <v>12.085530809610995</v>
      </c>
      <c r="Y115" s="500"/>
      <c r="Z115" s="424">
        <v>0</v>
      </c>
      <c r="AA115" s="425">
        <v>100</v>
      </c>
      <c r="AB115" s="425">
        <f t="shared" si="204"/>
        <v>75</v>
      </c>
      <c r="AC115" s="425">
        <f t="shared" si="205"/>
        <v>25</v>
      </c>
      <c r="AD115" s="425">
        <f t="shared" si="206"/>
        <v>1425</v>
      </c>
      <c r="AE115" s="72">
        <v>2.38</v>
      </c>
      <c r="AF115" s="71">
        <v>12</v>
      </c>
      <c r="AG115" s="72">
        <f t="shared" si="207"/>
        <v>14.28</v>
      </c>
      <c r="AH115" s="72">
        <f t="shared" si="173"/>
        <v>1.8205229541427097</v>
      </c>
      <c r="AI115" s="425">
        <f t="shared" si="208"/>
        <v>1311.0120000000004</v>
      </c>
      <c r="AJ115" s="72">
        <f t="shared" si="241"/>
        <v>1.826062393654778</v>
      </c>
      <c r="AK115" s="502"/>
      <c r="AL115" s="491">
        <v>35919</v>
      </c>
      <c r="AM115" s="491"/>
      <c r="AN115" s="492">
        <f t="shared" si="248"/>
        <v>35919</v>
      </c>
      <c r="AO115" s="492">
        <f t="shared" si="249"/>
        <v>0</v>
      </c>
      <c r="AP115" s="492">
        <f t="shared" si="250"/>
        <v>47654</v>
      </c>
      <c r="AQ115" s="493">
        <f t="shared" si="174"/>
        <v>66.375576506717522</v>
      </c>
      <c r="AR115" s="504"/>
      <c r="AS115" s="413">
        <v>17850</v>
      </c>
      <c r="AT115" s="66">
        <v>36070</v>
      </c>
      <c r="AU115" s="66">
        <f t="shared" si="209"/>
        <v>47996</v>
      </c>
      <c r="AV115" s="66">
        <f t="shared" si="155"/>
        <v>5924</v>
      </c>
      <c r="AW115" s="412">
        <f t="shared" si="156"/>
        <v>7.4038986700728264</v>
      </c>
      <c r="AX115" s="66">
        <f t="shared" si="210"/>
        <v>72749</v>
      </c>
      <c r="AY115" s="412">
        <f t="shared" si="211"/>
        <v>1.3377785336866737</v>
      </c>
      <c r="AZ115" s="506"/>
      <c r="BA115" s="419">
        <v>6600</v>
      </c>
      <c r="BB115" s="419"/>
      <c r="BC115" s="407"/>
      <c r="BD115" s="419">
        <f t="shared" si="175"/>
        <v>6600</v>
      </c>
      <c r="BE115" s="419">
        <f t="shared" si="176"/>
        <v>0</v>
      </c>
      <c r="BF115" s="407">
        <f t="shared" si="212"/>
        <v>0</v>
      </c>
      <c r="BG115" s="419">
        <f t="shared" si="251"/>
        <v>38895</v>
      </c>
      <c r="BH115" s="407">
        <f t="shared" si="213"/>
        <v>0.7152386433867568</v>
      </c>
      <c r="BI115" s="407">
        <f t="shared" si="214"/>
        <v>8.7580242047357981E-2</v>
      </c>
      <c r="BJ115" s="508"/>
      <c r="BK115" s="510"/>
      <c r="BL115" s="49">
        <v>1879</v>
      </c>
      <c r="BM115" s="50">
        <v>900</v>
      </c>
      <c r="BN115" s="52">
        <f t="shared" si="215"/>
        <v>2039</v>
      </c>
      <c r="BO115" s="52">
        <f t="shared" si="157"/>
        <v>740</v>
      </c>
      <c r="BP115" s="406">
        <f t="shared" si="216"/>
        <v>0.9248624267140263</v>
      </c>
      <c r="BQ115" s="52">
        <f t="shared" si="217"/>
        <v>22161</v>
      </c>
      <c r="BR115" s="406">
        <f t="shared" si="218"/>
        <v>0.40751776773605647</v>
      </c>
      <c r="BS115" s="512"/>
      <c r="BT115" s="409">
        <v>1414</v>
      </c>
      <c r="BU115" s="43">
        <v>1000</v>
      </c>
      <c r="BV115" s="43">
        <f t="shared" si="245"/>
        <v>2118</v>
      </c>
      <c r="BW115" s="43">
        <f t="shared" si="246"/>
        <v>296</v>
      </c>
      <c r="BX115" s="42">
        <f t="shared" si="219"/>
        <v>0.3699449706856105</v>
      </c>
      <c r="BY115" s="43">
        <f t="shared" si="247"/>
        <v>9269</v>
      </c>
      <c r="BZ115" s="42">
        <f t="shared" si="220"/>
        <v>0.17044728077006938</v>
      </c>
      <c r="CA115" s="514"/>
      <c r="CB115" s="392">
        <v>610</v>
      </c>
      <c r="CC115" s="298">
        <v>2300</v>
      </c>
      <c r="CD115" s="298">
        <f t="shared" si="177"/>
        <v>2300</v>
      </c>
      <c r="CE115" s="298">
        <f t="shared" si="158"/>
        <v>610</v>
      </c>
      <c r="CF115" s="297">
        <f t="shared" si="221"/>
        <v>0.76238659499399464</v>
      </c>
      <c r="CG115" s="298">
        <f t="shared" si="222"/>
        <v>47150</v>
      </c>
      <c r="CH115" s="297">
        <f t="shared" si="223"/>
        <v>0.86703951756486908</v>
      </c>
      <c r="CI115" s="516"/>
      <c r="CJ115" s="659">
        <v>1175</v>
      </c>
      <c r="CK115" s="659">
        <v>1000</v>
      </c>
      <c r="CL115" s="657">
        <f t="shared" si="252"/>
        <v>1650</v>
      </c>
      <c r="CM115" s="657">
        <f t="shared" si="253"/>
        <v>525</v>
      </c>
      <c r="CN115" s="659">
        <f t="shared" si="254"/>
        <v>7350</v>
      </c>
      <c r="CO115" s="464">
        <v>0</v>
      </c>
      <c r="CP115" s="465"/>
      <c r="CQ115" s="465">
        <f t="shared" si="178"/>
        <v>0</v>
      </c>
      <c r="CR115" s="465">
        <f t="shared" si="159"/>
        <v>0</v>
      </c>
      <c r="CS115" s="486">
        <f t="shared" si="224"/>
        <v>0</v>
      </c>
      <c r="CT115" s="465">
        <f t="shared" si="225"/>
        <v>1315</v>
      </c>
      <c r="CU115" s="486">
        <f t="shared" si="226"/>
        <v>2.418148389390886E-2</v>
      </c>
      <c r="CV115" s="518"/>
      <c r="CW115" s="427">
        <v>15</v>
      </c>
      <c r="CX115" s="427"/>
      <c r="CY115" s="427">
        <f t="shared" si="227"/>
        <v>15</v>
      </c>
      <c r="CZ115" s="427">
        <f t="shared" si="228"/>
        <v>0</v>
      </c>
      <c r="DA115" s="607">
        <f t="shared" si="244"/>
        <v>0</v>
      </c>
      <c r="DB115" s="607">
        <f t="shared" si="229"/>
        <v>60</v>
      </c>
      <c r="DC115" s="607">
        <f t="shared" si="179"/>
        <v>1.103337668163142E-3</v>
      </c>
      <c r="DD115" s="609"/>
      <c r="DE115" s="471">
        <v>0</v>
      </c>
      <c r="DF115" s="473"/>
      <c r="DG115" s="473">
        <f t="shared" si="180"/>
        <v>0</v>
      </c>
      <c r="DH115" s="473">
        <f t="shared" si="160"/>
        <v>0</v>
      </c>
      <c r="DI115" s="227">
        <f t="shared" si="230"/>
        <v>0</v>
      </c>
      <c r="DJ115" s="473">
        <f t="shared" si="231"/>
        <v>59.2</v>
      </c>
      <c r="DK115" s="227">
        <f t="shared" si="232"/>
        <v>1.0886264992543001E-3</v>
      </c>
      <c r="DL115" s="510"/>
      <c r="DM115" s="63">
        <v>1000</v>
      </c>
      <c r="DN115" s="64"/>
      <c r="DO115" s="66">
        <f t="shared" si="233"/>
        <v>880</v>
      </c>
      <c r="DP115" s="66">
        <f t="shared" si="161"/>
        <v>120</v>
      </c>
      <c r="DQ115" s="412">
        <f t="shared" si="234"/>
        <v>0.14997769081849074</v>
      </c>
      <c r="DR115" s="66">
        <f t="shared" si="235"/>
        <v>13720</v>
      </c>
      <c r="DS115" s="412">
        <f t="shared" si="236"/>
        <v>0.25229654678663843</v>
      </c>
      <c r="DT115" s="506"/>
      <c r="DU115" s="596">
        <v>40</v>
      </c>
      <c r="DV115" s="596"/>
      <c r="DW115" s="596">
        <f t="shared" si="181"/>
        <v>40</v>
      </c>
      <c r="DX115" s="596">
        <f t="shared" si="162"/>
        <v>0</v>
      </c>
      <c r="DY115" s="592">
        <f t="shared" si="182"/>
        <v>0</v>
      </c>
      <c r="DZ115" s="596">
        <f t="shared" si="237"/>
        <v>2760</v>
      </c>
      <c r="EA115" s="592">
        <f t="shared" si="183"/>
        <v>5.0753532735504529E-2</v>
      </c>
      <c r="EB115" s="594"/>
      <c r="EC115" s="448">
        <v>50</v>
      </c>
      <c r="ED115" s="449">
        <v>55</v>
      </c>
      <c r="EE115" s="449">
        <f t="shared" si="184"/>
        <v>55</v>
      </c>
      <c r="EF115" s="449">
        <f t="shared" si="163"/>
        <v>50</v>
      </c>
      <c r="EG115" s="450">
        <f t="shared" si="242"/>
        <v>6.2490704507704477E-2</v>
      </c>
      <c r="EH115" s="449">
        <f t="shared" si="238"/>
        <v>370</v>
      </c>
      <c r="EI115" s="450">
        <f t="shared" si="243"/>
        <v>6.8039156203393751E-3</v>
      </c>
      <c r="EJ115" s="520"/>
      <c r="EK115" s="426">
        <v>1188</v>
      </c>
      <c r="EL115" s="427">
        <v>1250</v>
      </c>
      <c r="EM115" s="427">
        <f t="shared" si="185"/>
        <v>1763</v>
      </c>
      <c r="EN115" s="427">
        <f t="shared" si="164"/>
        <v>675</v>
      </c>
      <c r="EO115" s="427">
        <f t="shared" si="186"/>
        <v>52559</v>
      </c>
      <c r="EP115" s="456">
        <v>0</v>
      </c>
      <c r="EQ115" s="457">
        <v>140</v>
      </c>
      <c r="ER115" s="457">
        <f t="shared" si="187"/>
        <v>98</v>
      </c>
      <c r="ES115" s="457">
        <f t="shared" si="165"/>
        <v>42</v>
      </c>
      <c r="ET115" s="457">
        <f t="shared" si="188"/>
        <v>1120</v>
      </c>
      <c r="EU115" s="409">
        <v>27</v>
      </c>
      <c r="EV115" s="43">
        <v>60</v>
      </c>
      <c r="EW115" s="43">
        <f t="shared" si="189"/>
        <v>82</v>
      </c>
      <c r="EX115" s="43">
        <f t="shared" si="166"/>
        <v>5</v>
      </c>
      <c r="EY115" s="43">
        <f t="shared" si="190"/>
        <v>638</v>
      </c>
      <c r="EZ115" s="436">
        <v>84</v>
      </c>
      <c r="FA115" s="437">
        <v>50</v>
      </c>
      <c r="FB115" s="437">
        <f t="shared" si="191"/>
        <v>131</v>
      </c>
      <c r="FC115" s="437">
        <f t="shared" si="167"/>
        <v>3</v>
      </c>
      <c r="FD115" s="437">
        <f t="shared" si="192"/>
        <v>709</v>
      </c>
      <c r="FE115" s="442">
        <v>175</v>
      </c>
      <c r="FF115" s="443"/>
      <c r="FG115" s="443">
        <f t="shared" si="193"/>
        <v>175</v>
      </c>
      <c r="FH115" s="443">
        <f t="shared" si="168"/>
        <v>0</v>
      </c>
      <c r="FI115" s="443">
        <f t="shared" si="194"/>
        <v>825</v>
      </c>
      <c r="FJ115" s="392">
        <v>0</v>
      </c>
      <c r="FK115" s="298"/>
      <c r="FL115" s="298">
        <f t="shared" si="195"/>
        <v>0</v>
      </c>
      <c r="FM115" s="298">
        <f t="shared" si="169"/>
        <v>0</v>
      </c>
      <c r="FN115" s="498">
        <f t="shared" si="196"/>
        <v>1900</v>
      </c>
      <c r="HC115" s="402"/>
      <c r="HD115" s="52"/>
      <c r="HE115" s="52">
        <f t="shared" si="197"/>
        <v>0</v>
      </c>
      <c r="HF115" s="52">
        <f t="shared" si="170"/>
        <v>0</v>
      </c>
      <c r="HG115" s="51"/>
      <c r="HH115" s="52">
        <f t="shared" si="240"/>
        <v>400</v>
      </c>
      <c r="HI115" s="51"/>
      <c r="HJ115" s="1047"/>
    </row>
    <row r="116" spans="1:218">
      <c r="A116" s="807">
        <v>44779</v>
      </c>
      <c r="B116" s="390">
        <v>618023</v>
      </c>
      <c r="C116" s="18">
        <f t="shared" si="147"/>
        <v>54998474</v>
      </c>
      <c r="D116" s="376">
        <v>7698.82</v>
      </c>
      <c r="E116" s="417">
        <f t="shared" si="255"/>
        <v>725643.61999999976</v>
      </c>
      <c r="F116" s="397">
        <v>41340</v>
      </c>
      <c r="G116" s="37"/>
      <c r="H116" s="37">
        <f t="shared" si="171"/>
        <v>39492</v>
      </c>
      <c r="I116" s="37">
        <f t="shared" si="148"/>
        <v>1848</v>
      </c>
      <c r="J116" s="37">
        <f t="shared" si="146"/>
        <v>240.03678485793927</v>
      </c>
      <c r="K116" s="37">
        <f t="shared" si="198"/>
        <v>337695</v>
      </c>
      <c r="L116" s="37">
        <f t="shared" si="149"/>
        <v>465.37307115027085</v>
      </c>
      <c r="M116" s="648"/>
      <c r="N116" s="422">
        <v>375</v>
      </c>
      <c r="O116" s="423"/>
      <c r="P116" s="423">
        <f t="shared" si="199"/>
        <v>275</v>
      </c>
      <c r="Q116" s="423">
        <f t="shared" si="200"/>
        <v>100</v>
      </c>
      <c r="R116" s="423">
        <f t="shared" si="201"/>
        <v>8950</v>
      </c>
      <c r="S116" s="68">
        <v>6.62</v>
      </c>
      <c r="T116" s="67">
        <v>24</v>
      </c>
      <c r="U116" s="68">
        <f t="shared" si="202"/>
        <v>79.44</v>
      </c>
      <c r="V116" s="68">
        <f t="shared" si="151"/>
        <v>10.318464388049078</v>
      </c>
      <c r="W116" s="423">
        <f t="shared" si="203"/>
        <v>8756.1840000000029</v>
      </c>
      <c r="X116" s="68">
        <f t="shared" si="152"/>
        <v>12.066782865120494</v>
      </c>
      <c r="Y116" s="500"/>
      <c r="Z116" s="424">
        <v>75</v>
      </c>
      <c r="AA116" s="425"/>
      <c r="AB116" s="425">
        <f t="shared" si="204"/>
        <v>75</v>
      </c>
      <c r="AC116" s="425">
        <f t="shared" si="205"/>
        <v>0</v>
      </c>
      <c r="AD116" s="425">
        <f t="shared" si="206"/>
        <v>1425</v>
      </c>
      <c r="AE116" s="72">
        <v>2.4</v>
      </c>
      <c r="AF116" s="71">
        <v>12</v>
      </c>
      <c r="AG116" s="72">
        <f t="shared" si="207"/>
        <v>14.399999999999999</v>
      </c>
      <c r="AH116" s="72">
        <f t="shared" si="173"/>
        <v>1.8704165053865396</v>
      </c>
      <c r="AI116" s="425">
        <f t="shared" si="208"/>
        <v>1325.4120000000005</v>
      </c>
      <c r="AJ116" s="72">
        <f t="shared" si="241"/>
        <v>1.8265329749609056</v>
      </c>
      <c r="AK116" s="502"/>
      <c r="AL116" s="491">
        <v>35919</v>
      </c>
      <c r="AM116" s="491"/>
      <c r="AN116" s="492">
        <f t="shared" si="248"/>
        <v>35919</v>
      </c>
      <c r="AO116" s="492">
        <f t="shared" si="249"/>
        <v>0</v>
      </c>
      <c r="AP116" s="492">
        <f t="shared" si="250"/>
        <v>47654</v>
      </c>
      <c r="AQ116" s="493">
        <f t="shared" si="174"/>
        <v>65.671355313507775</v>
      </c>
      <c r="AR116" s="504"/>
      <c r="AS116" s="413">
        <v>47996</v>
      </c>
      <c r="AT116" s="64"/>
      <c r="AU116" s="66">
        <f t="shared" si="209"/>
        <v>42470</v>
      </c>
      <c r="AV116" s="66">
        <f t="shared" si="155"/>
        <v>5526</v>
      </c>
      <c r="AW116" s="412">
        <f t="shared" si="156"/>
        <v>8.9414148017144992</v>
      </c>
      <c r="AX116" s="66">
        <f t="shared" si="210"/>
        <v>78275</v>
      </c>
      <c r="AY116" s="412">
        <f t="shared" si="211"/>
        <v>1.4232213061038748</v>
      </c>
      <c r="AZ116" s="506"/>
      <c r="BA116" s="419">
        <v>6600</v>
      </c>
      <c r="BB116" s="419"/>
      <c r="BC116" s="407"/>
      <c r="BD116" s="419">
        <f t="shared" si="175"/>
        <v>6600</v>
      </c>
      <c r="BE116" s="419">
        <f t="shared" si="176"/>
        <v>0</v>
      </c>
      <c r="BF116" s="407">
        <f t="shared" si="212"/>
        <v>0</v>
      </c>
      <c r="BG116" s="419">
        <f t="shared" si="251"/>
        <v>38895</v>
      </c>
      <c r="BH116" s="407">
        <f t="shared" si="213"/>
        <v>0.70720143980722083</v>
      </c>
      <c r="BI116" s="407">
        <f t="shared" si="214"/>
        <v>8.6596094670271948E-2</v>
      </c>
      <c r="BJ116" s="508"/>
      <c r="BK116" s="510"/>
      <c r="BL116" s="49">
        <v>2039</v>
      </c>
      <c r="BM116" s="50"/>
      <c r="BN116" s="52">
        <f t="shared" si="215"/>
        <v>1224</v>
      </c>
      <c r="BO116" s="52">
        <f t="shared" si="157"/>
        <v>815</v>
      </c>
      <c r="BP116" s="406">
        <f t="shared" si="216"/>
        <v>1.3187211479184431</v>
      </c>
      <c r="BQ116" s="52">
        <f t="shared" si="217"/>
        <v>22976</v>
      </c>
      <c r="BR116" s="406">
        <f t="shared" si="218"/>
        <v>0.41775704540456887</v>
      </c>
      <c r="BS116" s="512"/>
      <c r="BT116" s="409">
        <v>2118</v>
      </c>
      <c r="BU116" s="43"/>
      <c r="BV116" s="43">
        <f t="shared" si="245"/>
        <v>1845</v>
      </c>
      <c r="BW116" s="43">
        <f t="shared" si="246"/>
        <v>273</v>
      </c>
      <c r="BX116" s="42">
        <f t="shared" si="219"/>
        <v>0.44173113298372391</v>
      </c>
      <c r="BY116" s="43">
        <f t="shared" si="247"/>
        <v>9542</v>
      </c>
      <c r="BZ116" s="42">
        <f t="shared" si="220"/>
        <v>0.17349572280860009</v>
      </c>
      <c r="CA116" s="514"/>
      <c r="CB116" s="392">
        <v>2300</v>
      </c>
      <c r="CC116" s="298"/>
      <c r="CD116" s="298">
        <f t="shared" si="177"/>
        <v>1771</v>
      </c>
      <c r="CE116" s="298">
        <f t="shared" si="158"/>
        <v>529</v>
      </c>
      <c r="CF116" s="297">
        <f t="shared" si="221"/>
        <v>0.85595519907835149</v>
      </c>
      <c r="CG116" s="298">
        <f t="shared" si="222"/>
        <v>47679</v>
      </c>
      <c r="CH116" s="297">
        <f t="shared" si="223"/>
        <v>0.86691496204058316</v>
      </c>
      <c r="CI116" s="516"/>
      <c r="CJ116" s="659">
        <v>1650</v>
      </c>
      <c r="CK116" s="651"/>
      <c r="CL116" s="657">
        <f t="shared" si="252"/>
        <v>950</v>
      </c>
      <c r="CM116" s="657">
        <f t="shared" si="253"/>
        <v>700</v>
      </c>
      <c r="CN116" s="659">
        <f t="shared" si="254"/>
        <v>8050</v>
      </c>
      <c r="CO116" s="464">
        <v>0</v>
      </c>
      <c r="CP116" s="465"/>
      <c r="CQ116" s="465">
        <f t="shared" si="178"/>
        <v>0</v>
      </c>
      <c r="CR116" s="465">
        <f t="shared" si="159"/>
        <v>0</v>
      </c>
      <c r="CS116" s="486">
        <f t="shared" si="224"/>
        <v>0</v>
      </c>
      <c r="CT116" s="465">
        <f t="shared" si="225"/>
        <v>1315</v>
      </c>
      <c r="CU116" s="486">
        <f t="shared" si="226"/>
        <v>2.3909754296091924E-2</v>
      </c>
      <c r="CV116" s="518"/>
      <c r="CW116" s="427">
        <v>15</v>
      </c>
      <c r="CX116" s="427"/>
      <c r="CY116" s="427">
        <f t="shared" si="227"/>
        <v>1</v>
      </c>
      <c r="CZ116" s="427">
        <f t="shared" si="228"/>
        <v>14</v>
      </c>
      <c r="DA116" s="607">
        <f t="shared" si="244"/>
        <v>2.2652878614549943E-2</v>
      </c>
      <c r="DB116" s="607">
        <f t="shared" si="229"/>
        <v>74</v>
      </c>
      <c r="DC116" s="607">
        <f t="shared" si="179"/>
        <v>1.3454918767382528E-3</v>
      </c>
      <c r="DD116" s="609"/>
      <c r="DE116" s="471">
        <v>0</v>
      </c>
      <c r="DF116" s="473"/>
      <c r="DG116" s="473">
        <f t="shared" si="180"/>
        <v>0</v>
      </c>
      <c r="DH116" s="473">
        <f t="shared" si="160"/>
        <v>0</v>
      </c>
      <c r="DI116" s="227">
        <f t="shared" si="230"/>
        <v>0</v>
      </c>
      <c r="DJ116" s="473">
        <f t="shared" si="231"/>
        <v>59.2</v>
      </c>
      <c r="DK116" s="227">
        <f t="shared" si="232"/>
        <v>1.0763935013906021E-3</v>
      </c>
      <c r="DL116" s="510"/>
      <c r="DM116" s="63">
        <v>880</v>
      </c>
      <c r="DN116" s="64"/>
      <c r="DO116" s="66">
        <f t="shared" si="233"/>
        <v>800</v>
      </c>
      <c r="DP116" s="66">
        <f t="shared" si="161"/>
        <v>80</v>
      </c>
      <c r="DQ116" s="412">
        <f t="shared" si="234"/>
        <v>0.12944502065457111</v>
      </c>
      <c r="DR116" s="66">
        <f t="shared" si="235"/>
        <v>13800</v>
      </c>
      <c r="DS116" s="412">
        <f t="shared" si="236"/>
        <v>0.2509160526890255</v>
      </c>
      <c r="DT116" s="506"/>
      <c r="DU116" s="596">
        <v>40</v>
      </c>
      <c r="DV116" s="596"/>
      <c r="DW116" s="596">
        <f t="shared" si="181"/>
        <v>40</v>
      </c>
      <c r="DX116" s="596">
        <f t="shared" si="162"/>
        <v>0</v>
      </c>
      <c r="DY116" s="592">
        <f t="shared" si="182"/>
        <v>0</v>
      </c>
      <c r="DZ116" s="596">
        <f t="shared" si="237"/>
        <v>2760</v>
      </c>
      <c r="EA116" s="592">
        <f t="shared" si="183"/>
        <v>5.0183210537805105E-2</v>
      </c>
      <c r="EB116" s="594"/>
      <c r="EC116" s="448">
        <v>55</v>
      </c>
      <c r="ED116" s="449"/>
      <c r="EE116" s="449">
        <f t="shared" si="184"/>
        <v>55</v>
      </c>
      <c r="EF116" s="449">
        <f t="shared" si="163"/>
        <v>0</v>
      </c>
      <c r="EG116" s="450">
        <f t="shared" si="242"/>
        <v>0</v>
      </c>
      <c r="EH116" s="449">
        <f t="shared" si="238"/>
        <v>370</v>
      </c>
      <c r="EI116" s="450">
        <f t="shared" si="243"/>
        <v>6.7274593836912635E-3</v>
      </c>
      <c r="EJ116" s="520"/>
      <c r="EK116" s="426">
        <v>1763</v>
      </c>
      <c r="EL116" s="427"/>
      <c r="EM116" s="427">
        <f t="shared" si="185"/>
        <v>1125</v>
      </c>
      <c r="EN116" s="427">
        <f t="shared" si="164"/>
        <v>638</v>
      </c>
      <c r="EO116" s="427">
        <f t="shared" si="186"/>
        <v>53197</v>
      </c>
      <c r="EP116" s="456">
        <v>98</v>
      </c>
      <c r="EQ116" s="457"/>
      <c r="ER116" s="457">
        <f t="shared" si="187"/>
        <v>98</v>
      </c>
      <c r="ES116" s="457">
        <f t="shared" si="165"/>
        <v>0</v>
      </c>
      <c r="ET116" s="457">
        <f t="shared" si="188"/>
        <v>1120</v>
      </c>
      <c r="EU116" s="409">
        <v>82</v>
      </c>
      <c r="EV116" s="43"/>
      <c r="EW116" s="43">
        <f t="shared" si="189"/>
        <v>76</v>
      </c>
      <c r="EX116" s="43">
        <f t="shared" si="166"/>
        <v>6</v>
      </c>
      <c r="EY116" s="43">
        <f t="shared" si="190"/>
        <v>644</v>
      </c>
      <c r="EZ116" s="436">
        <v>131</v>
      </c>
      <c r="FA116" s="437"/>
      <c r="FB116" s="437">
        <f t="shared" si="191"/>
        <v>127</v>
      </c>
      <c r="FC116" s="437">
        <f t="shared" si="167"/>
        <v>4</v>
      </c>
      <c r="FD116" s="437">
        <f t="shared" si="192"/>
        <v>713</v>
      </c>
      <c r="FE116" s="442">
        <v>175</v>
      </c>
      <c r="FF116" s="443"/>
      <c r="FG116" s="443">
        <f t="shared" si="193"/>
        <v>175</v>
      </c>
      <c r="FH116" s="443">
        <f t="shared" si="168"/>
        <v>0</v>
      </c>
      <c r="FI116" s="443">
        <f t="shared" si="194"/>
        <v>825</v>
      </c>
      <c r="FJ116" s="392">
        <v>0</v>
      </c>
      <c r="FK116" s="298"/>
      <c r="FL116" s="298">
        <f t="shared" si="195"/>
        <v>0</v>
      </c>
      <c r="FM116" s="298">
        <f t="shared" si="169"/>
        <v>0</v>
      </c>
      <c r="FN116" s="498">
        <f t="shared" si="196"/>
        <v>1900</v>
      </c>
      <c r="HC116" s="402"/>
      <c r="HD116" s="52"/>
      <c r="HE116" s="52">
        <f t="shared" si="197"/>
        <v>0</v>
      </c>
      <c r="HF116" s="52">
        <f t="shared" si="170"/>
        <v>0</v>
      </c>
      <c r="HG116" s="51"/>
      <c r="HH116" s="52">
        <f t="shared" si="240"/>
        <v>400</v>
      </c>
      <c r="HI116" s="51"/>
      <c r="HJ116" s="1047"/>
    </row>
    <row r="117" spans="1:218">
      <c r="A117" s="807">
        <v>44780</v>
      </c>
      <c r="B117" s="390">
        <v>740153</v>
      </c>
      <c r="C117" s="18">
        <f t="shared" si="147"/>
        <v>55738627</v>
      </c>
      <c r="D117" s="376">
        <v>6658.02</v>
      </c>
      <c r="E117" s="417">
        <f t="shared" si="255"/>
        <v>732301.63999999978</v>
      </c>
      <c r="F117" s="397">
        <v>39492</v>
      </c>
      <c r="G117" s="37"/>
      <c r="H117" s="37">
        <f t="shared" si="171"/>
        <v>35795</v>
      </c>
      <c r="I117" s="37">
        <f t="shared" si="148"/>
        <v>3697</v>
      </c>
      <c r="J117" s="37">
        <f t="shared" si="146"/>
        <v>555.27018543050337</v>
      </c>
      <c r="K117" s="37">
        <f t="shared" si="198"/>
        <v>341392</v>
      </c>
      <c r="L117" s="37">
        <f t="shared" si="149"/>
        <v>466.19040754845241</v>
      </c>
      <c r="M117" s="648"/>
      <c r="N117" s="422">
        <v>275</v>
      </c>
      <c r="O117" s="423"/>
      <c r="P117" s="423">
        <f t="shared" si="199"/>
        <v>225</v>
      </c>
      <c r="Q117" s="423">
        <f t="shared" si="200"/>
        <v>50</v>
      </c>
      <c r="R117" s="423">
        <f t="shared" si="201"/>
        <v>9000</v>
      </c>
      <c r="S117" s="68">
        <v>6.63</v>
      </c>
      <c r="T117" s="67">
        <v>24</v>
      </c>
      <c r="U117" s="68">
        <f t="shared" si="202"/>
        <v>79.56</v>
      </c>
      <c r="V117" s="68">
        <f t="shared" si="151"/>
        <v>11.94949849955392</v>
      </c>
      <c r="W117" s="423">
        <f t="shared" si="203"/>
        <v>8835.7440000000024</v>
      </c>
      <c r="X117" s="68">
        <f t="shared" si="152"/>
        <v>12.065716526321046</v>
      </c>
      <c r="Y117" s="500"/>
      <c r="Z117" s="424">
        <v>75</v>
      </c>
      <c r="AA117" s="425"/>
      <c r="AB117" s="425">
        <f t="shared" si="204"/>
        <v>50</v>
      </c>
      <c r="AC117" s="425">
        <f t="shared" si="205"/>
        <v>25</v>
      </c>
      <c r="AD117" s="425">
        <f t="shared" si="206"/>
        <v>1450</v>
      </c>
      <c r="AE117" s="72">
        <v>2.25</v>
      </c>
      <c r="AF117" s="71">
        <v>12</v>
      </c>
      <c r="AG117" s="72">
        <f t="shared" si="207"/>
        <v>13.5</v>
      </c>
      <c r="AH117" s="72">
        <f t="shared" si="173"/>
        <v>2.0276298358971583</v>
      </c>
      <c r="AI117" s="425">
        <f t="shared" si="208"/>
        <v>1338.9120000000005</v>
      </c>
      <c r="AJ117" s="72">
        <f t="shared" si="241"/>
        <v>1.8283613293560299</v>
      </c>
      <c r="AK117" s="502"/>
      <c r="AL117" s="491">
        <v>35919</v>
      </c>
      <c r="AM117" s="491"/>
      <c r="AN117" s="492">
        <f t="shared" si="248"/>
        <v>35919</v>
      </c>
      <c r="AO117" s="492">
        <f t="shared" si="249"/>
        <v>0</v>
      </c>
      <c r="AP117" s="492">
        <f t="shared" si="250"/>
        <v>47654</v>
      </c>
      <c r="AQ117" s="493">
        <f t="shared" si="174"/>
        <v>65.074277315560863</v>
      </c>
      <c r="AR117" s="504"/>
      <c r="AS117" s="413">
        <v>42470</v>
      </c>
      <c r="AT117" s="64"/>
      <c r="AU117" s="66">
        <f t="shared" si="209"/>
        <v>38542</v>
      </c>
      <c r="AV117" s="66">
        <f t="shared" si="155"/>
        <v>3928</v>
      </c>
      <c r="AW117" s="412">
        <f t="shared" si="156"/>
        <v>5.3070108477571525</v>
      </c>
      <c r="AX117" s="66">
        <f t="shared" si="210"/>
        <v>82203</v>
      </c>
      <c r="AY117" s="412">
        <f t="shared" si="211"/>
        <v>1.4747941315454363</v>
      </c>
      <c r="AZ117" s="506"/>
      <c r="BA117" s="419">
        <v>6600</v>
      </c>
      <c r="BB117" s="419"/>
      <c r="BC117" s="407"/>
      <c r="BD117" s="419">
        <f t="shared" si="175"/>
        <v>6600</v>
      </c>
      <c r="BE117" s="419">
        <f t="shared" si="176"/>
        <v>0</v>
      </c>
      <c r="BF117" s="407">
        <f t="shared" si="212"/>
        <v>0</v>
      </c>
      <c r="BG117" s="419">
        <f t="shared" si="251"/>
        <v>38895</v>
      </c>
      <c r="BH117" s="407">
        <f t="shared" si="213"/>
        <v>0.69781051477999267</v>
      </c>
      <c r="BI117" s="407">
        <f t="shared" si="214"/>
        <v>8.5446185483264409E-2</v>
      </c>
      <c r="BJ117" s="508"/>
      <c r="BK117" s="510"/>
      <c r="BL117" s="49">
        <v>1224</v>
      </c>
      <c r="BM117" s="50"/>
      <c r="BN117" s="52">
        <f t="shared" si="215"/>
        <v>769</v>
      </c>
      <c r="BO117" s="52">
        <f t="shared" si="157"/>
        <v>455</v>
      </c>
      <c r="BP117" s="406">
        <f t="shared" si="216"/>
        <v>0.61473776367859079</v>
      </c>
      <c r="BQ117" s="52">
        <f t="shared" si="217"/>
        <v>23431</v>
      </c>
      <c r="BR117" s="406">
        <f t="shared" si="218"/>
        <v>0.4203727515570127</v>
      </c>
      <c r="BS117" s="512"/>
      <c r="BT117" s="409">
        <v>1845</v>
      </c>
      <c r="BU117" s="43"/>
      <c r="BV117" s="43">
        <f t="shared" si="245"/>
        <v>1626</v>
      </c>
      <c r="BW117" s="43">
        <f t="shared" si="246"/>
        <v>219</v>
      </c>
      <c r="BX117" s="42">
        <f t="shared" si="219"/>
        <v>0.29588476977057449</v>
      </c>
      <c r="BY117" s="43">
        <f t="shared" si="247"/>
        <v>9761</v>
      </c>
      <c r="BZ117" s="42">
        <f t="shared" si="220"/>
        <v>0.17512092646272037</v>
      </c>
      <c r="CA117" s="514"/>
      <c r="CB117" s="392">
        <v>1771</v>
      </c>
      <c r="CC117" s="298"/>
      <c r="CD117" s="298">
        <f t="shared" si="177"/>
        <v>1150</v>
      </c>
      <c r="CE117" s="298">
        <f t="shared" si="158"/>
        <v>621</v>
      </c>
      <c r="CF117" s="297">
        <f t="shared" si="221"/>
        <v>0.83901571702067002</v>
      </c>
      <c r="CG117" s="298">
        <f t="shared" si="222"/>
        <v>48300</v>
      </c>
      <c r="CH117" s="297">
        <f t="shared" si="223"/>
        <v>0.86654448808005269</v>
      </c>
      <c r="CI117" s="516"/>
      <c r="CJ117" s="659">
        <v>950</v>
      </c>
      <c r="CK117" s="651"/>
      <c r="CL117" s="657">
        <f t="shared" si="252"/>
        <v>500</v>
      </c>
      <c r="CM117" s="657">
        <f t="shared" si="253"/>
        <v>450</v>
      </c>
      <c r="CN117" s="659">
        <f t="shared" si="254"/>
        <v>8500</v>
      </c>
      <c r="CO117" s="464">
        <v>0</v>
      </c>
      <c r="CP117" s="465"/>
      <c r="CQ117" s="465">
        <f t="shared" si="178"/>
        <v>0</v>
      </c>
      <c r="CR117" s="465">
        <f t="shared" si="159"/>
        <v>0</v>
      </c>
      <c r="CS117" s="486">
        <f t="shared" si="224"/>
        <v>0</v>
      </c>
      <c r="CT117" s="465">
        <f t="shared" si="225"/>
        <v>1315</v>
      </c>
      <c r="CU117" s="486">
        <f t="shared" si="226"/>
        <v>2.3592256766568721E-2</v>
      </c>
      <c r="CV117" s="518"/>
      <c r="CW117" s="427">
        <v>1</v>
      </c>
      <c r="CX117" s="427"/>
      <c r="CY117" s="427">
        <f t="shared" si="227"/>
        <v>1</v>
      </c>
      <c r="CZ117" s="427">
        <f t="shared" si="228"/>
        <v>0</v>
      </c>
      <c r="DA117" s="607">
        <f t="shared" si="244"/>
        <v>0</v>
      </c>
      <c r="DB117" s="607">
        <f t="shared" si="229"/>
        <v>74</v>
      </c>
      <c r="DC117" s="607">
        <f t="shared" si="179"/>
        <v>1.3276250956091903E-3</v>
      </c>
      <c r="DD117" s="609"/>
      <c r="DE117" s="471">
        <v>0</v>
      </c>
      <c r="DF117" s="473"/>
      <c r="DG117" s="473">
        <f t="shared" si="180"/>
        <v>0</v>
      </c>
      <c r="DH117" s="473">
        <f t="shared" si="160"/>
        <v>0</v>
      </c>
      <c r="DI117" s="227">
        <f t="shared" si="230"/>
        <v>0</v>
      </c>
      <c r="DJ117" s="473">
        <f t="shared" si="231"/>
        <v>59.2</v>
      </c>
      <c r="DK117" s="227">
        <f t="shared" si="232"/>
        <v>1.0621000764873523E-3</v>
      </c>
      <c r="DL117" s="510"/>
      <c r="DM117" s="63">
        <v>800</v>
      </c>
      <c r="DN117" s="64"/>
      <c r="DO117" s="66">
        <f t="shared" si="233"/>
        <v>720</v>
      </c>
      <c r="DP117" s="66">
        <f t="shared" si="161"/>
        <v>80</v>
      </c>
      <c r="DQ117" s="412">
        <f t="shared" si="234"/>
        <v>0.1080857606467852</v>
      </c>
      <c r="DR117" s="66">
        <f t="shared" si="235"/>
        <v>13880</v>
      </c>
      <c r="DS117" s="412">
        <f t="shared" si="236"/>
        <v>0.24901940982507517</v>
      </c>
      <c r="DT117" s="506"/>
      <c r="DU117" s="596">
        <v>40</v>
      </c>
      <c r="DV117" s="596"/>
      <c r="DW117" s="596">
        <f t="shared" si="181"/>
        <v>40</v>
      </c>
      <c r="DX117" s="596">
        <f t="shared" si="162"/>
        <v>0</v>
      </c>
      <c r="DY117" s="592">
        <f t="shared" si="182"/>
        <v>0</v>
      </c>
      <c r="DZ117" s="596">
        <f t="shared" si="237"/>
        <v>2760</v>
      </c>
      <c r="EA117" s="592">
        <f t="shared" si="183"/>
        <v>4.9516827890288724E-2</v>
      </c>
      <c r="EB117" s="594"/>
      <c r="EC117" s="448">
        <v>55</v>
      </c>
      <c r="ED117" s="449"/>
      <c r="EE117" s="449">
        <f t="shared" si="184"/>
        <v>55</v>
      </c>
      <c r="EF117" s="449">
        <f t="shared" si="163"/>
        <v>0</v>
      </c>
      <c r="EG117" s="450">
        <f t="shared" si="242"/>
        <v>0</v>
      </c>
      <c r="EH117" s="449">
        <f t="shared" si="238"/>
        <v>370</v>
      </c>
      <c r="EI117" s="450">
        <f t="shared" si="243"/>
        <v>6.6381254780459517E-3</v>
      </c>
      <c r="EJ117" s="520"/>
      <c r="EK117" s="426">
        <v>1125</v>
      </c>
      <c r="EL117" s="427">
        <v>2400</v>
      </c>
      <c r="EM117" s="427">
        <f t="shared" si="185"/>
        <v>3013</v>
      </c>
      <c r="EN117" s="427">
        <f t="shared" si="164"/>
        <v>512</v>
      </c>
      <c r="EO117" s="427">
        <f t="shared" si="186"/>
        <v>53709</v>
      </c>
      <c r="EP117" s="456">
        <v>98</v>
      </c>
      <c r="EQ117" s="457"/>
      <c r="ER117" s="457">
        <f t="shared" si="187"/>
        <v>84</v>
      </c>
      <c r="ES117" s="457">
        <f t="shared" si="165"/>
        <v>14</v>
      </c>
      <c r="ET117" s="457">
        <f t="shared" si="188"/>
        <v>1134</v>
      </c>
      <c r="EU117" s="409">
        <v>76</v>
      </c>
      <c r="EV117" s="43"/>
      <c r="EW117" s="43">
        <f t="shared" si="189"/>
        <v>71</v>
      </c>
      <c r="EX117" s="43">
        <f t="shared" si="166"/>
        <v>5</v>
      </c>
      <c r="EY117" s="43">
        <f t="shared" si="190"/>
        <v>649</v>
      </c>
      <c r="EZ117" s="436">
        <v>127</v>
      </c>
      <c r="FA117" s="437"/>
      <c r="FB117" s="437">
        <f t="shared" si="191"/>
        <v>125</v>
      </c>
      <c r="FC117" s="437">
        <f t="shared" si="167"/>
        <v>2</v>
      </c>
      <c r="FD117" s="437">
        <f t="shared" si="192"/>
        <v>715</v>
      </c>
      <c r="FE117" s="442">
        <v>175</v>
      </c>
      <c r="FF117" s="443"/>
      <c r="FG117" s="443">
        <f t="shared" si="193"/>
        <v>175</v>
      </c>
      <c r="FH117" s="443">
        <f t="shared" si="168"/>
        <v>0</v>
      </c>
      <c r="FI117" s="443">
        <f t="shared" si="194"/>
        <v>825</v>
      </c>
      <c r="FJ117" s="392">
        <v>0</v>
      </c>
      <c r="FK117" s="298"/>
      <c r="FL117" s="298">
        <f t="shared" si="195"/>
        <v>0</v>
      </c>
      <c r="FM117" s="298">
        <f t="shared" si="169"/>
        <v>0</v>
      </c>
      <c r="FN117" s="498">
        <f t="shared" si="196"/>
        <v>1900</v>
      </c>
      <c r="HC117" s="402"/>
      <c r="HD117" s="52"/>
      <c r="HE117" s="52">
        <f t="shared" si="197"/>
        <v>0</v>
      </c>
      <c r="HF117" s="52">
        <f t="shared" si="170"/>
        <v>0</v>
      </c>
      <c r="HG117" s="51"/>
      <c r="HH117" s="52">
        <f t="shared" si="240"/>
        <v>400</v>
      </c>
      <c r="HI117" s="51"/>
      <c r="HJ117" s="1047"/>
    </row>
    <row r="118" spans="1:218">
      <c r="A118" s="807">
        <v>44781</v>
      </c>
      <c r="B118" s="390">
        <v>360201</v>
      </c>
      <c r="C118" s="18">
        <f t="shared" si="147"/>
        <v>56098828</v>
      </c>
      <c r="D118" s="376">
        <v>3680.28</v>
      </c>
      <c r="E118" s="417">
        <f t="shared" si="255"/>
        <v>735981.91999999981</v>
      </c>
      <c r="F118" s="397">
        <v>35795</v>
      </c>
      <c r="G118" s="660"/>
      <c r="H118" s="37">
        <f t="shared" si="171"/>
        <v>32099</v>
      </c>
      <c r="I118" s="37">
        <f t="shared" si="148"/>
        <v>3696</v>
      </c>
      <c r="J118" s="37">
        <f t="shared" si="146"/>
        <v>1004.2714141315334</v>
      </c>
      <c r="K118" s="37">
        <f t="shared" si="198"/>
        <v>345088</v>
      </c>
      <c r="L118" s="37">
        <f t="shared" si="149"/>
        <v>468.88108338313538</v>
      </c>
      <c r="M118" s="648"/>
      <c r="N118" s="422">
        <v>225</v>
      </c>
      <c r="O118" s="423"/>
      <c r="P118" s="423">
        <f t="shared" si="199"/>
        <v>175</v>
      </c>
      <c r="Q118" s="423">
        <f t="shared" si="200"/>
        <v>50</v>
      </c>
      <c r="R118" s="423">
        <f t="shared" si="201"/>
        <v>9050</v>
      </c>
      <c r="S118" s="68">
        <v>3.15</v>
      </c>
      <c r="T118" s="67">
        <v>24</v>
      </c>
      <c r="U118" s="68">
        <f t="shared" si="202"/>
        <v>37.799999999999997</v>
      </c>
      <c r="V118" s="68">
        <f t="shared" si="151"/>
        <v>10.270957644527046</v>
      </c>
      <c r="W118" s="423">
        <f t="shared" si="203"/>
        <v>8873.5440000000017</v>
      </c>
      <c r="X118" s="68">
        <f t="shared" si="152"/>
        <v>12.056741828657971</v>
      </c>
      <c r="Y118" s="500"/>
      <c r="Z118" s="424">
        <v>50</v>
      </c>
      <c r="AA118" s="425"/>
      <c r="AB118" s="425">
        <f t="shared" si="204"/>
        <v>50</v>
      </c>
      <c r="AC118" s="425">
        <f t="shared" si="205"/>
        <v>0</v>
      </c>
      <c r="AD118" s="425">
        <f t="shared" si="206"/>
        <v>1450</v>
      </c>
      <c r="AE118" s="72">
        <v>1.35</v>
      </c>
      <c r="AF118" s="71">
        <v>12</v>
      </c>
      <c r="AG118" s="72">
        <f t="shared" si="207"/>
        <v>8.1000000000000014</v>
      </c>
      <c r="AH118" s="72">
        <f t="shared" si="173"/>
        <v>2.2009194952557962</v>
      </c>
      <c r="AI118" s="425">
        <f t="shared" si="208"/>
        <v>1347.0120000000004</v>
      </c>
      <c r="AJ118" s="72">
        <f t="shared" si="241"/>
        <v>1.8302243076840812</v>
      </c>
      <c r="AK118" s="502"/>
      <c r="AL118" s="491">
        <v>35919</v>
      </c>
      <c r="AM118" s="491"/>
      <c r="AN118" s="492">
        <f t="shared" si="248"/>
        <v>31060</v>
      </c>
      <c r="AO118" s="492">
        <f t="shared" si="249"/>
        <v>4859</v>
      </c>
      <c r="AP118" s="492">
        <f t="shared" si="250"/>
        <v>52513</v>
      </c>
      <c r="AQ118" s="493">
        <f t="shared" si="174"/>
        <v>71.350937533900307</v>
      </c>
      <c r="AR118" s="504"/>
      <c r="AS118" s="413">
        <v>38542</v>
      </c>
      <c r="AT118" s="64"/>
      <c r="AU118" s="66">
        <f t="shared" si="209"/>
        <v>36414</v>
      </c>
      <c r="AV118" s="66">
        <f t="shared" si="155"/>
        <v>2128</v>
      </c>
      <c r="AW118" s="412">
        <f t="shared" si="156"/>
        <v>5.9078125824192602</v>
      </c>
      <c r="AX118" s="66">
        <f t="shared" si="210"/>
        <v>84331</v>
      </c>
      <c r="AY118" s="412">
        <f t="shared" si="211"/>
        <v>1.5032577864193526</v>
      </c>
      <c r="AZ118" s="506"/>
      <c r="BA118" s="419">
        <v>6600</v>
      </c>
      <c r="BB118" s="419"/>
      <c r="BC118" s="407"/>
      <c r="BD118" s="419">
        <f t="shared" si="175"/>
        <v>6600</v>
      </c>
      <c r="BE118" s="419">
        <f t="shared" si="176"/>
        <v>0</v>
      </c>
      <c r="BF118" s="407">
        <f t="shared" si="212"/>
        <v>0</v>
      </c>
      <c r="BG118" s="419">
        <f t="shared" si="251"/>
        <v>38895</v>
      </c>
      <c r="BH118" s="407">
        <f t="shared" si="213"/>
        <v>0.69332999256241146</v>
      </c>
      <c r="BI118" s="407">
        <f t="shared" si="214"/>
        <v>8.4897550109683043E-2</v>
      </c>
      <c r="BJ118" s="508"/>
      <c r="BK118" s="510"/>
      <c r="BL118" s="49">
        <v>769</v>
      </c>
      <c r="BM118" s="50">
        <v>1800</v>
      </c>
      <c r="BN118" s="52">
        <f t="shared" si="215"/>
        <v>2359</v>
      </c>
      <c r="BO118" s="52">
        <f t="shared" si="157"/>
        <v>210</v>
      </c>
      <c r="BP118" s="406">
        <f t="shared" si="216"/>
        <v>0.58300782063347967</v>
      </c>
      <c r="BQ118" s="52">
        <f t="shared" si="217"/>
        <v>23641</v>
      </c>
      <c r="BR118" s="406">
        <f t="shared" si="218"/>
        <v>0.42141700357804268</v>
      </c>
      <c r="BS118" s="512"/>
      <c r="BT118" s="409">
        <v>1626</v>
      </c>
      <c r="BU118" s="43"/>
      <c r="BV118" s="43">
        <f t="shared" si="245"/>
        <v>1378</v>
      </c>
      <c r="BW118" s="43">
        <f t="shared" si="246"/>
        <v>248</v>
      </c>
      <c r="BX118" s="42">
        <f t="shared" si="219"/>
        <v>0.68850447389096647</v>
      </c>
      <c r="BY118" s="43">
        <f t="shared" si="247"/>
        <v>10009</v>
      </c>
      <c r="BZ118" s="42">
        <f t="shared" si="220"/>
        <v>0.17841727459974743</v>
      </c>
      <c r="CA118" s="514"/>
      <c r="CB118" s="392">
        <v>1150</v>
      </c>
      <c r="CC118" s="298">
        <v>1150</v>
      </c>
      <c r="CD118" s="298">
        <f t="shared" si="177"/>
        <v>2185</v>
      </c>
      <c r="CE118" s="298">
        <f t="shared" si="158"/>
        <v>115</v>
      </c>
      <c r="CF118" s="297">
        <f t="shared" si="221"/>
        <v>0.31926618748976265</v>
      </c>
      <c r="CG118" s="298">
        <f t="shared" si="222"/>
        <v>48415</v>
      </c>
      <c r="CH118" s="297">
        <f t="shared" si="223"/>
        <v>0.86303050751791111</v>
      </c>
      <c r="CI118" s="516"/>
      <c r="CJ118" s="659">
        <v>500</v>
      </c>
      <c r="CK118" s="651"/>
      <c r="CL118" s="657">
        <f t="shared" si="252"/>
        <v>425</v>
      </c>
      <c r="CM118" s="657">
        <f t="shared" si="253"/>
        <v>75</v>
      </c>
      <c r="CN118" s="659">
        <f t="shared" si="254"/>
        <v>8575</v>
      </c>
      <c r="CO118" s="464">
        <v>0</v>
      </c>
      <c r="CP118" s="465"/>
      <c r="CQ118" s="465">
        <f t="shared" si="178"/>
        <v>0</v>
      </c>
      <c r="CR118" s="465">
        <f t="shared" si="159"/>
        <v>0</v>
      </c>
      <c r="CS118" s="486">
        <f t="shared" si="224"/>
        <v>0</v>
      </c>
      <c r="CT118" s="465">
        <f t="shared" si="225"/>
        <v>1315</v>
      </c>
      <c r="CU118" s="486">
        <f t="shared" si="226"/>
        <v>2.3440774912445585E-2</v>
      </c>
      <c r="CV118" s="518"/>
      <c r="CW118" s="427">
        <v>1</v>
      </c>
      <c r="CX118" s="427"/>
      <c r="CY118" s="427">
        <f t="shared" si="227"/>
        <v>1</v>
      </c>
      <c r="CZ118" s="427">
        <f t="shared" si="228"/>
        <v>0</v>
      </c>
      <c r="DA118" s="607">
        <f t="shared" si="244"/>
        <v>0</v>
      </c>
      <c r="DB118" s="607">
        <f t="shared" si="229"/>
        <v>74</v>
      </c>
      <c r="DC118" s="607">
        <f t="shared" si="179"/>
        <v>1.3191006414608162E-3</v>
      </c>
      <c r="DD118" s="609"/>
      <c r="DE118" s="471">
        <v>0</v>
      </c>
      <c r="DF118" s="473"/>
      <c r="DG118" s="473">
        <f t="shared" si="180"/>
        <v>0</v>
      </c>
      <c r="DH118" s="473">
        <f t="shared" si="160"/>
        <v>0</v>
      </c>
      <c r="DI118" s="227">
        <f t="shared" si="230"/>
        <v>0</v>
      </c>
      <c r="DJ118" s="473">
        <f t="shared" si="231"/>
        <v>59.2</v>
      </c>
      <c r="DK118" s="227">
        <f t="shared" si="232"/>
        <v>1.055280513168653E-3</v>
      </c>
      <c r="DL118" s="510"/>
      <c r="DM118" s="63">
        <v>720</v>
      </c>
      <c r="DN118" s="64">
        <v>400</v>
      </c>
      <c r="DO118" s="66">
        <f t="shared" si="233"/>
        <v>1050</v>
      </c>
      <c r="DP118" s="66">
        <f t="shared" si="161"/>
        <v>70</v>
      </c>
      <c r="DQ118" s="412">
        <f t="shared" si="234"/>
        <v>0.19433594021115988</v>
      </c>
      <c r="DR118" s="66">
        <f t="shared" si="235"/>
        <v>13950</v>
      </c>
      <c r="DS118" s="412">
        <f t="shared" si="236"/>
        <v>0.24866829659970793</v>
      </c>
      <c r="DT118" s="506"/>
      <c r="DU118" s="596">
        <v>40</v>
      </c>
      <c r="DV118" s="596"/>
      <c r="DW118" s="596">
        <f t="shared" si="181"/>
        <v>40</v>
      </c>
      <c r="DX118" s="596">
        <f t="shared" si="162"/>
        <v>0</v>
      </c>
      <c r="DY118" s="592">
        <f t="shared" si="182"/>
        <v>0</v>
      </c>
      <c r="DZ118" s="596">
        <f t="shared" si="237"/>
        <v>2760</v>
      </c>
      <c r="EA118" s="592">
        <f t="shared" si="183"/>
        <v>4.9198888789619637E-2</v>
      </c>
      <c r="EB118" s="594"/>
      <c r="EC118" s="448">
        <v>55</v>
      </c>
      <c r="ED118" s="449">
        <v>110</v>
      </c>
      <c r="EE118" s="449">
        <f t="shared" si="184"/>
        <v>110</v>
      </c>
      <c r="EF118" s="449">
        <f t="shared" si="163"/>
        <v>55</v>
      </c>
      <c r="EG118" s="450">
        <f t="shared" si="242"/>
        <v>0.15269252445162562</v>
      </c>
      <c r="EH118" s="449">
        <f t="shared" si="238"/>
        <v>425</v>
      </c>
      <c r="EI118" s="450">
        <f t="shared" si="243"/>
        <v>7.5759158462276608E-3</v>
      </c>
      <c r="EJ118" s="520"/>
      <c r="EK118" s="426">
        <v>3013</v>
      </c>
      <c r="EL118" s="427"/>
      <c r="EM118" s="427">
        <f t="shared" si="185"/>
        <v>2663</v>
      </c>
      <c r="EN118" s="427">
        <f t="shared" si="164"/>
        <v>350</v>
      </c>
      <c r="EO118" s="427">
        <f t="shared" si="186"/>
        <v>54059</v>
      </c>
      <c r="EP118" s="456">
        <v>84</v>
      </c>
      <c r="EQ118" s="457"/>
      <c r="ER118" s="457">
        <f t="shared" si="187"/>
        <v>84</v>
      </c>
      <c r="ES118" s="457">
        <f t="shared" si="165"/>
        <v>0</v>
      </c>
      <c r="ET118" s="457">
        <f t="shared" si="188"/>
        <v>1134</v>
      </c>
      <c r="EU118" s="409">
        <v>71</v>
      </c>
      <c r="EV118" s="43">
        <v>20</v>
      </c>
      <c r="EW118" s="43">
        <f t="shared" si="189"/>
        <v>80</v>
      </c>
      <c r="EX118" s="43">
        <f t="shared" si="166"/>
        <v>11</v>
      </c>
      <c r="EY118" s="43">
        <f t="shared" si="190"/>
        <v>660</v>
      </c>
      <c r="EZ118" s="436">
        <v>125</v>
      </c>
      <c r="FA118" s="437"/>
      <c r="FB118" s="437">
        <f t="shared" si="191"/>
        <v>121</v>
      </c>
      <c r="FC118" s="437">
        <f t="shared" si="167"/>
        <v>4</v>
      </c>
      <c r="FD118" s="437">
        <f t="shared" si="192"/>
        <v>719</v>
      </c>
      <c r="FE118" s="442">
        <v>175</v>
      </c>
      <c r="FF118" s="443"/>
      <c r="FG118" s="443">
        <f t="shared" si="193"/>
        <v>150</v>
      </c>
      <c r="FH118" s="443">
        <f t="shared" si="168"/>
        <v>25</v>
      </c>
      <c r="FI118" s="443">
        <f t="shared" si="194"/>
        <v>850</v>
      </c>
      <c r="FJ118" s="392">
        <v>0</v>
      </c>
      <c r="FK118" s="298"/>
      <c r="FL118" s="298">
        <f t="shared" si="195"/>
        <v>0</v>
      </c>
      <c r="FM118" s="298">
        <f t="shared" si="169"/>
        <v>0</v>
      </c>
      <c r="FN118" s="498">
        <f t="shared" si="196"/>
        <v>1900</v>
      </c>
      <c r="HC118" s="402"/>
      <c r="HD118" s="52"/>
      <c r="HE118" s="52">
        <f t="shared" si="197"/>
        <v>0</v>
      </c>
      <c r="HF118" s="52">
        <f t="shared" si="170"/>
        <v>0</v>
      </c>
      <c r="HG118" s="51"/>
      <c r="HH118" s="52">
        <f t="shared" si="240"/>
        <v>400</v>
      </c>
      <c r="HI118" s="51"/>
      <c r="HJ118" s="1047"/>
    </row>
    <row r="119" spans="1:218">
      <c r="A119" s="807">
        <v>44782</v>
      </c>
      <c r="B119" s="390">
        <v>402931</v>
      </c>
      <c r="C119" s="18">
        <f t="shared" si="147"/>
        <v>56501759</v>
      </c>
      <c r="D119" s="376">
        <v>2248.46</v>
      </c>
      <c r="E119" s="417">
        <f t="shared" si="255"/>
        <v>738230.37999999977</v>
      </c>
      <c r="F119" s="397">
        <v>32099</v>
      </c>
      <c r="G119" s="37"/>
      <c r="H119" s="37">
        <f t="shared" si="171"/>
        <v>31174</v>
      </c>
      <c r="I119" s="37">
        <f t="shared" si="148"/>
        <v>925</v>
      </c>
      <c r="J119" s="37">
        <f t="shared" si="146"/>
        <v>411.39268654990525</v>
      </c>
      <c r="K119" s="37">
        <f t="shared" si="198"/>
        <v>346013</v>
      </c>
      <c r="L119" s="37">
        <f t="shared" si="149"/>
        <v>468.70598850185507</v>
      </c>
      <c r="M119" s="648"/>
      <c r="N119" s="422">
        <v>175</v>
      </c>
      <c r="O119" s="423"/>
      <c r="P119" s="423">
        <f t="shared" si="199"/>
        <v>125</v>
      </c>
      <c r="Q119" s="423">
        <f t="shared" si="200"/>
        <v>50</v>
      </c>
      <c r="R119" s="423">
        <f t="shared" si="201"/>
        <v>9100</v>
      </c>
      <c r="S119" s="68">
        <v>3.7</v>
      </c>
      <c r="T119" s="67">
        <v>24</v>
      </c>
      <c r="U119" s="68">
        <f t="shared" si="202"/>
        <v>44.400000000000006</v>
      </c>
      <c r="V119" s="68">
        <f t="shared" si="151"/>
        <v>19.746848954395457</v>
      </c>
      <c r="W119" s="423">
        <f t="shared" si="203"/>
        <v>8917.9440000000013</v>
      </c>
      <c r="X119" s="68">
        <f t="shared" si="152"/>
        <v>12.080163918477595</v>
      </c>
      <c r="Y119" s="500"/>
      <c r="Z119" s="424">
        <v>50</v>
      </c>
      <c r="AA119" s="425"/>
      <c r="AB119" s="425">
        <f t="shared" si="204"/>
        <v>50</v>
      </c>
      <c r="AC119" s="425">
        <f t="shared" si="205"/>
        <v>0</v>
      </c>
      <c r="AD119" s="425">
        <f t="shared" si="206"/>
        <v>1450</v>
      </c>
      <c r="AE119" s="72">
        <v>0.9</v>
      </c>
      <c r="AF119" s="71">
        <v>12</v>
      </c>
      <c r="AG119" s="72">
        <f t="shared" si="207"/>
        <v>5.4</v>
      </c>
      <c r="AH119" s="72">
        <f t="shared" si="173"/>
        <v>2.4016437917507982</v>
      </c>
      <c r="AI119" s="425">
        <f t="shared" si="208"/>
        <v>1352.4120000000005</v>
      </c>
      <c r="AJ119" s="72">
        <f t="shared" si="241"/>
        <v>1.8319647045682419</v>
      </c>
      <c r="AK119" s="502"/>
      <c r="AL119" s="491">
        <v>31060</v>
      </c>
      <c r="AM119" s="491"/>
      <c r="AN119" s="492">
        <f t="shared" si="248"/>
        <v>31060</v>
      </c>
      <c r="AO119" s="492">
        <f t="shared" si="249"/>
        <v>0</v>
      </c>
      <c r="AP119" s="492">
        <f t="shared" si="250"/>
        <v>52513</v>
      </c>
      <c r="AQ119" s="493">
        <f t="shared" si="174"/>
        <v>71.133620916549134</v>
      </c>
      <c r="AR119" s="504"/>
      <c r="AS119" s="413">
        <v>36414</v>
      </c>
      <c r="AT119" s="64"/>
      <c r="AU119" s="66">
        <f t="shared" si="209"/>
        <v>32926</v>
      </c>
      <c r="AV119" s="66">
        <f t="shared" si="155"/>
        <v>3488</v>
      </c>
      <c r="AW119" s="412">
        <f t="shared" si="156"/>
        <v>8.6565689907204959</v>
      </c>
      <c r="AX119" s="66">
        <f t="shared" si="210"/>
        <v>87819</v>
      </c>
      <c r="AY119" s="412">
        <f t="shared" si="211"/>
        <v>1.5542701953756872</v>
      </c>
      <c r="AZ119" s="506"/>
      <c r="BA119" s="419">
        <v>6600</v>
      </c>
      <c r="BB119" s="419"/>
      <c r="BC119" s="407"/>
      <c r="BD119" s="419">
        <f t="shared" si="175"/>
        <v>6600</v>
      </c>
      <c r="BE119" s="419">
        <f t="shared" si="176"/>
        <v>0</v>
      </c>
      <c r="BF119" s="407">
        <f t="shared" si="212"/>
        <v>0</v>
      </c>
      <c r="BG119" s="419">
        <f t="shared" si="251"/>
        <v>38895</v>
      </c>
      <c r="BH119" s="407">
        <f t="shared" si="213"/>
        <v>0.6883856483122941</v>
      </c>
      <c r="BI119" s="407">
        <f t="shared" si="214"/>
        <v>8.4292120201505408E-2</v>
      </c>
      <c r="BJ119" s="508"/>
      <c r="BK119" s="510"/>
      <c r="BL119" s="49">
        <v>2359</v>
      </c>
      <c r="BM119" s="50"/>
      <c r="BN119" s="52">
        <f t="shared" si="215"/>
        <v>2243</v>
      </c>
      <c r="BO119" s="52">
        <f t="shared" si="157"/>
        <v>116</v>
      </c>
      <c r="BP119" s="406">
        <f t="shared" si="216"/>
        <v>0.28789048248955779</v>
      </c>
      <c r="BQ119" s="52">
        <f t="shared" si="217"/>
        <v>23757</v>
      </c>
      <c r="BR119" s="406">
        <f t="shared" si="218"/>
        <v>0.42046478588392266</v>
      </c>
      <c r="BS119" s="512"/>
      <c r="BT119" s="409">
        <v>1378</v>
      </c>
      <c r="BU119" s="43"/>
      <c r="BV119" s="43">
        <f t="shared" si="245"/>
        <v>1314</v>
      </c>
      <c r="BW119" s="43">
        <f t="shared" si="246"/>
        <v>64</v>
      </c>
      <c r="BX119" s="42">
        <f t="shared" si="219"/>
        <v>0.15883612827010082</v>
      </c>
      <c r="BY119" s="43">
        <f t="shared" si="247"/>
        <v>10073</v>
      </c>
      <c r="BZ119" s="42">
        <f t="shared" si="220"/>
        <v>0.17827763556883247</v>
      </c>
      <c r="CA119" s="514"/>
      <c r="CB119" s="392">
        <v>2185</v>
      </c>
      <c r="CC119" s="298"/>
      <c r="CD119" s="298">
        <f t="shared" si="177"/>
        <v>1955</v>
      </c>
      <c r="CE119" s="298">
        <f t="shared" si="158"/>
        <v>230</v>
      </c>
      <c r="CF119" s="297">
        <f t="shared" si="221"/>
        <v>0.57081733597067486</v>
      </c>
      <c r="CG119" s="298">
        <f t="shared" si="222"/>
        <v>48645</v>
      </c>
      <c r="CH119" s="297">
        <f t="shared" si="223"/>
        <v>0.86094664769640183</v>
      </c>
      <c r="CI119" s="516"/>
      <c r="CJ119" s="659">
        <v>425</v>
      </c>
      <c r="CK119" s="651"/>
      <c r="CL119" s="657">
        <f t="shared" si="252"/>
        <v>250</v>
      </c>
      <c r="CM119" s="657">
        <f t="shared" si="253"/>
        <v>175</v>
      </c>
      <c r="CN119" s="659">
        <f t="shared" si="254"/>
        <v>8750</v>
      </c>
      <c r="CO119" s="464">
        <v>0</v>
      </c>
      <c r="CP119" s="465">
        <v>60</v>
      </c>
      <c r="CQ119" s="465">
        <f t="shared" si="178"/>
        <v>0</v>
      </c>
      <c r="CR119" s="465">
        <f t="shared" si="159"/>
        <v>60</v>
      </c>
      <c r="CS119" s="486">
        <f t="shared" si="224"/>
        <v>0.14890887025321953</v>
      </c>
      <c r="CT119" s="465">
        <f t="shared" si="225"/>
        <v>1375</v>
      </c>
      <c r="CU119" s="486">
        <f t="shared" si="226"/>
        <v>2.433552555416903E-2</v>
      </c>
      <c r="CV119" s="518"/>
      <c r="CW119" s="427">
        <v>1</v>
      </c>
      <c r="CX119" s="427"/>
      <c r="CY119" s="427">
        <f t="shared" si="227"/>
        <v>1</v>
      </c>
      <c r="CZ119" s="427">
        <f t="shared" si="228"/>
        <v>0</v>
      </c>
      <c r="DA119" s="607">
        <f t="shared" si="244"/>
        <v>0</v>
      </c>
      <c r="DB119" s="607">
        <f t="shared" si="229"/>
        <v>74</v>
      </c>
      <c r="DC119" s="607">
        <f t="shared" si="179"/>
        <v>1.3096937389152788E-3</v>
      </c>
      <c r="DD119" s="609"/>
      <c r="DE119" s="471">
        <v>0</v>
      </c>
      <c r="DF119" s="473"/>
      <c r="DG119" s="473">
        <f t="shared" si="180"/>
        <v>0</v>
      </c>
      <c r="DH119" s="473">
        <f t="shared" si="160"/>
        <v>0</v>
      </c>
      <c r="DI119" s="227">
        <f t="shared" si="230"/>
        <v>0</v>
      </c>
      <c r="DJ119" s="473">
        <f t="shared" si="231"/>
        <v>59.2</v>
      </c>
      <c r="DK119" s="227">
        <f t="shared" si="232"/>
        <v>1.0477549911322231E-3</v>
      </c>
      <c r="DL119" s="510"/>
      <c r="DM119" s="63">
        <v>1050</v>
      </c>
      <c r="DN119" s="64"/>
      <c r="DO119" s="66">
        <f t="shared" si="233"/>
        <v>950</v>
      </c>
      <c r="DP119" s="66">
        <f t="shared" si="161"/>
        <v>100</v>
      </c>
      <c r="DQ119" s="412">
        <f t="shared" si="234"/>
        <v>0.24818145042203255</v>
      </c>
      <c r="DR119" s="66">
        <f t="shared" si="235"/>
        <v>14050</v>
      </c>
      <c r="DS119" s="412">
        <f t="shared" si="236"/>
        <v>0.24866482475350901</v>
      </c>
      <c r="DT119" s="506"/>
      <c r="DU119" s="596">
        <v>40</v>
      </c>
      <c r="DV119" s="596"/>
      <c r="DW119" s="596">
        <f t="shared" si="181"/>
        <v>40</v>
      </c>
      <c r="DX119" s="596">
        <f t="shared" si="162"/>
        <v>0</v>
      </c>
      <c r="DY119" s="592">
        <f t="shared" si="182"/>
        <v>0</v>
      </c>
      <c r="DZ119" s="596">
        <f t="shared" si="237"/>
        <v>2760</v>
      </c>
      <c r="EA119" s="592">
        <f t="shared" si="183"/>
        <v>4.8848036748732018E-2</v>
      </c>
      <c r="EB119" s="594"/>
      <c r="EC119" s="448">
        <v>110</v>
      </c>
      <c r="ED119" s="449"/>
      <c r="EE119" s="449">
        <f t="shared" si="184"/>
        <v>110</v>
      </c>
      <c r="EF119" s="449">
        <f t="shared" si="163"/>
        <v>0</v>
      </c>
      <c r="EG119" s="450">
        <f t="shared" si="242"/>
        <v>0</v>
      </c>
      <c r="EH119" s="449">
        <f t="shared" si="238"/>
        <v>425</v>
      </c>
      <c r="EI119" s="450">
        <f t="shared" si="243"/>
        <v>7.5218897167431548E-3</v>
      </c>
      <c r="EJ119" s="520"/>
      <c r="EK119" s="426">
        <v>2663</v>
      </c>
      <c r="EL119" s="427"/>
      <c r="EM119" s="427">
        <f t="shared" si="185"/>
        <v>2313</v>
      </c>
      <c r="EN119" s="427">
        <f t="shared" si="164"/>
        <v>350</v>
      </c>
      <c r="EO119" s="427">
        <f t="shared" si="186"/>
        <v>54409</v>
      </c>
      <c r="EP119" s="456">
        <v>84</v>
      </c>
      <c r="EQ119" s="457"/>
      <c r="ER119" s="457">
        <f t="shared" si="187"/>
        <v>70</v>
      </c>
      <c r="ES119" s="457">
        <f t="shared" si="165"/>
        <v>14</v>
      </c>
      <c r="ET119" s="457">
        <f t="shared" si="188"/>
        <v>1148</v>
      </c>
      <c r="EU119" s="409">
        <v>80</v>
      </c>
      <c r="EV119" s="43"/>
      <c r="EW119" s="43">
        <f t="shared" si="189"/>
        <v>80</v>
      </c>
      <c r="EX119" s="43">
        <f t="shared" si="166"/>
        <v>0</v>
      </c>
      <c r="EY119" s="43">
        <f t="shared" si="190"/>
        <v>660</v>
      </c>
      <c r="EZ119" s="436">
        <v>121</v>
      </c>
      <c r="FA119" s="437"/>
      <c r="FB119" s="437">
        <f t="shared" si="191"/>
        <v>114</v>
      </c>
      <c r="FC119" s="437">
        <f t="shared" si="167"/>
        <v>7</v>
      </c>
      <c r="FD119" s="437">
        <f t="shared" si="192"/>
        <v>726</v>
      </c>
      <c r="FE119" s="442">
        <v>150</v>
      </c>
      <c r="FF119" s="443"/>
      <c r="FG119" s="443">
        <f t="shared" si="193"/>
        <v>150</v>
      </c>
      <c r="FH119" s="443">
        <f t="shared" si="168"/>
        <v>0</v>
      </c>
      <c r="FI119" s="443">
        <f t="shared" si="194"/>
        <v>850</v>
      </c>
      <c r="FJ119" s="392">
        <v>0</v>
      </c>
      <c r="FK119" s="298"/>
      <c r="FL119" s="298">
        <f t="shared" si="195"/>
        <v>0</v>
      </c>
      <c r="FM119" s="298">
        <f t="shared" si="169"/>
        <v>0</v>
      </c>
      <c r="FN119" s="498">
        <f t="shared" si="196"/>
        <v>1900</v>
      </c>
      <c r="HC119" s="402"/>
      <c r="HD119" s="52"/>
      <c r="HE119" s="52">
        <f t="shared" si="197"/>
        <v>0</v>
      </c>
      <c r="HF119" s="52">
        <f t="shared" si="170"/>
        <v>0</v>
      </c>
      <c r="HG119" s="51"/>
      <c r="HH119" s="52">
        <f t="shared" si="240"/>
        <v>400</v>
      </c>
      <c r="HI119" s="51"/>
      <c r="HJ119" s="1047"/>
    </row>
    <row r="120" spans="1:218">
      <c r="A120" s="807">
        <v>44783</v>
      </c>
      <c r="B120" s="390">
        <v>0</v>
      </c>
      <c r="C120" s="18">
        <f t="shared" si="147"/>
        <v>56501759</v>
      </c>
      <c r="D120" s="376">
        <v>0</v>
      </c>
      <c r="E120" s="417">
        <f t="shared" si="255"/>
        <v>738230.37999999977</v>
      </c>
      <c r="F120" s="397">
        <v>31174</v>
      </c>
      <c r="G120" s="37"/>
      <c r="H120" s="37">
        <f t="shared" si="171"/>
        <v>31174</v>
      </c>
      <c r="I120" s="37">
        <f t="shared" si="148"/>
        <v>0</v>
      </c>
      <c r="J120" s="37" t="e">
        <f t="shared" si="146"/>
        <v>#DIV/0!</v>
      </c>
      <c r="K120" s="37">
        <f t="shared" si="198"/>
        <v>346013</v>
      </c>
      <c r="L120" s="37">
        <f t="shared" si="149"/>
        <v>468.70598850185507</v>
      </c>
      <c r="M120" s="648"/>
      <c r="N120" s="422">
        <v>125</v>
      </c>
      <c r="O120" s="423"/>
      <c r="P120" s="423">
        <f t="shared" si="199"/>
        <v>125</v>
      </c>
      <c r="Q120" s="423">
        <f t="shared" si="200"/>
        <v>0</v>
      </c>
      <c r="R120" s="423">
        <f t="shared" si="201"/>
        <v>9100</v>
      </c>
      <c r="S120" s="68">
        <v>0.3</v>
      </c>
      <c r="T120" s="67">
        <v>24</v>
      </c>
      <c r="U120" s="68">
        <f t="shared" si="202"/>
        <v>3.5999999999999996</v>
      </c>
      <c r="V120" s="68" t="e">
        <f t="shared" si="151"/>
        <v>#DIV/0!</v>
      </c>
      <c r="W120" s="423">
        <f t="shared" si="203"/>
        <v>8921.5440000000017</v>
      </c>
      <c r="X120" s="68">
        <f t="shared" si="152"/>
        <v>12.085040444962459</v>
      </c>
      <c r="Y120" s="500"/>
      <c r="Z120" s="424">
        <v>50</v>
      </c>
      <c r="AA120" s="425"/>
      <c r="AB120" s="425">
        <f t="shared" si="204"/>
        <v>50</v>
      </c>
      <c r="AC120" s="425">
        <f t="shared" si="205"/>
        <v>0</v>
      </c>
      <c r="AD120" s="425">
        <f t="shared" si="206"/>
        <v>1450</v>
      </c>
      <c r="AE120" s="72">
        <v>0.72</v>
      </c>
      <c r="AF120" s="71">
        <v>12</v>
      </c>
      <c r="AG120" s="72">
        <f t="shared" si="207"/>
        <v>4.32</v>
      </c>
      <c r="AH120" s="72" t="e">
        <f t="shared" si="173"/>
        <v>#DIV/0!</v>
      </c>
      <c r="AI120" s="425">
        <f t="shared" si="208"/>
        <v>1356.7320000000004</v>
      </c>
      <c r="AJ120" s="72">
        <f t="shared" si="241"/>
        <v>1.8378165363500767</v>
      </c>
      <c r="AK120" s="502"/>
      <c r="AL120" s="491">
        <v>31060</v>
      </c>
      <c r="AM120" s="491"/>
      <c r="AN120" s="492">
        <f t="shared" si="248"/>
        <v>31060</v>
      </c>
      <c r="AO120" s="492">
        <f t="shared" si="249"/>
        <v>0</v>
      </c>
      <c r="AP120" s="492">
        <f t="shared" si="250"/>
        <v>52513</v>
      </c>
      <c r="AQ120" s="493">
        <f t="shared" si="174"/>
        <v>71.133620916549134</v>
      </c>
      <c r="AR120" s="504"/>
      <c r="AS120" s="413">
        <v>32926</v>
      </c>
      <c r="AT120" s="64"/>
      <c r="AU120" s="66">
        <f t="shared" si="209"/>
        <v>32926</v>
      </c>
      <c r="AV120" s="66">
        <f t="shared" si="155"/>
        <v>0</v>
      </c>
      <c r="AW120" s="412" t="e">
        <f t="shared" si="156"/>
        <v>#DIV/0!</v>
      </c>
      <c r="AX120" s="66">
        <f t="shared" si="210"/>
        <v>87819</v>
      </c>
      <c r="AY120" s="412">
        <f t="shared" si="211"/>
        <v>1.5542701953756872</v>
      </c>
      <c r="AZ120" s="506"/>
      <c r="BA120" s="419">
        <v>6600</v>
      </c>
      <c r="BB120" s="419"/>
      <c r="BC120" s="407"/>
      <c r="BD120" s="419">
        <f t="shared" si="175"/>
        <v>6600</v>
      </c>
      <c r="BE120" s="419">
        <f t="shared" si="176"/>
        <v>0</v>
      </c>
      <c r="BF120" s="407" t="e">
        <f t="shared" si="212"/>
        <v>#DIV/0!</v>
      </c>
      <c r="BG120" s="419">
        <f t="shared" si="251"/>
        <v>38895</v>
      </c>
      <c r="BH120" s="407">
        <f t="shared" si="213"/>
        <v>0.6883856483122941</v>
      </c>
      <c r="BI120" s="407">
        <f t="shared" si="214"/>
        <v>8.4292120201505408E-2</v>
      </c>
      <c r="BJ120" s="508"/>
      <c r="BK120" s="510"/>
      <c r="BL120" s="49">
        <v>2243</v>
      </c>
      <c r="BM120" s="50"/>
      <c r="BN120" s="52">
        <f t="shared" si="215"/>
        <v>2225</v>
      </c>
      <c r="BO120" s="52">
        <f t="shared" si="157"/>
        <v>18</v>
      </c>
      <c r="BP120" s="406" t="e">
        <f t="shared" si="216"/>
        <v>#DIV/0!</v>
      </c>
      <c r="BQ120" s="52">
        <f t="shared" si="217"/>
        <v>23775</v>
      </c>
      <c r="BR120" s="406">
        <f t="shared" si="218"/>
        <v>0.4207833600366318</v>
      </c>
      <c r="BS120" s="512"/>
      <c r="BT120" s="409">
        <v>1314</v>
      </c>
      <c r="BU120" s="43"/>
      <c r="BV120" s="43">
        <f t="shared" si="245"/>
        <v>1314</v>
      </c>
      <c r="BW120" s="43">
        <f t="shared" si="246"/>
        <v>0</v>
      </c>
      <c r="BX120" s="42" t="e">
        <f t="shared" si="219"/>
        <v>#DIV/0!</v>
      </c>
      <c r="BY120" s="43">
        <f t="shared" si="247"/>
        <v>10073</v>
      </c>
      <c r="BZ120" s="42">
        <f t="shared" si="220"/>
        <v>0.17827763556883247</v>
      </c>
      <c r="CA120" s="514"/>
      <c r="CB120" s="392">
        <v>1955</v>
      </c>
      <c r="CC120" s="298"/>
      <c r="CD120" s="298">
        <f t="shared" si="177"/>
        <v>1943</v>
      </c>
      <c r="CE120" s="298">
        <f t="shared" si="158"/>
        <v>12</v>
      </c>
      <c r="CF120" s="297" t="e">
        <f t="shared" si="221"/>
        <v>#DIV/0!</v>
      </c>
      <c r="CG120" s="298">
        <f t="shared" si="222"/>
        <v>48657</v>
      </c>
      <c r="CH120" s="297">
        <f t="shared" si="223"/>
        <v>0.86115903046487452</v>
      </c>
      <c r="CI120" s="516"/>
      <c r="CJ120" s="659">
        <v>250</v>
      </c>
      <c r="CK120" s="651"/>
      <c r="CL120" s="657">
        <f t="shared" si="252"/>
        <v>250</v>
      </c>
      <c r="CM120" s="657">
        <f t="shared" si="253"/>
        <v>0</v>
      </c>
      <c r="CN120" s="659">
        <f t="shared" si="254"/>
        <v>8750</v>
      </c>
      <c r="CO120" s="464">
        <v>0</v>
      </c>
      <c r="CP120" s="465"/>
      <c r="CQ120" s="465">
        <f t="shared" si="178"/>
        <v>0</v>
      </c>
      <c r="CR120" s="465">
        <f t="shared" si="159"/>
        <v>0</v>
      </c>
      <c r="CS120" s="486" t="e">
        <f t="shared" si="224"/>
        <v>#DIV/0!</v>
      </c>
      <c r="CT120" s="465">
        <f t="shared" si="225"/>
        <v>1375</v>
      </c>
      <c r="CU120" s="486">
        <f t="shared" si="226"/>
        <v>2.433552555416903E-2</v>
      </c>
      <c r="CV120" s="518"/>
      <c r="CW120" s="427">
        <v>1</v>
      </c>
      <c r="CX120" s="427"/>
      <c r="CY120" s="427">
        <f t="shared" si="227"/>
        <v>1</v>
      </c>
      <c r="CZ120" s="427">
        <f t="shared" si="228"/>
        <v>0</v>
      </c>
      <c r="DA120" s="607" t="e">
        <f t="shared" si="244"/>
        <v>#DIV/0!</v>
      </c>
      <c r="DB120" s="607">
        <f t="shared" si="229"/>
        <v>74</v>
      </c>
      <c r="DC120" s="607">
        <f t="shared" si="179"/>
        <v>1.3096937389152788E-3</v>
      </c>
      <c r="DD120" s="609"/>
      <c r="DE120" s="471">
        <v>0</v>
      </c>
      <c r="DF120" s="473"/>
      <c r="DG120" s="473">
        <f t="shared" si="180"/>
        <v>0</v>
      </c>
      <c r="DH120" s="473">
        <f t="shared" si="160"/>
        <v>0</v>
      </c>
      <c r="DI120" s="227" t="e">
        <f t="shared" si="230"/>
        <v>#DIV/0!</v>
      </c>
      <c r="DJ120" s="473">
        <f t="shared" si="231"/>
        <v>59.2</v>
      </c>
      <c r="DK120" s="227">
        <f t="shared" si="232"/>
        <v>1.0477549911322231E-3</v>
      </c>
      <c r="DL120" s="510"/>
      <c r="DM120" s="63">
        <v>950</v>
      </c>
      <c r="DN120" s="64"/>
      <c r="DO120" s="66">
        <f t="shared" si="233"/>
        <v>950</v>
      </c>
      <c r="DP120" s="66">
        <f t="shared" si="161"/>
        <v>0</v>
      </c>
      <c r="DQ120" s="412" t="e">
        <f t="shared" si="234"/>
        <v>#DIV/0!</v>
      </c>
      <c r="DR120" s="66">
        <f t="shared" si="235"/>
        <v>14050</v>
      </c>
      <c r="DS120" s="412">
        <f t="shared" si="236"/>
        <v>0.24866482475350901</v>
      </c>
      <c r="DT120" s="506"/>
      <c r="DU120" s="596">
        <v>40</v>
      </c>
      <c r="DV120" s="596"/>
      <c r="DW120" s="596">
        <f t="shared" si="181"/>
        <v>40</v>
      </c>
      <c r="DX120" s="596">
        <f t="shared" si="162"/>
        <v>0</v>
      </c>
      <c r="DY120" s="592" t="e">
        <f t="shared" si="182"/>
        <v>#DIV/0!</v>
      </c>
      <c r="DZ120" s="596">
        <f t="shared" si="237"/>
        <v>2760</v>
      </c>
      <c r="EA120" s="592">
        <f t="shared" si="183"/>
        <v>4.8848036748732018E-2</v>
      </c>
      <c r="EB120" s="594"/>
      <c r="EC120" s="448">
        <v>110</v>
      </c>
      <c r="ED120" s="449"/>
      <c r="EE120" s="449">
        <f t="shared" si="184"/>
        <v>110</v>
      </c>
      <c r="EF120" s="449">
        <f t="shared" si="163"/>
        <v>0</v>
      </c>
      <c r="EG120" s="450" t="e">
        <f t="shared" si="242"/>
        <v>#DIV/0!</v>
      </c>
      <c r="EH120" s="449">
        <f t="shared" si="238"/>
        <v>425</v>
      </c>
      <c r="EI120" s="450">
        <f t="shared" si="243"/>
        <v>7.5218897167431548E-3</v>
      </c>
      <c r="EJ120" s="520"/>
      <c r="EK120" s="426">
        <v>2313</v>
      </c>
      <c r="EL120" s="427"/>
      <c r="EM120" s="427">
        <f t="shared" si="185"/>
        <v>1750</v>
      </c>
      <c r="EN120" s="427">
        <f t="shared" si="164"/>
        <v>563</v>
      </c>
      <c r="EO120" s="427">
        <f t="shared" si="186"/>
        <v>54972</v>
      </c>
      <c r="EP120" s="456">
        <v>70</v>
      </c>
      <c r="EQ120" s="457"/>
      <c r="ER120" s="457">
        <f t="shared" si="187"/>
        <v>70</v>
      </c>
      <c r="ES120" s="457">
        <f t="shared" si="165"/>
        <v>0</v>
      </c>
      <c r="ET120" s="457">
        <f t="shared" si="188"/>
        <v>1148</v>
      </c>
      <c r="EU120" s="409">
        <v>80</v>
      </c>
      <c r="EV120" s="43"/>
      <c r="EW120" s="43">
        <f t="shared" si="189"/>
        <v>47</v>
      </c>
      <c r="EX120" s="43">
        <f t="shared" si="166"/>
        <v>33</v>
      </c>
      <c r="EY120" s="43">
        <f t="shared" si="190"/>
        <v>693</v>
      </c>
      <c r="EZ120" s="436">
        <v>114</v>
      </c>
      <c r="FA120" s="437"/>
      <c r="FB120" s="437">
        <f t="shared" si="191"/>
        <v>113</v>
      </c>
      <c r="FC120" s="437">
        <f t="shared" si="167"/>
        <v>1</v>
      </c>
      <c r="FD120" s="437">
        <f t="shared" si="192"/>
        <v>727</v>
      </c>
      <c r="FE120" s="442">
        <v>150</v>
      </c>
      <c r="FF120" s="443"/>
      <c r="FG120" s="443">
        <f t="shared" si="193"/>
        <v>150</v>
      </c>
      <c r="FH120" s="443">
        <f t="shared" si="168"/>
        <v>0</v>
      </c>
      <c r="FI120" s="443">
        <f t="shared" si="194"/>
        <v>850</v>
      </c>
      <c r="FJ120" s="392">
        <v>0</v>
      </c>
      <c r="FK120" s="298"/>
      <c r="FL120" s="298">
        <f t="shared" si="195"/>
        <v>0</v>
      </c>
      <c r="FM120" s="298">
        <f t="shared" si="169"/>
        <v>0</v>
      </c>
      <c r="FN120" s="498">
        <f t="shared" si="196"/>
        <v>1900</v>
      </c>
      <c r="HC120" s="402"/>
      <c r="HD120" s="52"/>
      <c r="HE120" s="52">
        <f t="shared" si="197"/>
        <v>0</v>
      </c>
      <c r="HF120" s="52">
        <f t="shared" si="170"/>
        <v>0</v>
      </c>
      <c r="HG120" s="51"/>
      <c r="HH120" s="52">
        <f t="shared" si="240"/>
        <v>400</v>
      </c>
      <c r="HI120" s="51"/>
      <c r="HJ120" s="1047"/>
    </row>
    <row r="121" spans="1:218">
      <c r="A121" s="807">
        <v>44784</v>
      </c>
      <c r="B121" s="390">
        <v>138444</v>
      </c>
      <c r="C121" s="18">
        <f t="shared" si="147"/>
        <v>56640203</v>
      </c>
      <c r="D121" s="376">
        <v>4074.2</v>
      </c>
      <c r="E121" s="417">
        <f t="shared" si="255"/>
        <v>742304.57999999973</v>
      </c>
      <c r="F121" s="397">
        <v>31174</v>
      </c>
      <c r="G121" s="37"/>
      <c r="H121" s="37">
        <f t="shared" si="171"/>
        <v>31174</v>
      </c>
      <c r="I121" s="37">
        <f t="shared" si="148"/>
        <v>0</v>
      </c>
      <c r="J121" s="37">
        <f t="shared" si="146"/>
        <v>0</v>
      </c>
      <c r="K121" s="37">
        <f t="shared" si="198"/>
        <v>346013</v>
      </c>
      <c r="L121" s="37">
        <f t="shared" si="149"/>
        <v>466.13345696991405</v>
      </c>
      <c r="M121" s="648"/>
      <c r="N121" s="422">
        <v>125</v>
      </c>
      <c r="O121" s="423"/>
      <c r="P121" s="423">
        <f t="shared" si="199"/>
        <v>75</v>
      </c>
      <c r="Q121" s="423">
        <f t="shared" si="200"/>
        <v>50</v>
      </c>
      <c r="R121" s="423">
        <f t="shared" si="201"/>
        <v>9150</v>
      </c>
      <c r="S121" s="68">
        <v>3.27</v>
      </c>
      <c r="T121" s="67">
        <v>24</v>
      </c>
      <c r="U121" s="68">
        <f t="shared" si="202"/>
        <v>39.24</v>
      </c>
      <c r="V121" s="68">
        <f t="shared" si="151"/>
        <v>9.6313386677139068</v>
      </c>
      <c r="W121" s="423">
        <f t="shared" si="203"/>
        <v>8960.7840000000015</v>
      </c>
      <c r="X121" s="68">
        <f t="shared" si="152"/>
        <v>12.071573100087845</v>
      </c>
      <c r="Y121" s="500"/>
      <c r="Z121" s="424">
        <v>50</v>
      </c>
      <c r="AA121" s="425"/>
      <c r="AB121" s="425">
        <f t="shared" si="204"/>
        <v>25</v>
      </c>
      <c r="AC121" s="425">
        <f t="shared" si="205"/>
        <v>25</v>
      </c>
      <c r="AD121" s="425">
        <f t="shared" si="206"/>
        <v>1475</v>
      </c>
      <c r="AE121" s="72">
        <v>1.28</v>
      </c>
      <c r="AF121" s="71">
        <v>12</v>
      </c>
      <c r="AG121" s="72">
        <f t="shared" si="207"/>
        <v>7.68</v>
      </c>
      <c r="AH121" s="72">
        <f t="shared" si="173"/>
        <v>1.8850326444455354</v>
      </c>
      <c r="AI121" s="425">
        <f t="shared" si="208"/>
        <v>1364.4120000000005</v>
      </c>
      <c r="AJ121" s="72">
        <f t="shared" si="241"/>
        <v>1.8380756858593019</v>
      </c>
      <c r="AK121" s="502"/>
      <c r="AL121" s="491">
        <v>31060</v>
      </c>
      <c r="AM121" s="491"/>
      <c r="AN121" s="492">
        <f t="shared" si="248"/>
        <v>31060</v>
      </c>
      <c r="AO121" s="492">
        <f t="shared" si="249"/>
        <v>0</v>
      </c>
      <c r="AP121" s="492">
        <f t="shared" si="250"/>
        <v>52513</v>
      </c>
      <c r="AQ121" s="493">
        <f t="shared" si="174"/>
        <v>70.743198162673366</v>
      </c>
      <c r="AR121" s="504"/>
      <c r="AS121" s="413">
        <v>32926</v>
      </c>
      <c r="AT121" s="64"/>
      <c r="AU121" s="66">
        <f t="shared" si="209"/>
        <v>32926</v>
      </c>
      <c r="AV121" s="66">
        <f t="shared" si="155"/>
        <v>0</v>
      </c>
      <c r="AW121" s="412">
        <f t="shared" si="156"/>
        <v>0</v>
      </c>
      <c r="AX121" s="66">
        <f t="shared" si="210"/>
        <v>87819</v>
      </c>
      <c r="AY121" s="412">
        <f t="shared" si="211"/>
        <v>1.5504711379653777</v>
      </c>
      <c r="AZ121" s="506"/>
      <c r="BA121" s="419">
        <v>6600</v>
      </c>
      <c r="BB121" s="419"/>
      <c r="BC121" s="407"/>
      <c r="BD121" s="419">
        <f t="shared" si="175"/>
        <v>6600</v>
      </c>
      <c r="BE121" s="419">
        <f t="shared" si="176"/>
        <v>0</v>
      </c>
      <c r="BF121" s="407">
        <f t="shared" si="212"/>
        <v>0</v>
      </c>
      <c r="BG121" s="419">
        <f t="shared" si="251"/>
        <v>38895</v>
      </c>
      <c r="BH121" s="407">
        <f t="shared" si="213"/>
        <v>0.68670304730369702</v>
      </c>
      <c r="BI121" s="407">
        <f t="shared" si="214"/>
        <v>8.4086087424942502E-2</v>
      </c>
      <c r="BJ121" s="508"/>
      <c r="BK121" s="510"/>
      <c r="BL121" s="49">
        <v>2225</v>
      </c>
      <c r="BM121" s="50"/>
      <c r="BN121" s="52">
        <f t="shared" si="215"/>
        <v>2142</v>
      </c>
      <c r="BO121" s="52">
        <f t="shared" si="157"/>
        <v>83</v>
      </c>
      <c r="BP121" s="406">
        <f t="shared" si="216"/>
        <v>0.59952038369304561</v>
      </c>
      <c r="BQ121" s="52">
        <f t="shared" si="217"/>
        <v>23858</v>
      </c>
      <c r="BR121" s="406">
        <f t="shared" si="218"/>
        <v>0.42122024174242456</v>
      </c>
      <c r="BS121" s="512"/>
      <c r="BT121" s="409">
        <v>1314</v>
      </c>
      <c r="BU121" s="43"/>
      <c r="BV121" s="43">
        <f t="shared" si="245"/>
        <v>1246</v>
      </c>
      <c r="BW121" s="43">
        <f t="shared" si="246"/>
        <v>68</v>
      </c>
      <c r="BX121" s="42">
        <f t="shared" si="219"/>
        <v>0.49117332639912165</v>
      </c>
      <c r="BY121" s="43">
        <f t="shared" si="247"/>
        <v>10141</v>
      </c>
      <c r="BZ121" s="42">
        <f t="shared" si="220"/>
        <v>0.17904243740086878</v>
      </c>
      <c r="CA121" s="514"/>
      <c r="CB121" s="392">
        <v>1943</v>
      </c>
      <c r="CC121" s="298"/>
      <c r="CD121" s="298">
        <f t="shared" si="177"/>
        <v>1702</v>
      </c>
      <c r="CE121" s="298">
        <f t="shared" si="158"/>
        <v>241</v>
      </c>
      <c r="CF121" s="297">
        <f t="shared" si="221"/>
        <v>1.7407760538557107</v>
      </c>
      <c r="CG121" s="298">
        <f t="shared" si="222"/>
        <v>48898</v>
      </c>
      <c r="CH121" s="297">
        <f t="shared" si="223"/>
        <v>0.86330905275886816</v>
      </c>
      <c r="CI121" s="516"/>
      <c r="CJ121" s="659">
        <v>250</v>
      </c>
      <c r="CK121" s="651"/>
      <c r="CL121" s="657">
        <f t="shared" si="252"/>
        <v>0</v>
      </c>
      <c r="CM121" s="657">
        <f t="shared" si="253"/>
        <v>250</v>
      </c>
      <c r="CN121" s="659">
        <f t="shared" si="254"/>
        <v>9000</v>
      </c>
      <c r="CO121" s="464">
        <v>0</v>
      </c>
      <c r="CP121" s="465"/>
      <c r="CQ121" s="465">
        <f t="shared" si="178"/>
        <v>0</v>
      </c>
      <c r="CR121" s="465">
        <f t="shared" si="159"/>
        <v>0</v>
      </c>
      <c r="CS121" s="486">
        <f t="shared" si="224"/>
        <v>0</v>
      </c>
      <c r="CT121" s="465">
        <f t="shared" si="225"/>
        <v>1375</v>
      </c>
      <c r="CU121" s="486">
        <f t="shared" si="226"/>
        <v>2.4276042937204867E-2</v>
      </c>
      <c r="CV121" s="518"/>
      <c r="CW121" s="427">
        <v>1</v>
      </c>
      <c r="CX121" s="427">
        <v>20</v>
      </c>
      <c r="CY121" s="427">
        <f t="shared" si="227"/>
        <v>21</v>
      </c>
      <c r="CZ121" s="427">
        <f t="shared" si="228"/>
        <v>0</v>
      </c>
      <c r="DA121" s="607">
        <f t="shared" si="244"/>
        <v>0</v>
      </c>
      <c r="DB121" s="607">
        <f t="shared" si="229"/>
        <v>74</v>
      </c>
      <c r="DC121" s="607">
        <f t="shared" si="179"/>
        <v>1.3064924926204802E-3</v>
      </c>
      <c r="DD121" s="609"/>
      <c r="DE121" s="471">
        <v>0</v>
      </c>
      <c r="DF121" s="473"/>
      <c r="DG121" s="473">
        <f t="shared" si="180"/>
        <v>0</v>
      </c>
      <c r="DH121" s="473">
        <f t="shared" si="160"/>
        <v>0</v>
      </c>
      <c r="DI121" s="227">
        <f t="shared" si="230"/>
        <v>0</v>
      </c>
      <c r="DJ121" s="473">
        <f t="shared" si="231"/>
        <v>59.2</v>
      </c>
      <c r="DK121" s="227">
        <f t="shared" si="232"/>
        <v>1.0451939940963842E-3</v>
      </c>
      <c r="DL121" s="510"/>
      <c r="DM121" s="63">
        <v>950</v>
      </c>
      <c r="DN121" s="64"/>
      <c r="DO121" s="66">
        <f t="shared" si="233"/>
        <v>920</v>
      </c>
      <c r="DP121" s="66">
        <f t="shared" si="161"/>
        <v>30</v>
      </c>
      <c r="DQ121" s="412">
        <f t="shared" si="234"/>
        <v>0.21669411458784779</v>
      </c>
      <c r="DR121" s="66">
        <f t="shared" si="235"/>
        <v>14080</v>
      </c>
      <c r="DS121" s="412">
        <f t="shared" si="236"/>
        <v>0.24858667967697784</v>
      </c>
      <c r="DT121" s="506"/>
      <c r="DU121" s="596">
        <v>40</v>
      </c>
      <c r="DV121" s="596"/>
      <c r="DW121" s="596">
        <f t="shared" si="181"/>
        <v>40</v>
      </c>
      <c r="DX121" s="596">
        <f t="shared" si="162"/>
        <v>0</v>
      </c>
      <c r="DY121" s="592">
        <f t="shared" si="182"/>
        <v>0</v>
      </c>
      <c r="DZ121" s="596">
        <f t="shared" si="237"/>
        <v>2760</v>
      </c>
      <c r="EA121" s="592">
        <f t="shared" si="183"/>
        <v>4.8728638913953043E-2</v>
      </c>
      <c r="EB121" s="594"/>
      <c r="EC121" s="448">
        <v>110</v>
      </c>
      <c r="ED121" s="449"/>
      <c r="EE121" s="449">
        <f t="shared" si="184"/>
        <v>110</v>
      </c>
      <c r="EF121" s="449">
        <f t="shared" si="163"/>
        <v>0</v>
      </c>
      <c r="EG121" s="450">
        <f t="shared" si="242"/>
        <v>0</v>
      </c>
      <c r="EH121" s="449">
        <f t="shared" si="238"/>
        <v>425</v>
      </c>
      <c r="EI121" s="450">
        <f t="shared" si="243"/>
        <v>7.5035041805905957E-3</v>
      </c>
      <c r="EJ121" s="520"/>
      <c r="EK121" s="426">
        <v>1750</v>
      </c>
      <c r="EL121" s="427">
        <v>2400</v>
      </c>
      <c r="EM121" s="427">
        <f t="shared" si="185"/>
        <v>3950</v>
      </c>
      <c r="EN121" s="427">
        <f t="shared" si="164"/>
        <v>200</v>
      </c>
      <c r="EO121" s="427">
        <f t="shared" si="186"/>
        <v>55172</v>
      </c>
      <c r="EP121" s="456">
        <v>70</v>
      </c>
      <c r="EQ121" s="457"/>
      <c r="ER121" s="457">
        <f t="shared" si="187"/>
        <v>70</v>
      </c>
      <c r="ES121" s="457">
        <f t="shared" si="165"/>
        <v>0</v>
      </c>
      <c r="ET121" s="457">
        <f t="shared" si="188"/>
        <v>1148</v>
      </c>
      <c r="EU121" s="409">
        <v>47</v>
      </c>
      <c r="EV121" s="43"/>
      <c r="EW121" s="43">
        <f t="shared" si="189"/>
        <v>42</v>
      </c>
      <c r="EX121" s="43">
        <f t="shared" si="166"/>
        <v>5</v>
      </c>
      <c r="EY121" s="43">
        <f t="shared" si="190"/>
        <v>698</v>
      </c>
      <c r="EZ121" s="436">
        <v>113</v>
      </c>
      <c r="FA121" s="437"/>
      <c r="FB121" s="437">
        <f t="shared" si="191"/>
        <v>113</v>
      </c>
      <c r="FC121" s="437">
        <f t="shared" si="167"/>
        <v>0</v>
      </c>
      <c r="FD121" s="437">
        <f t="shared" si="192"/>
        <v>727</v>
      </c>
      <c r="FE121" s="442">
        <v>150</v>
      </c>
      <c r="FF121" s="443"/>
      <c r="FG121" s="443">
        <f t="shared" si="193"/>
        <v>150</v>
      </c>
      <c r="FH121" s="443">
        <f t="shared" si="168"/>
        <v>0</v>
      </c>
      <c r="FI121" s="443">
        <f t="shared" si="194"/>
        <v>850</v>
      </c>
      <c r="FJ121" s="392">
        <v>0</v>
      </c>
      <c r="FK121" s="298"/>
      <c r="FL121" s="298">
        <f t="shared" si="195"/>
        <v>0</v>
      </c>
      <c r="FM121" s="298">
        <f t="shared" si="169"/>
        <v>0</v>
      </c>
      <c r="FN121" s="498">
        <f t="shared" si="196"/>
        <v>1900</v>
      </c>
      <c r="HC121" s="402"/>
      <c r="HD121" s="52"/>
      <c r="HE121" s="52">
        <f t="shared" si="197"/>
        <v>0</v>
      </c>
      <c r="HF121" s="52">
        <f t="shared" si="170"/>
        <v>0</v>
      </c>
      <c r="HG121" s="51"/>
      <c r="HH121" s="52">
        <f t="shared" si="240"/>
        <v>400</v>
      </c>
      <c r="HI121" s="51"/>
      <c r="HJ121" s="1047"/>
    </row>
    <row r="122" spans="1:218">
      <c r="A122" s="807">
        <v>44785</v>
      </c>
      <c r="B122" s="390">
        <v>532490</v>
      </c>
      <c r="C122" s="18">
        <f t="shared" si="147"/>
        <v>57172693</v>
      </c>
      <c r="D122" s="376">
        <v>6660.68</v>
      </c>
      <c r="E122" s="417">
        <f t="shared" si="255"/>
        <v>748965.25999999978</v>
      </c>
      <c r="F122" s="397">
        <v>31174</v>
      </c>
      <c r="G122" s="37"/>
      <c r="H122" s="37">
        <f t="shared" si="171"/>
        <v>28402</v>
      </c>
      <c r="I122" s="37">
        <f t="shared" si="148"/>
        <v>2772</v>
      </c>
      <c r="J122" s="37">
        <f t="shared" si="146"/>
        <v>416.1737240041557</v>
      </c>
      <c r="K122" s="37">
        <f t="shared" si="198"/>
        <v>348785</v>
      </c>
      <c r="L122" s="37">
        <f t="shared" si="149"/>
        <v>465.68915626340282</v>
      </c>
      <c r="M122" s="648"/>
      <c r="N122" s="422">
        <v>75</v>
      </c>
      <c r="O122" s="423">
        <v>250</v>
      </c>
      <c r="P122" s="423">
        <f t="shared" si="199"/>
        <v>275</v>
      </c>
      <c r="Q122" s="423">
        <f t="shared" si="200"/>
        <v>50</v>
      </c>
      <c r="R122" s="423">
        <f t="shared" si="201"/>
        <v>9200</v>
      </c>
      <c r="S122" s="68">
        <v>6.42</v>
      </c>
      <c r="T122" s="67">
        <v>24</v>
      </c>
      <c r="U122" s="68">
        <f t="shared" si="202"/>
        <v>77.039999999999992</v>
      </c>
      <c r="V122" s="68">
        <f t="shared" si="151"/>
        <v>11.566386615180429</v>
      </c>
      <c r="W122" s="423">
        <f t="shared" si="203"/>
        <v>9037.8240000000023</v>
      </c>
      <c r="X122" s="68">
        <f t="shared" si="152"/>
        <v>12.067080387680472</v>
      </c>
      <c r="Y122" s="500"/>
      <c r="Z122" s="424">
        <v>25</v>
      </c>
      <c r="AA122" s="425">
        <v>100</v>
      </c>
      <c r="AB122" s="425">
        <f t="shared" si="204"/>
        <v>125</v>
      </c>
      <c r="AC122" s="425">
        <f t="shared" si="205"/>
        <v>0</v>
      </c>
      <c r="AD122" s="425">
        <f t="shared" si="206"/>
        <v>1475</v>
      </c>
      <c r="AE122" s="72">
        <v>2.2000000000000002</v>
      </c>
      <c r="AF122" s="71">
        <v>12</v>
      </c>
      <c r="AG122" s="72">
        <f t="shared" si="207"/>
        <v>13.200000000000001</v>
      </c>
      <c r="AH122" s="72">
        <f t="shared" si="173"/>
        <v>1.9817796381150274</v>
      </c>
      <c r="AI122" s="425">
        <f t="shared" si="208"/>
        <v>1377.6120000000005</v>
      </c>
      <c r="AJ122" s="72">
        <f t="shared" si="241"/>
        <v>1.8393536704225786</v>
      </c>
      <c r="AK122" s="502"/>
      <c r="AL122" s="491">
        <v>31060</v>
      </c>
      <c r="AM122" s="491"/>
      <c r="AN122" s="492">
        <f t="shared" si="248"/>
        <v>31060</v>
      </c>
      <c r="AO122" s="492">
        <f t="shared" si="249"/>
        <v>0</v>
      </c>
      <c r="AP122" s="492">
        <f t="shared" si="250"/>
        <v>52513</v>
      </c>
      <c r="AQ122" s="493">
        <f t="shared" si="174"/>
        <v>70.114066438809218</v>
      </c>
      <c r="AR122" s="504"/>
      <c r="AS122" s="413">
        <v>32926</v>
      </c>
      <c r="AT122" s="64"/>
      <c r="AU122" s="66">
        <f t="shared" si="209"/>
        <v>27545</v>
      </c>
      <c r="AV122" s="66">
        <f t="shared" si="155"/>
        <v>5381</v>
      </c>
      <c r="AW122" s="412">
        <f t="shared" si="156"/>
        <v>10.105354091156642</v>
      </c>
      <c r="AX122" s="66">
        <f t="shared" si="210"/>
        <v>93200</v>
      </c>
      <c r="AY122" s="412">
        <f t="shared" si="211"/>
        <v>1.6301488544539962</v>
      </c>
      <c r="AZ122" s="506"/>
      <c r="BA122" s="419">
        <v>6600</v>
      </c>
      <c r="BB122" s="419"/>
      <c r="BC122" s="407"/>
      <c r="BD122" s="419">
        <f t="shared" si="175"/>
        <v>6600</v>
      </c>
      <c r="BE122" s="419">
        <f t="shared" si="176"/>
        <v>0</v>
      </c>
      <c r="BF122" s="407">
        <f t="shared" si="212"/>
        <v>0</v>
      </c>
      <c r="BG122" s="419">
        <f t="shared" si="251"/>
        <v>38895</v>
      </c>
      <c r="BH122" s="407">
        <f t="shared" si="213"/>
        <v>0.68030729285395042</v>
      </c>
      <c r="BI122" s="407">
        <f t="shared" si="214"/>
        <v>8.330293381885108E-2</v>
      </c>
      <c r="BJ122" s="508"/>
      <c r="BK122" s="510"/>
      <c r="BL122" s="49">
        <v>2142</v>
      </c>
      <c r="BM122" s="50"/>
      <c r="BN122" s="52">
        <f t="shared" si="215"/>
        <v>1949</v>
      </c>
      <c r="BO122" s="52">
        <f t="shared" si="157"/>
        <v>193</v>
      </c>
      <c r="BP122" s="406">
        <f t="shared" si="216"/>
        <v>0.36244812109147589</v>
      </c>
      <c r="BQ122" s="52">
        <f t="shared" si="217"/>
        <v>24051</v>
      </c>
      <c r="BR122" s="406">
        <f t="shared" si="218"/>
        <v>0.42067285513383113</v>
      </c>
      <c r="BS122" s="512"/>
      <c r="BT122" s="409">
        <v>1246</v>
      </c>
      <c r="BU122" s="43"/>
      <c r="BV122" s="43">
        <f t="shared" si="245"/>
        <v>1156</v>
      </c>
      <c r="BW122" s="43">
        <f t="shared" si="246"/>
        <v>90</v>
      </c>
      <c r="BX122" s="42">
        <f t="shared" si="219"/>
        <v>0.16901725854006647</v>
      </c>
      <c r="BY122" s="43">
        <f t="shared" si="247"/>
        <v>10231</v>
      </c>
      <c r="BZ122" s="42">
        <f t="shared" si="220"/>
        <v>0.17894906577166131</v>
      </c>
      <c r="CA122" s="514"/>
      <c r="CB122" s="392">
        <v>1702</v>
      </c>
      <c r="CC122" s="298"/>
      <c r="CD122" s="298">
        <f t="shared" si="177"/>
        <v>1357</v>
      </c>
      <c r="CE122" s="298">
        <f t="shared" si="158"/>
        <v>345</v>
      </c>
      <c r="CF122" s="297">
        <f t="shared" si="221"/>
        <v>0.6478994910702548</v>
      </c>
      <c r="CG122" s="298">
        <f t="shared" si="222"/>
        <v>49243</v>
      </c>
      <c r="CH122" s="297">
        <f t="shared" si="223"/>
        <v>0.8613027901274477</v>
      </c>
      <c r="CI122" s="516"/>
      <c r="CJ122" s="659">
        <v>0</v>
      </c>
      <c r="CK122" s="659">
        <v>2000</v>
      </c>
      <c r="CL122" s="657">
        <f t="shared" si="252"/>
        <v>1675</v>
      </c>
      <c r="CM122" s="657">
        <f t="shared" si="253"/>
        <v>325</v>
      </c>
      <c r="CN122" s="659">
        <f t="shared" si="254"/>
        <v>9325</v>
      </c>
      <c r="CO122" s="464">
        <v>0</v>
      </c>
      <c r="CP122" s="465"/>
      <c r="CQ122" s="465">
        <f t="shared" si="178"/>
        <v>0</v>
      </c>
      <c r="CR122" s="465">
        <f t="shared" si="159"/>
        <v>0</v>
      </c>
      <c r="CS122" s="486">
        <f t="shared" si="224"/>
        <v>0</v>
      </c>
      <c r="CT122" s="465">
        <f t="shared" si="225"/>
        <v>1375</v>
      </c>
      <c r="CU122" s="486">
        <f t="shared" si="226"/>
        <v>2.404994286345756E-2</v>
      </c>
      <c r="CV122" s="518"/>
      <c r="CW122" s="427">
        <v>21</v>
      </c>
      <c r="CX122" s="427"/>
      <c r="CY122" s="427">
        <f t="shared" si="227"/>
        <v>6</v>
      </c>
      <c r="CZ122" s="427">
        <f t="shared" si="228"/>
        <v>15</v>
      </c>
      <c r="DA122" s="607">
        <f t="shared" si="244"/>
        <v>2.816954309001108E-2</v>
      </c>
      <c r="DB122" s="607">
        <f t="shared" si="229"/>
        <v>89</v>
      </c>
      <c r="DC122" s="607">
        <f t="shared" si="179"/>
        <v>1.5566872107983438E-3</v>
      </c>
      <c r="DD122" s="609"/>
      <c r="DE122" s="471">
        <v>0</v>
      </c>
      <c r="DF122" s="473"/>
      <c r="DG122" s="473">
        <f t="shared" si="180"/>
        <v>0</v>
      </c>
      <c r="DH122" s="473">
        <f t="shared" si="160"/>
        <v>0</v>
      </c>
      <c r="DI122" s="227">
        <f t="shared" si="230"/>
        <v>0</v>
      </c>
      <c r="DJ122" s="473">
        <f t="shared" si="231"/>
        <v>59.2</v>
      </c>
      <c r="DK122" s="227">
        <f t="shared" si="232"/>
        <v>1.0354593581939546E-3</v>
      </c>
      <c r="DL122" s="510"/>
      <c r="DM122" s="63">
        <v>920</v>
      </c>
      <c r="DN122" s="64"/>
      <c r="DO122" s="66">
        <f t="shared" si="233"/>
        <v>800</v>
      </c>
      <c r="DP122" s="66">
        <f t="shared" si="161"/>
        <v>120</v>
      </c>
      <c r="DQ122" s="412">
        <f t="shared" si="234"/>
        <v>0.22535634472008864</v>
      </c>
      <c r="DR122" s="66">
        <f t="shared" si="235"/>
        <v>14200</v>
      </c>
      <c r="DS122" s="412">
        <f t="shared" si="236"/>
        <v>0.24837031902625262</v>
      </c>
      <c r="DT122" s="506"/>
      <c r="DU122" s="596">
        <v>40</v>
      </c>
      <c r="DV122" s="596"/>
      <c r="DW122" s="596">
        <f t="shared" si="181"/>
        <v>40</v>
      </c>
      <c r="DX122" s="596">
        <f t="shared" si="162"/>
        <v>0</v>
      </c>
      <c r="DY122" s="592">
        <f t="shared" si="182"/>
        <v>0</v>
      </c>
      <c r="DZ122" s="596">
        <f t="shared" si="237"/>
        <v>2760</v>
      </c>
      <c r="EA122" s="592">
        <f t="shared" si="183"/>
        <v>4.8274794402285721E-2</v>
      </c>
      <c r="EB122" s="594"/>
      <c r="EC122" s="448">
        <v>110</v>
      </c>
      <c r="ED122" s="449"/>
      <c r="EE122" s="449">
        <f t="shared" si="184"/>
        <v>110</v>
      </c>
      <c r="EF122" s="449">
        <f t="shared" si="163"/>
        <v>0</v>
      </c>
      <c r="EG122" s="450">
        <f t="shared" si="242"/>
        <v>0</v>
      </c>
      <c r="EH122" s="449">
        <f t="shared" si="238"/>
        <v>425</v>
      </c>
      <c r="EI122" s="450">
        <f t="shared" si="243"/>
        <v>7.4336187032505189E-3</v>
      </c>
      <c r="EJ122" s="520"/>
      <c r="EK122" s="426">
        <v>3950</v>
      </c>
      <c r="EL122" s="427"/>
      <c r="EM122" s="427">
        <f t="shared" si="185"/>
        <v>3025</v>
      </c>
      <c r="EN122" s="427">
        <f t="shared" si="164"/>
        <v>925</v>
      </c>
      <c r="EO122" s="427">
        <f t="shared" si="186"/>
        <v>56097</v>
      </c>
      <c r="EP122" s="456">
        <v>70</v>
      </c>
      <c r="EQ122" s="457"/>
      <c r="ER122" s="457">
        <f t="shared" si="187"/>
        <v>56</v>
      </c>
      <c r="ES122" s="457">
        <f t="shared" si="165"/>
        <v>14</v>
      </c>
      <c r="ET122" s="457">
        <f t="shared" si="188"/>
        <v>1162</v>
      </c>
      <c r="EU122" s="409">
        <v>42</v>
      </c>
      <c r="EV122" s="43"/>
      <c r="EW122" s="43">
        <f t="shared" si="189"/>
        <v>34</v>
      </c>
      <c r="EX122" s="43">
        <f t="shared" si="166"/>
        <v>8</v>
      </c>
      <c r="EY122" s="43">
        <f t="shared" si="190"/>
        <v>706</v>
      </c>
      <c r="EZ122" s="436">
        <v>113</v>
      </c>
      <c r="FA122" s="437"/>
      <c r="FB122" s="437">
        <f t="shared" si="191"/>
        <v>110</v>
      </c>
      <c r="FC122" s="437">
        <f t="shared" si="167"/>
        <v>3</v>
      </c>
      <c r="FD122" s="437">
        <f t="shared" si="192"/>
        <v>730</v>
      </c>
      <c r="FE122" s="442">
        <v>150</v>
      </c>
      <c r="FF122" s="443"/>
      <c r="FG122" s="443">
        <f t="shared" si="193"/>
        <v>150</v>
      </c>
      <c r="FH122" s="443">
        <f t="shared" si="168"/>
        <v>0</v>
      </c>
      <c r="FI122" s="443">
        <f t="shared" si="194"/>
        <v>850</v>
      </c>
      <c r="FJ122" s="392">
        <v>0</v>
      </c>
      <c r="FK122" s="298"/>
      <c r="FL122" s="298">
        <f t="shared" si="195"/>
        <v>0</v>
      </c>
      <c r="FM122" s="298">
        <f t="shared" si="169"/>
        <v>0</v>
      </c>
      <c r="FN122" s="498">
        <f t="shared" si="196"/>
        <v>1900</v>
      </c>
      <c r="HC122" s="402"/>
      <c r="HD122" s="52"/>
      <c r="HE122" s="52">
        <f t="shared" si="197"/>
        <v>0</v>
      </c>
      <c r="HF122" s="52">
        <f t="shared" si="170"/>
        <v>0</v>
      </c>
      <c r="HG122" s="51"/>
      <c r="HH122" s="52">
        <f t="shared" si="240"/>
        <v>400</v>
      </c>
      <c r="HI122" s="51"/>
      <c r="HJ122" s="1047"/>
    </row>
    <row r="123" spans="1:218">
      <c r="A123" s="807">
        <v>44786</v>
      </c>
      <c r="B123" s="390">
        <v>610019</v>
      </c>
      <c r="C123" s="18">
        <f t="shared" si="147"/>
        <v>57782712</v>
      </c>
      <c r="D123" s="376">
        <v>7367.16</v>
      </c>
      <c r="E123" s="417">
        <f t="shared" si="255"/>
        <v>756332.41999999981</v>
      </c>
      <c r="F123" s="397">
        <v>28402</v>
      </c>
      <c r="G123" s="37"/>
      <c r="H123" s="37">
        <f t="shared" si="171"/>
        <v>26553</v>
      </c>
      <c r="I123" s="37">
        <f t="shared" si="148"/>
        <v>1849</v>
      </c>
      <c r="J123" s="37">
        <f t="shared" si="146"/>
        <v>250.97866749195077</v>
      </c>
      <c r="K123" s="37">
        <f t="shared" si="198"/>
        <v>350634</v>
      </c>
      <c r="L123" s="37">
        <f t="shared" si="149"/>
        <v>463.5977392057319</v>
      </c>
      <c r="M123" s="648"/>
      <c r="N123" s="422">
        <v>275</v>
      </c>
      <c r="O123" s="423"/>
      <c r="P123" s="423">
        <f t="shared" si="199"/>
        <v>175</v>
      </c>
      <c r="Q123" s="423">
        <f t="shared" si="200"/>
        <v>100</v>
      </c>
      <c r="R123" s="423">
        <f t="shared" si="201"/>
        <v>9300</v>
      </c>
      <c r="S123" s="68">
        <v>6.46</v>
      </c>
      <c r="T123" s="67">
        <v>24</v>
      </c>
      <c r="U123" s="68">
        <f t="shared" si="202"/>
        <v>77.52</v>
      </c>
      <c r="V123" s="68">
        <f t="shared" si="151"/>
        <v>10.522372257423484</v>
      </c>
      <c r="W123" s="423">
        <f t="shared" si="203"/>
        <v>9115.3440000000028</v>
      </c>
      <c r="X123" s="68">
        <f t="shared" si="152"/>
        <v>12.052033945602918</v>
      </c>
      <c r="Y123" s="500"/>
      <c r="Z123" s="424">
        <v>125</v>
      </c>
      <c r="AA123" s="425"/>
      <c r="AB123" s="425">
        <f t="shared" si="204"/>
        <v>100</v>
      </c>
      <c r="AC123" s="425">
        <f t="shared" si="205"/>
        <v>25</v>
      </c>
      <c r="AD123" s="425">
        <f t="shared" si="206"/>
        <v>1500</v>
      </c>
      <c r="AE123" s="72">
        <v>2.38</v>
      </c>
      <c r="AF123" s="71">
        <v>12</v>
      </c>
      <c r="AG123" s="72">
        <f t="shared" si="207"/>
        <v>14.28</v>
      </c>
      <c r="AH123" s="72">
        <f t="shared" si="173"/>
        <v>1.9383317316306419</v>
      </c>
      <c r="AI123" s="425">
        <f t="shared" si="208"/>
        <v>1391.8920000000005</v>
      </c>
      <c r="AJ123" s="72">
        <f t="shared" si="241"/>
        <v>1.8403177798460639</v>
      </c>
      <c r="AK123" s="502"/>
      <c r="AL123" s="491">
        <v>31060</v>
      </c>
      <c r="AM123" s="491"/>
      <c r="AN123" s="492">
        <f t="shared" si="248"/>
        <v>31060</v>
      </c>
      <c r="AO123" s="492">
        <f t="shared" si="249"/>
        <v>0</v>
      </c>
      <c r="AP123" s="492">
        <f t="shared" si="250"/>
        <v>52513</v>
      </c>
      <c r="AQ123" s="493">
        <f t="shared" si="174"/>
        <v>69.431110727740602</v>
      </c>
      <c r="AR123" s="504"/>
      <c r="AS123" s="413">
        <v>27545</v>
      </c>
      <c r="AT123" s="64"/>
      <c r="AU123" s="66">
        <f t="shared" si="209"/>
        <v>22233</v>
      </c>
      <c r="AV123" s="66">
        <f t="shared" si="155"/>
        <v>5312</v>
      </c>
      <c r="AW123" s="412">
        <f t="shared" si="156"/>
        <v>8.7079254908453674</v>
      </c>
      <c r="AX123" s="66">
        <f t="shared" si="210"/>
        <v>98512</v>
      </c>
      <c r="AY123" s="412">
        <f t="shared" si="211"/>
        <v>1.7048697887354267</v>
      </c>
      <c r="AZ123" s="506"/>
      <c r="BA123" s="419">
        <v>6600</v>
      </c>
      <c r="BB123" s="419"/>
      <c r="BC123" s="407"/>
      <c r="BD123" s="419">
        <f t="shared" si="175"/>
        <v>6600</v>
      </c>
      <c r="BE123" s="419">
        <f t="shared" si="176"/>
        <v>0</v>
      </c>
      <c r="BF123" s="407">
        <f t="shared" si="212"/>
        <v>0</v>
      </c>
      <c r="BG123" s="419">
        <f t="shared" si="251"/>
        <v>38895</v>
      </c>
      <c r="BH123" s="407">
        <f t="shared" si="213"/>
        <v>0.67312520741497905</v>
      </c>
      <c r="BI123" s="407">
        <f t="shared" si="214"/>
        <v>8.2423494785507645E-2</v>
      </c>
      <c r="BJ123" s="508"/>
      <c r="BK123" s="510"/>
      <c r="BL123" s="49">
        <v>1949</v>
      </c>
      <c r="BM123" s="50"/>
      <c r="BN123" s="52">
        <f t="shared" si="215"/>
        <v>1508</v>
      </c>
      <c r="BO123" s="52">
        <f t="shared" si="157"/>
        <v>441</v>
      </c>
      <c r="BP123" s="406">
        <f t="shared" si="216"/>
        <v>0.72292830223320914</v>
      </c>
      <c r="BQ123" s="52">
        <f t="shared" si="217"/>
        <v>24492</v>
      </c>
      <c r="BR123" s="406">
        <f t="shared" si="218"/>
        <v>0.42386380203130652</v>
      </c>
      <c r="BS123" s="512"/>
      <c r="BT123" s="409">
        <v>1156</v>
      </c>
      <c r="BU123" s="43"/>
      <c r="BV123" s="43">
        <f t="shared" si="245"/>
        <v>1023</v>
      </c>
      <c r="BW123" s="43">
        <f t="shared" si="246"/>
        <v>133</v>
      </c>
      <c r="BX123" s="42">
        <f t="shared" si="219"/>
        <v>0.21802599591160277</v>
      </c>
      <c r="BY123" s="43">
        <f t="shared" si="247"/>
        <v>10364</v>
      </c>
      <c r="BZ123" s="42">
        <f t="shared" si="220"/>
        <v>0.17936160559580519</v>
      </c>
      <c r="CA123" s="514"/>
      <c r="CB123" s="392">
        <v>1357</v>
      </c>
      <c r="CC123" s="298"/>
      <c r="CD123" s="298">
        <f t="shared" si="177"/>
        <v>1150</v>
      </c>
      <c r="CE123" s="298">
        <f t="shared" si="158"/>
        <v>207</v>
      </c>
      <c r="CF123" s="297">
        <f t="shared" si="221"/>
        <v>0.33933369288497572</v>
      </c>
      <c r="CG123" s="298">
        <f t="shared" si="222"/>
        <v>49450</v>
      </c>
      <c r="CH123" s="297">
        <f t="shared" si="223"/>
        <v>0.85579229995296868</v>
      </c>
      <c r="CI123" s="516"/>
      <c r="CJ123" s="659">
        <v>1675</v>
      </c>
      <c r="CK123" s="651"/>
      <c r="CL123" s="657">
        <f t="shared" si="252"/>
        <v>1075</v>
      </c>
      <c r="CM123" s="657">
        <f t="shared" si="253"/>
        <v>600</v>
      </c>
      <c r="CN123" s="659">
        <f t="shared" si="254"/>
        <v>9925</v>
      </c>
      <c r="CO123" s="464">
        <v>0</v>
      </c>
      <c r="CP123" s="465"/>
      <c r="CQ123" s="465">
        <f t="shared" si="178"/>
        <v>0</v>
      </c>
      <c r="CR123" s="465">
        <f t="shared" si="159"/>
        <v>0</v>
      </c>
      <c r="CS123" s="486">
        <f t="shared" si="224"/>
        <v>0</v>
      </c>
      <c r="CT123" s="465">
        <f t="shared" si="225"/>
        <v>1375</v>
      </c>
      <c r="CU123" s="486">
        <f t="shared" si="226"/>
        <v>2.3796044740856052E-2</v>
      </c>
      <c r="CV123" s="518"/>
      <c r="CW123" s="427">
        <v>6</v>
      </c>
      <c r="CX123" s="427"/>
      <c r="CY123" s="427">
        <f t="shared" si="227"/>
        <v>6</v>
      </c>
      <c r="CZ123" s="427">
        <f t="shared" si="228"/>
        <v>0</v>
      </c>
      <c r="DA123" s="607">
        <f t="shared" si="244"/>
        <v>0</v>
      </c>
      <c r="DB123" s="607">
        <f t="shared" si="229"/>
        <v>89</v>
      </c>
      <c r="DC123" s="607">
        <f t="shared" si="179"/>
        <v>1.5402530777717737E-3</v>
      </c>
      <c r="DD123" s="609"/>
      <c r="DE123" s="471">
        <v>0</v>
      </c>
      <c r="DF123" s="473"/>
      <c r="DG123" s="473">
        <f t="shared" si="180"/>
        <v>0</v>
      </c>
      <c r="DH123" s="473">
        <f t="shared" si="160"/>
        <v>0</v>
      </c>
      <c r="DI123" s="227">
        <f t="shared" si="230"/>
        <v>0</v>
      </c>
      <c r="DJ123" s="473">
        <f t="shared" si="231"/>
        <v>59.2</v>
      </c>
      <c r="DK123" s="227">
        <f t="shared" si="232"/>
        <v>1.0245278899335842E-3</v>
      </c>
      <c r="DL123" s="510"/>
      <c r="DM123" s="63">
        <v>800</v>
      </c>
      <c r="DN123" s="64"/>
      <c r="DO123" s="66">
        <f t="shared" si="233"/>
        <v>700</v>
      </c>
      <c r="DP123" s="66">
        <f t="shared" si="161"/>
        <v>100</v>
      </c>
      <c r="DQ123" s="412">
        <f t="shared" si="234"/>
        <v>0.16392932023428777</v>
      </c>
      <c r="DR123" s="66">
        <f t="shared" si="235"/>
        <v>14300</v>
      </c>
      <c r="DS123" s="412">
        <f t="shared" si="236"/>
        <v>0.24747886530490296</v>
      </c>
      <c r="DT123" s="506"/>
      <c r="DU123" s="596">
        <v>40</v>
      </c>
      <c r="DV123" s="596"/>
      <c r="DW123" s="596">
        <f t="shared" si="181"/>
        <v>0</v>
      </c>
      <c r="DX123" s="596">
        <f t="shared" si="162"/>
        <v>40</v>
      </c>
      <c r="DY123" s="592">
        <f t="shared" si="182"/>
        <v>6.5571728093715115E-2</v>
      </c>
      <c r="DZ123" s="596">
        <f t="shared" si="237"/>
        <v>2800</v>
      </c>
      <c r="EA123" s="592">
        <f t="shared" si="183"/>
        <v>4.8457400199561421E-2</v>
      </c>
      <c r="EB123" s="594"/>
      <c r="EC123" s="448">
        <v>110</v>
      </c>
      <c r="ED123" s="449"/>
      <c r="EE123" s="449">
        <f t="shared" si="184"/>
        <v>55</v>
      </c>
      <c r="EF123" s="449">
        <f t="shared" si="163"/>
        <v>55</v>
      </c>
      <c r="EG123" s="450">
        <f t="shared" si="242"/>
        <v>9.0161126128858279E-2</v>
      </c>
      <c r="EH123" s="449">
        <f t="shared" si="238"/>
        <v>480</v>
      </c>
      <c r="EI123" s="450">
        <f t="shared" si="243"/>
        <v>8.3069828913533861E-3</v>
      </c>
      <c r="EJ123" s="520"/>
      <c r="EK123" s="426">
        <v>3025</v>
      </c>
      <c r="EL123" s="427"/>
      <c r="EM123" s="427">
        <f t="shared" si="185"/>
        <v>2500</v>
      </c>
      <c r="EN123" s="427">
        <f t="shared" si="164"/>
        <v>525</v>
      </c>
      <c r="EO123" s="427">
        <f t="shared" si="186"/>
        <v>56622</v>
      </c>
      <c r="EP123" s="456">
        <v>56</v>
      </c>
      <c r="EQ123" s="457"/>
      <c r="ER123" s="457">
        <f t="shared" si="187"/>
        <v>56</v>
      </c>
      <c r="ES123" s="457">
        <f t="shared" si="165"/>
        <v>0</v>
      </c>
      <c r="ET123" s="457">
        <f t="shared" si="188"/>
        <v>1162</v>
      </c>
      <c r="EU123" s="409">
        <v>34</v>
      </c>
      <c r="EV123" s="43"/>
      <c r="EW123" s="43">
        <f t="shared" si="189"/>
        <v>27</v>
      </c>
      <c r="EX123" s="43">
        <f t="shared" si="166"/>
        <v>7</v>
      </c>
      <c r="EY123" s="43">
        <f t="shared" si="190"/>
        <v>713</v>
      </c>
      <c r="EZ123" s="436">
        <v>110</v>
      </c>
      <c r="FA123" s="437"/>
      <c r="FB123" s="437">
        <f t="shared" si="191"/>
        <v>104</v>
      </c>
      <c r="FC123" s="437">
        <f t="shared" si="167"/>
        <v>6</v>
      </c>
      <c r="FD123" s="437">
        <f t="shared" si="192"/>
        <v>736</v>
      </c>
      <c r="FE123" s="442">
        <v>150</v>
      </c>
      <c r="FF123" s="443"/>
      <c r="FG123" s="443">
        <f t="shared" si="193"/>
        <v>150</v>
      </c>
      <c r="FH123" s="443">
        <f t="shared" si="168"/>
        <v>0</v>
      </c>
      <c r="FI123" s="443">
        <f t="shared" si="194"/>
        <v>850</v>
      </c>
      <c r="FJ123" s="392">
        <v>0</v>
      </c>
      <c r="FK123" s="298"/>
      <c r="FL123" s="298">
        <f t="shared" si="195"/>
        <v>0</v>
      </c>
      <c r="FM123" s="298">
        <f t="shared" si="169"/>
        <v>0</v>
      </c>
      <c r="FN123" s="498">
        <f t="shared" si="196"/>
        <v>1900</v>
      </c>
      <c r="HC123" s="402"/>
      <c r="HD123" s="52"/>
      <c r="HE123" s="52">
        <f t="shared" si="197"/>
        <v>0</v>
      </c>
      <c r="HF123" s="52">
        <f t="shared" si="170"/>
        <v>0</v>
      </c>
      <c r="HG123" s="51"/>
      <c r="HH123" s="52">
        <f t="shared" si="240"/>
        <v>400</v>
      </c>
      <c r="HI123" s="51"/>
      <c r="HJ123" s="1047"/>
    </row>
    <row r="124" spans="1:218" ht="14.25" customHeight="1">
      <c r="A124" s="807">
        <v>44787</v>
      </c>
      <c r="B124" s="390">
        <v>693263</v>
      </c>
      <c r="C124" s="18">
        <f t="shared" si="147"/>
        <v>58475975</v>
      </c>
      <c r="D124" s="376">
        <v>7661</v>
      </c>
      <c r="E124" s="417">
        <f t="shared" si="255"/>
        <v>763993.41999999981</v>
      </c>
      <c r="F124" s="397">
        <v>26553</v>
      </c>
      <c r="G124" s="37"/>
      <c r="H124" s="37">
        <f t="shared" si="171"/>
        <v>24705</v>
      </c>
      <c r="I124" s="37">
        <f t="shared" si="148"/>
        <v>1848</v>
      </c>
      <c r="J124" s="37">
        <f t="shared" si="146"/>
        <v>241.22177261454118</v>
      </c>
      <c r="K124" s="37">
        <f t="shared" si="198"/>
        <v>352482</v>
      </c>
      <c r="L124" s="37">
        <f t="shared" si="149"/>
        <v>461.36784790633419</v>
      </c>
      <c r="M124" s="648"/>
      <c r="N124" s="422">
        <v>175</v>
      </c>
      <c r="O124" s="423"/>
      <c r="P124" s="423">
        <f t="shared" si="199"/>
        <v>100</v>
      </c>
      <c r="Q124" s="423">
        <f t="shared" si="200"/>
        <v>75</v>
      </c>
      <c r="R124" s="423">
        <f t="shared" si="201"/>
        <v>9375</v>
      </c>
      <c r="S124" s="68">
        <v>6.72</v>
      </c>
      <c r="T124" s="67">
        <v>24</v>
      </c>
      <c r="U124" s="68">
        <f t="shared" si="202"/>
        <v>80.64</v>
      </c>
      <c r="V124" s="68">
        <f t="shared" si="151"/>
        <v>10.526040986816342</v>
      </c>
      <c r="W124" s="423">
        <f t="shared" si="203"/>
        <v>9195.9840000000022</v>
      </c>
      <c r="X124" s="68">
        <f t="shared" si="152"/>
        <v>12.036731939392887</v>
      </c>
      <c r="Y124" s="500"/>
      <c r="Z124" s="424">
        <v>100</v>
      </c>
      <c r="AA124" s="425"/>
      <c r="AB124" s="425">
        <f t="shared" si="204"/>
        <v>100</v>
      </c>
      <c r="AC124" s="425">
        <f t="shared" si="205"/>
        <v>0</v>
      </c>
      <c r="AD124" s="425">
        <f t="shared" si="206"/>
        <v>1500</v>
      </c>
      <c r="AE124" s="72">
        <v>2.42</v>
      </c>
      <c r="AF124" s="71">
        <v>12</v>
      </c>
      <c r="AG124" s="72">
        <f t="shared" si="207"/>
        <v>14.52</v>
      </c>
      <c r="AH124" s="72">
        <f t="shared" si="173"/>
        <v>1.8953139276856807</v>
      </c>
      <c r="AI124" s="425">
        <f t="shared" si="208"/>
        <v>1406.4120000000005</v>
      </c>
      <c r="AJ124" s="72">
        <f t="shared" si="241"/>
        <v>1.8408692577483203</v>
      </c>
      <c r="AK124" s="502"/>
      <c r="AL124" s="491">
        <v>31060</v>
      </c>
      <c r="AM124" s="491"/>
      <c r="AN124" s="492">
        <f t="shared" si="248"/>
        <v>31060</v>
      </c>
      <c r="AO124" s="492">
        <f t="shared" si="249"/>
        <v>0</v>
      </c>
      <c r="AP124" s="492">
        <f t="shared" si="250"/>
        <v>52513</v>
      </c>
      <c r="AQ124" s="493">
        <f t="shared" si="174"/>
        <v>68.734885177414242</v>
      </c>
      <c r="AR124" s="504"/>
      <c r="AS124" s="413">
        <v>22233</v>
      </c>
      <c r="AT124" s="64"/>
      <c r="AU124" s="66">
        <f t="shared" si="209"/>
        <v>17094</v>
      </c>
      <c r="AV124" s="66">
        <f t="shared" si="155"/>
        <v>5139</v>
      </c>
      <c r="AW124" s="412">
        <f t="shared" si="156"/>
        <v>7.4127711993860919</v>
      </c>
      <c r="AX124" s="66">
        <f t="shared" si="210"/>
        <v>103651</v>
      </c>
      <c r="AY124" s="412">
        <f t="shared" si="211"/>
        <v>1.7725399191719333</v>
      </c>
      <c r="AZ124" s="506"/>
      <c r="BA124" s="419">
        <v>6600</v>
      </c>
      <c r="BB124" s="419"/>
      <c r="BC124" s="407"/>
      <c r="BD124" s="419">
        <f t="shared" si="175"/>
        <v>6600</v>
      </c>
      <c r="BE124" s="419">
        <f t="shared" si="176"/>
        <v>0</v>
      </c>
      <c r="BF124" s="407">
        <f t="shared" si="212"/>
        <v>0</v>
      </c>
      <c r="BG124" s="419">
        <f t="shared" si="251"/>
        <v>38895</v>
      </c>
      <c r="BH124" s="407">
        <f t="shared" si="213"/>
        <v>0.66514495910499993</v>
      </c>
      <c r="BI124" s="407">
        <f t="shared" si="214"/>
        <v>8.1446321523061221E-2</v>
      </c>
      <c r="BJ124" s="508"/>
      <c r="BK124" s="510"/>
      <c r="BL124" s="49">
        <v>1508</v>
      </c>
      <c r="BM124" s="50"/>
      <c r="BN124" s="52">
        <f t="shared" si="215"/>
        <v>996</v>
      </c>
      <c r="BO124" s="52">
        <f t="shared" si="157"/>
        <v>512</v>
      </c>
      <c r="BP124" s="406">
        <f t="shared" si="216"/>
        <v>0.73853645730408224</v>
      </c>
      <c r="BQ124" s="52">
        <f t="shared" si="217"/>
        <v>25004</v>
      </c>
      <c r="BR124" s="406">
        <f t="shared" si="218"/>
        <v>0.42759440949894378</v>
      </c>
      <c r="BS124" s="512"/>
      <c r="BT124" s="409">
        <v>1023</v>
      </c>
      <c r="BU124" s="43"/>
      <c r="BV124" s="43">
        <f t="shared" si="245"/>
        <v>885</v>
      </c>
      <c r="BW124" s="43">
        <f t="shared" si="246"/>
        <v>138</v>
      </c>
      <c r="BX124" s="42">
        <f t="shared" si="219"/>
        <v>0.19905865450774093</v>
      </c>
      <c r="BY124" s="43">
        <f t="shared" si="247"/>
        <v>10502</v>
      </c>
      <c r="BZ124" s="42">
        <f t="shared" si="220"/>
        <v>0.17959512432242472</v>
      </c>
      <c r="CA124" s="514"/>
      <c r="CB124" s="392">
        <v>1150</v>
      </c>
      <c r="CC124" s="298"/>
      <c r="CD124" s="298">
        <f t="shared" si="177"/>
        <v>1150</v>
      </c>
      <c r="CE124" s="298">
        <f t="shared" si="158"/>
        <v>0</v>
      </c>
      <c r="CF124" s="297">
        <f t="shared" si="221"/>
        <v>0</v>
      </c>
      <c r="CG124" s="298">
        <f t="shared" si="222"/>
        <v>49450</v>
      </c>
      <c r="CH124" s="297">
        <f t="shared" si="223"/>
        <v>0.84564643855874144</v>
      </c>
      <c r="CI124" s="516"/>
      <c r="CJ124" s="659">
        <v>1075</v>
      </c>
      <c r="CK124" s="651"/>
      <c r="CL124" s="657">
        <f t="shared" si="252"/>
        <v>700</v>
      </c>
      <c r="CM124" s="657">
        <f t="shared" si="253"/>
        <v>375</v>
      </c>
      <c r="CN124" s="659">
        <f t="shared" si="254"/>
        <v>10300</v>
      </c>
      <c r="CO124" s="464">
        <v>0</v>
      </c>
      <c r="CP124" s="465"/>
      <c r="CQ124" s="465">
        <f t="shared" si="178"/>
        <v>0</v>
      </c>
      <c r="CR124" s="465">
        <f t="shared" si="159"/>
        <v>0</v>
      </c>
      <c r="CS124" s="486">
        <f t="shared" si="224"/>
        <v>0</v>
      </c>
      <c r="CT124" s="465">
        <f t="shared" si="225"/>
        <v>1375</v>
      </c>
      <c r="CU124" s="486">
        <f t="shared" si="226"/>
        <v>2.3513930293594932E-2</v>
      </c>
      <c r="CV124" s="518"/>
      <c r="CW124" s="427">
        <v>6</v>
      </c>
      <c r="CX124" s="427"/>
      <c r="CY124" s="427">
        <f t="shared" si="227"/>
        <v>6</v>
      </c>
      <c r="CZ124" s="427">
        <f t="shared" si="228"/>
        <v>0</v>
      </c>
      <c r="DA124" s="607">
        <f t="shared" si="244"/>
        <v>0</v>
      </c>
      <c r="DB124" s="607">
        <f t="shared" si="229"/>
        <v>89</v>
      </c>
      <c r="DC124" s="607">
        <f t="shared" si="179"/>
        <v>1.5219925790035994E-3</v>
      </c>
      <c r="DD124" s="609"/>
      <c r="DE124" s="471">
        <v>0</v>
      </c>
      <c r="DF124" s="473"/>
      <c r="DG124" s="473">
        <f t="shared" si="180"/>
        <v>0</v>
      </c>
      <c r="DH124" s="473">
        <f t="shared" si="160"/>
        <v>0</v>
      </c>
      <c r="DI124" s="227">
        <f t="shared" si="230"/>
        <v>0</v>
      </c>
      <c r="DJ124" s="473">
        <f t="shared" si="231"/>
        <v>59.2</v>
      </c>
      <c r="DK124" s="227">
        <f t="shared" si="232"/>
        <v>1.0123815806405965E-3</v>
      </c>
      <c r="DL124" s="510"/>
      <c r="DM124" s="63">
        <v>700</v>
      </c>
      <c r="DN124" s="64"/>
      <c r="DO124" s="66">
        <f t="shared" si="233"/>
        <v>600</v>
      </c>
      <c r="DP124" s="66">
        <f t="shared" si="161"/>
        <v>100</v>
      </c>
      <c r="DQ124" s="412">
        <f t="shared" si="234"/>
        <v>0.14424540181720358</v>
      </c>
      <c r="DR124" s="66">
        <f t="shared" si="235"/>
        <v>14400</v>
      </c>
      <c r="DS124" s="412">
        <f t="shared" si="236"/>
        <v>0.24625497907473967</v>
      </c>
      <c r="DT124" s="506"/>
      <c r="DU124" s="596">
        <v>0</v>
      </c>
      <c r="DV124" s="596"/>
      <c r="DW124" s="596">
        <f t="shared" si="181"/>
        <v>0</v>
      </c>
      <c r="DX124" s="596">
        <f t="shared" si="162"/>
        <v>0</v>
      </c>
      <c r="DY124" s="592">
        <f t="shared" si="182"/>
        <v>0</v>
      </c>
      <c r="DZ124" s="596">
        <f t="shared" si="237"/>
        <v>2800</v>
      </c>
      <c r="EA124" s="592">
        <f t="shared" si="183"/>
        <v>4.7882912597866048E-2</v>
      </c>
      <c r="EB124" s="594"/>
      <c r="EC124" s="448">
        <v>55</v>
      </c>
      <c r="ED124" s="449"/>
      <c r="EE124" s="449">
        <f t="shared" si="184"/>
        <v>55</v>
      </c>
      <c r="EF124" s="449">
        <f t="shared" si="163"/>
        <v>0</v>
      </c>
      <c r="EG124" s="450">
        <f t="shared" si="242"/>
        <v>0</v>
      </c>
      <c r="EH124" s="449">
        <f t="shared" si="238"/>
        <v>480</v>
      </c>
      <c r="EI124" s="450">
        <f t="shared" si="243"/>
        <v>8.208499302491323E-3</v>
      </c>
      <c r="EJ124" s="520"/>
      <c r="EK124" s="426">
        <v>2500</v>
      </c>
      <c r="EL124" s="427"/>
      <c r="EM124" s="427">
        <f t="shared" si="185"/>
        <v>2063</v>
      </c>
      <c r="EN124" s="427">
        <f t="shared" si="164"/>
        <v>437</v>
      </c>
      <c r="EO124" s="427">
        <f t="shared" si="186"/>
        <v>57059</v>
      </c>
      <c r="EP124" s="456">
        <v>56</v>
      </c>
      <c r="EQ124" s="457"/>
      <c r="ER124" s="457">
        <f t="shared" si="187"/>
        <v>14</v>
      </c>
      <c r="ES124" s="457">
        <f t="shared" si="165"/>
        <v>42</v>
      </c>
      <c r="ET124" s="457">
        <f t="shared" si="188"/>
        <v>1204</v>
      </c>
      <c r="EU124" s="409">
        <v>27</v>
      </c>
      <c r="EV124" s="43"/>
      <c r="EW124" s="43">
        <f t="shared" si="189"/>
        <v>20</v>
      </c>
      <c r="EX124" s="43">
        <f t="shared" si="166"/>
        <v>7</v>
      </c>
      <c r="EY124" s="43">
        <f t="shared" si="190"/>
        <v>720</v>
      </c>
      <c r="EZ124" s="436">
        <v>104</v>
      </c>
      <c r="FA124" s="437"/>
      <c r="FB124" s="437">
        <f t="shared" si="191"/>
        <v>93</v>
      </c>
      <c r="FC124" s="437">
        <f t="shared" si="167"/>
        <v>11</v>
      </c>
      <c r="FD124" s="437">
        <f t="shared" si="192"/>
        <v>747</v>
      </c>
      <c r="FE124" s="442">
        <v>150</v>
      </c>
      <c r="FF124" s="443"/>
      <c r="FG124" s="443">
        <f t="shared" si="193"/>
        <v>150</v>
      </c>
      <c r="FH124" s="443">
        <f t="shared" si="168"/>
        <v>0</v>
      </c>
      <c r="FI124" s="443">
        <f t="shared" si="194"/>
        <v>850</v>
      </c>
      <c r="FJ124" s="392">
        <v>0</v>
      </c>
      <c r="FK124" s="298"/>
      <c r="FL124" s="298">
        <f t="shared" si="195"/>
        <v>0</v>
      </c>
      <c r="FM124" s="298">
        <f t="shared" si="169"/>
        <v>0</v>
      </c>
      <c r="FN124" s="498">
        <f t="shared" si="196"/>
        <v>1900</v>
      </c>
      <c r="HC124" s="402"/>
      <c r="HD124" s="52"/>
      <c r="HE124" s="52">
        <f t="shared" si="197"/>
        <v>0</v>
      </c>
      <c r="HF124" s="52">
        <f t="shared" si="170"/>
        <v>0</v>
      </c>
      <c r="HG124" s="51"/>
      <c r="HH124" s="52">
        <f t="shared" si="240"/>
        <v>400</v>
      </c>
      <c r="HI124" s="51"/>
      <c r="HJ124" s="1047"/>
    </row>
    <row r="125" spans="1:218">
      <c r="A125" s="807">
        <v>44788</v>
      </c>
      <c r="B125" s="390">
        <v>678120</v>
      </c>
      <c r="C125" s="18">
        <f t="shared" si="147"/>
        <v>59154095</v>
      </c>
      <c r="D125" s="376">
        <v>7649.94</v>
      </c>
      <c r="E125" s="417">
        <f t="shared" si="255"/>
        <v>771643.35999999975</v>
      </c>
      <c r="F125" s="397">
        <v>24705</v>
      </c>
      <c r="G125" s="37"/>
      <c r="H125" s="37">
        <f t="shared" si="171"/>
        <v>21933</v>
      </c>
      <c r="I125" s="37">
        <f t="shared" si="148"/>
        <v>2772</v>
      </c>
      <c r="J125" s="37">
        <f t="shared" si="146"/>
        <v>362.35578318261321</v>
      </c>
      <c r="K125" s="37">
        <f t="shared" si="198"/>
        <v>355254</v>
      </c>
      <c r="L125" s="37">
        <f t="shared" si="149"/>
        <v>460.38625926878979</v>
      </c>
      <c r="M125" s="648"/>
      <c r="N125" s="422">
        <v>100</v>
      </c>
      <c r="O125" s="423"/>
      <c r="P125" s="423">
        <f t="shared" si="199"/>
        <v>25</v>
      </c>
      <c r="Q125" s="423">
        <f t="shared" si="200"/>
        <v>75</v>
      </c>
      <c r="R125" s="423">
        <f t="shared" si="201"/>
        <v>9450</v>
      </c>
      <c r="S125" s="68">
        <v>6.51</v>
      </c>
      <c r="T125" s="67">
        <v>24</v>
      </c>
      <c r="U125" s="68">
        <f t="shared" si="202"/>
        <v>78.12</v>
      </c>
      <c r="V125" s="68">
        <f t="shared" si="151"/>
        <v>10.211844798782735</v>
      </c>
      <c r="W125" s="423">
        <f t="shared" si="203"/>
        <v>9274.104000000003</v>
      </c>
      <c r="X125" s="68">
        <f t="shared" si="152"/>
        <v>12.018640321093422</v>
      </c>
      <c r="Y125" s="500"/>
      <c r="Z125" s="424">
        <v>100</v>
      </c>
      <c r="AA125" s="425"/>
      <c r="AB125" s="425">
        <f t="shared" si="204"/>
        <v>75</v>
      </c>
      <c r="AC125" s="425">
        <f t="shared" si="205"/>
        <v>25</v>
      </c>
      <c r="AD125" s="425">
        <f t="shared" si="206"/>
        <v>1525</v>
      </c>
      <c r="AE125" s="72">
        <v>2.34</v>
      </c>
      <c r="AF125" s="71">
        <v>12</v>
      </c>
      <c r="AG125" s="72">
        <f t="shared" si="207"/>
        <v>14.04</v>
      </c>
      <c r="AH125" s="72">
        <f t="shared" si="173"/>
        <v>1.8353085122236255</v>
      </c>
      <c r="AI125" s="425">
        <f t="shared" si="208"/>
        <v>1420.4520000000005</v>
      </c>
      <c r="AJ125" s="72">
        <f t="shared" si="241"/>
        <v>1.8408141294703824</v>
      </c>
      <c r="AK125" s="502"/>
      <c r="AL125" s="491">
        <v>31060</v>
      </c>
      <c r="AM125" s="491"/>
      <c r="AN125" s="492">
        <f t="shared" si="248"/>
        <v>31060</v>
      </c>
      <c r="AO125" s="492">
        <f t="shared" si="249"/>
        <v>0</v>
      </c>
      <c r="AP125" s="492">
        <f t="shared" si="250"/>
        <v>52513</v>
      </c>
      <c r="AQ125" s="493">
        <f t="shared" si="174"/>
        <v>68.053459307937302</v>
      </c>
      <c r="AR125" s="504"/>
      <c r="AS125" s="413">
        <v>17094</v>
      </c>
      <c r="AT125" s="64"/>
      <c r="AU125" s="66">
        <f t="shared" si="209"/>
        <v>11318</v>
      </c>
      <c r="AV125" s="66">
        <f t="shared" si="155"/>
        <v>5776</v>
      </c>
      <c r="AW125" s="412">
        <f t="shared" si="156"/>
        <v>8.517666489706837</v>
      </c>
      <c r="AX125" s="66">
        <f t="shared" si="210"/>
        <v>109427</v>
      </c>
      <c r="AY125" s="412">
        <f t="shared" si="211"/>
        <v>1.84986347944297</v>
      </c>
      <c r="AZ125" s="506"/>
      <c r="BA125" s="419">
        <v>6600</v>
      </c>
      <c r="BB125" s="419"/>
      <c r="BC125" s="407"/>
      <c r="BD125" s="419">
        <f t="shared" si="175"/>
        <v>6600</v>
      </c>
      <c r="BE125" s="419">
        <f t="shared" si="176"/>
        <v>0</v>
      </c>
      <c r="BF125" s="407">
        <f t="shared" si="212"/>
        <v>0</v>
      </c>
      <c r="BG125" s="419">
        <f t="shared" si="251"/>
        <v>38895</v>
      </c>
      <c r="BH125" s="407">
        <f t="shared" si="213"/>
        <v>0.65751999079691781</v>
      </c>
      <c r="BI125" s="407">
        <f t="shared" si="214"/>
        <v>8.0512651934316476E-2</v>
      </c>
      <c r="BJ125" s="508"/>
      <c r="BK125" s="510"/>
      <c r="BL125" s="49">
        <v>996</v>
      </c>
      <c r="BM125" s="50">
        <v>1800</v>
      </c>
      <c r="BN125" s="52">
        <f t="shared" si="215"/>
        <v>2192</v>
      </c>
      <c r="BO125" s="52">
        <f t="shared" si="157"/>
        <v>604</v>
      </c>
      <c r="BP125" s="406">
        <f t="shared" si="216"/>
        <v>0.89069781159676753</v>
      </c>
      <c r="BQ125" s="52">
        <f t="shared" si="217"/>
        <v>25608</v>
      </c>
      <c r="BR125" s="406">
        <f t="shared" si="218"/>
        <v>0.43290325040050059</v>
      </c>
      <c r="BS125" s="512"/>
      <c r="BT125" s="409">
        <v>885</v>
      </c>
      <c r="BU125" s="43"/>
      <c r="BV125" s="43">
        <f t="shared" si="245"/>
        <v>705</v>
      </c>
      <c r="BW125" s="43">
        <f t="shared" si="246"/>
        <v>180</v>
      </c>
      <c r="BX125" s="42">
        <f t="shared" si="219"/>
        <v>0.26543974517784463</v>
      </c>
      <c r="BY125" s="43">
        <f t="shared" si="247"/>
        <v>10682</v>
      </c>
      <c r="BZ125" s="42">
        <f t="shared" si="220"/>
        <v>0.18057921433841562</v>
      </c>
      <c r="CA125" s="514"/>
      <c r="CB125" s="392">
        <v>1150</v>
      </c>
      <c r="CC125" s="298"/>
      <c r="CD125" s="298">
        <f t="shared" si="177"/>
        <v>1150</v>
      </c>
      <c r="CE125" s="298">
        <f t="shared" si="158"/>
        <v>0</v>
      </c>
      <c r="CF125" s="297">
        <f t="shared" si="221"/>
        <v>0</v>
      </c>
      <c r="CG125" s="298">
        <f t="shared" si="222"/>
        <v>49450</v>
      </c>
      <c r="CH125" s="297">
        <f t="shared" si="223"/>
        <v>0.83595227008375328</v>
      </c>
      <c r="CI125" s="516"/>
      <c r="CJ125" s="659">
        <v>700</v>
      </c>
      <c r="CK125" s="651"/>
      <c r="CL125" s="657">
        <f t="shared" si="252"/>
        <v>675</v>
      </c>
      <c r="CM125" s="657">
        <f t="shared" si="253"/>
        <v>25</v>
      </c>
      <c r="CN125" s="659">
        <f t="shared" si="254"/>
        <v>10325</v>
      </c>
      <c r="CO125" s="464">
        <v>0</v>
      </c>
      <c r="CP125" s="465"/>
      <c r="CQ125" s="465">
        <f t="shared" si="178"/>
        <v>0</v>
      </c>
      <c r="CR125" s="465">
        <f t="shared" si="159"/>
        <v>0</v>
      </c>
      <c r="CS125" s="486">
        <f t="shared" si="224"/>
        <v>0</v>
      </c>
      <c r="CT125" s="465">
        <f t="shared" si="225"/>
        <v>1375</v>
      </c>
      <c r="CU125" s="486">
        <f t="shared" si="226"/>
        <v>2.3244375558446124E-2</v>
      </c>
      <c r="CV125" s="518"/>
      <c r="CW125" s="427">
        <v>6</v>
      </c>
      <c r="CX125" s="427"/>
      <c r="CY125" s="427">
        <f t="shared" si="227"/>
        <v>6</v>
      </c>
      <c r="CZ125" s="427">
        <f t="shared" si="228"/>
        <v>0</v>
      </c>
      <c r="DA125" s="607">
        <f t="shared" si="244"/>
        <v>0</v>
      </c>
      <c r="DB125" s="607">
        <f t="shared" si="229"/>
        <v>89</v>
      </c>
      <c r="DC125" s="607">
        <f t="shared" si="179"/>
        <v>1.5045450361466945E-3</v>
      </c>
      <c r="DD125" s="609"/>
      <c r="DE125" s="471">
        <v>0</v>
      </c>
      <c r="DF125" s="473"/>
      <c r="DG125" s="473">
        <f t="shared" si="180"/>
        <v>0</v>
      </c>
      <c r="DH125" s="473">
        <f t="shared" si="160"/>
        <v>0</v>
      </c>
      <c r="DI125" s="227">
        <f t="shared" si="230"/>
        <v>0</v>
      </c>
      <c r="DJ125" s="473">
        <f t="shared" si="231"/>
        <v>59.2</v>
      </c>
      <c r="DK125" s="227">
        <f t="shared" si="232"/>
        <v>1.0007760240436439E-3</v>
      </c>
      <c r="DL125" s="510"/>
      <c r="DM125" s="63">
        <v>600</v>
      </c>
      <c r="DN125" s="64"/>
      <c r="DO125" s="66">
        <f t="shared" si="233"/>
        <v>500</v>
      </c>
      <c r="DP125" s="66">
        <f t="shared" si="161"/>
        <v>100</v>
      </c>
      <c r="DQ125" s="412">
        <f t="shared" si="234"/>
        <v>0.14746652509880256</v>
      </c>
      <c r="DR125" s="66">
        <f t="shared" si="235"/>
        <v>14500</v>
      </c>
      <c r="DS125" s="412">
        <f t="shared" si="236"/>
        <v>0.2451225058890682</v>
      </c>
      <c r="DT125" s="506"/>
      <c r="DU125" s="596">
        <v>0</v>
      </c>
      <c r="DV125" s="596"/>
      <c r="DW125" s="596">
        <f t="shared" si="181"/>
        <v>0</v>
      </c>
      <c r="DX125" s="596">
        <f t="shared" si="162"/>
        <v>0</v>
      </c>
      <c r="DY125" s="592">
        <f t="shared" si="182"/>
        <v>0</v>
      </c>
      <c r="DZ125" s="596">
        <f t="shared" si="237"/>
        <v>2800</v>
      </c>
      <c r="EA125" s="592">
        <f t="shared" si="183"/>
        <v>4.7334001137199377E-2</v>
      </c>
      <c r="EB125" s="594"/>
      <c r="EC125" s="448">
        <v>55</v>
      </c>
      <c r="ED125" s="449">
        <v>110</v>
      </c>
      <c r="EE125" s="449">
        <f t="shared" si="184"/>
        <v>165</v>
      </c>
      <c r="EF125" s="449">
        <f t="shared" si="163"/>
        <v>0</v>
      </c>
      <c r="EG125" s="450">
        <f t="shared" si="242"/>
        <v>0</v>
      </c>
      <c r="EH125" s="449">
        <f t="shared" si="238"/>
        <v>480</v>
      </c>
      <c r="EI125" s="450">
        <f t="shared" si="243"/>
        <v>8.1144001949484644E-3</v>
      </c>
      <c r="EJ125" s="520"/>
      <c r="EK125" s="426">
        <v>2063</v>
      </c>
      <c r="EL125" s="427">
        <v>3750</v>
      </c>
      <c r="EM125" s="427">
        <f t="shared" si="185"/>
        <v>5287</v>
      </c>
      <c r="EN125" s="427">
        <f t="shared" si="164"/>
        <v>526</v>
      </c>
      <c r="EO125" s="427">
        <f t="shared" si="186"/>
        <v>57585</v>
      </c>
      <c r="EP125" s="456">
        <v>14</v>
      </c>
      <c r="EQ125" s="457">
        <v>84</v>
      </c>
      <c r="ER125" s="457">
        <f t="shared" si="187"/>
        <v>70</v>
      </c>
      <c r="ES125" s="457">
        <f t="shared" si="165"/>
        <v>28</v>
      </c>
      <c r="ET125" s="457">
        <f t="shared" si="188"/>
        <v>1232</v>
      </c>
      <c r="EU125" s="409">
        <v>20</v>
      </c>
      <c r="EV125" s="43"/>
      <c r="EW125" s="43">
        <f t="shared" si="189"/>
        <v>13</v>
      </c>
      <c r="EX125" s="43">
        <f t="shared" si="166"/>
        <v>7</v>
      </c>
      <c r="EY125" s="43">
        <f t="shared" si="190"/>
        <v>727</v>
      </c>
      <c r="EZ125" s="436">
        <v>93</v>
      </c>
      <c r="FA125" s="437">
        <v>50</v>
      </c>
      <c r="FB125" s="437">
        <f t="shared" si="191"/>
        <v>138</v>
      </c>
      <c r="FC125" s="437">
        <f t="shared" si="167"/>
        <v>5</v>
      </c>
      <c r="FD125" s="437">
        <f t="shared" si="192"/>
        <v>752</v>
      </c>
      <c r="FE125" s="442">
        <v>150</v>
      </c>
      <c r="FF125" s="443"/>
      <c r="FG125" s="443">
        <f t="shared" si="193"/>
        <v>150</v>
      </c>
      <c r="FH125" s="443">
        <f t="shared" si="168"/>
        <v>0</v>
      </c>
      <c r="FI125" s="443">
        <f t="shared" si="194"/>
        <v>850</v>
      </c>
      <c r="FJ125" s="392">
        <v>0</v>
      </c>
      <c r="FK125" s="298"/>
      <c r="FL125" s="298">
        <f t="shared" si="195"/>
        <v>0</v>
      </c>
      <c r="FM125" s="298">
        <f t="shared" si="169"/>
        <v>0</v>
      </c>
      <c r="FN125" s="498">
        <f t="shared" si="196"/>
        <v>1900</v>
      </c>
      <c r="HC125" s="402"/>
      <c r="HD125" s="52"/>
      <c r="HE125" s="52">
        <f t="shared" si="197"/>
        <v>0</v>
      </c>
      <c r="HF125" s="52">
        <f t="shared" si="170"/>
        <v>0</v>
      </c>
      <c r="HG125" s="51"/>
      <c r="HH125" s="52">
        <f t="shared" si="240"/>
        <v>400</v>
      </c>
      <c r="HI125" s="51"/>
      <c r="HJ125" s="1047"/>
    </row>
    <row r="126" spans="1:218">
      <c r="A126" s="807">
        <v>44789</v>
      </c>
      <c r="B126" s="390">
        <v>693657</v>
      </c>
      <c r="C126" s="18">
        <f t="shared" si="147"/>
        <v>59847752</v>
      </c>
      <c r="D126" s="376">
        <v>6532.94</v>
      </c>
      <c r="E126" s="417">
        <f t="shared" si="255"/>
        <v>778176.2999999997</v>
      </c>
      <c r="F126" s="397">
        <v>21933</v>
      </c>
      <c r="G126" s="37"/>
      <c r="H126" s="37">
        <f t="shared" si="171"/>
        <v>19160</v>
      </c>
      <c r="I126" s="37">
        <f t="shared" si="148"/>
        <v>2773</v>
      </c>
      <c r="J126" s="37">
        <f t="shared" si="146"/>
        <v>424.46432999537728</v>
      </c>
      <c r="K126" s="37">
        <f t="shared" si="198"/>
        <v>358027</v>
      </c>
      <c r="L126" s="37">
        <f t="shared" si="149"/>
        <v>460.08468775006401</v>
      </c>
      <c r="M126" s="648"/>
      <c r="N126" s="422">
        <v>25</v>
      </c>
      <c r="O126" s="423">
        <v>250</v>
      </c>
      <c r="P126" s="423">
        <f t="shared" si="199"/>
        <v>200</v>
      </c>
      <c r="Q126" s="423">
        <f t="shared" si="200"/>
        <v>75</v>
      </c>
      <c r="R126" s="423">
        <f t="shared" si="201"/>
        <v>9525</v>
      </c>
      <c r="S126" s="68">
        <v>6.55</v>
      </c>
      <c r="T126" s="67">
        <v>24</v>
      </c>
      <c r="U126" s="68">
        <f t="shared" si="202"/>
        <v>78.599999999999994</v>
      </c>
      <c r="V126" s="68">
        <f t="shared" si="151"/>
        <v>12.031336580467601</v>
      </c>
      <c r="W126" s="423">
        <f t="shared" si="203"/>
        <v>9352.7040000000034</v>
      </c>
      <c r="X126" s="68">
        <f t="shared" si="152"/>
        <v>12.018746908637551</v>
      </c>
      <c r="Y126" s="500"/>
      <c r="Z126" s="424">
        <v>75</v>
      </c>
      <c r="AA126" s="425"/>
      <c r="AB126" s="425">
        <f t="shared" si="204"/>
        <v>75</v>
      </c>
      <c r="AC126" s="425">
        <f t="shared" si="205"/>
        <v>0</v>
      </c>
      <c r="AD126" s="425">
        <f t="shared" si="206"/>
        <v>1525</v>
      </c>
      <c r="AE126" s="72">
        <v>2.2000000000000002</v>
      </c>
      <c r="AF126" s="71">
        <v>12</v>
      </c>
      <c r="AG126" s="72">
        <f t="shared" si="207"/>
        <v>13.200000000000001</v>
      </c>
      <c r="AH126" s="72">
        <f t="shared" si="173"/>
        <v>2.0205298074067728</v>
      </c>
      <c r="AI126" s="425">
        <f t="shared" si="208"/>
        <v>1433.6520000000005</v>
      </c>
      <c r="AJ126" s="72">
        <f t="shared" si="241"/>
        <v>1.8423228772194695</v>
      </c>
      <c r="AK126" s="502"/>
      <c r="AL126" s="491">
        <v>31060</v>
      </c>
      <c r="AM126" s="491"/>
      <c r="AN126" s="492">
        <f t="shared" si="248"/>
        <v>31060</v>
      </c>
      <c r="AO126" s="492">
        <f t="shared" si="249"/>
        <v>0</v>
      </c>
      <c r="AP126" s="492">
        <f t="shared" si="250"/>
        <v>52513</v>
      </c>
      <c r="AQ126" s="493">
        <f t="shared" si="174"/>
        <v>67.482137402539792</v>
      </c>
      <c r="AR126" s="504"/>
      <c r="AS126" s="413">
        <v>11318</v>
      </c>
      <c r="AT126" s="64"/>
      <c r="AU126" s="66">
        <f t="shared" si="209"/>
        <v>6200</v>
      </c>
      <c r="AV126" s="66">
        <f t="shared" si="155"/>
        <v>5118</v>
      </c>
      <c r="AW126" s="412">
        <f t="shared" si="156"/>
        <v>7.3782863864993793</v>
      </c>
      <c r="AX126" s="66">
        <f t="shared" si="210"/>
        <v>114545</v>
      </c>
      <c r="AY126" s="412">
        <f t="shared" si="211"/>
        <v>1.9139398920113155</v>
      </c>
      <c r="AZ126" s="506"/>
      <c r="BA126" s="419">
        <v>6600</v>
      </c>
      <c r="BB126" s="419"/>
      <c r="BC126" s="407"/>
      <c r="BD126" s="419">
        <f t="shared" si="175"/>
        <v>0</v>
      </c>
      <c r="BE126" s="419">
        <f t="shared" si="176"/>
        <v>6600</v>
      </c>
      <c r="BF126" s="407">
        <f t="shared" si="212"/>
        <v>9.5147890095537129</v>
      </c>
      <c r="BG126" s="419">
        <f t="shared" si="251"/>
        <v>45495</v>
      </c>
      <c r="BH126" s="407">
        <f t="shared" si="213"/>
        <v>0.760178928692259</v>
      </c>
      <c r="BI126" s="407">
        <f t="shared" si="214"/>
        <v>9.3083134125582737E-2</v>
      </c>
      <c r="BJ126" s="508"/>
      <c r="BK126" s="510"/>
      <c r="BL126" s="49">
        <v>2192</v>
      </c>
      <c r="BM126" s="50"/>
      <c r="BN126" s="52">
        <f t="shared" si="215"/>
        <v>1875</v>
      </c>
      <c r="BO126" s="52">
        <f t="shared" si="157"/>
        <v>317</v>
      </c>
      <c r="BP126" s="406">
        <f t="shared" si="216"/>
        <v>0.4569981993982617</v>
      </c>
      <c r="BQ126" s="52">
        <f t="shared" si="217"/>
        <v>25925</v>
      </c>
      <c r="BR126" s="406">
        <f t="shared" si="218"/>
        <v>0.43318251953724174</v>
      </c>
      <c r="BS126" s="512"/>
      <c r="BT126" s="409">
        <v>705</v>
      </c>
      <c r="BU126" s="43">
        <v>50</v>
      </c>
      <c r="BV126" s="43">
        <f t="shared" si="245"/>
        <v>509</v>
      </c>
      <c r="BW126" s="43">
        <f t="shared" si="246"/>
        <v>246</v>
      </c>
      <c r="BX126" s="42">
        <f t="shared" si="219"/>
        <v>0.35464213581063841</v>
      </c>
      <c r="BY126" s="43">
        <f t="shared" si="247"/>
        <v>10928</v>
      </c>
      <c r="BZ126" s="42">
        <f t="shared" si="220"/>
        <v>0.18259666628748228</v>
      </c>
      <c r="CA126" s="514"/>
      <c r="CB126" s="392">
        <v>1150</v>
      </c>
      <c r="CC126" s="298"/>
      <c r="CD126" s="298">
        <f t="shared" si="177"/>
        <v>1070</v>
      </c>
      <c r="CE126" s="298">
        <f t="shared" si="158"/>
        <v>80</v>
      </c>
      <c r="CF126" s="297">
        <f t="shared" si="221"/>
        <v>0.11533077587337834</v>
      </c>
      <c r="CG126" s="298">
        <f t="shared" si="222"/>
        <v>49530</v>
      </c>
      <c r="CH126" s="297">
        <f t="shared" si="223"/>
        <v>0.82760000743219231</v>
      </c>
      <c r="CI126" s="516"/>
      <c r="CJ126" s="659">
        <v>675</v>
      </c>
      <c r="CK126" s="651"/>
      <c r="CL126" s="657">
        <f t="shared" si="252"/>
        <v>675</v>
      </c>
      <c r="CM126" s="657">
        <f t="shared" si="253"/>
        <v>0</v>
      </c>
      <c r="CN126" s="659">
        <f t="shared" si="254"/>
        <v>10325</v>
      </c>
      <c r="CO126" s="464">
        <v>0</v>
      </c>
      <c r="CP126" s="465"/>
      <c r="CQ126" s="465">
        <f t="shared" si="178"/>
        <v>0</v>
      </c>
      <c r="CR126" s="465">
        <f t="shared" si="159"/>
        <v>0</v>
      </c>
      <c r="CS126" s="486">
        <f t="shared" si="224"/>
        <v>0</v>
      </c>
      <c r="CT126" s="465">
        <f t="shared" si="225"/>
        <v>1375</v>
      </c>
      <c r="CU126" s="486">
        <f t="shared" si="226"/>
        <v>2.2974964874202794E-2</v>
      </c>
      <c r="CV126" s="518"/>
      <c r="CW126" s="427">
        <v>6</v>
      </c>
      <c r="CX126" s="427"/>
      <c r="CY126" s="427">
        <f t="shared" si="227"/>
        <v>6</v>
      </c>
      <c r="CZ126" s="427">
        <f t="shared" si="228"/>
        <v>0</v>
      </c>
      <c r="DA126" s="607">
        <f t="shared" si="244"/>
        <v>0</v>
      </c>
      <c r="DB126" s="607">
        <f t="shared" si="229"/>
        <v>89</v>
      </c>
      <c r="DC126" s="607">
        <f t="shared" si="179"/>
        <v>1.4871068173120353E-3</v>
      </c>
      <c r="DD126" s="609"/>
      <c r="DE126" s="471">
        <v>0</v>
      </c>
      <c r="DF126" s="473"/>
      <c r="DG126" s="473">
        <f t="shared" si="180"/>
        <v>0</v>
      </c>
      <c r="DH126" s="473">
        <f t="shared" si="160"/>
        <v>0</v>
      </c>
      <c r="DI126" s="227">
        <f t="shared" si="230"/>
        <v>0</v>
      </c>
      <c r="DJ126" s="473">
        <f t="shared" si="231"/>
        <v>59.2</v>
      </c>
      <c r="DK126" s="227">
        <f t="shared" si="232"/>
        <v>9.8917666949294939E-4</v>
      </c>
      <c r="DL126" s="510"/>
      <c r="DM126" s="63">
        <v>500</v>
      </c>
      <c r="DN126" s="64"/>
      <c r="DO126" s="66">
        <f t="shared" si="233"/>
        <v>410</v>
      </c>
      <c r="DP126" s="66">
        <f t="shared" si="161"/>
        <v>90</v>
      </c>
      <c r="DQ126" s="412">
        <f t="shared" si="234"/>
        <v>0.12974712285755063</v>
      </c>
      <c r="DR126" s="66">
        <f t="shared" si="235"/>
        <v>14590</v>
      </c>
      <c r="DS126" s="412">
        <f t="shared" si="236"/>
        <v>0.24378526364699546</v>
      </c>
      <c r="DT126" s="506"/>
      <c r="DU126" s="596">
        <v>0</v>
      </c>
      <c r="DV126" s="596"/>
      <c r="DW126" s="596">
        <f t="shared" si="181"/>
        <v>0</v>
      </c>
      <c r="DX126" s="596">
        <f t="shared" si="162"/>
        <v>0</v>
      </c>
      <c r="DY126" s="592">
        <f t="shared" si="182"/>
        <v>0</v>
      </c>
      <c r="DZ126" s="596">
        <f t="shared" si="237"/>
        <v>2800</v>
      </c>
      <c r="EA126" s="592">
        <f t="shared" si="183"/>
        <v>4.6785383016558414E-2</v>
      </c>
      <c r="EB126" s="594"/>
      <c r="EC126" s="448">
        <v>165</v>
      </c>
      <c r="ED126" s="449"/>
      <c r="EE126" s="449">
        <f t="shared" si="184"/>
        <v>165</v>
      </c>
      <c r="EF126" s="449">
        <f t="shared" si="163"/>
        <v>0</v>
      </c>
      <c r="EG126" s="450">
        <f t="shared" si="242"/>
        <v>0</v>
      </c>
      <c r="EH126" s="449">
        <f t="shared" si="238"/>
        <v>480</v>
      </c>
      <c r="EI126" s="450">
        <f t="shared" si="243"/>
        <v>8.0203513742671574E-3</v>
      </c>
      <c r="EJ126" s="520"/>
      <c r="EK126" s="426">
        <v>5287</v>
      </c>
      <c r="EL126" s="427"/>
      <c r="EM126" s="427">
        <f t="shared" si="185"/>
        <v>4388</v>
      </c>
      <c r="EN126" s="427">
        <f t="shared" si="164"/>
        <v>899</v>
      </c>
      <c r="EO126" s="427">
        <f t="shared" si="186"/>
        <v>58484</v>
      </c>
      <c r="EP126" s="456">
        <v>70</v>
      </c>
      <c r="EQ126" s="457"/>
      <c r="ER126" s="457">
        <f t="shared" si="187"/>
        <v>42</v>
      </c>
      <c r="ES126" s="457">
        <f t="shared" si="165"/>
        <v>28</v>
      </c>
      <c r="ET126" s="457">
        <f t="shared" si="188"/>
        <v>1260</v>
      </c>
      <c r="EU126" s="409">
        <v>13</v>
      </c>
      <c r="EV126" s="43"/>
      <c r="EW126" s="43">
        <f t="shared" si="189"/>
        <v>9</v>
      </c>
      <c r="EX126" s="43">
        <f t="shared" si="166"/>
        <v>4</v>
      </c>
      <c r="EY126" s="43">
        <f t="shared" si="190"/>
        <v>731</v>
      </c>
      <c r="EZ126" s="436">
        <v>138</v>
      </c>
      <c r="FA126" s="437"/>
      <c r="FB126" s="437">
        <f t="shared" si="191"/>
        <v>133</v>
      </c>
      <c r="FC126" s="437">
        <f t="shared" si="167"/>
        <v>5</v>
      </c>
      <c r="FD126" s="437">
        <f t="shared" si="192"/>
        <v>757</v>
      </c>
      <c r="FE126" s="442">
        <v>150</v>
      </c>
      <c r="FF126" s="443"/>
      <c r="FG126" s="443">
        <f t="shared" si="193"/>
        <v>150</v>
      </c>
      <c r="FH126" s="443">
        <f t="shared" si="168"/>
        <v>0</v>
      </c>
      <c r="FI126" s="443">
        <f t="shared" si="194"/>
        <v>850</v>
      </c>
      <c r="FJ126" s="392">
        <v>0</v>
      </c>
      <c r="FK126" s="298"/>
      <c r="FL126" s="298">
        <f t="shared" si="195"/>
        <v>0</v>
      </c>
      <c r="FM126" s="298">
        <f t="shared" si="169"/>
        <v>0</v>
      </c>
      <c r="FN126" s="498">
        <f t="shared" si="196"/>
        <v>1900</v>
      </c>
      <c r="HC126" s="402"/>
      <c r="HD126" s="52"/>
      <c r="HE126" s="52">
        <f t="shared" si="197"/>
        <v>0</v>
      </c>
      <c r="HF126" s="52">
        <f t="shared" si="170"/>
        <v>0</v>
      </c>
      <c r="HG126" s="51"/>
      <c r="HH126" s="52">
        <f t="shared" si="240"/>
        <v>400</v>
      </c>
      <c r="HI126" s="51"/>
      <c r="HJ126" s="1047"/>
    </row>
    <row r="127" spans="1:218">
      <c r="A127" s="807">
        <v>44790</v>
      </c>
      <c r="B127" s="390">
        <v>496087</v>
      </c>
      <c r="C127" s="18">
        <f t="shared" si="147"/>
        <v>60343839</v>
      </c>
      <c r="D127" s="376">
        <v>2271.8000000000002</v>
      </c>
      <c r="E127" s="417">
        <f t="shared" si="255"/>
        <v>780448.09999999974</v>
      </c>
      <c r="F127" s="397">
        <v>19160</v>
      </c>
      <c r="G127" s="37"/>
      <c r="H127" s="37">
        <f t="shared" si="171"/>
        <v>13615</v>
      </c>
      <c r="I127" s="37">
        <f t="shared" si="148"/>
        <v>5545</v>
      </c>
      <c r="J127" s="37">
        <f t="shared" si="146"/>
        <v>2440.7958447046394</v>
      </c>
      <c r="K127" s="37">
        <f t="shared" si="198"/>
        <v>363572</v>
      </c>
      <c r="L127" s="37">
        <f t="shared" si="149"/>
        <v>465.85032367943506</v>
      </c>
      <c r="M127" s="648"/>
      <c r="N127" s="422">
        <v>200</v>
      </c>
      <c r="O127" s="423"/>
      <c r="P127" s="423">
        <f t="shared" si="199"/>
        <v>125</v>
      </c>
      <c r="Q127" s="423">
        <f t="shared" si="200"/>
        <v>75</v>
      </c>
      <c r="R127" s="423">
        <f t="shared" si="201"/>
        <v>9600</v>
      </c>
      <c r="S127" s="68">
        <v>6.5</v>
      </c>
      <c r="T127" s="67">
        <v>24</v>
      </c>
      <c r="U127" s="68">
        <f t="shared" si="202"/>
        <v>78</v>
      </c>
      <c r="V127" s="68">
        <f t="shared" si="151"/>
        <v>34.334008275376348</v>
      </c>
      <c r="W127" s="423">
        <f t="shared" si="203"/>
        <v>9430.7040000000034</v>
      </c>
      <c r="X127" s="68">
        <f t="shared" si="152"/>
        <v>12.083704220690661</v>
      </c>
      <c r="Y127" s="500"/>
      <c r="Z127" s="424">
        <v>75</v>
      </c>
      <c r="AA127" s="425"/>
      <c r="AB127" s="425">
        <f t="shared" si="204"/>
        <v>50</v>
      </c>
      <c r="AC127" s="425">
        <f t="shared" si="205"/>
        <v>25</v>
      </c>
      <c r="AD127" s="425">
        <f t="shared" si="206"/>
        <v>1550</v>
      </c>
      <c r="AE127" s="72">
        <v>1.1499999999999999</v>
      </c>
      <c r="AF127" s="71">
        <v>12</v>
      </c>
      <c r="AG127" s="72">
        <f t="shared" si="207"/>
        <v>6.8999999999999995</v>
      </c>
      <c r="AH127" s="72">
        <f t="shared" si="173"/>
        <v>3.0372391935909846</v>
      </c>
      <c r="AI127" s="425">
        <f t="shared" si="208"/>
        <v>1440.5520000000006</v>
      </c>
      <c r="AJ127" s="72">
        <f t="shared" si="241"/>
        <v>1.8458011493653468</v>
      </c>
      <c r="AK127" s="502"/>
      <c r="AL127" s="491">
        <v>31060</v>
      </c>
      <c r="AM127" s="491"/>
      <c r="AN127" s="492">
        <f t="shared" si="248"/>
        <v>31060</v>
      </c>
      <c r="AO127" s="492">
        <f t="shared" si="249"/>
        <v>0</v>
      </c>
      <c r="AP127" s="492">
        <f t="shared" si="250"/>
        <v>52513</v>
      </c>
      <c r="AQ127" s="493">
        <f t="shared" si="174"/>
        <v>67.285704199933363</v>
      </c>
      <c r="AR127" s="504"/>
      <c r="AS127" s="413">
        <v>6200</v>
      </c>
      <c r="AT127" s="64">
        <v>34390</v>
      </c>
      <c r="AU127" s="66">
        <f t="shared" si="209"/>
        <v>38807</v>
      </c>
      <c r="AV127" s="66">
        <f t="shared" si="155"/>
        <v>1783</v>
      </c>
      <c r="AW127" s="412">
        <f t="shared" si="156"/>
        <v>3.5941276429335982</v>
      </c>
      <c r="AX127" s="66">
        <f t="shared" si="210"/>
        <v>116328</v>
      </c>
      <c r="AY127" s="412">
        <f t="shared" si="211"/>
        <v>1.9277527238530514</v>
      </c>
      <c r="AZ127" s="506"/>
      <c r="BA127" s="419">
        <v>0</v>
      </c>
      <c r="BB127" s="419"/>
      <c r="BC127" s="407"/>
      <c r="BD127" s="419">
        <f t="shared" si="175"/>
        <v>0</v>
      </c>
      <c r="BE127" s="419">
        <f t="shared" si="176"/>
        <v>0</v>
      </c>
      <c r="BF127" s="407">
        <f t="shared" si="212"/>
        <v>0</v>
      </c>
      <c r="BG127" s="419">
        <f t="shared" si="251"/>
        <v>45495</v>
      </c>
      <c r="BH127" s="407">
        <f t="shared" si="213"/>
        <v>0.75392949394552111</v>
      </c>
      <c r="BI127" s="407">
        <f t="shared" si="214"/>
        <v>9.2317897217818912E-2</v>
      </c>
      <c r="BJ127" s="508"/>
      <c r="BK127" s="510"/>
      <c r="BL127" s="49">
        <v>1875</v>
      </c>
      <c r="BM127" s="50">
        <v>900</v>
      </c>
      <c r="BN127" s="52">
        <f t="shared" si="215"/>
        <v>2672</v>
      </c>
      <c r="BO127" s="52">
        <f t="shared" si="157"/>
        <v>103</v>
      </c>
      <c r="BP127" s="406">
        <f t="shared" si="216"/>
        <v>0.2076248722502303</v>
      </c>
      <c r="BQ127" s="52">
        <f t="shared" si="217"/>
        <v>26028</v>
      </c>
      <c r="BR127" s="406">
        <f t="shared" si="218"/>
        <v>0.43132820899909929</v>
      </c>
      <c r="BS127" s="512"/>
      <c r="BT127" s="409">
        <v>509</v>
      </c>
      <c r="BU127" s="43">
        <v>1000</v>
      </c>
      <c r="BV127" s="43">
        <f t="shared" si="245"/>
        <v>1414</v>
      </c>
      <c r="BW127" s="43">
        <f t="shared" si="246"/>
        <v>95</v>
      </c>
      <c r="BX127" s="42">
        <f t="shared" si="219"/>
        <v>0.19149866858030951</v>
      </c>
      <c r="BY127" s="43">
        <f t="shared" si="247"/>
        <v>11023</v>
      </c>
      <c r="BZ127" s="42">
        <f t="shared" si="220"/>
        <v>0.1826698496925262</v>
      </c>
      <c r="CA127" s="514"/>
      <c r="CB127" s="392">
        <v>1070</v>
      </c>
      <c r="CC127" s="298"/>
      <c r="CD127" s="298">
        <f t="shared" si="177"/>
        <v>1070</v>
      </c>
      <c r="CE127" s="298">
        <f t="shared" si="158"/>
        <v>0</v>
      </c>
      <c r="CF127" s="297">
        <f t="shared" si="221"/>
        <v>0</v>
      </c>
      <c r="CG127" s="298">
        <f t="shared" si="222"/>
        <v>49530</v>
      </c>
      <c r="CH127" s="297">
        <f t="shared" si="223"/>
        <v>0.82079630366241696</v>
      </c>
      <c r="CI127" s="516"/>
      <c r="CJ127" s="659">
        <v>675</v>
      </c>
      <c r="CK127" s="651"/>
      <c r="CL127" s="657">
        <f t="shared" si="252"/>
        <v>675</v>
      </c>
      <c r="CM127" s="657">
        <f t="shared" si="253"/>
        <v>0</v>
      </c>
      <c r="CN127" s="659">
        <f t="shared" si="254"/>
        <v>10325</v>
      </c>
      <c r="CO127" s="464">
        <v>0</v>
      </c>
      <c r="CP127" s="465"/>
      <c r="CQ127" s="465">
        <f t="shared" si="178"/>
        <v>0</v>
      </c>
      <c r="CR127" s="465">
        <f t="shared" si="159"/>
        <v>0</v>
      </c>
      <c r="CS127" s="486">
        <f t="shared" si="224"/>
        <v>0</v>
      </c>
      <c r="CT127" s="465">
        <f t="shared" si="225"/>
        <v>1375</v>
      </c>
      <c r="CU127" s="486">
        <f t="shared" si="226"/>
        <v>2.2786087573911231E-2</v>
      </c>
      <c r="CV127" s="518"/>
      <c r="CW127" s="427">
        <v>6</v>
      </c>
      <c r="CX127" s="427"/>
      <c r="CY127" s="427">
        <f t="shared" si="227"/>
        <v>6</v>
      </c>
      <c r="CZ127" s="427">
        <f t="shared" si="228"/>
        <v>0</v>
      </c>
      <c r="DA127" s="607">
        <f t="shared" si="244"/>
        <v>0</v>
      </c>
      <c r="DB127" s="607">
        <f t="shared" si="229"/>
        <v>89</v>
      </c>
      <c r="DC127" s="607">
        <f t="shared" si="179"/>
        <v>1.4748813047840725E-3</v>
      </c>
      <c r="DD127" s="609"/>
      <c r="DE127" s="471">
        <v>0</v>
      </c>
      <c r="DF127" s="473">
        <v>40</v>
      </c>
      <c r="DG127" s="473">
        <f t="shared" si="180"/>
        <v>40</v>
      </c>
      <c r="DH127" s="473">
        <f t="shared" si="160"/>
        <v>0</v>
      </c>
      <c r="DI127" s="227">
        <f t="shared" si="230"/>
        <v>0</v>
      </c>
      <c r="DJ127" s="473">
        <f t="shared" si="231"/>
        <v>59.2</v>
      </c>
      <c r="DK127" s="227">
        <f t="shared" si="232"/>
        <v>9.8104464318221445E-4</v>
      </c>
      <c r="DL127" s="510"/>
      <c r="DM127" s="63">
        <v>410</v>
      </c>
      <c r="DN127" s="64"/>
      <c r="DO127" s="66">
        <f t="shared" si="233"/>
        <v>200</v>
      </c>
      <c r="DP127" s="66">
        <f t="shared" si="161"/>
        <v>210</v>
      </c>
      <c r="DQ127" s="412">
        <f t="shared" si="234"/>
        <v>0.42331284633542099</v>
      </c>
      <c r="DR127" s="66">
        <f t="shared" si="235"/>
        <v>14800</v>
      </c>
      <c r="DS127" s="412">
        <f t="shared" si="236"/>
        <v>0.24526116079555363</v>
      </c>
      <c r="DT127" s="506"/>
      <c r="DU127" s="596">
        <v>0</v>
      </c>
      <c r="DV127" s="596"/>
      <c r="DW127" s="596">
        <f t="shared" si="181"/>
        <v>0</v>
      </c>
      <c r="DX127" s="596">
        <f t="shared" si="162"/>
        <v>0</v>
      </c>
      <c r="DY127" s="592">
        <f t="shared" si="182"/>
        <v>0</v>
      </c>
      <c r="DZ127" s="596">
        <f t="shared" si="237"/>
        <v>2800</v>
      </c>
      <c r="EA127" s="592">
        <f t="shared" si="183"/>
        <v>4.6400760150510145E-2</v>
      </c>
      <c r="EB127" s="594"/>
      <c r="EC127" s="448">
        <v>165</v>
      </c>
      <c r="ED127" s="449"/>
      <c r="EE127" s="449">
        <f t="shared" si="184"/>
        <v>165</v>
      </c>
      <c r="EF127" s="449">
        <f t="shared" si="163"/>
        <v>0</v>
      </c>
      <c r="EG127" s="450">
        <f t="shared" si="242"/>
        <v>0</v>
      </c>
      <c r="EH127" s="449">
        <f t="shared" si="238"/>
        <v>480</v>
      </c>
      <c r="EI127" s="450">
        <f t="shared" si="243"/>
        <v>7.9544160258017398E-3</v>
      </c>
      <c r="EJ127" s="520"/>
      <c r="EK127" s="426">
        <v>4388</v>
      </c>
      <c r="EL127" s="427"/>
      <c r="EM127" s="427">
        <f t="shared" si="185"/>
        <v>3788</v>
      </c>
      <c r="EN127" s="427">
        <f t="shared" si="164"/>
        <v>600</v>
      </c>
      <c r="EO127" s="427">
        <f t="shared" si="186"/>
        <v>59084</v>
      </c>
      <c r="EP127" s="456">
        <v>42</v>
      </c>
      <c r="EQ127" s="457">
        <v>56</v>
      </c>
      <c r="ER127" s="457">
        <f t="shared" si="187"/>
        <v>84</v>
      </c>
      <c r="ES127" s="457">
        <f t="shared" si="165"/>
        <v>14</v>
      </c>
      <c r="ET127" s="457">
        <f t="shared" si="188"/>
        <v>1274</v>
      </c>
      <c r="EU127" s="409">
        <v>9</v>
      </c>
      <c r="EV127" s="43"/>
      <c r="EW127" s="43">
        <f t="shared" si="189"/>
        <v>4</v>
      </c>
      <c r="EX127" s="43">
        <f t="shared" si="166"/>
        <v>5</v>
      </c>
      <c r="EY127" s="43">
        <f t="shared" si="190"/>
        <v>736</v>
      </c>
      <c r="EZ127" s="436">
        <v>133</v>
      </c>
      <c r="FA127" s="437"/>
      <c r="FB127" s="437">
        <f t="shared" si="191"/>
        <v>131</v>
      </c>
      <c r="FC127" s="437">
        <f t="shared" si="167"/>
        <v>2</v>
      </c>
      <c r="FD127" s="437">
        <f t="shared" si="192"/>
        <v>759</v>
      </c>
      <c r="FE127" s="442">
        <v>150</v>
      </c>
      <c r="FF127" s="443"/>
      <c r="FG127" s="443">
        <f t="shared" si="193"/>
        <v>150</v>
      </c>
      <c r="FH127" s="443">
        <f t="shared" si="168"/>
        <v>0</v>
      </c>
      <c r="FI127" s="443">
        <f t="shared" si="194"/>
        <v>850</v>
      </c>
      <c r="FJ127" s="392">
        <v>0</v>
      </c>
      <c r="FK127" s="298"/>
      <c r="FL127" s="298">
        <f t="shared" si="195"/>
        <v>0</v>
      </c>
      <c r="FM127" s="298">
        <f t="shared" si="169"/>
        <v>0</v>
      </c>
      <c r="FN127" s="498">
        <f t="shared" si="196"/>
        <v>1900</v>
      </c>
      <c r="HC127" s="402"/>
      <c r="HD127" s="52"/>
      <c r="HE127" s="52">
        <f t="shared" si="197"/>
        <v>0</v>
      </c>
      <c r="HF127" s="52">
        <f t="shared" si="170"/>
        <v>0</v>
      </c>
      <c r="HG127" s="51"/>
      <c r="HH127" s="52">
        <f t="shared" si="240"/>
        <v>400</v>
      </c>
      <c r="HI127" s="51"/>
      <c r="HJ127" s="1047"/>
    </row>
    <row r="128" spans="1:218">
      <c r="A128" s="807">
        <v>44791</v>
      </c>
      <c r="B128" s="390">
        <v>221377</v>
      </c>
      <c r="C128" s="18">
        <f t="shared" si="147"/>
        <v>60565216</v>
      </c>
      <c r="D128" s="376">
        <v>2779.02</v>
      </c>
      <c r="E128" s="417">
        <f t="shared" si="255"/>
        <v>783227.11999999976</v>
      </c>
      <c r="F128" s="397">
        <v>13615</v>
      </c>
      <c r="G128" s="37"/>
      <c r="H128" s="37">
        <f t="shared" si="171"/>
        <v>13615</v>
      </c>
      <c r="I128" s="37">
        <f t="shared" si="148"/>
        <v>0</v>
      </c>
      <c r="J128" s="37">
        <f t="shared" si="146"/>
        <v>0</v>
      </c>
      <c r="K128" s="37">
        <f t="shared" si="198"/>
        <v>363572</v>
      </c>
      <c r="L128" s="37">
        <f t="shared" si="149"/>
        <v>464.19740930319176</v>
      </c>
      <c r="M128" s="648"/>
      <c r="N128" s="422">
        <v>125</v>
      </c>
      <c r="O128" s="423"/>
      <c r="P128" s="423">
        <f t="shared" si="199"/>
        <v>75</v>
      </c>
      <c r="Q128" s="423">
        <f t="shared" si="200"/>
        <v>50</v>
      </c>
      <c r="R128" s="423">
        <f t="shared" si="201"/>
        <v>9650</v>
      </c>
      <c r="S128" s="68">
        <v>5.25</v>
      </c>
      <c r="T128" s="67">
        <v>24</v>
      </c>
      <c r="U128" s="68">
        <f t="shared" si="202"/>
        <v>63</v>
      </c>
      <c r="V128" s="68">
        <f t="shared" si="151"/>
        <v>22.669862037696742</v>
      </c>
      <c r="W128" s="423">
        <f t="shared" si="203"/>
        <v>9493.7040000000034</v>
      </c>
      <c r="X128" s="68">
        <f t="shared" si="152"/>
        <v>12.121265668124472</v>
      </c>
      <c r="Y128" s="500"/>
      <c r="Z128" s="424">
        <v>50</v>
      </c>
      <c r="AA128" s="425"/>
      <c r="AB128" s="425">
        <f t="shared" si="204"/>
        <v>50</v>
      </c>
      <c r="AC128" s="425">
        <f t="shared" si="205"/>
        <v>0</v>
      </c>
      <c r="AD128" s="425">
        <f t="shared" si="206"/>
        <v>1550</v>
      </c>
      <c r="AE128" s="72">
        <v>1.26</v>
      </c>
      <c r="AF128" s="71">
        <v>12</v>
      </c>
      <c r="AG128" s="72">
        <f t="shared" si="207"/>
        <v>7.5600000000000005</v>
      </c>
      <c r="AH128" s="72">
        <f t="shared" si="173"/>
        <v>2.7203834445236095</v>
      </c>
      <c r="AI128" s="425">
        <f t="shared" si="208"/>
        <v>1448.1120000000005</v>
      </c>
      <c r="AJ128" s="72">
        <f t="shared" si="241"/>
        <v>1.8489043127107254</v>
      </c>
      <c r="AK128" s="502"/>
      <c r="AL128" s="491">
        <v>31060</v>
      </c>
      <c r="AM128" s="491"/>
      <c r="AN128" s="492">
        <f t="shared" si="248"/>
        <v>31060</v>
      </c>
      <c r="AO128" s="492">
        <f t="shared" si="249"/>
        <v>0</v>
      </c>
      <c r="AP128" s="492">
        <f t="shared" si="250"/>
        <v>52513</v>
      </c>
      <c r="AQ128" s="493">
        <f t="shared" si="174"/>
        <v>67.046963338041735</v>
      </c>
      <c r="AR128" s="504"/>
      <c r="AS128" s="413">
        <v>38807</v>
      </c>
      <c r="AT128" s="64"/>
      <c r="AU128" s="66">
        <f t="shared" si="209"/>
        <v>35879</v>
      </c>
      <c r="AV128" s="66">
        <f t="shared" si="155"/>
        <v>2928</v>
      </c>
      <c r="AW128" s="412">
        <f t="shared" si="156"/>
        <v>13.226306255844102</v>
      </c>
      <c r="AX128" s="66">
        <f t="shared" si="210"/>
        <v>119256</v>
      </c>
      <c r="AY128" s="412">
        <f t="shared" si="211"/>
        <v>1.9690510143644167</v>
      </c>
      <c r="AZ128" s="506"/>
      <c r="BA128" s="419">
        <v>0</v>
      </c>
      <c r="BB128" s="419"/>
      <c r="BC128" s="407"/>
      <c r="BD128" s="419">
        <f t="shared" si="175"/>
        <v>0</v>
      </c>
      <c r="BE128" s="419">
        <f t="shared" si="176"/>
        <v>0</v>
      </c>
      <c r="BF128" s="407">
        <f t="shared" si="212"/>
        <v>0</v>
      </c>
      <c r="BG128" s="419">
        <f t="shared" si="251"/>
        <v>45495</v>
      </c>
      <c r="BH128" s="407">
        <f t="shared" si="213"/>
        <v>0.75117374302768114</v>
      </c>
      <c r="BI128" s="407">
        <f t="shared" si="214"/>
        <v>9.1980458329920148E-2</v>
      </c>
      <c r="BJ128" s="508"/>
      <c r="BK128" s="510"/>
      <c r="BL128" s="49">
        <v>2672</v>
      </c>
      <c r="BM128" s="50"/>
      <c r="BN128" s="52">
        <f t="shared" si="215"/>
        <v>2661</v>
      </c>
      <c r="BO128" s="52">
        <f t="shared" si="157"/>
        <v>11</v>
      </c>
      <c r="BP128" s="406">
        <f t="shared" si="216"/>
        <v>4.9688992081381535E-2</v>
      </c>
      <c r="BQ128" s="52">
        <f t="shared" si="217"/>
        <v>26039</v>
      </c>
      <c r="BR128" s="406">
        <f t="shared" si="218"/>
        <v>0.42993324749308248</v>
      </c>
      <c r="BS128" s="512"/>
      <c r="BT128" s="409">
        <v>1414</v>
      </c>
      <c r="BU128" s="43"/>
      <c r="BV128" s="43">
        <f t="shared" si="245"/>
        <v>1324</v>
      </c>
      <c r="BW128" s="43">
        <f t="shared" si="246"/>
        <v>90</v>
      </c>
      <c r="BX128" s="42">
        <f t="shared" si="219"/>
        <v>0.40654629884766708</v>
      </c>
      <c r="BY128" s="43">
        <f t="shared" si="247"/>
        <v>11113</v>
      </c>
      <c r="BZ128" s="42">
        <f t="shared" si="220"/>
        <v>0.1834881592761099</v>
      </c>
      <c r="CA128" s="514"/>
      <c r="CB128" s="392">
        <v>1070</v>
      </c>
      <c r="CC128" s="298"/>
      <c r="CD128" s="298">
        <f t="shared" si="177"/>
        <v>1070</v>
      </c>
      <c r="CE128" s="298">
        <f t="shared" si="158"/>
        <v>0</v>
      </c>
      <c r="CF128" s="297">
        <f t="shared" si="221"/>
        <v>0</v>
      </c>
      <c r="CG128" s="298">
        <f t="shared" si="222"/>
        <v>49530</v>
      </c>
      <c r="CH128" s="297">
        <f t="shared" si="223"/>
        <v>0.81779614226093078</v>
      </c>
      <c r="CI128" s="516"/>
      <c r="CJ128" s="659">
        <v>675</v>
      </c>
      <c r="CK128" s="651"/>
      <c r="CL128" s="657">
        <f t="shared" si="252"/>
        <v>625</v>
      </c>
      <c r="CM128" s="657">
        <f t="shared" si="253"/>
        <v>50</v>
      </c>
      <c r="CN128" s="659">
        <f t="shared" si="254"/>
        <v>10375</v>
      </c>
      <c r="CO128" s="464">
        <v>0</v>
      </c>
      <c r="CP128" s="465"/>
      <c r="CQ128" s="465">
        <f t="shared" si="178"/>
        <v>0</v>
      </c>
      <c r="CR128" s="465">
        <f t="shared" si="159"/>
        <v>0</v>
      </c>
      <c r="CS128" s="486">
        <f t="shared" si="224"/>
        <v>0</v>
      </c>
      <c r="CT128" s="465">
        <f t="shared" si="225"/>
        <v>1375</v>
      </c>
      <c r="CU128" s="486">
        <f t="shared" si="226"/>
        <v>2.2702800234378755E-2</v>
      </c>
      <c r="CV128" s="518"/>
      <c r="CW128" s="427">
        <v>6</v>
      </c>
      <c r="CX128" s="427"/>
      <c r="CY128" s="427">
        <f t="shared" si="227"/>
        <v>4</v>
      </c>
      <c r="CZ128" s="427">
        <f t="shared" si="228"/>
        <v>2</v>
      </c>
      <c r="DA128" s="607">
        <f t="shared" si="244"/>
        <v>9.034362196614824E-3</v>
      </c>
      <c r="DB128" s="607">
        <f t="shared" si="229"/>
        <v>91</v>
      </c>
      <c r="DC128" s="607">
        <f t="shared" si="179"/>
        <v>1.502512597329794E-3</v>
      </c>
      <c r="DD128" s="609"/>
      <c r="DE128" s="471">
        <v>40</v>
      </c>
      <c r="DF128" s="473"/>
      <c r="DG128" s="473">
        <f t="shared" si="180"/>
        <v>40</v>
      </c>
      <c r="DH128" s="473">
        <f t="shared" si="160"/>
        <v>0</v>
      </c>
      <c r="DI128" s="227">
        <f t="shared" si="230"/>
        <v>0</v>
      </c>
      <c r="DJ128" s="473">
        <f t="shared" si="231"/>
        <v>59.2</v>
      </c>
      <c r="DK128" s="227">
        <f t="shared" si="232"/>
        <v>9.7745874463652546E-4</v>
      </c>
      <c r="DL128" s="510"/>
      <c r="DM128" s="63">
        <v>200</v>
      </c>
      <c r="DN128" s="64"/>
      <c r="DO128" s="66">
        <f t="shared" si="233"/>
        <v>200</v>
      </c>
      <c r="DP128" s="66">
        <f t="shared" si="161"/>
        <v>0</v>
      </c>
      <c r="DQ128" s="412">
        <f t="shared" si="234"/>
        <v>0</v>
      </c>
      <c r="DR128" s="66">
        <f t="shared" si="235"/>
        <v>14800</v>
      </c>
      <c r="DS128" s="412">
        <f t="shared" si="236"/>
        <v>0.24436468615913134</v>
      </c>
      <c r="DT128" s="506"/>
      <c r="DU128" s="596">
        <v>0</v>
      </c>
      <c r="DV128" s="596"/>
      <c r="DW128" s="596">
        <f t="shared" si="181"/>
        <v>0</v>
      </c>
      <c r="DX128" s="596">
        <f t="shared" si="162"/>
        <v>0</v>
      </c>
      <c r="DY128" s="592">
        <f t="shared" si="182"/>
        <v>0</v>
      </c>
      <c r="DZ128" s="596">
        <f t="shared" si="237"/>
        <v>2800</v>
      </c>
      <c r="EA128" s="592">
        <f t="shared" si="183"/>
        <v>4.6231156840916741E-2</v>
      </c>
      <c r="EB128" s="594"/>
      <c r="EC128" s="448">
        <v>165</v>
      </c>
      <c r="ED128" s="449"/>
      <c r="EE128" s="449">
        <f t="shared" si="184"/>
        <v>165</v>
      </c>
      <c r="EF128" s="449">
        <f t="shared" si="163"/>
        <v>0</v>
      </c>
      <c r="EG128" s="450">
        <f t="shared" si="242"/>
        <v>0</v>
      </c>
      <c r="EH128" s="449">
        <f t="shared" si="238"/>
        <v>480</v>
      </c>
      <c r="EI128" s="450">
        <f t="shared" si="243"/>
        <v>7.9253411727285838E-3</v>
      </c>
      <c r="EJ128" s="520"/>
      <c r="EK128" s="426">
        <v>3788</v>
      </c>
      <c r="EL128" s="427"/>
      <c r="EM128" s="427">
        <f t="shared" si="185"/>
        <v>3488</v>
      </c>
      <c r="EN128" s="427">
        <f t="shared" si="164"/>
        <v>300</v>
      </c>
      <c r="EO128" s="427">
        <f t="shared" si="186"/>
        <v>59384</v>
      </c>
      <c r="EP128" s="456">
        <v>84</v>
      </c>
      <c r="EQ128" s="457"/>
      <c r="ER128" s="457">
        <f t="shared" si="187"/>
        <v>70</v>
      </c>
      <c r="ES128" s="457">
        <f t="shared" si="165"/>
        <v>14</v>
      </c>
      <c r="ET128" s="457">
        <f t="shared" si="188"/>
        <v>1288</v>
      </c>
      <c r="EU128" s="409">
        <v>4</v>
      </c>
      <c r="EV128" s="43"/>
      <c r="EW128" s="43">
        <f t="shared" si="189"/>
        <v>2</v>
      </c>
      <c r="EX128" s="43">
        <f t="shared" si="166"/>
        <v>2</v>
      </c>
      <c r="EY128" s="43">
        <f t="shared" si="190"/>
        <v>738</v>
      </c>
      <c r="EZ128" s="436">
        <v>131</v>
      </c>
      <c r="FA128" s="437"/>
      <c r="FB128" s="437">
        <f t="shared" si="191"/>
        <v>126</v>
      </c>
      <c r="FC128" s="437">
        <f t="shared" si="167"/>
        <v>5</v>
      </c>
      <c r="FD128" s="437">
        <f t="shared" si="192"/>
        <v>764</v>
      </c>
      <c r="FE128" s="442">
        <v>150</v>
      </c>
      <c r="FF128" s="443"/>
      <c r="FG128" s="443">
        <f t="shared" si="193"/>
        <v>150</v>
      </c>
      <c r="FH128" s="443">
        <f t="shared" si="168"/>
        <v>0</v>
      </c>
      <c r="FI128" s="443">
        <f t="shared" si="194"/>
        <v>850</v>
      </c>
      <c r="FJ128" s="392">
        <v>0</v>
      </c>
      <c r="FK128" s="298"/>
      <c r="FL128" s="298">
        <f t="shared" si="195"/>
        <v>0</v>
      </c>
      <c r="FM128" s="298">
        <f t="shared" si="169"/>
        <v>0</v>
      </c>
      <c r="FN128" s="498">
        <f t="shared" si="196"/>
        <v>1900</v>
      </c>
      <c r="HC128" s="402"/>
      <c r="HD128" s="52"/>
      <c r="HE128" s="52">
        <f t="shared" si="197"/>
        <v>0</v>
      </c>
      <c r="HF128" s="52">
        <f t="shared" si="170"/>
        <v>0</v>
      </c>
      <c r="HG128" s="51"/>
      <c r="HH128" s="52">
        <f t="shared" si="240"/>
        <v>400</v>
      </c>
      <c r="HI128" s="51"/>
      <c r="HJ128" s="1047"/>
    </row>
    <row r="129" spans="1:218">
      <c r="A129" s="807">
        <v>44792</v>
      </c>
      <c r="B129" s="390">
        <v>46158</v>
      </c>
      <c r="C129" s="18">
        <f t="shared" si="147"/>
        <v>60611374</v>
      </c>
      <c r="D129" s="376">
        <v>359.9</v>
      </c>
      <c r="E129" s="417">
        <f t="shared" si="255"/>
        <v>783587.01999999979</v>
      </c>
      <c r="F129" s="397">
        <v>13615</v>
      </c>
      <c r="G129" s="37">
        <v>37180</v>
      </c>
      <c r="H129" s="37">
        <f t="shared" si="171"/>
        <v>50795</v>
      </c>
      <c r="I129" s="37">
        <f t="shared" si="148"/>
        <v>0</v>
      </c>
      <c r="J129" s="37">
        <f t="shared" si="146"/>
        <v>0</v>
      </c>
      <c r="K129" s="37">
        <f t="shared" si="198"/>
        <v>363572</v>
      </c>
      <c r="L129" s="37">
        <f t="shared" si="149"/>
        <v>463.98420433253233</v>
      </c>
      <c r="M129" s="648"/>
      <c r="N129" s="422">
        <v>75</v>
      </c>
      <c r="O129" s="423">
        <v>250</v>
      </c>
      <c r="P129" s="423">
        <f t="shared" si="199"/>
        <v>300</v>
      </c>
      <c r="Q129" s="423">
        <f t="shared" si="200"/>
        <v>25</v>
      </c>
      <c r="R129" s="423">
        <f t="shared" si="201"/>
        <v>9675</v>
      </c>
      <c r="S129" s="68">
        <v>1.04</v>
      </c>
      <c r="T129" s="67">
        <v>24</v>
      </c>
      <c r="U129" s="68">
        <f t="shared" si="202"/>
        <v>12.48</v>
      </c>
      <c r="V129" s="68">
        <f t="shared" si="151"/>
        <v>34.676298971936653</v>
      </c>
      <c r="W129" s="423">
        <f t="shared" si="203"/>
        <v>9506.1840000000029</v>
      </c>
      <c r="X129" s="68">
        <f t="shared" si="152"/>
        <v>12.131625151218056</v>
      </c>
      <c r="Y129" s="500"/>
      <c r="Z129" s="424">
        <v>50</v>
      </c>
      <c r="AA129" s="425"/>
      <c r="AB129" s="425">
        <f t="shared" si="204"/>
        <v>50</v>
      </c>
      <c r="AC129" s="425">
        <f t="shared" si="205"/>
        <v>0</v>
      </c>
      <c r="AD129" s="425">
        <f t="shared" si="206"/>
        <v>1550</v>
      </c>
      <c r="AE129" s="72">
        <v>0.18</v>
      </c>
      <c r="AF129" s="71">
        <v>12</v>
      </c>
      <c r="AG129" s="72">
        <f t="shared" si="207"/>
        <v>1.08</v>
      </c>
      <c r="AH129" s="72">
        <f t="shared" si="173"/>
        <v>3.0008335648791333</v>
      </c>
      <c r="AI129" s="425">
        <f t="shared" si="208"/>
        <v>1449.1920000000005</v>
      </c>
      <c r="AJ129" s="72">
        <f t="shared" si="241"/>
        <v>1.8494333915842569</v>
      </c>
      <c r="AK129" s="502"/>
      <c r="AL129" s="491">
        <v>31060</v>
      </c>
      <c r="AM129" s="491"/>
      <c r="AN129" s="492">
        <f t="shared" si="248"/>
        <v>31060</v>
      </c>
      <c r="AO129" s="492">
        <f t="shared" si="249"/>
        <v>0</v>
      </c>
      <c r="AP129" s="492">
        <f t="shared" si="250"/>
        <v>52513</v>
      </c>
      <c r="AQ129" s="493">
        <f t="shared" si="174"/>
        <v>67.016168797691435</v>
      </c>
      <c r="AR129" s="504"/>
      <c r="AS129" s="413">
        <v>35879</v>
      </c>
      <c r="AT129" s="64"/>
      <c r="AU129" s="66">
        <f t="shared" si="209"/>
        <v>35879</v>
      </c>
      <c r="AV129" s="66">
        <f t="shared" si="155"/>
        <v>0</v>
      </c>
      <c r="AW129" s="412">
        <f t="shared" si="156"/>
        <v>0</v>
      </c>
      <c r="AX129" s="66">
        <f t="shared" si="210"/>
        <v>119256</v>
      </c>
      <c r="AY129" s="412">
        <f t="shared" si="211"/>
        <v>1.9675515027921988</v>
      </c>
      <c r="AZ129" s="506"/>
      <c r="BA129" s="419">
        <v>0</v>
      </c>
      <c r="BB129" s="419"/>
      <c r="BC129" s="407"/>
      <c r="BD129" s="419">
        <f t="shared" si="175"/>
        <v>0</v>
      </c>
      <c r="BE129" s="419">
        <f t="shared" si="176"/>
        <v>0</v>
      </c>
      <c r="BF129" s="407">
        <f t="shared" si="212"/>
        <v>0</v>
      </c>
      <c r="BG129" s="419">
        <f t="shared" si="251"/>
        <v>45495</v>
      </c>
      <c r="BH129" s="407">
        <f t="shared" si="213"/>
        <v>0.75060169399888543</v>
      </c>
      <c r="BI129" s="407">
        <f t="shared" si="214"/>
        <v>9.1910411510067611E-2</v>
      </c>
      <c r="BJ129" s="508"/>
      <c r="BK129" s="510"/>
      <c r="BL129" s="49">
        <v>2661</v>
      </c>
      <c r="BM129" s="50"/>
      <c r="BN129" s="52">
        <f t="shared" si="215"/>
        <v>2657</v>
      </c>
      <c r="BO129" s="52">
        <f t="shared" si="157"/>
        <v>4</v>
      </c>
      <c r="BP129" s="406">
        <f t="shared" si="216"/>
        <v>8.6658867368603495E-2</v>
      </c>
      <c r="BQ129" s="52">
        <f t="shared" si="217"/>
        <v>26043</v>
      </c>
      <c r="BR129" s="406">
        <f t="shared" si="218"/>
        <v>0.42967183024097094</v>
      </c>
      <c r="BS129" s="512"/>
      <c r="BT129" s="409">
        <v>1324</v>
      </c>
      <c r="BU129" s="43"/>
      <c r="BV129" s="43">
        <f t="shared" si="245"/>
        <v>1324</v>
      </c>
      <c r="BW129" s="43">
        <f t="shared" si="246"/>
        <v>0</v>
      </c>
      <c r="BX129" s="42">
        <f t="shared" si="219"/>
        <v>0</v>
      </c>
      <c r="BY129" s="43">
        <f t="shared" si="247"/>
        <v>11113</v>
      </c>
      <c r="BZ129" s="42">
        <f t="shared" si="220"/>
        <v>0.18334842566017395</v>
      </c>
      <c r="CA129" s="514"/>
      <c r="CB129" s="392">
        <v>1070</v>
      </c>
      <c r="CC129" s="298"/>
      <c r="CD129" s="298">
        <f t="shared" si="177"/>
        <v>1070</v>
      </c>
      <c r="CE129" s="298">
        <f t="shared" si="158"/>
        <v>0</v>
      </c>
      <c r="CF129" s="297">
        <f t="shared" si="221"/>
        <v>0</v>
      </c>
      <c r="CG129" s="298">
        <f t="shared" si="222"/>
        <v>49530</v>
      </c>
      <c r="CH129" s="297">
        <f t="shared" si="223"/>
        <v>0.81717335759456633</v>
      </c>
      <c r="CI129" s="516"/>
      <c r="CJ129" s="659">
        <v>625</v>
      </c>
      <c r="CK129" s="651"/>
      <c r="CL129" s="657">
        <f t="shared" si="252"/>
        <v>50</v>
      </c>
      <c r="CM129" s="657">
        <f t="shared" si="253"/>
        <v>575</v>
      </c>
      <c r="CN129" s="659">
        <f t="shared" si="254"/>
        <v>10950</v>
      </c>
      <c r="CO129" s="464">
        <v>0</v>
      </c>
      <c r="CP129" s="465">
        <v>24</v>
      </c>
      <c r="CQ129" s="465">
        <f t="shared" si="178"/>
        <v>0</v>
      </c>
      <c r="CR129" s="465">
        <f t="shared" si="159"/>
        <v>24</v>
      </c>
      <c r="CS129" s="486">
        <f t="shared" si="224"/>
        <v>0.51995320421162095</v>
      </c>
      <c r="CT129" s="465">
        <f t="shared" si="225"/>
        <v>1399</v>
      </c>
      <c r="CU129" s="486">
        <f t="shared" si="226"/>
        <v>2.3081476423880441E-2</v>
      </c>
      <c r="CV129" s="518"/>
      <c r="CW129" s="427">
        <v>4</v>
      </c>
      <c r="CX129" s="427"/>
      <c r="CY129" s="427">
        <f t="shared" si="227"/>
        <v>4</v>
      </c>
      <c r="CZ129" s="427">
        <f t="shared" si="228"/>
        <v>0</v>
      </c>
      <c r="DA129" s="607">
        <f t="shared" si="244"/>
        <v>0</v>
      </c>
      <c r="DB129" s="607">
        <f t="shared" si="229"/>
        <v>91</v>
      </c>
      <c r="DC129" s="607">
        <f t="shared" si="179"/>
        <v>1.501368373533324E-3</v>
      </c>
      <c r="DD129" s="609"/>
      <c r="DE129" s="471">
        <v>40</v>
      </c>
      <c r="DF129" s="473"/>
      <c r="DG129" s="473">
        <f t="shared" si="180"/>
        <v>32</v>
      </c>
      <c r="DH129" s="473">
        <f t="shared" si="160"/>
        <v>8</v>
      </c>
      <c r="DI129" s="227">
        <f t="shared" si="230"/>
        <v>0.17331773473720699</v>
      </c>
      <c r="DJ129" s="473">
        <f t="shared" si="231"/>
        <v>67.2</v>
      </c>
      <c r="DK129" s="227">
        <f t="shared" si="232"/>
        <v>1.1087027989169162E-3</v>
      </c>
      <c r="DL129" s="510"/>
      <c r="DM129" s="63">
        <v>200</v>
      </c>
      <c r="DN129" s="64"/>
      <c r="DO129" s="66">
        <f t="shared" si="233"/>
        <v>200</v>
      </c>
      <c r="DP129" s="66">
        <f t="shared" si="161"/>
        <v>0</v>
      </c>
      <c r="DQ129" s="412">
        <f t="shared" si="234"/>
        <v>0</v>
      </c>
      <c r="DR129" s="66">
        <f t="shared" si="235"/>
        <v>14800</v>
      </c>
      <c r="DS129" s="412">
        <f t="shared" si="236"/>
        <v>0.24417859261860653</v>
      </c>
      <c r="DT129" s="506"/>
      <c r="DU129" s="596">
        <v>0</v>
      </c>
      <c r="DV129" s="596"/>
      <c r="DW129" s="596">
        <f t="shared" si="181"/>
        <v>0</v>
      </c>
      <c r="DX129" s="596">
        <f t="shared" si="162"/>
        <v>0</v>
      </c>
      <c r="DY129" s="592">
        <f t="shared" si="182"/>
        <v>0</v>
      </c>
      <c r="DZ129" s="596">
        <f t="shared" si="237"/>
        <v>2800</v>
      </c>
      <c r="EA129" s="592">
        <f t="shared" si="183"/>
        <v>4.6195949954871508E-2</v>
      </c>
      <c r="EB129" s="594"/>
      <c r="EC129" s="448">
        <v>165</v>
      </c>
      <c r="ED129" s="449"/>
      <c r="EE129" s="449">
        <f t="shared" si="184"/>
        <v>165</v>
      </c>
      <c r="EF129" s="449">
        <f t="shared" si="163"/>
        <v>0</v>
      </c>
      <c r="EG129" s="450">
        <f t="shared" si="242"/>
        <v>0</v>
      </c>
      <c r="EH129" s="449">
        <f t="shared" si="238"/>
        <v>480</v>
      </c>
      <c r="EI129" s="450">
        <f t="shared" si="243"/>
        <v>7.9193057065494003E-3</v>
      </c>
      <c r="EJ129" s="520"/>
      <c r="EK129" s="426">
        <v>3488</v>
      </c>
      <c r="EL129" s="427">
        <v>1250</v>
      </c>
      <c r="EM129" s="427">
        <f t="shared" si="185"/>
        <v>4375</v>
      </c>
      <c r="EN129" s="427">
        <f t="shared" si="164"/>
        <v>363</v>
      </c>
      <c r="EO129" s="427">
        <f t="shared" si="186"/>
        <v>59747</v>
      </c>
      <c r="EP129" s="456">
        <v>70</v>
      </c>
      <c r="EQ129" s="457"/>
      <c r="ER129" s="457">
        <f t="shared" si="187"/>
        <v>70</v>
      </c>
      <c r="ES129" s="457">
        <f t="shared" si="165"/>
        <v>0</v>
      </c>
      <c r="ET129" s="457">
        <f t="shared" si="188"/>
        <v>1288</v>
      </c>
      <c r="EU129" s="409">
        <v>2</v>
      </c>
      <c r="EV129" s="43"/>
      <c r="EW129" s="43">
        <f t="shared" si="189"/>
        <v>2</v>
      </c>
      <c r="EX129" s="43">
        <f t="shared" si="166"/>
        <v>0</v>
      </c>
      <c r="EY129" s="43">
        <f t="shared" si="190"/>
        <v>738</v>
      </c>
      <c r="EZ129" s="436">
        <v>126</v>
      </c>
      <c r="FA129" s="437"/>
      <c r="FB129" s="437">
        <f t="shared" si="191"/>
        <v>124</v>
      </c>
      <c r="FC129" s="437">
        <f t="shared" si="167"/>
        <v>2</v>
      </c>
      <c r="FD129" s="437">
        <f t="shared" si="192"/>
        <v>766</v>
      </c>
      <c r="FE129" s="442">
        <v>150</v>
      </c>
      <c r="FF129" s="443"/>
      <c r="FG129" s="443">
        <f t="shared" si="193"/>
        <v>150</v>
      </c>
      <c r="FH129" s="443">
        <f t="shared" si="168"/>
        <v>0</v>
      </c>
      <c r="FI129" s="443">
        <f t="shared" si="194"/>
        <v>850</v>
      </c>
      <c r="FJ129" s="392">
        <v>0</v>
      </c>
      <c r="FK129" s="298"/>
      <c r="FL129" s="298">
        <f t="shared" si="195"/>
        <v>0</v>
      </c>
      <c r="FM129" s="298">
        <f t="shared" si="169"/>
        <v>0</v>
      </c>
      <c r="FN129" s="498">
        <f t="shared" si="196"/>
        <v>1900</v>
      </c>
      <c r="HC129" s="402"/>
      <c r="HD129" s="52"/>
      <c r="HE129" s="52">
        <f t="shared" si="197"/>
        <v>0</v>
      </c>
      <c r="HF129" s="52">
        <f t="shared" si="170"/>
        <v>0</v>
      </c>
      <c r="HG129" s="51"/>
      <c r="HH129" s="52">
        <f t="shared" si="240"/>
        <v>400</v>
      </c>
      <c r="HI129" s="51"/>
      <c r="HJ129" s="1047"/>
    </row>
    <row r="130" spans="1:218">
      <c r="A130" s="807">
        <v>44793</v>
      </c>
      <c r="B130" s="390">
        <v>0</v>
      </c>
      <c r="C130" s="18">
        <f t="shared" si="147"/>
        <v>60611374</v>
      </c>
      <c r="D130" s="376">
        <v>0</v>
      </c>
      <c r="E130" s="417">
        <f t="shared" si="255"/>
        <v>783587.01999999979</v>
      </c>
      <c r="F130" s="397">
        <v>50795</v>
      </c>
      <c r="G130" s="37"/>
      <c r="H130" s="37">
        <f t="shared" si="171"/>
        <v>50795</v>
      </c>
      <c r="I130" s="37">
        <f t="shared" si="148"/>
        <v>0</v>
      </c>
      <c r="J130" s="37" t="e">
        <f t="shared" si="146"/>
        <v>#DIV/0!</v>
      </c>
      <c r="K130" s="37">
        <f t="shared" si="198"/>
        <v>363572</v>
      </c>
      <c r="L130" s="37">
        <f t="shared" si="149"/>
        <v>463.98420433253233</v>
      </c>
      <c r="M130" s="648"/>
      <c r="N130" s="422">
        <v>300</v>
      </c>
      <c r="O130" s="423"/>
      <c r="P130" s="423">
        <f t="shared" si="199"/>
        <v>300</v>
      </c>
      <c r="Q130" s="423">
        <f t="shared" si="200"/>
        <v>0</v>
      </c>
      <c r="R130" s="423">
        <f t="shared" si="201"/>
        <v>9675</v>
      </c>
      <c r="S130" s="68">
        <v>0.2</v>
      </c>
      <c r="T130" s="67">
        <v>24</v>
      </c>
      <c r="U130" s="68">
        <f t="shared" si="202"/>
        <v>2.4000000000000004</v>
      </c>
      <c r="V130" s="68" t="e">
        <f t="shared" si="151"/>
        <v>#DIV/0!</v>
      </c>
      <c r="W130" s="423">
        <f t="shared" si="203"/>
        <v>9508.5840000000026</v>
      </c>
      <c r="X130" s="68">
        <f t="shared" si="152"/>
        <v>12.134687989088953</v>
      </c>
      <c r="Y130" s="500"/>
      <c r="Z130" s="424">
        <v>50</v>
      </c>
      <c r="AA130" s="425"/>
      <c r="AB130" s="425">
        <f t="shared" si="204"/>
        <v>50</v>
      </c>
      <c r="AC130" s="425">
        <f t="shared" si="205"/>
        <v>0</v>
      </c>
      <c r="AD130" s="425">
        <f t="shared" si="206"/>
        <v>1550</v>
      </c>
      <c r="AE130" s="72">
        <v>0.13</v>
      </c>
      <c r="AF130" s="71">
        <v>12</v>
      </c>
      <c r="AG130" s="72">
        <f t="shared" si="207"/>
        <v>0.78</v>
      </c>
      <c r="AH130" s="72" t="e">
        <f t="shared" si="173"/>
        <v>#DIV/0!</v>
      </c>
      <c r="AI130" s="425">
        <f t="shared" si="208"/>
        <v>1449.9720000000004</v>
      </c>
      <c r="AJ130" s="72">
        <f t="shared" si="241"/>
        <v>1.8504288138922986</v>
      </c>
      <c r="AK130" s="502"/>
      <c r="AL130" s="491">
        <v>31060</v>
      </c>
      <c r="AM130" s="491"/>
      <c r="AN130" s="492">
        <f t="shared" si="248"/>
        <v>31060</v>
      </c>
      <c r="AO130" s="492">
        <f t="shared" si="249"/>
        <v>0</v>
      </c>
      <c r="AP130" s="492">
        <f t="shared" si="250"/>
        <v>52513</v>
      </c>
      <c r="AQ130" s="493">
        <f t="shared" si="174"/>
        <v>67.016168797691435</v>
      </c>
      <c r="AR130" s="504"/>
      <c r="AS130" s="413">
        <v>35879</v>
      </c>
      <c r="AT130" s="64"/>
      <c r="AU130" s="66">
        <f t="shared" si="209"/>
        <v>35879</v>
      </c>
      <c r="AV130" s="66">
        <f t="shared" si="155"/>
        <v>0</v>
      </c>
      <c r="AW130" s="412" t="e">
        <f t="shared" si="156"/>
        <v>#DIV/0!</v>
      </c>
      <c r="AX130" s="66">
        <f t="shared" si="210"/>
        <v>119256</v>
      </c>
      <c r="AY130" s="412">
        <f t="shared" si="211"/>
        <v>1.9675515027921988</v>
      </c>
      <c r="AZ130" s="506"/>
      <c r="BA130" s="419">
        <v>0</v>
      </c>
      <c r="BB130" s="419"/>
      <c r="BC130" s="407"/>
      <c r="BD130" s="419">
        <f t="shared" si="175"/>
        <v>0</v>
      </c>
      <c r="BE130" s="419">
        <f t="shared" si="176"/>
        <v>0</v>
      </c>
      <c r="BF130" s="407" t="e">
        <f t="shared" si="212"/>
        <v>#DIV/0!</v>
      </c>
      <c r="BG130" s="419">
        <f t="shared" si="251"/>
        <v>45495</v>
      </c>
      <c r="BH130" s="407">
        <f t="shared" si="213"/>
        <v>0.75060169399888543</v>
      </c>
      <c r="BI130" s="407">
        <f t="shared" si="214"/>
        <v>9.1910411510067611E-2</v>
      </c>
      <c r="BJ130" s="508"/>
      <c r="BK130" s="510"/>
      <c r="BL130" s="49">
        <v>2657</v>
      </c>
      <c r="BM130" s="50"/>
      <c r="BN130" s="52">
        <f t="shared" si="215"/>
        <v>2657</v>
      </c>
      <c r="BO130" s="52">
        <f t="shared" si="157"/>
        <v>0</v>
      </c>
      <c r="BP130" s="406" t="e">
        <f t="shared" si="216"/>
        <v>#DIV/0!</v>
      </c>
      <c r="BQ130" s="52">
        <f t="shared" si="217"/>
        <v>26043</v>
      </c>
      <c r="BR130" s="406">
        <f t="shared" si="218"/>
        <v>0.42967183024097094</v>
      </c>
      <c r="BS130" s="512"/>
      <c r="BT130" s="409">
        <v>1324</v>
      </c>
      <c r="BU130" s="43"/>
      <c r="BV130" s="43">
        <f t="shared" si="245"/>
        <v>1324</v>
      </c>
      <c r="BW130" s="43">
        <f t="shared" si="246"/>
        <v>0</v>
      </c>
      <c r="BX130" s="42" t="e">
        <f t="shared" si="219"/>
        <v>#DIV/0!</v>
      </c>
      <c r="BY130" s="43">
        <f t="shared" si="247"/>
        <v>11113</v>
      </c>
      <c r="BZ130" s="42">
        <f t="shared" si="220"/>
        <v>0.18334842566017395</v>
      </c>
      <c r="CA130" s="514"/>
      <c r="CB130" s="392">
        <v>1070</v>
      </c>
      <c r="CC130" s="298"/>
      <c r="CD130" s="298">
        <f t="shared" si="177"/>
        <v>1070</v>
      </c>
      <c r="CE130" s="298">
        <f t="shared" si="158"/>
        <v>0</v>
      </c>
      <c r="CF130" s="297" t="e">
        <f t="shared" si="221"/>
        <v>#DIV/0!</v>
      </c>
      <c r="CG130" s="298">
        <f t="shared" si="222"/>
        <v>49530</v>
      </c>
      <c r="CH130" s="297">
        <f t="shared" si="223"/>
        <v>0.81717335759456633</v>
      </c>
      <c r="CI130" s="516"/>
      <c r="CJ130" s="659">
        <v>50</v>
      </c>
      <c r="CK130" s="651"/>
      <c r="CL130" s="657">
        <f t="shared" si="252"/>
        <v>50</v>
      </c>
      <c r="CM130" s="657">
        <f t="shared" si="253"/>
        <v>0</v>
      </c>
      <c r="CN130" s="659">
        <f t="shared" si="254"/>
        <v>10950</v>
      </c>
      <c r="CO130" s="464">
        <v>0</v>
      </c>
      <c r="CP130" s="465"/>
      <c r="CQ130" s="465">
        <f t="shared" si="178"/>
        <v>0</v>
      </c>
      <c r="CR130" s="465">
        <f t="shared" si="159"/>
        <v>0</v>
      </c>
      <c r="CS130" s="486" t="e">
        <f t="shared" si="224"/>
        <v>#DIV/0!</v>
      </c>
      <c r="CT130" s="465">
        <f t="shared" si="225"/>
        <v>1399</v>
      </c>
      <c r="CU130" s="486">
        <f t="shared" si="226"/>
        <v>2.3081476423880441E-2</v>
      </c>
      <c r="CV130" s="518"/>
      <c r="CW130" s="427">
        <v>4</v>
      </c>
      <c r="CX130" s="427"/>
      <c r="CY130" s="427">
        <f t="shared" si="227"/>
        <v>4</v>
      </c>
      <c r="CZ130" s="427">
        <f t="shared" si="228"/>
        <v>0</v>
      </c>
      <c r="DA130" s="607" t="e">
        <f t="shared" si="244"/>
        <v>#DIV/0!</v>
      </c>
      <c r="DB130" s="607">
        <f t="shared" si="229"/>
        <v>91</v>
      </c>
      <c r="DC130" s="607">
        <f t="shared" si="179"/>
        <v>1.501368373533324E-3</v>
      </c>
      <c r="DD130" s="609"/>
      <c r="DE130" s="471">
        <v>32</v>
      </c>
      <c r="DF130" s="473"/>
      <c r="DG130" s="473">
        <f t="shared" si="180"/>
        <v>32</v>
      </c>
      <c r="DH130" s="473">
        <f t="shared" si="160"/>
        <v>0</v>
      </c>
      <c r="DI130" s="227" t="e">
        <f t="shared" si="230"/>
        <v>#DIV/0!</v>
      </c>
      <c r="DJ130" s="473">
        <f t="shared" si="231"/>
        <v>67.2</v>
      </c>
      <c r="DK130" s="227">
        <f t="shared" si="232"/>
        <v>1.1087027989169162E-3</v>
      </c>
      <c r="DL130" s="510"/>
      <c r="DM130" s="63">
        <v>200</v>
      </c>
      <c r="DN130" s="64"/>
      <c r="DO130" s="66">
        <f t="shared" si="233"/>
        <v>200</v>
      </c>
      <c r="DP130" s="66">
        <f t="shared" si="161"/>
        <v>0</v>
      </c>
      <c r="DQ130" s="412" t="e">
        <f t="shared" si="234"/>
        <v>#DIV/0!</v>
      </c>
      <c r="DR130" s="66">
        <f t="shared" si="235"/>
        <v>14800</v>
      </c>
      <c r="DS130" s="412">
        <f t="shared" si="236"/>
        <v>0.24417859261860653</v>
      </c>
      <c r="DT130" s="506"/>
      <c r="DU130" s="596">
        <v>0</v>
      </c>
      <c r="DV130" s="596"/>
      <c r="DW130" s="596">
        <f t="shared" si="181"/>
        <v>0</v>
      </c>
      <c r="DX130" s="596">
        <f t="shared" si="162"/>
        <v>0</v>
      </c>
      <c r="DY130" s="592" t="e">
        <f t="shared" si="182"/>
        <v>#DIV/0!</v>
      </c>
      <c r="DZ130" s="596">
        <f t="shared" si="237"/>
        <v>2800</v>
      </c>
      <c r="EA130" s="592">
        <f t="shared" si="183"/>
        <v>4.6195949954871508E-2</v>
      </c>
      <c r="EB130" s="594"/>
      <c r="EC130" s="448">
        <v>165</v>
      </c>
      <c r="ED130" s="449"/>
      <c r="EE130" s="449">
        <f t="shared" si="184"/>
        <v>165</v>
      </c>
      <c r="EF130" s="449">
        <f t="shared" si="163"/>
        <v>0</v>
      </c>
      <c r="EG130" s="450" t="e">
        <f t="shared" si="242"/>
        <v>#DIV/0!</v>
      </c>
      <c r="EH130" s="449">
        <f t="shared" si="238"/>
        <v>480</v>
      </c>
      <c r="EI130" s="450">
        <f t="shared" si="243"/>
        <v>7.9193057065494003E-3</v>
      </c>
      <c r="EJ130" s="520"/>
      <c r="EK130" s="426">
        <v>4375</v>
      </c>
      <c r="EL130" s="427"/>
      <c r="EM130" s="427">
        <f t="shared" si="185"/>
        <v>4375</v>
      </c>
      <c r="EN130" s="427">
        <f t="shared" si="164"/>
        <v>0</v>
      </c>
      <c r="EO130" s="427">
        <f t="shared" si="186"/>
        <v>59747</v>
      </c>
      <c r="EP130" s="456">
        <v>70</v>
      </c>
      <c r="EQ130" s="457"/>
      <c r="ER130" s="457">
        <f t="shared" si="187"/>
        <v>70</v>
      </c>
      <c r="ES130" s="457">
        <f t="shared" si="165"/>
        <v>0</v>
      </c>
      <c r="ET130" s="457">
        <f t="shared" si="188"/>
        <v>1288</v>
      </c>
      <c r="EU130" s="409">
        <v>2</v>
      </c>
      <c r="EV130" s="43"/>
      <c r="EW130" s="43">
        <f t="shared" si="189"/>
        <v>2</v>
      </c>
      <c r="EX130" s="43">
        <f t="shared" si="166"/>
        <v>0</v>
      </c>
      <c r="EY130" s="43">
        <f t="shared" si="190"/>
        <v>738</v>
      </c>
      <c r="EZ130" s="436">
        <v>124</v>
      </c>
      <c r="FA130" s="437"/>
      <c r="FB130" s="437">
        <f t="shared" si="191"/>
        <v>124</v>
      </c>
      <c r="FC130" s="437">
        <f t="shared" si="167"/>
        <v>0</v>
      </c>
      <c r="FD130" s="437">
        <f t="shared" si="192"/>
        <v>766</v>
      </c>
      <c r="FE130" s="442">
        <v>150</v>
      </c>
      <c r="FF130" s="443"/>
      <c r="FG130" s="443">
        <f t="shared" si="193"/>
        <v>150</v>
      </c>
      <c r="FH130" s="443">
        <f t="shared" si="168"/>
        <v>0</v>
      </c>
      <c r="FI130" s="443">
        <f t="shared" si="194"/>
        <v>850</v>
      </c>
      <c r="FJ130" s="392">
        <v>0</v>
      </c>
      <c r="FK130" s="298"/>
      <c r="FL130" s="298">
        <f t="shared" si="195"/>
        <v>0</v>
      </c>
      <c r="FM130" s="298">
        <f t="shared" si="169"/>
        <v>0</v>
      </c>
      <c r="FN130" s="498">
        <f t="shared" si="196"/>
        <v>1900</v>
      </c>
      <c r="HC130" s="402"/>
      <c r="HD130" s="52"/>
      <c r="HE130" s="52">
        <f t="shared" si="197"/>
        <v>0</v>
      </c>
      <c r="HF130" s="52">
        <f t="shared" si="170"/>
        <v>0</v>
      </c>
      <c r="HG130" s="51"/>
      <c r="HH130" s="52">
        <f t="shared" si="240"/>
        <v>400</v>
      </c>
      <c r="HI130" s="51"/>
      <c r="HJ130" s="1047"/>
    </row>
    <row r="131" spans="1:218">
      <c r="A131" s="807">
        <v>44794</v>
      </c>
      <c r="B131" s="390">
        <v>114450</v>
      </c>
      <c r="C131" s="18">
        <f t="shared" si="147"/>
        <v>60725824</v>
      </c>
      <c r="D131" s="376">
        <v>3559.66</v>
      </c>
      <c r="E131" s="417">
        <f t="shared" si="255"/>
        <v>787146.67999999982</v>
      </c>
      <c r="F131" s="397">
        <v>50795</v>
      </c>
      <c r="G131" s="37"/>
      <c r="H131" s="37">
        <f t="shared" si="171"/>
        <v>50795</v>
      </c>
      <c r="I131" s="37">
        <f t="shared" si="148"/>
        <v>0</v>
      </c>
      <c r="J131" s="37">
        <f t="shared" si="146"/>
        <v>0</v>
      </c>
      <c r="K131" s="37">
        <f t="shared" si="198"/>
        <v>363572</v>
      </c>
      <c r="L131" s="37">
        <f t="shared" si="149"/>
        <v>461.88596006020134</v>
      </c>
      <c r="M131" s="648"/>
      <c r="N131" s="422">
        <v>300</v>
      </c>
      <c r="O131" s="423"/>
      <c r="P131" s="423">
        <f t="shared" si="199"/>
        <v>225</v>
      </c>
      <c r="Q131" s="423">
        <f t="shared" si="200"/>
        <v>75</v>
      </c>
      <c r="R131" s="423">
        <f t="shared" si="201"/>
        <v>9750</v>
      </c>
      <c r="S131" s="68">
        <v>3.55</v>
      </c>
      <c r="T131" s="67">
        <v>24</v>
      </c>
      <c r="U131" s="68">
        <f t="shared" si="202"/>
        <v>42.599999999999994</v>
      </c>
      <c r="V131" s="68">
        <f t="shared" si="151"/>
        <v>11.967435092115538</v>
      </c>
      <c r="W131" s="423">
        <f t="shared" si="203"/>
        <v>9551.1840000000029</v>
      </c>
      <c r="X131" s="68">
        <f t="shared" si="152"/>
        <v>12.133931632665981</v>
      </c>
      <c r="Y131" s="500"/>
      <c r="Z131" s="424">
        <v>50</v>
      </c>
      <c r="AA131" s="425"/>
      <c r="AB131" s="425">
        <f t="shared" si="204"/>
        <v>25</v>
      </c>
      <c r="AC131" s="425">
        <f t="shared" si="205"/>
        <v>25</v>
      </c>
      <c r="AD131" s="425">
        <f t="shared" si="206"/>
        <v>1575</v>
      </c>
      <c r="AE131" s="72">
        <v>1.27</v>
      </c>
      <c r="AF131" s="71">
        <v>12</v>
      </c>
      <c r="AG131" s="72">
        <f t="shared" si="207"/>
        <v>7.62</v>
      </c>
      <c r="AH131" s="72">
        <f t="shared" si="173"/>
        <v>2.1406538826741879</v>
      </c>
      <c r="AI131" s="425">
        <f t="shared" si="208"/>
        <v>1457.5920000000003</v>
      </c>
      <c r="AJ131" s="72">
        <f t="shared" si="241"/>
        <v>1.8517412790205767</v>
      </c>
      <c r="AK131" s="502"/>
      <c r="AL131" s="491">
        <v>31060</v>
      </c>
      <c r="AM131" s="491"/>
      <c r="AN131" s="492">
        <f t="shared" si="248"/>
        <v>31060</v>
      </c>
      <c r="AO131" s="492">
        <f t="shared" si="249"/>
        <v>0</v>
      </c>
      <c r="AP131" s="492">
        <f t="shared" si="250"/>
        <v>52513</v>
      </c>
      <c r="AQ131" s="493">
        <f t="shared" si="174"/>
        <v>66.713106126548126</v>
      </c>
      <c r="AR131" s="504"/>
      <c r="AS131" s="413">
        <v>35879</v>
      </c>
      <c r="AT131" s="64"/>
      <c r="AU131" s="66">
        <f t="shared" si="209"/>
        <v>35879</v>
      </c>
      <c r="AV131" s="66">
        <f t="shared" si="155"/>
        <v>0</v>
      </c>
      <c r="AW131" s="412">
        <f t="shared" si="156"/>
        <v>0</v>
      </c>
      <c r="AX131" s="66">
        <f t="shared" si="210"/>
        <v>119256</v>
      </c>
      <c r="AY131" s="412">
        <f t="shared" si="211"/>
        <v>1.9638432571948303</v>
      </c>
      <c r="AZ131" s="506"/>
      <c r="BA131" s="419">
        <v>0</v>
      </c>
      <c r="BB131" s="419"/>
      <c r="BC131" s="407"/>
      <c r="BD131" s="419">
        <f t="shared" si="175"/>
        <v>0</v>
      </c>
      <c r="BE131" s="419">
        <f t="shared" si="176"/>
        <v>0</v>
      </c>
      <c r="BF131" s="407">
        <f t="shared" si="212"/>
        <v>0</v>
      </c>
      <c r="BG131" s="419">
        <f t="shared" si="251"/>
        <v>45495</v>
      </c>
      <c r="BH131" s="407">
        <f t="shared" si="213"/>
        <v>0.74918703449787694</v>
      </c>
      <c r="BI131" s="407">
        <f t="shared" si="214"/>
        <v>9.1737187897699218E-2</v>
      </c>
      <c r="BJ131" s="508"/>
      <c r="BK131" s="510"/>
      <c r="BL131" s="49">
        <v>2657</v>
      </c>
      <c r="BM131" s="50"/>
      <c r="BN131" s="52">
        <f t="shared" si="215"/>
        <v>2569</v>
      </c>
      <c r="BO131" s="52">
        <f t="shared" si="157"/>
        <v>88</v>
      </c>
      <c r="BP131" s="406">
        <f t="shared" si="216"/>
        <v>0.76889471384884234</v>
      </c>
      <c r="BQ131" s="52">
        <f t="shared" si="217"/>
        <v>26131</v>
      </c>
      <c r="BR131" s="406">
        <f t="shared" si="218"/>
        <v>0.43031116383039941</v>
      </c>
      <c r="BS131" s="512"/>
      <c r="BT131" s="409">
        <v>1324</v>
      </c>
      <c r="BU131" s="43"/>
      <c r="BV131" s="43">
        <f t="shared" si="245"/>
        <v>1307</v>
      </c>
      <c r="BW131" s="43">
        <f t="shared" si="246"/>
        <v>17</v>
      </c>
      <c r="BX131" s="42">
        <f t="shared" si="219"/>
        <v>0.14853647881170817</v>
      </c>
      <c r="BY131" s="43">
        <f t="shared" si="247"/>
        <v>11130</v>
      </c>
      <c r="BZ131" s="42">
        <f t="shared" si="220"/>
        <v>0.18328281556130058</v>
      </c>
      <c r="CA131" s="514"/>
      <c r="CB131" s="392">
        <v>1070</v>
      </c>
      <c r="CC131" s="298"/>
      <c r="CD131" s="298">
        <f t="shared" si="177"/>
        <v>839</v>
      </c>
      <c r="CE131" s="298">
        <f t="shared" si="158"/>
        <v>231</v>
      </c>
      <c r="CF131" s="297">
        <f t="shared" si="221"/>
        <v>2.0183486238532109</v>
      </c>
      <c r="CG131" s="298">
        <f t="shared" si="222"/>
        <v>49761</v>
      </c>
      <c r="CH131" s="297">
        <f t="shared" si="223"/>
        <v>0.81943721340034847</v>
      </c>
      <c r="CI131" s="516"/>
      <c r="CJ131" s="659">
        <v>50</v>
      </c>
      <c r="CK131" s="651">
        <v>500</v>
      </c>
      <c r="CL131" s="657">
        <f t="shared" si="252"/>
        <v>325</v>
      </c>
      <c r="CM131" s="657">
        <f t="shared" si="253"/>
        <v>225</v>
      </c>
      <c r="CN131" s="659">
        <f t="shared" si="254"/>
        <v>11175</v>
      </c>
      <c r="CO131" s="464">
        <v>0</v>
      </c>
      <c r="CP131" s="465"/>
      <c r="CQ131" s="465">
        <f t="shared" si="178"/>
        <v>0</v>
      </c>
      <c r="CR131" s="465">
        <f t="shared" si="159"/>
        <v>0</v>
      </c>
      <c r="CS131" s="486">
        <f t="shared" si="224"/>
        <v>0</v>
      </c>
      <c r="CT131" s="465">
        <f t="shared" si="225"/>
        <v>1399</v>
      </c>
      <c r="CU131" s="486">
        <f t="shared" si="226"/>
        <v>2.3037974750247932E-2</v>
      </c>
      <c r="CV131" s="518"/>
      <c r="CW131" s="427">
        <v>4</v>
      </c>
      <c r="CX131" s="427">
        <v>20</v>
      </c>
      <c r="CY131" s="427">
        <f t="shared" si="227"/>
        <v>20</v>
      </c>
      <c r="CZ131" s="427">
        <f t="shared" si="228"/>
        <v>4</v>
      </c>
      <c r="DA131" s="607">
        <f t="shared" si="244"/>
        <v>3.4949759720401923E-2</v>
      </c>
      <c r="DB131" s="607">
        <f t="shared" si="229"/>
        <v>95</v>
      </c>
      <c r="DC131" s="607">
        <f t="shared" si="179"/>
        <v>1.5644085784657282E-3</v>
      </c>
      <c r="DD131" s="609"/>
      <c r="DE131" s="471">
        <v>32</v>
      </c>
      <c r="DF131" s="473"/>
      <c r="DG131" s="473">
        <f t="shared" si="180"/>
        <v>32</v>
      </c>
      <c r="DH131" s="473">
        <f t="shared" si="160"/>
        <v>0</v>
      </c>
      <c r="DI131" s="227">
        <f t="shared" si="230"/>
        <v>0</v>
      </c>
      <c r="DJ131" s="473">
        <f t="shared" si="231"/>
        <v>67.2</v>
      </c>
      <c r="DK131" s="227">
        <f t="shared" si="232"/>
        <v>1.106613226030494E-3</v>
      </c>
      <c r="DL131" s="510"/>
      <c r="DM131" s="63">
        <v>200</v>
      </c>
      <c r="DN131" s="64"/>
      <c r="DO131" s="66">
        <f t="shared" si="233"/>
        <v>200</v>
      </c>
      <c r="DP131" s="66">
        <f t="shared" si="161"/>
        <v>0</v>
      </c>
      <c r="DQ131" s="412">
        <f t="shared" si="234"/>
        <v>0</v>
      </c>
      <c r="DR131" s="66">
        <f t="shared" si="235"/>
        <v>14800</v>
      </c>
      <c r="DS131" s="412">
        <f t="shared" si="236"/>
        <v>0.24371838906623977</v>
      </c>
      <c r="DT131" s="506"/>
      <c r="DU131" s="596">
        <v>0</v>
      </c>
      <c r="DV131" s="596"/>
      <c r="DW131" s="596">
        <f t="shared" si="181"/>
        <v>0</v>
      </c>
      <c r="DX131" s="596">
        <f t="shared" si="162"/>
        <v>0</v>
      </c>
      <c r="DY131" s="592">
        <f t="shared" si="182"/>
        <v>0</v>
      </c>
      <c r="DZ131" s="596">
        <f t="shared" si="237"/>
        <v>2800</v>
      </c>
      <c r="EA131" s="592">
        <f t="shared" si="183"/>
        <v>4.610888441793725E-2</v>
      </c>
      <c r="EB131" s="594"/>
      <c r="EC131" s="448">
        <v>165</v>
      </c>
      <c r="ED131" s="449"/>
      <c r="EE131" s="449">
        <f t="shared" si="184"/>
        <v>165</v>
      </c>
      <c r="EF131" s="449">
        <f t="shared" si="163"/>
        <v>0</v>
      </c>
      <c r="EG131" s="450">
        <f t="shared" si="242"/>
        <v>0</v>
      </c>
      <c r="EH131" s="449">
        <f t="shared" si="238"/>
        <v>480</v>
      </c>
      <c r="EI131" s="450">
        <f t="shared" si="243"/>
        <v>7.9043801859321004E-3</v>
      </c>
      <c r="EJ131" s="520"/>
      <c r="EK131" s="426">
        <v>4375</v>
      </c>
      <c r="EL131" s="427"/>
      <c r="EM131" s="427">
        <f t="shared" si="185"/>
        <v>3863</v>
      </c>
      <c r="EN131" s="427">
        <f t="shared" si="164"/>
        <v>512</v>
      </c>
      <c r="EO131" s="427">
        <f t="shared" si="186"/>
        <v>60259</v>
      </c>
      <c r="EP131" s="456">
        <v>70</v>
      </c>
      <c r="EQ131" s="457"/>
      <c r="ER131" s="457">
        <f t="shared" si="187"/>
        <v>42</v>
      </c>
      <c r="ES131" s="457">
        <f t="shared" si="165"/>
        <v>28</v>
      </c>
      <c r="ET131" s="457">
        <f t="shared" si="188"/>
        <v>1316</v>
      </c>
      <c r="EU131" s="409">
        <v>2</v>
      </c>
      <c r="EV131" s="43"/>
      <c r="EW131" s="43">
        <f t="shared" si="189"/>
        <v>0</v>
      </c>
      <c r="EX131" s="43">
        <f t="shared" si="166"/>
        <v>2</v>
      </c>
      <c r="EY131" s="43">
        <f t="shared" si="190"/>
        <v>740</v>
      </c>
      <c r="EZ131" s="436">
        <v>124</v>
      </c>
      <c r="FA131" s="437"/>
      <c r="FB131" s="437">
        <f t="shared" si="191"/>
        <v>118</v>
      </c>
      <c r="FC131" s="437">
        <f t="shared" si="167"/>
        <v>6</v>
      </c>
      <c r="FD131" s="437">
        <f t="shared" si="192"/>
        <v>772</v>
      </c>
      <c r="FE131" s="442">
        <v>150</v>
      </c>
      <c r="FF131" s="443"/>
      <c r="FG131" s="443">
        <f t="shared" si="193"/>
        <v>150</v>
      </c>
      <c r="FH131" s="443">
        <f t="shared" si="168"/>
        <v>0</v>
      </c>
      <c r="FI131" s="443">
        <f t="shared" si="194"/>
        <v>850</v>
      </c>
      <c r="FJ131" s="392">
        <v>0</v>
      </c>
      <c r="FK131" s="298"/>
      <c r="FL131" s="298">
        <f t="shared" si="195"/>
        <v>0</v>
      </c>
      <c r="FM131" s="298">
        <f t="shared" si="169"/>
        <v>0</v>
      </c>
      <c r="FN131" s="498">
        <f t="shared" si="196"/>
        <v>1900</v>
      </c>
      <c r="HC131" s="402"/>
      <c r="HD131" s="52"/>
      <c r="HE131" s="52">
        <f t="shared" si="197"/>
        <v>0</v>
      </c>
      <c r="HF131" s="52">
        <f t="shared" si="170"/>
        <v>0</v>
      </c>
      <c r="HG131" s="51"/>
      <c r="HH131" s="52">
        <f t="shared" si="240"/>
        <v>400</v>
      </c>
      <c r="HI131" s="51"/>
      <c r="HJ131" s="1047"/>
    </row>
    <row r="132" spans="1:218">
      <c r="A132" s="807">
        <v>44795</v>
      </c>
      <c r="B132" s="390">
        <v>501818</v>
      </c>
      <c r="C132" s="18">
        <f t="shared" ref="C132:C195" si="256">C131+B132</f>
        <v>61227642</v>
      </c>
      <c r="D132" s="376">
        <v>5863.5</v>
      </c>
      <c r="E132" s="417">
        <f t="shared" si="255"/>
        <v>793010.17999999982</v>
      </c>
      <c r="F132" s="397">
        <v>50795</v>
      </c>
      <c r="G132" s="37"/>
      <c r="H132" s="37">
        <f t="shared" si="171"/>
        <v>47810</v>
      </c>
      <c r="I132" s="37">
        <f t="shared" ref="I132:I195" si="257">F132+G132-H132</f>
        <v>2985</v>
      </c>
      <c r="J132" s="37">
        <f t="shared" ref="J132:J195" si="258">I132*1000/D132</f>
        <v>509.0816065489895</v>
      </c>
      <c r="K132" s="37">
        <f t="shared" si="198"/>
        <v>366557</v>
      </c>
      <c r="L132" s="37">
        <f t="shared" ref="L132:L195" si="259">K132*1000/E132</f>
        <v>462.23492364246835</v>
      </c>
      <c r="M132" s="648"/>
      <c r="N132" s="422">
        <v>225</v>
      </c>
      <c r="O132" s="423"/>
      <c r="P132" s="423">
        <f t="shared" si="199"/>
        <v>125</v>
      </c>
      <c r="Q132" s="423">
        <f t="shared" si="200"/>
        <v>100</v>
      </c>
      <c r="R132" s="423">
        <f t="shared" si="201"/>
        <v>9850</v>
      </c>
      <c r="S132" s="68">
        <v>6.22</v>
      </c>
      <c r="T132" s="67">
        <v>24</v>
      </c>
      <c r="U132" s="68">
        <f t="shared" si="202"/>
        <v>74.64</v>
      </c>
      <c r="V132" s="68">
        <f t="shared" ref="V132:V195" si="260">U132*1000/D132</f>
        <v>12.729598362752622</v>
      </c>
      <c r="W132" s="423">
        <f t="shared" si="203"/>
        <v>9625.8240000000023</v>
      </c>
      <c r="X132" s="68">
        <f t="shared" ref="X132:X195" si="261">W132*1000/E132</f>
        <v>12.138335979495249</v>
      </c>
      <c r="Y132" s="500"/>
      <c r="Z132" s="424">
        <v>25</v>
      </c>
      <c r="AA132" s="425"/>
      <c r="AB132" s="425">
        <f t="shared" si="204"/>
        <v>25</v>
      </c>
      <c r="AC132" s="425">
        <f t="shared" si="205"/>
        <v>0</v>
      </c>
      <c r="AD132" s="425">
        <f t="shared" si="206"/>
        <v>1575</v>
      </c>
      <c r="AE132" s="72">
        <v>2.08</v>
      </c>
      <c r="AF132" s="71">
        <v>12</v>
      </c>
      <c r="AG132" s="72">
        <f t="shared" si="207"/>
        <v>12.48</v>
      </c>
      <c r="AH132" s="72">
        <f t="shared" si="173"/>
        <v>2.1284215911997952</v>
      </c>
      <c r="AI132" s="425">
        <f t="shared" si="208"/>
        <v>1470.0720000000003</v>
      </c>
      <c r="AJ132" s="72">
        <f t="shared" si="241"/>
        <v>1.8537870472230262</v>
      </c>
      <c r="AK132" s="502"/>
      <c r="AL132" s="491">
        <v>31060</v>
      </c>
      <c r="AM132" s="491"/>
      <c r="AN132" s="492">
        <f t="shared" si="248"/>
        <v>31060</v>
      </c>
      <c r="AO132" s="492">
        <f t="shared" si="249"/>
        <v>0</v>
      </c>
      <c r="AP132" s="492">
        <f t="shared" si="250"/>
        <v>52513</v>
      </c>
      <c r="AQ132" s="493">
        <f t="shared" si="174"/>
        <v>66.219830872789061</v>
      </c>
      <c r="AR132" s="504"/>
      <c r="AS132" s="413">
        <v>35879</v>
      </c>
      <c r="AT132" s="64"/>
      <c r="AU132" s="66">
        <f t="shared" si="209"/>
        <v>27813</v>
      </c>
      <c r="AV132" s="66">
        <f t="shared" ref="AV132:AV195" si="262">AS132+AT132-AU132</f>
        <v>8066</v>
      </c>
      <c r="AW132" s="412">
        <f t="shared" si="156"/>
        <v>16.073556548390055</v>
      </c>
      <c r="AX132" s="66">
        <f t="shared" si="210"/>
        <v>127322</v>
      </c>
      <c r="AY132" s="412">
        <f t="shared" si="211"/>
        <v>2.0794856022709483</v>
      </c>
      <c r="AZ132" s="506"/>
      <c r="BA132" s="419">
        <v>0</v>
      </c>
      <c r="BB132" s="419"/>
      <c r="BC132" s="407"/>
      <c r="BD132" s="419">
        <f t="shared" si="175"/>
        <v>0</v>
      </c>
      <c r="BE132" s="419">
        <f t="shared" si="176"/>
        <v>0</v>
      </c>
      <c r="BF132" s="407">
        <f t="shared" si="212"/>
        <v>0</v>
      </c>
      <c r="BG132" s="419">
        <f t="shared" si="251"/>
        <v>45495</v>
      </c>
      <c r="BH132" s="407">
        <f t="shared" si="213"/>
        <v>0.74304674349536437</v>
      </c>
      <c r="BI132" s="407">
        <f t="shared" si="214"/>
        <v>9.0985315530044616E-2</v>
      </c>
      <c r="BJ132" s="508"/>
      <c r="BK132" s="510"/>
      <c r="BL132" s="49">
        <v>2569</v>
      </c>
      <c r="BM132" s="50"/>
      <c r="BN132" s="52">
        <f t="shared" si="215"/>
        <v>2304</v>
      </c>
      <c r="BO132" s="52">
        <f t="shared" ref="BO132:BO195" si="263">BL132+BM132-BN132</f>
        <v>265</v>
      </c>
      <c r="BP132" s="406">
        <f t="shared" si="216"/>
        <v>0.52807990147822514</v>
      </c>
      <c r="BQ132" s="52">
        <f t="shared" si="217"/>
        <v>26396</v>
      </c>
      <c r="BR132" s="406">
        <f t="shared" si="218"/>
        <v>0.43111247041001516</v>
      </c>
      <c r="BS132" s="512"/>
      <c r="BT132" s="409">
        <v>1307</v>
      </c>
      <c r="BU132" s="43">
        <v>1000</v>
      </c>
      <c r="BV132" s="43">
        <f t="shared" si="245"/>
        <v>2118</v>
      </c>
      <c r="BW132" s="43">
        <f t="shared" si="246"/>
        <v>189</v>
      </c>
      <c r="BX132" s="42">
        <f t="shared" si="219"/>
        <v>0.37663057124296062</v>
      </c>
      <c r="BY132" s="43">
        <f t="shared" si="247"/>
        <v>11319</v>
      </c>
      <c r="BZ132" s="42">
        <f t="shared" si="220"/>
        <v>0.18486748191282623</v>
      </c>
      <c r="CA132" s="514"/>
      <c r="CB132" s="392">
        <v>839</v>
      </c>
      <c r="CC132" s="298">
        <v>2500</v>
      </c>
      <c r="CD132" s="298">
        <f t="shared" si="177"/>
        <v>2789</v>
      </c>
      <c r="CE132" s="298">
        <f t="shared" ref="CE132:CE195" si="264">CB132+CC132-CD132</f>
        <v>550</v>
      </c>
      <c r="CF132" s="297">
        <f t="shared" si="221"/>
        <v>1.0960148898604674</v>
      </c>
      <c r="CG132" s="298">
        <f t="shared" si="222"/>
        <v>50311</v>
      </c>
      <c r="CH132" s="297">
        <f t="shared" si="223"/>
        <v>0.82170402707979506</v>
      </c>
      <c r="CI132" s="516"/>
      <c r="CJ132" s="659">
        <v>325</v>
      </c>
      <c r="CK132" s="651">
        <v>1000</v>
      </c>
      <c r="CL132" s="657">
        <f t="shared" si="252"/>
        <v>775</v>
      </c>
      <c r="CM132" s="657">
        <f t="shared" si="253"/>
        <v>550</v>
      </c>
      <c r="CN132" s="659">
        <f t="shared" si="254"/>
        <v>11725</v>
      </c>
      <c r="CO132" s="464">
        <v>0</v>
      </c>
      <c r="CP132" s="465"/>
      <c r="CQ132" s="465">
        <f t="shared" si="178"/>
        <v>0</v>
      </c>
      <c r="CR132" s="465">
        <f t="shared" ref="CR132:CR195" si="265">CO132+CP132-CQ132</f>
        <v>0</v>
      </c>
      <c r="CS132" s="486">
        <f t="shared" si="224"/>
        <v>0</v>
      </c>
      <c r="CT132" s="465">
        <f t="shared" si="225"/>
        <v>1399</v>
      </c>
      <c r="CU132" s="486">
        <f t="shared" si="226"/>
        <v>2.2849156921640065E-2</v>
      </c>
      <c r="CV132" s="518"/>
      <c r="CW132" s="427">
        <v>20</v>
      </c>
      <c r="CX132" s="427"/>
      <c r="CY132" s="427">
        <f t="shared" si="227"/>
        <v>20</v>
      </c>
      <c r="CZ132" s="427">
        <f t="shared" si="228"/>
        <v>0</v>
      </c>
      <c r="DA132" s="607">
        <f t="shared" si="244"/>
        <v>0</v>
      </c>
      <c r="DB132" s="607">
        <f t="shared" si="229"/>
        <v>95</v>
      </c>
      <c r="DC132" s="607">
        <f t="shared" si="179"/>
        <v>1.5515867816696257E-3</v>
      </c>
      <c r="DD132" s="609"/>
      <c r="DE132" s="471">
        <v>32</v>
      </c>
      <c r="DF132" s="473"/>
      <c r="DG132" s="473">
        <f t="shared" si="180"/>
        <v>19</v>
      </c>
      <c r="DH132" s="473">
        <f t="shared" ref="DH132:DH195" si="266">DE132+DF132-DG132</f>
        <v>13</v>
      </c>
      <c r="DI132" s="227">
        <f t="shared" si="230"/>
        <v>2.5905806487611045E-2</v>
      </c>
      <c r="DJ132" s="473">
        <f t="shared" si="231"/>
        <v>80.2</v>
      </c>
      <c r="DK132" s="227">
        <f t="shared" si="232"/>
        <v>1.3098658935779366E-3</v>
      </c>
      <c r="DL132" s="510"/>
      <c r="DM132" s="63">
        <v>200</v>
      </c>
      <c r="DN132" s="64">
        <v>2000</v>
      </c>
      <c r="DO132" s="66">
        <f t="shared" si="233"/>
        <v>2030</v>
      </c>
      <c r="DP132" s="66">
        <f t="shared" ref="DP132:DP195" si="267">DM132+DN132-DO132</f>
        <v>170</v>
      </c>
      <c r="DQ132" s="412">
        <f t="shared" si="234"/>
        <v>0.33876823868414446</v>
      </c>
      <c r="DR132" s="66">
        <f t="shared" si="235"/>
        <v>14970</v>
      </c>
      <c r="DS132" s="412">
        <f t="shared" si="236"/>
        <v>0.24449741180625575</v>
      </c>
      <c r="DT132" s="506"/>
      <c r="DU132" s="596">
        <v>0</v>
      </c>
      <c r="DV132" s="596"/>
      <c r="DW132" s="596">
        <f t="shared" si="181"/>
        <v>0</v>
      </c>
      <c r="DX132" s="596">
        <f t="shared" ref="DX132:DX193" si="268">DU132+DV132-DW132</f>
        <v>0</v>
      </c>
      <c r="DY132" s="592">
        <f t="shared" si="182"/>
        <v>0</v>
      </c>
      <c r="DZ132" s="596">
        <f t="shared" si="237"/>
        <v>2800</v>
      </c>
      <c r="EA132" s="592">
        <f t="shared" si="183"/>
        <v>4.5730978828157388E-2</v>
      </c>
      <c r="EB132" s="594"/>
      <c r="EC132" s="448">
        <v>165</v>
      </c>
      <c r="ED132" s="449"/>
      <c r="EE132" s="449">
        <f t="shared" si="184"/>
        <v>165</v>
      </c>
      <c r="EF132" s="449">
        <f t="shared" ref="EF132:EF195" si="269">EC132+ED132-EE132</f>
        <v>0</v>
      </c>
      <c r="EG132" s="450">
        <f t="shared" si="242"/>
        <v>0</v>
      </c>
      <c r="EH132" s="449">
        <f t="shared" si="238"/>
        <v>480</v>
      </c>
      <c r="EI132" s="450">
        <f t="shared" si="243"/>
        <v>7.8395963705412668E-3</v>
      </c>
      <c r="EJ132" s="520"/>
      <c r="EK132" s="426">
        <v>3863</v>
      </c>
      <c r="EL132" s="427"/>
      <c r="EM132" s="427">
        <f t="shared" si="185"/>
        <v>3500</v>
      </c>
      <c r="EN132" s="427">
        <f t="shared" ref="EN132:EN195" si="270">EK132+EL132-EM132</f>
        <v>363</v>
      </c>
      <c r="EO132" s="427">
        <f t="shared" si="186"/>
        <v>60622</v>
      </c>
      <c r="EP132" s="456">
        <v>42</v>
      </c>
      <c r="EQ132" s="457">
        <v>135</v>
      </c>
      <c r="ER132" s="457">
        <f t="shared" si="187"/>
        <v>163</v>
      </c>
      <c r="ES132" s="457">
        <f t="shared" ref="ES132:ES195" si="271">EP132+EQ132-ER132</f>
        <v>14</v>
      </c>
      <c r="ET132" s="457">
        <f t="shared" si="188"/>
        <v>1330</v>
      </c>
      <c r="EU132" s="409">
        <v>0</v>
      </c>
      <c r="EV132" s="43"/>
      <c r="EW132" s="43">
        <f t="shared" si="189"/>
        <v>0</v>
      </c>
      <c r="EX132" s="43">
        <f t="shared" ref="EX132:EX195" si="272">EU132+EV132-EW132</f>
        <v>0</v>
      </c>
      <c r="EY132" s="43">
        <f t="shared" si="190"/>
        <v>740</v>
      </c>
      <c r="EZ132" s="436">
        <v>118</v>
      </c>
      <c r="FA132" s="437"/>
      <c r="FB132" s="437">
        <f t="shared" si="191"/>
        <v>114</v>
      </c>
      <c r="FC132" s="437">
        <f t="shared" ref="FC132:FC195" si="273">EZ132+FA132-FB132</f>
        <v>4</v>
      </c>
      <c r="FD132" s="437">
        <f t="shared" si="192"/>
        <v>776</v>
      </c>
      <c r="FE132" s="442">
        <v>150</v>
      </c>
      <c r="FF132" s="443"/>
      <c r="FG132" s="443">
        <f t="shared" si="193"/>
        <v>150</v>
      </c>
      <c r="FH132" s="443">
        <f t="shared" ref="FH132:FH195" si="274">FE132+FF132-FG132</f>
        <v>0</v>
      </c>
      <c r="FI132" s="443">
        <f t="shared" si="194"/>
        <v>850</v>
      </c>
      <c r="FJ132" s="392">
        <v>0</v>
      </c>
      <c r="FK132" s="298"/>
      <c r="FL132" s="298">
        <f t="shared" si="195"/>
        <v>0</v>
      </c>
      <c r="FM132" s="298">
        <f t="shared" ref="FM132:FM195" si="275">FJ132+FK132-FL132</f>
        <v>0</v>
      </c>
      <c r="FN132" s="498">
        <f t="shared" si="196"/>
        <v>1900</v>
      </c>
      <c r="HC132" s="402"/>
      <c r="HD132" s="52"/>
      <c r="HE132" s="52">
        <f t="shared" si="197"/>
        <v>0</v>
      </c>
      <c r="HF132" s="52">
        <f t="shared" ref="HF132:HF195" si="276">HC132+HD132-HE132</f>
        <v>0</v>
      </c>
      <c r="HG132" s="51"/>
      <c r="HH132" s="52">
        <f t="shared" si="240"/>
        <v>400</v>
      </c>
      <c r="HI132" s="51"/>
      <c r="HJ132" s="1047"/>
    </row>
    <row r="133" spans="1:218">
      <c r="A133" s="807">
        <v>44796</v>
      </c>
      <c r="B133" s="390">
        <v>553020</v>
      </c>
      <c r="C133" s="18">
        <f t="shared" si="256"/>
        <v>61780662</v>
      </c>
      <c r="D133" s="376">
        <v>7173.2</v>
      </c>
      <c r="E133" s="417">
        <f t="shared" si="255"/>
        <v>800183.37999999977</v>
      </c>
      <c r="F133" s="397">
        <v>47810</v>
      </c>
      <c r="G133" s="37"/>
      <c r="H133" s="37">
        <f t="shared" ref="H133:H196" si="277">F134</f>
        <v>45037</v>
      </c>
      <c r="I133" s="37">
        <f t="shared" si="257"/>
        <v>2773</v>
      </c>
      <c r="J133" s="37">
        <f t="shared" si="258"/>
        <v>386.57781743155078</v>
      </c>
      <c r="K133" s="37">
        <f t="shared" si="198"/>
        <v>369330</v>
      </c>
      <c r="L133" s="37">
        <f t="shared" si="259"/>
        <v>461.55669966551932</v>
      </c>
      <c r="M133" s="648"/>
      <c r="N133" s="422">
        <v>125</v>
      </c>
      <c r="O133" s="423"/>
      <c r="P133" s="423">
        <f t="shared" si="199"/>
        <v>75</v>
      </c>
      <c r="Q133" s="423">
        <f t="shared" si="200"/>
        <v>50</v>
      </c>
      <c r="R133" s="423">
        <f t="shared" si="201"/>
        <v>9900</v>
      </c>
      <c r="S133" s="68">
        <v>6.46</v>
      </c>
      <c r="T133" s="67">
        <v>24</v>
      </c>
      <c r="U133" s="68">
        <f t="shared" si="202"/>
        <v>77.52</v>
      </c>
      <c r="V133" s="68">
        <f t="shared" si="260"/>
        <v>10.806892321418614</v>
      </c>
      <c r="W133" s="423">
        <f t="shared" si="203"/>
        <v>9703.3440000000028</v>
      </c>
      <c r="X133" s="68">
        <f t="shared" si="261"/>
        <v>12.126400325885305</v>
      </c>
      <c r="Y133" s="500"/>
      <c r="Z133" s="424">
        <v>25</v>
      </c>
      <c r="AA133" s="425"/>
      <c r="AB133" s="425">
        <f t="shared" si="204"/>
        <v>0</v>
      </c>
      <c r="AC133" s="425">
        <f t="shared" si="205"/>
        <v>25</v>
      </c>
      <c r="AD133" s="425">
        <f t="shared" si="206"/>
        <v>1600</v>
      </c>
      <c r="AE133" s="72">
        <v>2.33</v>
      </c>
      <c r="AF133" s="71">
        <v>12</v>
      </c>
      <c r="AG133" s="72">
        <f t="shared" si="207"/>
        <v>13.98</v>
      </c>
      <c r="AH133" s="72">
        <f t="shared" ref="AH133:AH196" si="278">AG133*1000/D133</f>
        <v>1.9489209836614063</v>
      </c>
      <c r="AI133" s="425">
        <f t="shared" si="208"/>
        <v>1484.0520000000004</v>
      </c>
      <c r="AJ133" s="72">
        <f t="shared" si="241"/>
        <v>1.85463987017576</v>
      </c>
      <c r="AK133" s="502"/>
      <c r="AL133" s="491">
        <v>31060</v>
      </c>
      <c r="AM133" s="491"/>
      <c r="AN133" s="492">
        <f t="shared" si="248"/>
        <v>30836</v>
      </c>
      <c r="AO133" s="492">
        <f t="shared" si="249"/>
        <v>224</v>
      </c>
      <c r="AP133" s="492">
        <f t="shared" si="250"/>
        <v>52737</v>
      </c>
      <c r="AQ133" s="493">
        <f t="shared" ref="AQ133:AQ196" si="279">AP133*1000/E133</f>
        <v>65.906142664447756</v>
      </c>
      <c r="AR133" s="504"/>
      <c r="AS133" s="413">
        <v>27813</v>
      </c>
      <c r="AT133" s="64"/>
      <c r="AU133" s="66">
        <f t="shared" si="209"/>
        <v>24078</v>
      </c>
      <c r="AV133" s="66">
        <f t="shared" si="262"/>
        <v>3735</v>
      </c>
      <c r="AW133" s="412">
        <f t="shared" si="156"/>
        <v>6.7538244548117605</v>
      </c>
      <c r="AX133" s="66">
        <f t="shared" si="210"/>
        <v>131057</v>
      </c>
      <c r="AY133" s="412">
        <f t="shared" si="211"/>
        <v>2.1213272204820335</v>
      </c>
      <c r="AZ133" s="506"/>
      <c r="BA133" s="419">
        <v>0</v>
      </c>
      <c r="BB133" s="419"/>
      <c r="BC133" s="407"/>
      <c r="BD133" s="419">
        <f t="shared" ref="BD133:BD196" si="280">BA134</f>
        <v>0</v>
      </c>
      <c r="BE133" s="419">
        <f t="shared" ref="BE133:BE196" si="281">BA133+BB133-BD133</f>
        <v>0</v>
      </c>
      <c r="BF133" s="407">
        <f t="shared" si="212"/>
        <v>0</v>
      </c>
      <c r="BG133" s="419">
        <f t="shared" si="251"/>
        <v>45495</v>
      </c>
      <c r="BH133" s="407">
        <f t="shared" si="213"/>
        <v>0.73639547598243604</v>
      </c>
      <c r="BI133" s="407">
        <f t="shared" si="214"/>
        <v>9.0170874610094209E-2</v>
      </c>
      <c r="BJ133" s="508"/>
      <c r="BK133" s="510"/>
      <c r="BL133" s="49">
        <v>2304</v>
      </c>
      <c r="BM133" s="50"/>
      <c r="BN133" s="52">
        <f t="shared" si="215"/>
        <v>1839</v>
      </c>
      <c r="BO133" s="52">
        <f t="shared" si="263"/>
        <v>465</v>
      </c>
      <c r="BP133" s="406">
        <f t="shared" si="216"/>
        <v>0.84083758272756859</v>
      </c>
      <c r="BQ133" s="52">
        <f t="shared" si="217"/>
        <v>26861</v>
      </c>
      <c r="BR133" s="406">
        <f t="shared" si="218"/>
        <v>0.43478006111362161</v>
      </c>
      <c r="BS133" s="512"/>
      <c r="BT133" s="409">
        <v>2118</v>
      </c>
      <c r="BU133" s="43"/>
      <c r="BV133" s="43">
        <f t="shared" si="245"/>
        <v>1905</v>
      </c>
      <c r="BW133" s="43">
        <f t="shared" si="246"/>
        <v>213</v>
      </c>
      <c r="BX133" s="42">
        <f t="shared" si="219"/>
        <v>0.38515786047520884</v>
      </c>
      <c r="BY133" s="43">
        <f t="shared" si="247"/>
        <v>11532</v>
      </c>
      <c r="BZ133" s="42">
        <f t="shared" si="220"/>
        <v>0.18666035012703489</v>
      </c>
      <c r="CA133" s="514"/>
      <c r="CB133" s="392">
        <v>2789</v>
      </c>
      <c r="CC133" s="298"/>
      <c r="CD133" s="298">
        <f t="shared" ref="CD133:CD196" si="282">CB134</f>
        <v>2082</v>
      </c>
      <c r="CE133" s="298">
        <f t="shared" si="264"/>
        <v>707</v>
      </c>
      <c r="CF133" s="297">
        <f t="shared" si="221"/>
        <v>1.2784347763191204</v>
      </c>
      <c r="CG133" s="298">
        <f t="shared" si="222"/>
        <v>51018</v>
      </c>
      <c r="CH133" s="297">
        <f t="shared" si="223"/>
        <v>0.82579238144129952</v>
      </c>
      <c r="CI133" s="516"/>
      <c r="CJ133" s="659">
        <v>775</v>
      </c>
      <c r="CK133" s="651"/>
      <c r="CL133" s="657">
        <f t="shared" si="252"/>
        <v>150</v>
      </c>
      <c r="CM133" s="657">
        <f t="shared" si="253"/>
        <v>625</v>
      </c>
      <c r="CN133" s="659">
        <f t="shared" si="254"/>
        <v>12350</v>
      </c>
      <c r="CO133" s="464">
        <v>0</v>
      </c>
      <c r="CP133" s="465"/>
      <c r="CQ133" s="465">
        <f t="shared" ref="CQ133:CQ196" si="283">CO134</f>
        <v>0</v>
      </c>
      <c r="CR133" s="465">
        <f t="shared" si="265"/>
        <v>0</v>
      </c>
      <c r="CS133" s="486">
        <f t="shared" si="224"/>
        <v>0</v>
      </c>
      <c r="CT133" s="465">
        <f t="shared" si="225"/>
        <v>1399</v>
      </c>
      <c r="CU133" s="486">
        <f t="shared" si="226"/>
        <v>2.2644626242431652E-2</v>
      </c>
      <c r="CV133" s="518"/>
      <c r="CW133" s="427">
        <v>20</v>
      </c>
      <c r="CX133" s="427"/>
      <c r="CY133" s="427">
        <f t="shared" si="227"/>
        <v>5</v>
      </c>
      <c r="CZ133" s="427">
        <f t="shared" si="228"/>
        <v>15</v>
      </c>
      <c r="DA133" s="607">
        <f t="shared" si="244"/>
        <v>2.7123792991211891E-2</v>
      </c>
      <c r="DB133" s="607">
        <f t="shared" si="229"/>
        <v>110</v>
      </c>
      <c r="DC133" s="607">
        <f t="shared" ref="DC133:DC196" si="284">DB133*1000/C133</f>
        <v>1.7804924136293652E-3</v>
      </c>
      <c r="DD133" s="609"/>
      <c r="DE133" s="471">
        <v>19</v>
      </c>
      <c r="DF133" s="473"/>
      <c r="DG133" s="473">
        <f t="shared" ref="DG133:DG196" si="285">DE134</f>
        <v>19</v>
      </c>
      <c r="DH133" s="473">
        <f t="shared" si="266"/>
        <v>0</v>
      </c>
      <c r="DI133" s="227">
        <f t="shared" si="230"/>
        <v>0</v>
      </c>
      <c r="DJ133" s="473">
        <f t="shared" si="231"/>
        <v>80.2</v>
      </c>
      <c r="DK133" s="227">
        <f t="shared" si="232"/>
        <v>1.2981408324825008E-3</v>
      </c>
      <c r="DL133" s="510"/>
      <c r="DM133" s="63">
        <v>2030</v>
      </c>
      <c r="DN133" s="64"/>
      <c r="DO133" s="66">
        <f t="shared" si="233"/>
        <v>1920</v>
      </c>
      <c r="DP133" s="66">
        <f t="shared" si="267"/>
        <v>110</v>
      </c>
      <c r="DQ133" s="412">
        <f t="shared" si="234"/>
        <v>0.19890781526888721</v>
      </c>
      <c r="DR133" s="66">
        <f t="shared" si="235"/>
        <v>15080</v>
      </c>
      <c r="DS133" s="412">
        <f t="shared" si="236"/>
        <v>0.24408932361391661</v>
      </c>
      <c r="DT133" s="506"/>
      <c r="DU133" s="596">
        <v>0</v>
      </c>
      <c r="DV133" s="596"/>
      <c r="DW133" s="596">
        <f t="shared" ref="DW133:DW196" si="286">DU134</f>
        <v>0</v>
      </c>
      <c r="DX133" s="596">
        <f t="shared" si="268"/>
        <v>0</v>
      </c>
      <c r="DY133" s="592">
        <f t="shared" ref="DY133:DY196" si="287">DX133*1000/B133</f>
        <v>0</v>
      </c>
      <c r="DZ133" s="596">
        <f t="shared" si="237"/>
        <v>2800</v>
      </c>
      <c r="EA133" s="592">
        <f t="shared" ref="EA133:EA196" si="288">DZ133*1000/C133</f>
        <v>4.5321625074202024E-2</v>
      </c>
      <c r="EB133" s="594"/>
      <c r="EC133" s="448">
        <v>165</v>
      </c>
      <c r="ED133" s="449"/>
      <c r="EE133" s="449">
        <f t="shared" ref="EE133:EE196" si="289">EC134</f>
        <v>165</v>
      </c>
      <c r="EF133" s="449">
        <f t="shared" si="269"/>
        <v>0</v>
      </c>
      <c r="EG133" s="450">
        <f t="shared" si="242"/>
        <v>0</v>
      </c>
      <c r="EH133" s="449">
        <f t="shared" si="238"/>
        <v>480</v>
      </c>
      <c r="EI133" s="450">
        <f t="shared" si="243"/>
        <v>7.7694214412917751E-3</v>
      </c>
      <c r="EJ133" s="520"/>
      <c r="EK133" s="426">
        <v>3500</v>
      </c>
      <c r="EL133" s="427"/>
      <c r="EM133" s="427">
        <f t="shared" ref="EM133:EM196" si="290">EK134</f>
        <v>3463</v>
      </c>
      <c r="EN133" s="427">
        <f t="shared" si="270"/>
        <v>37</v>
      </c>
      <c r="EO133" s="427">
        <f t="shared" ref="EO133:EO196" si="291">EN133+EO132</f>
        <v>60659</v>
      </c>
      <c r="EP133" s="456">
        <v>163</v>
      </c>
      <c r="EQ133" s="457"/>
      <c r="ER133" s="457">
        <f t="shared" ref="ER133:ER196" si="292">EP134</f>
        <v>135</v>
      </c>
      <c r="ES133" s="457">
        <f t="shared" si="271"/>
        <v>28</v>
      </c>
      <c r="ET133" s="457">
        <f t="shared" ref="ET133:ET196" si="293">ES133+ET132</f>
        <v>1358</v>
      </c>
      <c r="EU133" s="409">
        <v>0</v>
      </c>
      <c r="EV133" s="43"/>
      <c r="EW133" s="43">
        <f t="shared" ref="EW133:EW196" si="294">EU134</f>
        <v>0</v>
      </c>
      <c r="EX133" s="43">
        <f t="shared" si="272"/>
        <v>0</v>
      </c>
      <c r="EY133" s="43">
        <f t="shared" ref="EY133:EY196" si="295">EX133+EY132</f>
        <v>740</v>
      </c>
      <c r="EZ133" s="436">
        <v>114</v>
      </c>
      <c r="FA133" s="437"/>
      <c r="FB133" s="437">
        <f t="shared" ref="FB133:FB196" si="296">EZ134</f>
        <v>110</v>
      </c>
      <c r="FC133" s="437">
        <f t="shared" si="273"/>
        <v>4</v>
      </c>
      <c r="FD133" s="437">
        <f t="shared" ref="FD133:FD196" si="297">FC133+FD132</f>
        <v>780</v>
      </c>
      <c r="FE133" s="442">
        <v>150</v>
      </c>
      <c r="FF133" s="443"/>
      <c r="FG133" s="443">
        <f t="shared" ref="FG133:FG196" si="298">FE134</f>
        <v>150</v>
      </c>
      <c r="FH133" s="443">
        <f t="shared" si="274"/>
        <v>0</v>
      </c>
      <c r="FI133" s="443">
        <f t="shared" ref="FI133:FI196" si="299">FH133+FI132</f>
        <v>850</v>
      </c>
      <c r="FJ133" s="392">
        <v>0</v>
      </c>
      <c r="FK133" s="298">
        <v>1000</v>
      </c>
      <c r="FL133" s="298">
        <f t="shared" ref="FL133:FL196" si="300">FJ134</f>
        <v>970</v>
      </c>
      <c r="FM133" s="298">
        <f t="shared" si="275"/>
        <v>30</v>
      </c>
      <c r="FN133" s="498">
        <f t="shared" ref="FN133:FN196" si="301">FM133+FN132</f>
        <v>1930</v>
      </c>
      <c r="HC133" s="402"/>
      <c r="HD133" s="52"/>
      <c r="HE133" s="52">
        <f t="shared" ref="HE133:HE196" si="302">HC134</f>
        <v>0</v>
      </c>
      <c r="HF133" s="52">
        <f t="shared" si="276"/>
        <v>0</v>
      </c>
      <c r="HG133" s="51"/>
      <c r="HH133" s="52">
        <f t="shared" si="240"/>
        <v>400</v>
      </c>
      <c r="HI133" s="51"/>
      <c r="HJ133" s="1047"/>
    </row>
    <row r="134" spans="1:218">
      <c r="A134" s="807">
        <v>44797</v>
      </c>
      <c r="B134" s="390">
        <v>626045</v>
      </c>
      <c r="C134" s="18">
        <f t="shared" si="256"/>
        <v>62406707</v>
      </c>
      <c r="D134" s="376">
        <v>7314.56</v>
      </c>
      <c r="E134" s="417">
        <f t="shared" si="255"/>
        <v>807497.93999999983</v>
      </c>
      <c r="F134" s="397">
        <v>45037</v>
      </c>
      <c r="G134" s="37"/>
      <c r="H134" s="37">
        <f t="shared" si="277"/>
        <v>41340</v>
      </c>
      <c r="I134" s="37">
        <f t="shared" si="257"/>
        <v>3697</v>
      </c>
      <c r="J134" s="37">
        <f t="shared" si="258"/>
        <v>505.43026511505815</v>
      </c>
      <c r="K134" s="37">
        <f t="shared" ref="K134:K197" si="303">K133+I134</f>
        <v>373027</v>
      </c>
      <c r="L134" s="37">
        <f t="shared" si="259"/>
        <v>461.95411966004531</v>
      </c>
      <c r="M134" s="648"/>
      <c r="N134" s="422">
        <v>75</v>
      </c>
      <c r="O134" s="423">
        <v>250</v>
      </c>
      <c r="P134" s="423">
        <f t="shared" ref="P134:P197" si="304">N135</f>
        <v>275</v>
      </c>
      <c r="Q134" s="423">
        <f t="shared" ref="Q134:Q197" si="305">N134+O134-P134</f>
        <v>50</v>
      </c>
      <c r="R134" s="423">
        <f t="shared" ref="R134:R197" si="306">Q134+R133</f>
        <v>9950</v>
      </c>
      <c r="S134" s="68">
        <v>6.5</v>
      </c>
      <c r="T134" s="67">
        <v>24</v>
      </c>
      <c r="U134" s="68">
        <f t="shared" ref="U134:U197" si="307">S134*T134*0.5</f>
        <v>78</v>
      </c>
      <c r="V134" s="68">
        <f t="shared" si="260"/>
        <v>10.663662612652026</v>
      </c>
      <c r="W134" s="423">
        <f t="shared" ref="W134:W197" si="308">U134+W133</f>
        <v>9781.3440000000028</v>
      </c>
      <c r="X134" s="68">
        <f t="shared" si="261"/>
        <v>12.113150406303209</v>
      </c>
      <c r="Y134" s="500"/>
      <c r="Z134" s="424">
        <v>0</v>
      </c>
      <c r="AA134" s="425">
        <v>100</v>
      </c>
      <c r="AB134" s="425">
        <f t="shared" ref="AB134:AB197" si="309">Z135</f>
        <v>100</v>
      </c>
      <c r="AC134" s="425">
        <f t="shared" ref="AC134:AC197" si="310">Z134+AA134-AB134</f>
        <v>0</v>
      </c>
      <c r="AD134" s="425">
        <f t="shared" ref="AD134:AD197" si="311">AC134+AD133</f>
        <v>1600</v>
      </c>
      <c r="AE134" s="72">
        <v>2.44</v>
      </c>
      <c r="AF134" s="71">
        <v>12</v>
      </c>
      <c r="AG134" s="72">
        <f t="shared" ref="AG134:AG197" si="312">AE134*AF134*0.5</f>
        <v>14.64</v>
      </c>
      <c r="AH134" s="72">
        <f t="shared" si="278"/>
        <v>2.0014874442208415</v>
      </c>
      <c r="AI134" s="425">
        <f t="shared" ref="AI134:AI197" si="313">AG134+AI133</f>
        <v>1498.6920000000005</v>
      </c>
      <c r="AJ134" s="72">
        <f t="shared" si="241"/>
        <v>1.855970059812166</v>
      </c>
      <c r="AK134" s="502"/>
      <c r="AL134" s="491">
        <v>30836</v>
      </c>
      <c r="AM134" s="491"/>
      <c r="AN134" s="492">
        <f t="shared" si="248"/>
        <v>30836</v>
      </c>
      <c r="AO134" s="492">
        <f t="shared" si="249"/>
        <v>0</v>
      </c>
      <c r="AP134" s="492">
        <f t="shared" si="250"/>
        <v>52737</v>
      </c>
      <c r="AQ134" s="493">
        <f t="shared" si="279"/>
        <v>65.309144937261408</v>
      </c>
      <c r="AR134" s="504"/>
      <c r="AS134" s="413">
        <v>24078</v>
      </c>
      <c r="AT134" s="64"/>
      <c r="AU134" s="66">
        <f t="shared" ref="AU134:AU197" si="314">AS135</f>
        <v>19378</v>
      </c>
      <c r="AV134" s="66">
        <f t="shared" si="262"/>
        <v>4700</v>
      </c>
      <c r="AW134" s="412">
        <f t="shared" ref="AW134:AW197" si="315">AV134*1000/B134</f>
        <v>7.5074475477002451</v>
      </c>
      <c r="AX134" s="66">
        <f t="shared" ref="AX134:AX197" si="316">AX133+AV134</f>
        <v>135757</v>
      </c>
      <c r="AY134" s="412">
        <f t="shared" ref="AY134:AY197" si="317">AX134*1000/C134</f>
        <v>2.1753591324727326</v>
      </c>
      <c r="AZ134" s="506"/>
      <c r="BA134" s="419">
        <v>0</v>
      </c>
      <c r="BB134" s="419"/>
      <c r="BC134" s="407"/>
      <c r="BD134" s="419">
        <f t="shared" si="280"/>
        <v>0</v>
      </c>
      <c r="BE134" s="419">
        <f t="shared" si="281"/>
        <v>0</v>
      </c>
      <c r="BF134" s="407">
        <f t="shared" ref="BF134:BF197" si="318">BE134*1000/B134</f>
        <v>0</v>
      </c>
      <c r="BG134" s="419">
        <f t="shared" si="251"/>
        <v>45495</v>
      </c>
      <c r="BH134" s="407">
        <f t="shared" ref="BH134:BH197" si="319">BG134*1000/C134</f>
        <v>0.72900818176482218</v>
      </c>
      <c r="BI134" s="407">
        <f t="shared" ref="BI134:BI197" si="320">BH134/(98/12)</f>
        <v>8.9266307971202719E-2</v>
      </c>
      <c r="BJ134" s="508"/>
      <c r="BK134" s="510"/>
      <c r="BL134" s="49">
        <v>1839</v>
      </c>
      <c r="BM134" s="50"/>
      <c r="BN134" s="52">
        <f t="shared" ref="BN134:BN197" si="321">BL135</f>
        <v>1325</v>
      </c>
      <c r="BO134" s="52">
        <f t="shared" si="263"/>
        <v>514</v>
      </c>
      <c r="BP134" s="406">
        <f t="shared" ref="BP134:BP197" si="322">BO134*1000/B134</f>
        <v>0.82102724245062253</v>
      </c>
      <c r="BQ134" s="52">
        <f t="shared" ref="BQ134:BQ197" si="323">BQ133+BO134</f>
        <v>27375</v>
      </c>
      <c r="BR134" s="406">
        <f t="shared" ref="BR134:BR197" si="324">BQ134*1000/C134</f>
        <v>0.43865477471836478</v>
      </c>
      <c r="BS134" s="512"/>
      <c r="BT134" s="409">
        <v>1905</v>
      </c>
      <c r="BU134" s="43">
        <v>1000</v>
      </c>
      <c r="BV134" s="43">
        <f t="shared" si="245"/>
        <v>2645</v>
      </c>
      <c r="BW134" s="43">
        <f t="shared" si="246"/>
        <v>260</v>
      </c>
      <c r="BX134" s="42">
        <f t="shared" ref="BX134:BX197" si="325">BW134*1000/B134</f>
        <v>0.4153056090217157</v>
      </c>
      <c r="BY134" s="43">
        <f t="shared" si="247"/>
        <v>11792</v>
      </c>
      <c r="BZ134" s="42">
        <f t="shared" ref="BZ134:BZ197" si="326">BY134*1000/C134</f>
        <v>0.18895404944215372</v>
      </c>
      <c r="CA134" s="514"/>
      <c r="CB134" s="392">
        <v>2082</v>
      </c>
      <c r="CC134" s="298"/>
      <c r="CD134" s="298">
        <f t="shared" si="282"/>
        <v>1449</v>
      </c>
      <c r="CE134" s="298">
        <f t="shared" si="264"/>
        <v>633</v>
      </c>
      <c r="CF134" s="297">
        <f t="shared" ref="CF134:CF197" si="327">CE134*1000/B134</f>
        <v>1.0111094250413308</v>
      </c>
      <c r="CG134" s="298">
        <f t="shared" ref="CG134:CG197" si="328">CE134+CG133</f>
        <v>51651</v>
      </c>
      <c r="CH134" s="297">
        <f t="shared" ref="CH134:CH197" si="329">CG134*1000/C134</f>
        <v>0.82765142535080405</v>
      </c>
      <c r="CI134" s="516"/>
      <c r="CJ134" s="659">
        <v>150</v>
      </c>
      <c r="CK134" s="651">
        <v>2000</v>
      </c>
      <c r="CL134" s="657">
        <f t="shared" si="252"/>
        <v>1575</v>
      </c>
      <c r="CM134" s="657">
        <f t="shared" si="253"/>
        <v>575</v>
      </c>
      <c r="CN134" s="659">
        <f t="shared" si="254"/>
        <v>12925</v>
      </c>
      <c r="CO134" s="464">
        <v>0</v>
      </c>
      <c r="CP134" s="465"/>
      <c r="CQ134" s="465">
        <f t="shared" si="283"/>
        <v>0</v>
      </c>
      <c r="CR134" s="465">
        <f t="shared" si="265"/>
        <v>0</v>
      </c>
      <c r="CS134" s="486">
        <f t="shared" ref="CS134:CS197" si="330">CR134*1000/B134</f>
        <v>0</v>
      </c>
      <c r="CT134" s="465">
        <f t="shared" ref="CT134:CT197" si="331">CR134+CT133</f>
        <v>1399</v>
      </c>
      <c r="CU134" s="486">
        <f t="shared" ref="CU134:CU197" si="332">CT134*1000/C134</f>
        <v>2.2417462276931227E-2</v>
      </c>
      <c r="CV134" s="518"/>
      <c r="CW134" s="427">
        <v>5</v>
      </c>
      <c r="CX134" s="427"/>
      <c r="CY134" s="427">
        <f t="shared" ref="CY134:CY197" si="333">CW135</f>
        <v>5</v>
      </c>
      <c r="CZ134" s="427">
        <f t="shared" ref="CZ134:CZ197" si="334">CW134+CX134-CY134</f>
        <v>0</v>
      </c>
      <c r="DA134" s="607">
        <f t="shared" si="244"/>
        <v>0</v>
      </c>
      <c r="DB134" s="607">
        <f t="shared" ref="DB134:DB197" si="335">CZ134+DB133</f>
        <v>110</v>
      </c>
      <c r="DC134" s="607">
        <f t="shared" si="284"/>
        <v>1.7626310582290459E-3</v>
      </c>
      <c r="DD134" s="609"/>
      <c r="DE134" s="471">
        <v>19</v>
      </c>
      <c r="DF134" s="473"/>
      <c r="DG134" s="473">
        <f t="shared" si="285"/>
        <v>19</v>
      </c>
      <c r="DH134" s="473">
        <f t="shared" si="266"/>
        <v>0</v>
      </c>
      <c r="DI134" s="227">
        <f t="shared" ref="DI134:DI197" si="336">DH134*1000/B134</f>
        <v>0</v>
      </c>
      <c r="DJ134" s="473">
        <f t="shared" ref="DJ134:DJ197" si="337">DH134+DJ133</f>
        <v>80.2</v>
      </c>
      <c r="DK134" s="227">
        <f t="shared" ref="DK134:DK197" si="338">DJ134*1000/C134</f>
        <v>1.2851182806360862E-3</v>
      </c>
      <c r="DL134" s="510"/>
      <c r="DM134" s="63">
        <v>1920</v>
      </c>
      <c r="DN134" s="64"/>
      <c r="DO134" s="66">
        <f t="shared" ref="DO134:DO197" si="339">DM135</f>
        <v>1830</v>
      </c>
      <c r="DP134" s="66">
        <f t="shared" si="267"/>
        <v>90</v>
      </c>
      <c r="DQ134" s="412">
        <f t="shared" ref="DQ134:DQ197" si="340">DP134*1000/B134</f>
        <v>0.14375963389213237</v>
      </c>
      <c r="DR134" s="66">
        <f t="shared" ref="DR134:DR197" si="341">DR133+DP134</f>
        <v>15170</v>
      </c>
      <c r="DS134" s="412">
        <f t="shared" ref="DS134:DS197" si="342">DR134*1000/C134</f>
        <v>0.2430828468484966</v>
      </c>
      <c r="DT134" s="506"/>
      <c r="DU134" s="596">
        <v>0</v>
      </c>
      <c r="DV134" s="596"/>
      <c r="DW134" s="596">
        <f t="shared" si="286"/>
        <v>0</v>
      </c>
      <c r="DX134" s="596">
        <f t="shared" si="268"/>
        <v>0</v>
      </c>
      <c r="DY134" s="592">
        <f t="shared" si="287"/>
        <v>0</v>
      </c>
      <c r="DZ134" s="596">
        <f t="shared" ref="DZ134:DZ197" si="343">DZ133+DX134</f>
        <v>2800</v>
      </c>
      <c r="EA134" s="592">
        <f t="shared" si="288"/>
        <v>4.4866972391284801E-2</v>
      </c>
      <c r="EB134" s="594"/>
      <c r="EC134" s="448">
        <v>165</v>
      </c>
      <c r="ED134" s="449"/>
      <c r="EE134" s="449">
        <f t="shared" si="289"/>
        <v>165</v>
      </c>
      <c r="EF134" s="449">
        <f t="shared" si="269"/>
        <v>0</v>
      </c>
      <c r="EG134" s="450">
        <f t="shared" si="242"/>
        <v>0</v>
      </c>
      <c r="EH134" s="449">
        <f t="shared" ref="EH134:EH197" si="344">EF134+EH133</f>
        <v>480</v>
      </c>
      <c r="EI134" s="450">
        <f t="shared" si="243"/>
        <v>7.6914809813631085E-3</v>
      </c>
      <c r="EJ134" s="520"/>
      <c r="EK134" s="426">
        <v>3463</v>
      </c>
      <c r="EL134" s="427"/>
      <c r="EM134" s="427">
        <f t="shared" si="290"/>
        <v>3250</v>
      </c>
      <c r="EN134" s="427">
        <f t="shared" si="270"/>
        <v>213</v>
      </c>
      <c r="EO134" s="427">
        <f t="shared" si="291"/>
        <v>60872</v>
      </c>
      <c r="EP134" s="456">
        <v>135</v>
      </c>
      <c r="EQ134" s="457"/>
      <c r="ER134" s="457">
        <f t="shared" si="292"/>
        <v>73</v>
      </c>
      <c r="ES134" s="457">
        <f t="shared" si="271"/>
        <v>62</v>
      </c>
      <c r="ET134" s="457">
        <f t="shared" si="293"/>
        <v>1420</v>
      </c>
      <c r="EU134" s="409">
        <v>0</v>
      </c>
      <c r="EV134" s="43"/>
      <c r="EW134" s="43">
        <f t="shared" si="294"/>
        <v>0</v>
      </c>
      <c r="EX134" s="43">
        <f t="shared" si="272"/>
        <v>0</v>
      </c>
      <c r="EY134" s="43">
        <f t="shared" si="295"/>
        <v>740</v>
      </c>
      <c r="EZ134" s="436">
        <v>110</v>
      </c>
      <c r="FA134" s="437"/>
      <c r="FB134" s="437">
        <f t="shared" si="296"/>
        <v>109</v>
      </c>
      <c r="FC134" s="437">
        <f t="shared" si="273"/>
        <v>1</v>
      </c>
      <c r="FD134" s="437">
        <f t="shared" si="297"/>
        <v>781</v>
      </c>
      <c r="FE134" s="442">
        <v>150</v>
      </c>
      <c r="FF134" s="443"/>
      <c r="FG134" s="443">
        <f t="shared" si="298"/>
        <v>124</v>
      </c>
      <c r="FH134" s="443">
        <f t="shared" si="274"/>
        <v>26</v>
      </c>
      <c r="FI134" s="443">
        <f t="shared" si="299"/>
        <v>876</v>
      </c>
      <c r="FJ134" s="392">
        <v>970</v>
      </c>
      <c r="FK134" s="298"/>
      <c r="FL134" s="298">
        <f t="shared" si="300"/>
        <v>930</v>
      </c>
      <c r="FM134" s="298">
        <f t="shared" si="275"/>
        <v>40</v>
      </c>
      <c r="FN134" s="498">
        <f t="shared" si="301"/>
        <v>1970</v>
      </c>
      <c r="HC134" s="402"/>
      <c r="HD134" s="52"/>
      <c r="HE134" s="52">
        <f t="shared" si="302"/>
        <v>0</v>
      </c>
      <c r="HF134" s="52">
        <f t="shared" si="276"/>
        <v>0</v>
      </c>
      <c r="HG134" s="51"/>
      <c r="HH134" s="52">
        <f t="shared" ref="HH134:HH197" si="345">HF134+HH133</f>
        <v>400</v>
      </c>
      <c r="HI134" s="51"/>
      <c r="HJ134" s="1047"/>
    </row>
    <row r="135" spans="1:218">
      <c r="A135" s="807">
        <v>44798</v>
      </c>
      <c r="B135" s="390">
        <v>661761</v>
      </c>
      <c r="C135" s="18">
        <f t="shared" si="256"/>
        <v>63068468</v>
      </c>
      <c r="D135" s="376">
        <v>7697.54</v>
      </c>
      <c r="E135" s="417">
        <f t="shared" si="255"/>
        <v>815195.47999999986</v>
      </c>
      <c r="F135" s="397">
        <v>41340</v>
      </c>
      <c r="G135" s="37"/>
      <c r="H135" s="37">
        <f t="shared" si="277"/>
        <v>38568</v>
      </c>
      <c r="I135" s="37">
        <f t="shared" si="257"/>
        <v>2772</v>
      </c>
      <c r="J135" s="37">
        <f t="shared" si="258"/>
        <v>360.11504974316472</v>
      </c>
      <c r="K135" s="37">
        <f t="shared" si="303"/>
        <v>375799</v>
      </c>
      <c r="L135" s="37">
        <f t="shared" si="259"/>
        <v>460.9924971615398</v>
      </c>
      <c r="M135" s="648"/>
      <c r="N135" s="422">
        <v>275</v>
      </c>
      <c r="O135" s="423"/>
      <c r="P135" s="423">
        <f t="shared" si="304"/>
        <v>175</v>
      </c>
      <c r="Q135" s="423">
        <f t="shared" si="305"/>
        <v>100</v>
      </c>
      <c r="R135" s="423">
        <f t="shared" si="306"/>
        <v>10050</v>
      </c>
      <c r="S135" s="68">
        <v>6.62</v>
      </c>
      <c r="T135" s="67">
        <v>24</v>
      </c>
      <c r="U135" s="68">
        <f t="shared" si="307"/>
        <v>79.44</v>
      </c>
      <c r="V135" s="68">
        <f t="shared" si="260"/>
        <v>10.320180213418833</v>
      </c>
      <c r="W135" s="423">
        <f t="shared" si="308"/>
        <v>9860.7840000000033</v>
      </c>
      <c r="X135" s="68">
        <f t="shared" si="261"/>
        <v>12.096220160592654</v>
      </c>
      <c r="Y135" s="500"/>
      <c r="Z135" s="424">
        <v>100</v>
      </c>
      <c r="AA135" s="425"/>
      <c r="AB135" s="425">
        <f t="shared" si="309"/>
        <v>75</v>
      </c>
      <c r="AC135" s="425">
        <f t="shared" si="310"/>
        <v>25</v>
      </c>
      <c r="AD135" s="425">
        <f t="shared" si="311"/>
        <v>1625</v>
      </c>
      <c r="AE135" s="72">
        <v>2.4900000000000002</v>
      </c>
      <c r="AF135" s="71">
        <v>12</v>
      </c>
      <c r="AG135" s="72">
        <f t="shared" si="312"/>
        <v>14.940000000000001</v>
      </c>
      <c r="AH135" s="72">
        <f t="shared" si="278"/>
        <v>1.940879813550823</v>
      </c>
      <c r="AI135" s="425">
        <f t="shared" si="313"/>
        <v>1513.6320000000005</v>
      </c>
      <c r="AJ135" s="72">
        <f t="shared" ref="AJ135:AJ198" si="346">AI135*1000/E135</f>
        <v>1.8567718260655723</v>
      </c>
      <c r="AK135" s="502"/>
      <c r="AL135" s="491">
        <v>30836</v>
      </c>
      <c r="AM135" s="491"/>
      <c r="AN135" s="492">
        <f t="shared" si="248"/>
        <v>30836</v>
      </c>
      <c r="AO135" s="492">
        <f t="shared" si="249"/>
        <v>0</v>
      </c>
      <c r="AP135" s="492">
        <f t="shared" si="250"/>
        <v>52737</v>
      </c>
      <c r="AQ135" s="493">
        <f t="shared" si="279"/>
        <v>64.692458795281851</v>
      </c>
      <c r="AR135" s="504"/>
      <c r="AS135" s="413">
        <v>19378</v>
      </c>
      <c r="AT135" s="64"/>
      <c r="AU135" s="66">
        <f t="shared" si="314"/>
        <v>14382</v>
      </c>
      <c r="AV135" s="66">
        <f t="shared" si="262"/>
        <v>4996</v>
      </c>
      <c r="AW135" s="412">
        <f t="shared" si="315"/>
        <v>7.5495533886100876</v>
      </c>
      <c r="AX135" s="66">
        <f t="shared" si="316"/>
        <v>140753</v>
      </c>
      <c r="AY135" s="412">
        <f t="shared" si="317"/>
        <v>2.2317491523656479</v>
      </c>
      <c r="AZ135" s="506"/>
      <c r="BA135" s="419">
        <v>0</v>
      </c>
      <c r="BB135" s="419"/>
      <c r="BC135" s="407"/>
      <c r="BD135" s="419">
        <f t="shared" si="280"/>
        <v>0</v>
      </c>
      <c r="BE135" s="419">
        <f t="shared" si="281"/>
        <v>0</v>
      </c>
      <c r="BF135" s="407">
        <f t="shared" si="318"/>
        <v>0</v>
      </c>
      <c r="BG135" s="419">
        <f t="shared" si="251"/>
        <v>45495</v>
      </c>
      <c r="BH135" s="407">
        <f t="shared" si="319"/>
        <v>0.72135888888247612</v>
      </c>
      <c r="BI135" s="407">
        <f t="shared" si="320"/>
        <v>8.8329659863160354E-2</v>
      </c>
      <c r="BJ135" s="508"/>
      <c r="BK135" s="510"/>
      <c r="BL135" s="49">
        <v>1325</v>
      </c>
      <c r="BM135" s="50"/>
      <c r="BN135" s="52">
        <f t="shared" si="321"/>
        <v>697</v>
      </c>
      <c r="BO135" s="52">
        <f t="shared" si="263"/>
        <v>628</v>
      </c>
      <c r="BP135" s="406">
        <f t="shared" si="322"/>
        <v>0.94898309208309339</v>
      </c>
      <c r="BQ135" s="52">
        <f t="shared" si="323"/>
        <v>28003</v>
      </c>
      <c r="BR135" s="406">
        <f t="shared" si="324"/>
        <v>0.44400951676834771</v>
      </c>
      <c r="BS135" s="512"/>
      <c r="BT135" s="409">
        <v>2645</v>
      </c>
      <c r="BU135" s="43"/>
      <c r="BV135" s="43">
        <f t="shared" si="245"/>
        <v>2433</v>
      </c>
      <c r="BW135" s="43">
        <f t="shared" si="246"/>
        <v>212</v>
      </c>
      <c r="BX135" s="42">
        <f t="shared" si="325"/>
        <v>0.32035734955671308</v>
      </c>
      <c r="BY135" s="43">
        <f t="shared" si="247"/>
        <v>12004</v>
      </c>
      <c r="BZ135" s="42">
        <f t="shared" si="326"/>
        <v>0.19033283002847001</v>
      </c>
      <c r="CA135" s="514"/>
      <c r="CB135" s="392">
        <v>1449</v>
      </c>
      <c r="CC135" s="298"/>
      <c r="CD135" s="298">
        <f t="shared" si="282"/>
        <v>1208</v>
      </c>
      <c r="CE135" s="298">
        <f t="shared" si="264"/>
        <v>241</v>
      </c>
      <c r="CF135" s="297">
        <f t="shared" si="327"/>
        <v>0.36417981718475401</v>
      </c>
      <c r="CG135" s="298">
        <f t="shared" si="328"/>
        <v>51892</v>
      </c>
      <c r="CH135" s="297">
        <f t="shared" si="329"/>
        <v>0.82278833854026712</v>
      </c>
      <c r="CI135" s="516"/>
      <c r="CJ135" s="659">
        <v>1575</v>
      </c>
      <c r="CK135" s="651"/>
      <c r="CL135" s="657">
        <f t="shared" si="252"/>
        <v>950</v>
      </c>
      <c r="CM135" s="657">
        <f t="shared" si="253"/>
        <v>625</v>
      </c>
      <c r="CN135" s="659">
        <f t="shared" si="254"/>
        <v>13550</v>
      </c>
      <c r="CO135" s="464">
        <v>0</v>
      </c>
      <c r="CP135" s="465">
        <v>60</v>
      </c>
      <c r="CQ135" s="465">
        <f t="shared" si="283"/>
        <v>60</v>
      </c>
      <c r="CR135" s="465">
        <f t="shared" si="265"/>
        <v>0</v>
      </c>
      <c r="CS135" s="486">
        <f t="shared" si="330"/>
        <v>0</v>
      </c>
      <c r="CT135" s="465">
        <f t="shared" si="331"/>
        <v>1399</v>
      </c>
      <c r="CU135" s="486">
        <f t="shared" si="332"/>
        <v>2.2182241686923489E-2</v>
      </c>
      <c r="CV135" s="518"/>
      <c r="CW135" s="427">
        <v>5</v>
      </c>
      <c r="CX135" s="427"/>
      <c r="CY135" s="427">
        <f t="shared" si="333"/>
        <v>5</v>
      </c>
      <c r="CZ135" s="427">
        <f t="shared" si="334"/>
        <v>0</v>
      </c>
      <c r="DA135" s="607">
        <f t="shared" si="244"/>
        <v>0</v>
      </c>
      <c r="DB135" s="607">
        <f t="shared" si="335"/>
        <v>110</v>
      </c>
      <c r="DC135" s="607">
        <f t="shared" si="284"/>
        <v>1.7441362298510248E-3</v>
      </c>
      <c r="DD135" s="609"/>
      <c r="DE135" s="471">
        <v>19</v>
      </c>
      <c r="DF135" s="473"/>
      <c r="DG135" s="473">
        <f t="shared" si="285"/>
        <v>19</v>
      </c>
      <c r="DH135" s="473">
        <f t="shared" si="266"/>
        <v>0</v>
      </c>
      <c r="DI135" s="227">
        <f t="shared" si="336"/>
        <v>0</v>
      </c>
      <c r="DJ135" s="473">
        <f t="shared" si="337"/>
        <v>80.2</v>
      </c>
      <c r="DK135" s="227">
        <f t="shared" si="338"/>
        <v>1.2716338694004745E-3</v>
      </c>
      <c r="DL135" s="510"/>
      <c r="DM135" s="63">
        <v>1830</v>
      </c>
      <c r="DN135" s="64"/>
      <c r="DO135" s="66">
        <f t="shared" si="339"/>
        <v>1740</v>
      </c>
      <c r="DP135" s="66">
        <f t="shared" si="267"/>
        <v>90</v>
      </c>
      <c r="DQ135" s="412">
        <f t="shared" si="340"/>
        <v>0.136000761604265</v>
      </c>
      <c r="DR135" s="66">
        <f t="shared" si="341"/>
        <v>15260</v>
      </c>
      <c r="DS135" s="412">
        <f t="shared" si="342"/>
        <v>0.24195926243206034</v>
      </c>
      <c r="DT135" s="506"/>
      <c r="DU135" s="596">
        <v>0</v>
      </c>
      <c r="DV135" s="596"/>
      <c r="DW135" s="596">
        <f t="shared" si="286"/>
        <v>0</v>
      </c>
      <c r="DX135" s="596">
        <f t="shared" si="268"/>
        <v>0</v>
      </c>
      <c r="DY135" s="592">
        <f t="shared" si="287"/>
        <v>0</v>
      </c>
      <c r="DZ135" s="596">
        <f t="shared" si="343"/>
        <v>2800</v>
      </c>
      <c r="EA135" s="592">
        <f t="shared" si="288"/>
        <v>4.4396194941662449E-2</v>
      </c>
      <c r="EB135" s="594"/>
      <c r="EC135" s="448">
        <v>165</v>
      </c>
      <c r="ED135" s="449"/>
      <c r="EE135" s="449">
        <f t="shared" si="289"/>
        <v>110</v>
      </c>
      <c r="EF135" s="449">
        <f t="shared" si="269"/>
        <v>55</v>
      </c>
      <c r="EG135" s="450">
        <f t="shared" ref="EG135:EG198" si="347">EF135*1000/B135</f>
        <v>8.3111576535939716E-2</v>
      </c>
      <c r="EH135" s="449">
        <f t="shared" si="344"/>
        <v>535</v>
      </c>
      <c r="EI135" s="450">
        <f t="shared" ref="EI135:EI198" si="348">EH135*1000/C135</f>
        <v>8.4828443906390747E-3</v>
      </c>
      <c r="EJ135" s="520"/>
      <c r="EK135" s="426">
        <v>3250</v>
      </c>
      <c r="EL135" s="427"/>
      <c r="EM135" s="427">
        <f t="shared" si="290"/>
        <v>3050</v>
      </c>
      <c r="EN135" s="427">
        <f t="shared" si="270"/>
        <v>200</v>
      </c>
      <c r="EO135" s="427">
        <f t="shared" si="291"/>
        <v>61072</v>
      </c>
      <c r="EP135" s="456">
        <v>73</v>
      </c>
      <c r="EQ135" s="457"/>
      <c r="ER135" s="457">
        <f t="shared" si="292"/>
        <v>59</v>
      </c>
      <c r="ES135" s="457">
        <f t="shared" si="271"/>
        <v>14</v>
      </c>
      <c r="ET135" s="457">
        <f t="shared" si="293"/>
        <v>1434</v>
      </c>
      <c r="EU135" s="409">
        <v>0</v>
      </c>
      <c r="EV135" s="43"/>
      <c r="EW135" s="43">
        <f t="shared" si="294"/>
        <v>0</v>
      </c>
      <c r="EX135" s="43">
        <f t="shared" si="272"/>
        <v>0</v>
      </c>
      <c r="EY135" s="43">
        <f t="shared" si="295"/>
        <v>740</v>
      </c>
      <c r="EZ135" s="436">
        <v>109</v>
      </c>
      <c r="FA135" s="437"/>
      <c r="FB135" s="437">
        <f t="shared" si="296"/>
        <v>98</v>
      </c>
      <c r="FC135" s="437">
        <f t="shared" si="273"/>
        <v>11</v>
      </c>
      <c r="FD135" s="437">
        <f t="shared" si="297"/>
        <v>792</v>
      </c>
      <c r="FE135" s="442">
        <v>124</v>
      </c>
      <c r="FF135" s="443"/>
      <c r="FG135" s="443">
        <f t="shared" si="298"/>
        <v>124</v>
      </c>
      <c r="FH135" s="443">
        <f t="shared" si="274"/>
        <v>0</v>
      </c>
      <c r="FI135" s="443">
        <f t="shared" si="299"/>
        <v>876</v>
      </c>
      <c r="FJ135" s="392">
        <v>930</v>
      </c>
      <c r="FK135" s="298"/>
      <c r="FL135" s="298">
        <f t="shared" si="300"/>
        <v>900</v>
      </c>
      <c r="FM135" s="298">
        <f t="shared" si="275"/>
        <v>30</v>
      </c>
      <c r="FN135" s="498">
        <f t="shared" si="301"/>
        <v>2000</v>
      </c>
      <c r="HC135" s="402"/>
      <c r="HD135" s="52"/>
      <c r="HE135" s="52">
        <f t="shared" si="302"/>
        <v>0</v>
      </c>
      <c r="HF135" s="52">
        <f t="shared" si="276"/>
        <v>0</v>
      </c>
      <c r="HG135" s="51"/>
      <c r="HH135" s="52">
        <f t="shared" si="345"/>
        <v>400</v>
      </c>
      <c r="HI135" s="51"/>
      <c r="HJ135" s="1047"/>
    </row>
    <row r="136" spans="1:218">
      <c r="A136" s="807">
        <v>44799</v>
      </c>
      <c r="B136" s="390">
        <v>676447</v>
      </c>
      <c r="C136" s="18">
        <f t="shared" si="256"/>
        <v>63744915</v>
      </c>
      <c r="D136" s="376">
        <v>7615.92</v>
      </c>
      <c r="E136" s="417">
        <f t="shared" si="255"/>
        <v>822811.39999999991</v>
      </c>
      <c r="F136" s="397">
        <v>38568</v>
      </c>
      <c r="G136" s="37"/>
      <c r="H136" s="37">
        <f t="shared" si="277"/>
        <v>36719</v>
      </c>
      <c r="I136" s="37">
        <f t="shared" si="257"/>
        <v>1849</v>
      </c>
      <c r="J136" s="37">
        <f t="shared" si="258"/>
        <v>242.78091156419711</v>
      </c>
      <c r="K136" s="37">
        <f t="shared" si="303"/>
        <v>377648</v>
      </c>
      <c r="L136" s="37">
        <f t="shared" si="259"/>
        <v>458.97273664414473</v>
      </c>
      <c r="M136" s="648"/>
      <c r="N136" s="422">
        <v>175</v>
      </c>
      <c r="O136" s="423">
        <v>150</v>
      </c>
      <c r="P136" s="423">
        <f t="shared" si="304"/>
        <v>225</v>
      </c>
      <c r="Q136" s="423">
        <f t="shared" si="305"/>
        <v>100</v>
      </c>
      <c r="R136" s="423">
        <f t="shared" si="306"/>
        <v>10150</v>
      </c>
      <c r="S136" s="68">
        <v>6.49</v>
      </c>
      <c r="T136" s="67">
        <v>24</v>
      </c>
      <c r="U136" s="68">
        <f t="shared" si="307"/>
        <v>77.88</v>
      </c>
      <c r="V136" s="68">
        <f t="shared" si="260"/>
        <v>10.225947751552011</v>
      </c>
      <c r="W136" s="423">
        <f t="shared" si="308"/>
        <v>9938.6640000000025</v>
      </c>
      <c r="X136" s="68">
        <f t="shared" si="261"/>
        <v>12.078908969904893</v>
      </c>
      <c r="Y136" s="500"/>
      <c r="Z136" s="424">
        <v>75</v>
      </c>
      <c r="AA136" s="425"/>
      <c r="AB136" s="425">
        <f t="shared" si="309"/>
        <v>50</v>
      </c>
      <c r="AC136" s="425">
        <f t="shared" si="310"/>
        <v>25</v>
      </c>
      <c r="AD136" s="425">
        <f t="shared" si="311"/>
        <v>1650</v>
      </c>
      <c r="AE136" s="72">
        <v>2.4500000000000002</v>
      </c>
      <c r="AF136" s="71">
        <v>12</v>
      </c>
      <c r="AG136" s="72">
        <f t="shared" si="312"/>
        <v>14.700000000000001</v>
      </c>
      <c r="AH136" s="72">
        <f t="shared" si="278"/>
        <v>1.9301673336904801</v>
      </c>
      <c r="AI136" s="425">
        <f t="shared" si="313"/>
        <v>1528.3320000000006</v>
      </c>
      <c r="AJ136" s="72">
        <f t="shared" si="346"/>
        <v>1.8574511728933272</v>
      </c>
      <c r="AK136" s="502"/>
      <c r="AL136" s="491">
        <v>30836</v>
      </c>
      <c r="AM136" s="491"/>
      <c r="AN136" s="492">
        <f t="shared" si="248"/>
        <v>30836</v>
      </c>
      <c r="AO136" s="492">
        <f t="shared" si="249"/>
        <v>0</v>
      </c>
      <c r="AP136" s="492">
        <f t="shared" si="250"/>
        <v>52737</v>
      </c>
      <c r="AQ136" s="493">
        <f t="shared" si="279"/>
        <v>64.093667151427425</v>
      </c>
      <c r="AR136" s="504"/>
      <c r="AS136" s="413">
        <v>14382</v>
      </c>
      <c r="AT136" s="64"/>
      <c r="AU136" s="66">
        <f t="shared" si="314"/>
        <v>9306</v>
      </c>
      <c r="AV136" s="66">
        <f t="shared" si="262"/>
        <v>5076</v>
      </c>
      <c r="AW136" s="412">
        <f t="shared" si="315"/>
        <v>7.5039138321257983</v>
      </c>
      <c r="AX136" s="66">
        <f t="shared" si="316"/>
        <v>145829</v>
      </c>
      <c r="AY136" s="412">
        <f t="shared" si="317"/>
        <v>2.2876962029049688</v>
      </c>
      <c r="AZ136" s="506"/>
      <c r="BA136" s="419">
        <v>0</v>
      </c>
      <c r="BB136" s="419">
        <v>18590</v>
      </c>
      <c r="BC136" s="407"/>
      <c r="BD136" s="419">
        <f t="shared" si="280"/>
        <v>18590</v>
      </c>
      <c r="BE136" s="419">
        <f>BA136+BB136-BD136</f>
        <v>0</v>
      </c>
      <c r="BF136" s="407">
        <f t="shared" si="318"/>
        <v>0</v>
      </c>
      <c r="BG136" s="419">
        <f t="shared" si="251"/>
        <v>45495</v>
      </c>
      <c r="BH136" s="407">
        <f t="shared" si="319"/>
        <v>0.71370398721215644</v>
      </c>
      <c r="BI136" s="407">
        <f t="shared" si="320"/>
        <v>8.7392324964753854E-2</v>
      </c>
      <c r="BJ136" s="508"/>
      <c r="BK136" s="510"/>
      <c r="BL136" s="49">
        <v>697</v>
      </c>
      <c r="BM136" s="50">
        <v>900</v>
      </c>
      <c r="BN136" s="52">
        <f t="shared" si="321"/>
        <v>1142</v>
      </c>
      <c r="BO136" s="52">
        <f t="shared" si="263"/>
        <v>455</v>
      </c>
      <c r="BP136" s="406">
        <f t="shared" si="322"/>
        <v>0.67263215004279719</v>
      </c>
      <c r="BQ136" s="52">
        <f t="shared" si="323"/>
        <v>28458</v>
      </c>
      <c r="BR136" s="406">
        <f t="shared" si="324"/>
        <v>0.44643560980511149</v>
      </c>
      <c r="BS136" s="512"/>
      <c r="BT136" s="409">
        <v>2433</v>
      </c>
      <c r="BU136" s="43">
        <v>1000</v>
      </c>
      <c r="BV136" s="43">
        <f t="shared" si="245"/>
        <v>3042</v>
      </c>
      <c r="BW136" s="43">
        <f t="shared" si="246"/>
        <v>391</v>
      </c>
      <c r="BX136" s="42">
        <f t="shared" si="325"/>
        <v>0.57802015531150264</v>
      </c>
      <c r="BY136" s="43">
        <f t="shared" si="247"/>
        <v>12395</v>
      </c>
      <c r="BZ136" s="42">
        <f t="shared" si="326"/>
        <v>0.19444688254741574</v>
      </c>
      <c r="CA136" s="514"/>
      <c r="CB136" s="392">
        <v>1208</v>
      </c>
      <c r="CC136" s="298">
        <v>2500</v>
      </c>
      <c r="CD136" s="298">
        <f t="shared" si="282"/>
        <v>3132</v>
      </c>
      <c r="CE136" s="298">
        <f t="shared" si="264"/>
        <v>576</v>
      </c>
      <c r="CF136" s="297">
        <f t="shared" si="327"/>
        <v>0.85150795258165091</v>
      </c>
      <c r="CG136" s="298">
        <f t="shared" si="328"/>
        <v>52468</v>
      </c>
      <c r="CH136" s="297">
        <f t="shared" si="329"/>
        <v>0.82309310475980713</v>
      </c>
      <c r="CI136" s="516"/>
      <c r="CJ136" s="659">
        <v>950</v>
      </c>
      <c r="CK136" s="651">
        <v>2000</v>
      </c>
      <c r="CL136" s="657">
        <f t="shared" si="252"/>
        <v>1800</v>
      </c>
      <c r="CM136" s="657">
        <f t="shared" si="253"/>
        <v>1150</v>
      </c>
      <c r="CN136" s="659">
        <f t="shared" si="254"/>
        <v>14700</v>
      </c>
      <c r="CO136" s="464">
        <v>60</v>
      </c>
      <c r="CP136" s="465"/>
      <c r="CQ136" s="465">
        <f t="shared" si="283"/>
        <v>60</v>
      </c>
      <c r="CR136" s="465">
        <f t="shared" si="265"/>
        <v>0</v>
      </c>
      <c r="CS136" s="486">
        <f t="shared" si="330"/>
        <v>0</v>
      </c>
      <c r="CT136" s="465">
        <f t="shared" si="331"/>
        <v>1399</v>
      </c>
      <c r="CU136" s="486">
        <f t="shared" si="332"/>
        <v>2.1946848623141155E-2</v>
      </c>
      <c r="CV136" s="518"/>
      <c r="CW136" s="427">
        <v>5</v>
      </c>
      <c r="CX136" s="427"/>
      <c r="CY136" s="427">
        <f t="shared" si="333"/>
        <v>5</v>
      </c>
      <c r="CZ136" s="427">
        <f t="shared" si="334"/>
        <v>0</v>
      </c>
      <c r="DA136" s="607">
        <f t="shared" si="244"/>
        <v>0</v>
      </c>
      <c r="DB136" s="607">
        <f t="shared" si="335"/>
        <v>110</v>
      </c>
      <c r="DC136" s="607">
        <f t="shared" si="284"/>
        <v>1.7256278402755733E-3</v>
      </c>
      <c r="DD136" s="609"/>
      <c r="DE136" s="471">
        <v>19</v>
      </c>
      <c r="DF136" s="473"/>
      <c r="DG136" s="473">
        <f t="shared" si="285"/>
        <v>19</v>
      </c>
      <c r="DH136" s="473">
        <f t="shared" si="266"/>
        <v>0</v>
      </c>
      <c r="DI136" s="227">
        <f t="shared" si="336"/>
        <v>0</v>
      </c>
      <c r="DJ136" s="473">
        <f t="shared" si="337"/>
        <v>80.2</v>
      </c>
      <c r="DK136" s="227">
        <f t="shared" si="338"/>
        <v>1.2581395708190998E-3</v>
      </c>
      <c r="DL136" s="510"/>
      <c r="DM136" s="63">
        <v>1740</v>
      </c>
      <c r="DN136" s="64"/>
      <c r="DO136" s="66">
        <f t="shared" si="339"/>
        <v>1640</v>
      </c>
      <c r="DP136" s="66">
        <f t="shared" si="267"/>
        <v>100</v>
      </c>
      <c r="DQ136" s="412">
        <f t="shared" si="340"/>
        <v>0.14783124176764773</v>
      </c>
      <c r="DR136" s="66">
        <f t="shared" si="341"/>
        <v>15360</v>
      </c>
      <c r="DS136" s="412">
        <f t="shared" si="342"/>
        <v>0.24096039660575277</v>
      </c>
      <c r="DT136" s="506"/>
      <c r="DU136" s="596">
        <v>0</v>
      </c>
      <c r="DV136" s="596"/>
      <c r="DW136" s="596">
        <f t="shared" si="286"/>
        <v>0</v>
      </c>
      <c r="DX136" s="596">
        <f t="shared" si="268"/>
        <v>0</v>
      </c>
      <c r="DY136" s="592">
        <f t="shared" si="287"/>
        <v>0</v>
      </c>
      <c r="DZ136" s="596">
        <f t="shared" si="343"/>
        <v>2800</v>
      </c>
      <c r="EA136" s="592">
        <f t="shared" si="288"/>
        <v>4.3925072297923688E-2</v>
      </c>
      <c r="EB136" s="594"/>
      <c r="EC136" s="448">
        <v>110</v>
      </c>
      <c r="ED136" s="449">
        <v>110</v>
      </c>
      <c r="EE136" s="449">
        <f t="shared" si="289"/>
        <v>165</v>
      </c>
      <c r="EF136" s="449">
        <f t="shared" si="269"/>
        <v>55</v>
      </c>
      <c r="EG136" s="450">
        <f t="shared" si="347"/>
        <v>8.1307182972206252E-2</v>
      </c>
      <c r="EH136" s="449">
        <f t="shared" si="344"/>
        <v>590</v>
      </c>
      <c r="EI136" s="450">
        <f t="shared" si="348"/>
        <v>9.2556402342053486E-3</v>
      </c>
      <c r="EJ136" s="520"/>
      <c r="EK136" s="426">
        <v>3050</v>
      </c>
      <c r="EL136" s="427">
        <v>1250</v>
      </c>
      <c r="EM136" s="427">
        <f t="shared" si="290"/>
        <v>3963</v>
      </c>
      <c r="EN136" s="427">
        <f t="shared" si="270"/>
        <v>337</v>
      </c>
      <c r="EO136" s="427">
        <f t="shared" si="291"/>
        <v>61409</v>
      </c>
      <c r="EP136" s="456">
        <v>59</v>
      </c>
      <c r="EQ136" s="457">
        <v>90</v>
      </c>
      <c r="ER136" s="457">
        <f t="shared" si="292"/>
        <v>90</v>
      </c>
      <c r="ES136" s="457">
        <f t="shared" si="271"/>
        <v>59</v>
      </c>
      <c r="ET136" s="457">
        <f t="shared" si="293"/>
        <v>1493</v>
      </c>
      <c r="EU136" s="409">
        <v>0</v>
      </c>
      <c r="EV136" s="43"/>
      <c r="EW136" s="43">
        <f t="shared" si="294"/>
        <v>0</v>
      </c>
      <c r="EX136" s="43">
        <f t="shared" si="272"/>
        <v>0</v>
      </c>
      <c r="EY136" s="43">
        <f t="shared" si="295"/>
        <v>740</v>
      </c>
      <c r="EZ136" s="436">
        <v>98</v>
      </c>
      <c r="FA136" s="437"/>
      <c r="FB136" s="437">
        <f t="shared" si="296"/>
        <v>93</v>
      </c>
      <c r="FC136" s="437">
        <f t="shared" si="273"/>
        <v>5</v>
      </c>
      <c r="FD136" s="437">
        <f t="shared" si="297"/>
        <v>797</v>
      </c>
      <c r="FE136" s="442">
        <v>124</v>
      </c>
      <c r="FF136" s="443"/>
      <c r="FG136" s="443">
        <f t="shared" si="298"/>
        <v>124</v>
      </c>
      <c r="FH136" s="443">
        <f t="shared" si="274"/>
        <v>0</v>
      </c>
      <c r="FI136" s="443">
        <f t="shared" si="299"/>
        <v>876</v>
      </c>
      <c r="FJ136" s="392">
        <v>900</v>
      </c>
      <c r="FK136" s="298"/>
      <c r="FL136" s="298">
        <f t="shared" si="300"/>
        <v>890</v>
      </c>
      <c r="FM136" s="298">
        <f t="shared" si="275"/>
        <v>10</v>
      </c>
      <c r="FN136" s="498">
        <f t="shared" si="301"/>
        <v>2010</v>
      </c>
      <c r="HC136" s="402"/>
      <c r="HD136" s="52"/>
      <c r="HE136" s="52">
        <f t="shared" si="302"/>
        <v>0</v>
      </c>
      <c r="HF136" s="52">
        <f t="shared" si="276"/>
        <v>0</v>
      </c>
      <c r="HG136" s="51"/>
      <c r="HH136" s="52">
        <f t="shared" si="345"/>
        <v>400</v>
      </c>
      <c r="HI136" s="51"/>
      <c r="HJ136" s="1047"/>
    </row>
    <row r="137" spans="1:218">
      <c r="A137" s="807">
        <v>44800</v>
      </c>
      <c r="B137" s="390">
        <v>680863</v>
      </c>
      <c r="C137" s="18">
        <f t="shared" si="256"/>
        <v>64425778</v>
      </c>
      <c r="D137" s="376">
        <v>7243.1</v>
      </c>
      <c r="E137" s="417">
        <f t="shared" si="255"/>
        <v>830054.49999999988</v>
      </c>
      <c r="F137" s="397">
        <v>36719</v>
      </c>
      <c r="G137" s="37"/>
      <c r="H137" s="37">
        <f t="shared" si="277"/>
        <v>33947</v>
      </c>
      <c r="I137" s="37">
        <f t="shared" si="257"/>
        <v>2772</v>
      </c>
      <c r="J137" s="37">
        <f t="shared" si="258"/>
        <v>382.70906103740111</v>
      </c>
      <c r="K137" s="37">
        <f t="shared" si="303"/>
        <v>380420</v>
      </c>
      <c r="L137" s="37">
        <f t="shared" si="259"/>
        <v>458.30725572838901</v>
      </c>
      <c r="M137" s="648"/>
      <c r="N137" s="422">
        <v>225</v>
      </c>
      <c r="O137" s="423"/>
      <c r="P137" s="423">
        <f t="shared" si="304"/>
        <v>150</v>
      </c>
      <c r="Q137" s="423">
        <f t="shared" si="305"/>
        <v>75</v>
      </c>
      <c r="R137" s="423">
        <f t="shared" si="306"/>
        <v>10225</v>
      </c>
      <c r="S137" s="68">
        <v>6.68</v>
      </c>
      <c r="T137" s="67">
        <v>24</v>
      </c>
      <c r="U137" s="68">
        <f t="shared" si="307"/>
        <v>80.16</v>
      </c>
      <c r="V137" s="68">
        <f t="shared" si="260"/>
        <v>11.067084535627011</v>
      </c>
      <c r="W137" s="423">
        <f t="shared" si="308"/>
        <v>10018.824000000002</v>
      </c>
      <c r="X137" s="68">
        <f t="shared" si="261"/>
        <v>12.0700797357282</v>
      </c>
      <c r="Y137" s="500"/>
      <c r="Z137" s="424">
        <v>50</v>
      </c>
      <c r="AA137" s="425"/>
      <c r="AB137" s="425">
        <f t="shared" si="309"/>
        <v>50</v>
      </c>
      <c r="AC137" s="425">
        <f t="shared" si="310"/>
        <v>0</v>
      </c>
      <c r="AD137" s="425">
        <f t="shared" si="311"/>
        <v>1650</v>
      </c>
      <c r="AE137" s="72">
        <v>2.2999999999999998</v>
      </c>
      <c r="AF137" s="71">
        <v>12</v>
      </c>
      <c r="AG137" s="72">
        <f t="shared" si="312"/>
        <v>13.799999999999999</v>
      </c>
      <c r="AH137" s="72">
        <f t="shared" si="278"/>
        <v>1.9052615592771047</v>
      </c>
      <c r="AI137" s="425">
        <f t="shared" si="313"/>
        <v>1542.1320000000005</v>
      </c>
      <c r="AJ137" s="72">
        <f t="shared" si="346"/>
        <v>1.8578683688842126</v>
      </c>
      <c r="AK137" s="502"/>
      <c r="AL137" s="491">
        <v>30836</v>
      </c>
      <c r="AM137" s="491"/>
      <c r="AN137" s="492">
        <f t="shared" si="248"/>
        <v>30836</v>
      </c>
      <c r="AO137" s="492">
        <f t="shared" si="249"/>
        <v>0</v>
      </c>
      <c r="AP137" s="492">
        <f t="shared" si="250"/>
        <v>52737</v>
      </c>
      <c r="AQ137" s="493">
        <f t="shared" si="279"/>
        <v>63.534382380915957</v>
      </c>
      <c r="AR137" s="504"/>
      <c r="AS137" s="413">
        <v>9306</v>
      </c>
      <c r="AT137" s="64">
        <v>34090</v>
      </c>
      <c r="AU137" s="66">
        <f t="shared" si="314"/>
        <v>40649</v>
      </c>
      <c r="AV137" s="66">
        <f t="shared" si="262"/>
        <v>2747</v>
      </c>
      <c r="AW137" s="412">
        <f t="shared" si="315"/>
        <v>4.0345855186726256</v>
      </c>
      <c r="AX137" s="66">
        <f t="shared" si="316"/>
        <v>148576</v>
      </c>
      <c r="AY137" s="412">
        <f t="shared" si="317"/>
        <v>2.3061576377083099</v>
      </c>
      <c r="AZ137" s="506"/>
      <c r="BA137" s="419">
        <v>18590</v>
      </c>
      <c r="BB137" s="419">
        <v>29250</v>
      </c>
      <c r="BC137" s="407"/>
      <c r="BD137" s="419">
        <f t="shared" si="280"/>
        <v>47840</v>
      </c>
      <c r="BE137" s="419">
        <f>BA137+BB137-BD137</f>
        <v>0</v>
      </c>
      <c r="BF137" s="407">
        <f t="shared" si="318"/>
        <v>0</v>
      </c>
      <c r="BG137" s="419">
        <f t="shared" si="251"/>
        <v>45495</v>
      </c>
      <c r="BH137" s="407">
        <f t="shared" si="319"/>
        <v>0.70616143742959536</v>
      </c>
      <c r="BI137" s="407">
        <f t="shared" si="320"/>
        <v>8.6468747440358623E-2</v>
      </c>
      <c r="BJ137" s="508"/>
      <c r="BK137" s="510"/>
      <c r="BL137" s="49">
        <v>1142</v>
      </c>
      <c r="BM137" s="50"/>
      <c r="BN137" s="52">
        <f t="shared" si="321"/>
        <v>765</v>
      </c>
      <c r="BO137" s="52">
        <f t="shared" si="263"/>
        <v>377</v>
      </c>
      <c r="BP137" s="406">
        <f t="shared" si="322"/>
        <v>0.55370904278834365</v>
      </c>
      <c r="BQ137" s="52">
        <f t="shared" si="323"/>
        <v>28835</v>
      </c>
      <c r="BR137" s="406">
        <f t="shared" si="324"/>
        <v>0.4475692943902051</v>
      </c>
      <c r="BS137" s="512"/>
      <c r="BT137" s="409">
        <v>3042</v>
      </c>
      <c r="BU137" s="43"/>
      <c r="BV137" s="43">
        <f t="shared" si="245"/>
        <v>2765</v>
      </c>
      <c r="BW137" s="43">
        <f t="shared" si="246"/>
        <v>277</v>
      </c>
      <c r="BX137" s="42">
        <f t="shared" si="325"/>
        <v>0.40683661764554691</v>
      </c>
      <c r="BY137" s="43">
        <f t="shared" si="247"/>
        <v>12672</v>
      </c>
      <c r="BZ137" s="42">
        <f t="shared" si="326"/>
        <v>0.19669145477762023</v>
      </c>
      <c r="CA137" s="514"/>
      <c r="CB137" s="392">
        <v>3132</v>
      </c>
      <c r="CC137" s="298"/>
      <c r="CD137" s="298">
        <f t="shared" si="282"/>
        <v>2645</v>
      </c>
      <c r="CE137" s="298">
        <f t="shared" si="264"/>
        <v>487</v>
      </c>
      <c r="CF137" s="297">
        <f t="shared" si="327"/>
        <v>0.71526871044541995</v>
      </c>
      <c r="CG137" s="298">
        <f t="shared" si="328"/>
        <v>52955</v>
      </c>
      <c r="CH137" s="297">
        <f t="shared" si="329"/>
        <v>0.82195359751806174</v>
      </c>
      <c r="CI137" s="516"/>
      <c r="CJ137" s="659">
        <v>1800</v>
      </c>
      <c r="CK137" s="651"/>
      <c r="CL137" s="657">
        <f t="shared" si="252"/>
        <v>1225</v>
      </c>
      <c r="CM137" s="657">
        <f t="shared" si="253"/>
        <v>575</v>
      </c>
      <c r="CN137" s="659">
        <f t="shared" si="254"/>
        <v>15275</v>
      </c>
      <c r="CO137" s="464">
        <v>60</v>
      </c>
      <c r="CP137" s="465"/>
      <c r="CQ137" s="465">
        <f t="shared" si="283"/>
        <v>60</v>
      </c>
      <c r="CR137" s="465">
        <f t="shared" si="265"/>
        <v>0</v>
      </c>
      <c r="CS137" s="486">
        <f t="shared" si="330"/>
        <v>0</v>
      </c>
      <c r="CT137" s="465">
        <f t="shared" si="331"/>
        <v>1399</v>
      </c>
      <c r="CU137" s="486">
        <f t="shared" si="332"/>
        <v>2.1714910450906778E-2</v>
      </c>
      <c r="CV137" s="518"/>
      <c r="CW137" s="427">
        <v>5</v>
      </c>
      <c r="CX137" s="427"/>
      <c r="CY137" s="427">
        <f t="shared" si="333"/>
        <v>5</v>
      </c>
      <c r="CZ137" s="427">
        <f t="shared" si="334"/>
        <v>0</v>
      </c>
      <c r="DA137" s="607">
        <f t="shared" ref="DA137:DA200" si="349">CZ137*1000/B137</f>
        <v>0</v>
      </c>
      <c r="DB137" s="607">
        <f t="shared" si="335"/>
        <v>110</v>
      </c>
      <c r="DC137" s="607">
        <f t="shared" si="284"/>
        <v>1.7073911005001756E-3</v>
      </c>
      <c r="DD137" s="609"/>
      <c r="DE137" s="471">
        <v>19</v>
      </c>
      <c r="DF137" s="473"/>
      <c r="DG137" s="473">
        <f t="shared" si="285"/>
        <v>19</v>
      </c>
      <c r="DH137" s="473">
        <f t="shared" si="266"/>
        <v>0</v>
      </c>
      <c r="DI137" s="227">
        <f t="shared" si="336"/>
        <v>0</v>
      </c>
      <c r="DJ137" s="473">
        <f t="shared" si="337"/>
        <v>80.2</v>
      </c>
      <c r="DK137" s="227">
        <f t="shared" si="338"/>
        <v>1.2448433296374007E-3</v>
      </c>
      <c r="DL137" s="510"/>
      <c r="DM137" s="63">
        <v>1640</v>
      </c>
      <c r="DN137" s="64"/>
      <c r="DO137" s="66">
        <f t="shared" si="339"/>
        <v>1595</v>
      </c>
      <c r="DP137" s="66">
        <f t="shared" si="267"/>
        <v>45</v>
      </c>
      <c r="DQ137" s="412">
        <f t="shared" si="340"/>
        <v>6.6092591314258528E-2</v>
      </c>
      <c r="DR137" s="66">
        <f t="shared" si="341"/>
        <v>15405</v>
      </c>
      <c r="DS137" s="412">
        <f t="shared" si="342"/>
        <v>0.23911236275641096</v>
      </c>
      <c r="DT137" s="506"/>
      <c r="DU137" s="596">
        <v>0</v>
      </c>
      <c r="DV137" s="596"/>
      <c r="DW137" s="596">
        <f t="shared" si="286"/>
        <v>0</v>
      </c>
      <c r="DX137" s="596">
        <f t="shared" si="268"/>
        <v>0</v>
      </c>
      <c r="DY137" s="592">
        <f t="shared" si="287"/>
        <v>0</v>
      </c>
      <c r="DZ137" s="596">
        <f t="shared" si="343"/>
        <v>2800</v>
      </c>
      <c r="EA137" s="592">
        <f t="shared" si="288"/>
        <v>4.3460864376368105E-2</v>
      </c>
      <c r="EB137" s="594"/>
      <c r="EC137" s="448">
        <v>165</v>
      </c>
      <c r="ED137" s="449"/>
      <c r="EE137" s="449">
        <f t="shared" si="289"/>
        <v>110</v>
      </c>
      <c r="EF137" s="449">
        <f t="shared" si="269"/>
        <v>55</v>
      </c>
      <c r="EG137" s="450">
        <f t="shared" si="347"/>
        <v>8.0779833828538192E-2</v>
      </c>
      <c r="EH137" s="449">
        <f t="shared" si="344"/>
        <v>645</v>
      </c>
      <c r="EI137" s="450">
        <f t="shared" si="348"/>
        <v>1.0011520543841938E-2</v>
      </c>
      <c r="EJ137" s="520"/>
      <c r="EK137" s="426">
        <v>3963</v>
      </c>
      <c r="EL137" s="427"/>
      <c r="EM137" s="427">
        <f t="shared" si="290"/>
        <v>3619</v>
      </c>
      <c r="EN137" s="427">
        <f t="shared" si="270"/>
        <v>344</v>
      </c>
      <c r="EO137" s="427">
        <f t="shared" si="291"/>
        <v>61753</v>
      </c>
      <c r="EP137" s="456">
        <v>90</v>
      </c>
      <c r="EQ137" s="457"/>
      <c r="ER137" s="457">
        <f t="shared" si="292"/>
        <v>90</v>
      </c>
      <c r="ES137" s="457">
        <f t="shared" si="271"/>
        <v>0</v>
      </c>
      <c r="ET137" s="457">
        <f t="shared" si="293"/>
        <v>1493</v>
      </c>
      <c r="EU137" s="409">
        <v>0</v>
      </c>
      <c r="EV137" s="43"/>
      <c r="EW137" s="43">
        <f t="shared" si="294"/>
        <v>0</v>
      </c>
      <c r="EX137" s="43">
        <f t="shared" si="272"/>
        <v>0</v>
      </c>
      <c r="EY137" s="43">
        <f t="shared" si="295"/>
        <v>740</v>
      </c>
      <c r="EZ137" s="436">
        <v>93</v>
      </c>
      <c r="FA137" s="437"/>
      <c r="FB137" s="437">
        <f t="shared" si="296"/>
        <v>89</v>
      </c>
      <c r="FC137" s="437">
        <f t="shared" si="273"/>
        <v>4</v>
      </c>
      <c r="FD137" s="437">
        <f t="shared" si="297"/>
        <v>801</v>
      </c>
      <c r="FE137" s="442">
        <v>124</v>
      </c>
      <c r="FF137" s="443"/>
      <c r="FG137" s="443">
        <f t="shared" si="298"/>
        <v>124</v>
      </c>
      <c r="FH137" s="443">
        <f t="shared" si="274"/>
        <v>0</v>
      </c>
      <c r="FI137" s="443">
        <f t="shared" si="299"/>
        <v>876</v>
      </c>
      <c r="FJ137" s="392">
        <v>890</v>
      </c>
      <c r="FK137" s="298"/>
      <c r="FL137" s="298">
        <f t="shared" si="300"/>
        <v>850</v>
      </c>
      <c r="FM137" s="298">
        <f t="shared" si="275"/>
        <v>40</v>
      </c>
      <c r="FN137" s="498">
        <f t="shared" si="301"/>
        <v>2050</v>
      </c>
      <c r="HC137" s="402"/>
      <c r="HD137" s="52"/>
      <c r="HE137" s="52">
        <f t="shared" si="302"/>
        <v>0</v>
      </c>
      <c r="HF137" s="52">
        <f t="shared" si="276"/>
        <v>0</v>
      </c>
      <c r="HG137" s="51"/>
      <c r="HH137" s="52">
        <f t="shared" si="345"/>
        <v>400</v>
      </c>
      <c r="HI137" s="51"/>
      <c r="HJ137" s="1047"/>
    </row>
    <row r="138" spans="1:218">
      <c r="A138" s="807">
        <v>44801</v>
      </c>
      <c r="B138" s="390">
        <v>681021</v>
      </c>
      <c r="C138" s="18">
        <f t="shared" si="256"/>
        <v>65106799</v>
      </c>
      <c r="D138" s="376">
        <v>7024.62</v>
      </c>
      <c r="E138" s="417">
        <f t="shared" si="255"/>
        <v>837079.11999999988</v>
      </c>
      <c r="F138" s="397">
        <v>33947</v>
      </c>
      <c r="G138" s="37"/>
      <c r="H138" s="37">
        <f t="shared" si="277"/>
        <v>29326</v>
      </c>
      <c r="I138" s="37">
        <f t="shared" si="257"/>
        <v>4621</v>
      </c>
      <c r="J138" s="37">
        <f t="shared" si="258"/>
        <v>657.82917794841569</v>
      </c>
      <c r="K138" s="37">
        <f t="shared" si="303"/>
        <v>385041</v>
      </c>
      <c r="L138" s="37">
        <f t="shared" si="259"/>
        <v>459.9816084290814</v>
      </c>
      <c r="M138" s="648"/>
      <c r="N138" s="422">
        <v>150</v>
      </c>
      <c r="O138" s="423"/>
      <c r="P138" s="423">
        <f t="shared" si="304"/>
        <v>75</v>
      </c>
      <c r="Q138" s="423">
        <f t="shared" si="305"/>
        <v>75</v>
      </c>
      <c r="R138" s="423">
        <f t="shared" si="306"/>
        <v>10300</v>
      </c>
      <c r="S138" s="68">
        <v>8.24</v>
      </c>
      <c r="T138" s="67">
        <v>24</v>
      </c>
      <c r="U138" s="68">
        <f t="shared" si="307"/>
        <v>98.88</v>
      </c>
      <c r="V138" s="68">
        <f t="shared" si="260"/>
        <v>14.076206257420331</v>
      </c>
      <c r="W138" s="423">
        <f t="shared" si="308"/>
        <v>10117.704000000002</v>
      </c>
      <c r="X138" s="68">
        <f t="shared" si="261"/>
        <v>12.086914794864317</v>
      </c>
      <c r="Y138" s="500"/>
      <c r="Z138" s="424">
        <v>50</v>
      </c>
      <c r="AA138" s="425"/>
      <c r="AB138" s="425">
        <f t="shared" si="309"/>
        <v>25</v>
      </c>
      <c r="AC138" s="425">
        <f t="shared" si="310"/>
        <v>25</v>
      </c>
      <c r="AD138" s="425">
        <f t="shared" si="311"/>
        <v>1675</v>
      </c>
      <c r="AE138" s="72">
        <v>2.2000000000000002</v>
      </c>
      <c r="AF138" s="71">
        <v>12</v>
      </c>
      <c r="AG138" s="72">
        <f t="shared" si="312"/>
        <v>13.200000000000001</v>
      </c>
      <c r="AH138" s="72">
        <f t="shared" si="278"/>
        <v>1.8791052042672773</v>
      </c>
      <c r="AI138" s="425">
        <f t="shared" si="313"/>
        <v>1555.3320000000006</v>
      </c>
      <c r="AJ138" s="72">
        <f t="shared" si="346"/>
        <v>1.8580465846525962</v>
      </c>
      <c r="AK138" s="502"/>
      <c r="AL138" s="491">
        <v>30836</v>
      </c>
      <c r="AM138" s="491"/>
      <c r="AN138" s="492">
        <f t="shared" si="248"/>
        <v>30836</v>
      </c>
      <c r="AO138" s="492">
        <f t="shared" si="249"/>
        <v>0</v>
      </c>
      <c r="AP138" s="492">
        <f t="shared" si="250"/>
        <v>52737</v>
      </c>
      <c r="AQ138" s="493">
        <f t="shared" si="279"/>
        <v>63.001213075294494</v>
      </c>
      <c r="AR138" s="504"/>
      <c r="AS138" s="413">
        <v>40649</v>
      </c>
      <c r="AT138" s="64"/>
      <c r="AU138" s="66">
        <f t="shared" si="314"/>
        <v>35076</v>
      </c>
      <c r="AV138" s="66">
        <f t="shared" si="262"/>
        <v>5573</v>
      </c>
      <c r="AW138" s="412">
        <f t="shared" si="315"/>
        <v>8.1833012491538444</v>
      </c>
      <c r="AX138" s="66">
        <f t="shared" si="316"/>
        <v>154149</v>
      </c>
      <c r="AY138" s="412">
        <f t="shared" si="317"/>
        <v>2.3676329103508835</v>
      </c>
      <c r="AZ138" s="506"/>
      <c r="BA138" s="419">
        <v>47840</v>
      </c>
      <c r="BB138" s="419"/>
      <c r="BC138" s="407"/>
      <c r="BD138" s="419">
        <f t="shared" si="280"/>
        <v>47840</v>
      </c>
      <c r="BE138" s="419">
        <f t="shared" si="281"/>
        <v>0</v>
      </c>
      <c r="BF138" s="407">
        <f t="shared" si="318"/>
        <v>0</v>
      </c>
      <c r="BG138" s="419">
        <f t="shared" si="251"/>
        <v>45495</v>
      </c>
      <c r="BH138" s="407">
        <f t="shared" si="319"/>
        <v>0.69877494668413975</v>
      </c>
      <c r="BI138" s="407">
        <f t="shared" si="320"/>
        <v>8.5564279185813039E-2</v>
      </c>
      <c r="BJ138" s="508"/>
      <c r="BK138" s="510"/>
      <c r="BL138" s="49">
        <v>765</v>
      </c>
      <c r="BM138" s="50"/>
      <c r="BN138" s="52">
        <f t="shared" si="321"/>
        <v>186</v>
      </c>
      <c r="BO138" s="52">
        <f t="shared" si="263"/>
        <v>579</v>
      </c>
      <c r="BP138" s="406">
        <f t="shared" si="322"/>
        <v>0.85019404687961164</v>
      </c>
      <c r="BQ138" s="52">
        <f t="shared" si="323"/>
        <v>29414</v>
      </c>
      <c r="BR138" s="406">
        <f t="shared" si="324"/>
        <v>0.45178077331063382</v>
      </c>
      <c r="BS138" s="512"/>
      <c r="BT138" s="409">
        <v>2765</v>
      </c>
      <c r="BU138" s="43"/>
      <c r="BV138" s="43">
        <f t="shared" si="245"/>
        <v>2470</v>
      </c>
      <c r="BW138" s="43">
        <f t="shared" si="246"/>
        <v>295</v>
      </c>
      <c r="BX138" s="42">
        <f t="shared" si="325"/>
        <v>0.43317313269341179</v>
      </c>
      <c r="BY138" s="43">
        <f t="shared" si="247"/>
        <v>12967</v>
      </c>
      <c r="BZ138" s="42">
        <f t="shared" si="326"/>
        <v>0.19916506723053609</v>
      </c>
      <c r="CA138" s="514"/>
      <c r="CB138" s="392">
        <v>2645</v>
      </c>
      <c r="CC138" s="298"/>
      <c r="CD138" s="298">
        <f t="shared" si="282"/>
        <v>1978</v>
      </c>
      <c r="CE138" s="298">
        <f t="shared" si="264"/>
        <v>667</v>
      </c>
      <c r="CF138" s="297">
        <f t="shared" si="327"/>
        <v>0.97941179493730735</v>
      </c>
      <c r="CG138" s="298">
        <f t="shared" si="328"/>
        <v>53622</v>
      </c>
      <c r="CH138" s="297">
        <f t="shared" si="329"/>
        <v>0.82360061965264186</v>
      </c>
      <c r="CI138" s="516"/>
      <c r="CJ138" s="659">
        <v>1225</v>
      </c>
      <c r="CK138" s="651"/>
      <c r="CL138" s="657">
        <f t="shared" si="252"/>
        <v>950</v>
      </c>
      <c r="CM138" s="657">
        <f t="shared" si="253"/>
        <v>275</v>
      </c>
      <c r="CN138" s="659">
        <f t="shared" si="254"/>
        <v>15550</v>
      </c>
      <c r="CO138" s="464">
        <v>60</v>
      </c>
      <c r="CP138" s="465"/>
      <c r="CQ138" s="465">
        <f t="shared" si="283"/>
        <v>20</v>
      </c>
      <c r="CR138" s="465">
        <f t="shared" si="265"/>
        <v>40</v>
      </c>
      <c r="CS138" s="486">
        <f t="shared" si="330"/>
        <v>5.8735340026225331E-2</v>
      </c>
      <c r="CT138" s="465">
        <f t="shared" si="331"/>
        <v>1439</v>
      </c>
      <c r="CU138" s="486">
        <f t="shared" si="332"/>
        <v>2.2102146351873329E-2</v>
      </c>
      <c r="CV138" s="518"/>
      <c r="CW138" s="427">
        <v>5</v>
      </c>
      <c r="CX138" s="427"/>
      <c r="CY138" s="427">
        <f t="shared" si="333"/>
        <v>5</v>
      </c>
      <c r="CZ138" s="427">
        <f t="shared" si="334"/>
        <v>0</v>
      </c>
      <c r="DA138" s="607">
        <f t="shared" si="349"/>
        <v>0</v>
      </c>
      <c r="DB138" s="607">
        <f t="shared" si="335"/>
        <v>110</v>
      </c>
      <c r="DC138" s="607">
        <f t="shared" si="284"/>
        <v>1.6895316877734996E-3</v>
      </c>
      <c r="DD138" s="609"/>
      <c r="DE138" s="471">
        <v>19</v>
      </c>
      <c r="DF138" s="473"/>
      <c r="DG138" s="473">
        <f t="shared" si="285"/>
        <v>19</v>
      </c>
      <c r="DH138" s="473">
        <f t="shared" si="266"/>
        <v>0</v>
      </c>
      <c r="DI138" s="227">
        <f t="shared" si="336"/>
        <v>0</v>
      </c>
      <c r="DJ138" s="473">
        <f t="shared" si="337"/>
        <v>80.2</v>
      </c>
      <c r="DK138" s="227">
        <f t="shared" si="338"/>
        <v>1.2318221941766789E-3</v>
      </c>
      <c r="DL138" s="510"/>
      <c r="DM138" s="63">
        <v>1595</v>
      </c>
      <c r="DN138" s="64"/>
      <c r="DO138" s="66">
        <f t="shared" si="339"/>
        <v>1500</v>
      </c>
      <c r="DP138" s="66">
        <f t="shared" si="267"/>
        <v>95</v>
      </c>
      <c r="DQ138" s="412">
        <f t="shared" si="340"/>
        <v>0.13949643256228517</v>
      </c>
      <c r="DR138" s="66">
        <f t="shared" si="341"/>
        <v>15500</v>
      </c>
      <c r="DS138" s="412">
        <f t="shared" si="342"/>
        <v>0.23807037418626587</v>
      </c>
      <c r="DT138" s="506"/>
      <c r="DU138" s="596">
        <v>0</v>
      </c>
      <c r="DV138" s="596"/>
      <c r="DW138" s="596">
        <f t="shared" si="286"/>
        <v>0</v>
      </c>
      <c r="DX138" s="596">
        <f t="shared" si="268"/>
        <v>0</v>
      </c>
      <c r="DY138" s="592">
        <f t="shared" si="287"/>
        <v>0</v>
      </c>
      <c r="DZ138" s="596">
        <f t="shared" si="343"/>
        <v>2800</v>
      </c>
      <c r="EA138" s="592">
        <f t="shared" si="288"/>
        <v>4.3006261143325446E-2</v>
      </c>
      <c r="EB138" s="594"/>
      <c r="EC138" s="448">
        <v>110</v>
      </c>
      <c r="ED138" s="449"/>
      <c r="EE138" s="449">
        <f t="shared" si="289"/>
        <v>55</v>
      </c>
      <c r="EF138" s="449">
        <f t="shared" si="269"/>
        <v>55</v>
      </c>
      <c r="EG138" s="450">
        <f t="shared" si="347"/>
        <v>8.0761092536059828E-2</v>
      </c>
      <c r="EH138" s="449">
        <f t="shared" si="344"/>
        <v>700</v>
      </c>
      <c r="EI138" s="450">
        <f t="shared" si="348"/>
        <v>1.0751565285831361E-2</v>
      </c>
      <c r="EJ138" s="520"/>
      <c r="EK138" s="426">
        <v>3619</v>
      </c>
      <c r="EL138" s="427"/>
      <c r="EM138" s="427">
        <f t="shared" si="290"/>
        <v>3238</v>
      </c>
      <c r="EN138" s="427">
        <f t="shared" si="270"/>
        <v>381</v>
      </c>
      <c r="EO138" s="427">
        <f t="shared" si="291"/>
        <v>62134</v>
      </c>
      <c r="EP138" s="456">
        <v>90</v>
      </c>
      <c r="EQ138" s="457"/>
      <c r="ER138" s="457">
        <f t="shared" si="292"/>
        <v>90</v>
      </c>
      <c r="ES138" s="457">
        <f t="shared" si="271"/>
        <v>0</v>
      </c>
      <c r="ET138" s="457">
        <f t="shared" si="293"/>
        <v>1493</v>
      </c>
      <c r="EU138" s="409">
        <v>0</v>
      </c>
      <c r="EV138" s="43"/>
      <c r="EW138" s="43">
        <f t="shared" si="294"/>
        <v>0</v>
      </c>
      <c r="EX138" s="43">
        <f t="shared" si="272"/>
        <v>0</v>
      </c>
      <c r="EY138" s="43">
        <f t="shared" si="295"/>
        <v>740</v>
      </c>
      <c r="EZ138" s="436">
        <v>89</v>
      </c>
      <c r="FA138" s="437"/>
      <c r="FB138" s="437">
        <f t="shared" si="296"/>
        <v>87</v>
      </c>
      <c r="FC138" s="437">
        <f t="shared" si="273"/>
        <v>2</v>
      </c>
      <c r="FD138" s="437">
        <f t="shared" si="297"/>
        <v>803</v>
      </c>
      <c r="FE138" s="442">
        <v>124</v>
      </c>
      <c r="FF138" s="443"/>
      <c r="FG138" s="443">
        <f t="shared" si="298"/>
        <v>124</v>
      </c>
      <c r="FH138" s="443">
        <f t="shared" si="274"/>
        <v>0</v>
      </c>
      <c r="FI138" s="443">
        <f t="shared" si="299"/>
        <v>876</v>
      </c>
      <c r="FJ138" s="392">
        <v>850</v>
      </c>
      <c r="FK138" s="298"/>
      <c r="FL138" s="298">
        <f t="shared" si="300"/>
        <v>840</v>
      </c>
      <c r="FM138" s="298">
        <f t="shared" si="275"/>
        <v>10</v>
      </c>
      <c r="FN138" s="498">
        <f t="shared" si="301"/>
        <v>2060</v>
      </c>
      <c r="HC138" s="402"/>
      <c r="HD138" s="52"/>
      <c r="HE138" s="52">
        <f t="shared" si="302"/>
        <v>0</v>
      </c>
      <c r="HF138" s="52">
        <f t="shared" si="276"/>
        <v>0</v>
      </c>
      <c r="HG138" s="51"/>
      <c r="HH138" s="52">
        <f t="shared" si="345"/>
        <v>400</v>
      </c>
      <c r="HI138" s="51"/>
      <c r="HJ138" s="1047"/>
    </row>
    <row r="139" spans="1:218">
      <c r="A139" s="807">
        <v>44802</v>
      </c>
      <c r="B139" s="390">
        <v>664761</v>
      </c>
      <c r="C139" s="18">
        <f t="shared" si="256"/>
        <v>65771560</v>
      </c>
      <c r="D139" s="376">
        <v>6568.82</v>
      </c>
      <c r="E139" s="417">
        <f t="shared" si="255"/>
        <v>843647.93999999983</v>
      </c>
      <c r="F139" s="397">
        <v>29326</v>
      </c>
      <c r="G139" s="37"/>
      <c r="H139" s="37">
        <f t="shared" si="277"/>
        <v>27478</v>
      </c>
      <c r="I139" s="37">
        <f t="shared" si="257"/>
        <v>1848</v>
      </c>
      <c r="J139" s="37">
        <f t="shared" si="258"/>
        <v>281.32906671213402</v>
      </c>
      <c r="K139" s="37">
        <f t="shared" si="303"/>
        <v>386889</v>
      </c>
      <c r="L139" s="37">
        <f t="shared" si="259"/>
        <v>458.59058222793749</v>
      </c>
      <c r="M139" s="648"/>
      <c r="N139" s="422">
        <v>75</v>
      </c>
      <c r="O139" s="423">
        <v>250</v>
      </c>
      <c r="P139" s="423">
        <f t="shared" si="304"/>
        <v>175</v>
      </c>
      <c r="Q139" s="423">
        <f t="shared" si="305"/>
        <v>150</v>
      </c>
      <c r="R139" s="423">
        <f t="shared" si="306"/>
        <v>10450</v>
      </c>
      <c r="S139" s="68">
        <v>8.9700000000000006</v>
      </c>
      <c r="T139" s="67">
        <v>24</v>
      </c>
      <c r="U139" s="68">
        <f t="shared" si="307"/>
        <v>107.64000000000001</v>
      </c>
      <c r="V139" s="68">
        <f t="shared" si="260"/>
        <v>16.386504729921054</v>
      </c>
      <c r="W139" s="423">
        <f t="shared" si="308"/>
        <v>10225.344000000001</v>
      </c>
      <c r="X139" s="68">
        <f t="shared" si="261"/>
        <v>12.120392304875425</v>
      </c>
      <c r="Y139" s="500"/>
      <c r="Z139" s="424">
        <v>25</v>
      </c>
      <c r="AA139" s="425">
        <v>100</v>
      </c>
      <c r="AB139" s="425">
        <f t="shared" si="309"/>
        <v>100</v>
      </c>
      <c r="AC139" s="425">
        <f t="shared" si="310"/>
        <v>25</v>
      </c>
      <c r="AD139" s="425">
        <f t="shared" si="311"/>
        <v>1700</v>
      </c>
      <c r="AE139" s="72">
        <v>2.23</v>
      </c>
      <c r="AF139" s="71">
        <v>12</v>
      </c>
      <c r="AG139" s="72">
        <f t="shared" si="312"/>
        <v>13.379999999999999</v>
      </c>
      <c r="AH139" s="72">
        <f t="shared" si="278"/>
        <v>2.03689551548071</v>
      </c>
      <c r="AI139" s="425">
        <f t="shared" si="313"/>
        <v>1568.7120000000007</v>
      </c>
      <c r="AJ139" s="72">
        <f t="shared" si="346"/>
        <v>1.8594391399805954</v>
      </c>
      <c r="AK139" s="502"/>
      <c r="AL139" s="491">
        <v>30836</v>
      </c>
      <c r="AM139" s="491"/>
      <c r="AN139" s="492">
        <f t="shared" si="248"/>
        <v>30836</v>
      </c>
      <c r="AO139" s="492">
        <f t="shared" si="249"/>
        <v>0</v>
      </c>
      <c r="AP139" s="492">
        <f t="shared" si="250"/>
        <v>52737</v>
      </c>
      <c r="AQ139" s="493">
        <f t="shared" si="279"/>
        <v>62.510672402044875</v>
      </c>
      <c r="AR139" s="504"/>
      <c r="AS139" s="413">
        <v>35076</v>
      </c>
      <c r="AT139" s="64"/>
      <c r="AU139" s="66">
        <f t="shared" si="314"/>
        <v>30233</v>
      </c>
      <c r="AV139" s="66">
        <f t="shared" si="262"/>
        <v>4843</v>
      </c>
      <c r="AW139" s="412">
        <f t="shared" si="315"/>
        <v>7.2853251018035055</v>
      </c>
      <c r="AX139" s="66">
        <f t="shared" si="316"/>
        <v>158992</v>
      </c>
      <c r="AY139" s="412">
        <f t="shared" si="317"/>
        <v>2.4173366117513404</v>
      </c>
      <c r="AZ139" s="506"/>
      <c r="BA139" s="419">
        <v>47840</v>
      </c>
      <c r="BB139" s="419"/>
      <c r="BC139" s="407"/>
      <c r="BD139" s="419">
        <f t="shared" si="280"/>
        <v>47840</v>
      </c>
      <c r="BE139" s="419">
        <f t="shared" si="281"/>
        <v>0</v>
      </c>
      <c r="BF139" s="407">
        <f t="shared" si="318"/>
        <v>0</v>
      </c>
      <c r="BG139" s="419">
        <f t="shared" si="251"/>
        <v>45495</v>
      </c>
      <c r="BH139" s="407">
        <f t="shared" si="319"/>
        <v>0.69171234497098744</v>
      </c>
      <c r="BI139" s="407">
        <f t="shared" si="320"/>
        <v>8.4699470812773972E-2</v>
      </c>
      <c r="BJ139" s="508"/>
      <c r="BK139" s="510"/>
      <c r="BL139" s="49">
        <v>186</v>
      </c>
      <c r="BM139" s="50">
        <v>1800</v>
      </c>
      <c r="BN139" s="52">
        <f t="shared" si="321"/>
        <v>1540</v>
      </c>
      <c r="BO139" s="52">
        <f t="shared" si="263"/>
        <v>446</v>
      </c>
      <c r="BP139" s="406">
        <f t="shared" si="322"/>
        <v>0.67091781858442356</v>
      </c>
      <c r="BQ139" s="52">
        <f t="shared" si="323"/>
        <v>29860</v>
      </c>
      <c r="BR139" s="406">
        <f t="shared" si="324"/>
        <v>0.45399561755871382</v>
      </c>
      <c r="BS139" s="512"/>
      <c r="BT139" s="409">
        <v>2470</v>
      </c>
      <c r="BU139" s="43"/>
      <c r="BV139" s="43">
        <f t="shared" si="245"/>
        <v>2223</v>
      </c>
      <c r="BW139" s="43">
        <f t="shared" si="246"/>
        <v>247</v>
      </c>
      <c r="BX139" s="42">
        <f t="shared" si="325"/>
        <v>0.37156211029227043</v>
      </c>
      <c r="BY139" s="43">
        <f t="shared" si="247"/>
        <v>13214</v>
      </c>
      <c r="BZ139" s="42">
        <f t="shared" si="326"/>
        <v>0.20090750470264046</v>
      </c>
      <c r="CA139" s="514"/>
      <c r="CB139" s="392">
        <v>1978</v>
      </c>
      <c r="CC139" s="298"/>
      <c r="CD139" s="298">
        <f t="shared" si="282"/>
        <v>1438</v>
      </c>
      <c r="CE139" s="298">
        <f t="shared" si="264"/>
        <v>540</v>
      </c>
      <c r="CF139" s="297">
        <f t="shared" si="327"/>
        <v>0.81232202250132002</v>
      </c>
      <c r="CG139" s="298">
        <f t="shared" si="328"/>
        <v>54162</v>
      </c>
      <c r="CH139" s="297">
        <f t="shared" si="329"/>
        <v>0.82348662552629126</v>
      </c>
      <c r="CI139" s="516"/>
      <c r="CJ139" s="659">
        <v>950</v>
      </c>
      <c r="CK139" s="651"/>
      <c r="CL139" s="657">
        <f t="shared" si="252"/>
        <v>625</v>
      </c>
      <c r="CM139" s="657">
        <f t="shared" si="253"/>
        <v>325</v>
      </c>
      <c r="CN139" s="659">
        <f t="shared" si="254"/>
        <v>15875</v>
      </c>
      <c r="CO139" s="464">
        <v>20</v>
      </c>
      <c r="CP139" s="465"/>
      <c r="CQ139" s="465">
        <f t="shared" si="283"/>
        <v>20</v>
      </c>
      <c r="CR139" s="465">
        <f t="shared" si="265"/>
        <v>0</v>
      </c>
      <c r="CS139" s="486">
        <f t="shared" si="330"/>
        <v>0</v>
      </c>
      <c r="CT139" s="465">
        <f t="shared" si="331"/>
        <v>1439</v>
      </c>
      <c r="CU139" s="486">
        <f t="shared" si="332"/>
        <v>2.1878757323073986E-2</v>
      </c>
      <c r="CV139" s="518"/>
      <c r="CW139" s="427">
        <v>5</v>
      </c>
      <c r="CX139" s="427"/>
      <c r="CY139" s="427">
        <f t="shared" si="333"/>
        <v>5</v>
      </c>
      <c r="CZ139" s="427">
        <f t="shared" si="334"/>
        <v>0</v>
      </c>
      <c r="DA139" s="607">
        <f t="shared" si="349"/>
        <v>0</v>
      </c>
      <c r="DB139" s="607">
        <f t="shared" si="335"/>
        <v>110</v>
      </c>
      <c r="DC139" s="607">
        <f t="shared" si="284"/>
        <v>1.6724553895331052E-3</v>
      </c>
      <c r="DD139" s="609"/>
      <c r="DE139" s="471">
        <v>19</v>
      </c>
      <c r="DF139" s="473"/>
      <c r="DG139" s="473">
        <f t="shared" si="285"/>
        <v>19</v>
      </c>
      <c r="DH139" s="473">
        <f t="shared" si="266"/>
        <v>0</v>
      </c>
      <c r="DI139" s="227">
        <f t="shared" si="336"/>
        <v>0</v>
      </c>
      <c r="DJ139" s="473">
        <f t="shared" si="337"/>
        <v>80.2</v>
      </c>
      <c r="DK139" s="227">
        <f t="shared" si="338"/>
        <v>1.2193720203686823E-3</v>
      </c>
      <c r="DL139" s="510"/>
      <c r="DM139" s="63">
        <v>1500</v>
      </c>
      <c r="DN139" s="64"/>
      <c r="DO139" s="66">
        <f t="shared" si="339"/>
        <v>1400</v>
      </c>
      <c r="DP139" s="66">
        <f t="shared" si="267"/>
        <v>100</v>
      </c>
      <c r="DQ139" s="412">
        <f t="shared" si="340"/>
        <v>0.1504300041669111</v>
      </c>
      <c r="DR139" s="66">
        <f t="shared" si="341"/>
        <v>15600</v>
      </c>
      <c r="DS139" s="412">
        <f t="shared" si="342"/>
        <v>0.23718458251560401</v>
      </c>
      <c r="DT139" s="506"/>
      <c r="DU139" s="596">
        <v>0</v>
      </c>
      <c r="DV139" s="596"/>
      <c r="DW139" s="596">
        <f t="shared" si="286"/>
        <v>0</v>
      </c>
      <c r="DX139" s="596">
        <f t="shared" si="268"/>
        <v>0</v>
      </c>
      <c r="DY139" s="592">
        <f t="shared" si="287"/>
        <v>0</v>
      </c>
      <c r="DZ139" s="596">
        <f t="shared" si="343"/>
        <v>2800</v>
      </c>
      <c r="EA139" s="592">
        <f t="shared" si="288"/>
        <v>4.2571591733569954E-2</v>
      </c>
      <c r="EB139" s="594"/>
      <c r="EC139" s="448">
        <v>55</v>
      </c>
      <c r="ED139" s="449">
        <v>55</v>
      </c>
      <c r="EE139" s="449">
        <f t="shared" si="289"/>
        <v>110</v>
      </c>
      <c r="EF139" s="449">
        <f t="shared" si="269"/>
        <v>0</v>
      </c>
      <c r="EG139" s="450">
        <f t="shared" si="347"/>
        <v>0</v>
      </c>
      <c r="EH139" s="449">
        <f t="shared" si="344"/>
        <v>700</v>
      </c>
      <c r="EI139" s="450">
        <f t="shared" si="348"/>
        <v>1.0642897933392488E-2</v>
      </c>
      <c r="EJ139" s="520"/>
      <c r="EK139" s="426">
        <v>3238</v>
      </c>
      <c r="EL139" s="427">
        <v>1250</v>
      </c>
      <c r="EM139" s="427">
        <f t="shared" si="290"/>
        <v>3813</v>
      </c>
      <c r="EN139" s="427">
        <f t="shared" si="270"/>
        <v>675</v>
      </c>
      <c r="EO139" s="427">
        <f t="shared" si="291"/>
        <v>62809</v>
      </c>
      <c r="EP139" s="456">
        <v>90</v>
      </c>
      <c r="EQ139" s="457"/>
      <c r="ER139" s="457">
        <f t="shared" si="292"/>
        <v>90</v>
      </c>
      <c r="ES139" s="457">
        <f t="shared" si="271"/>
        <v>0</v>
      </c>
      <c r="ET139" s="457">
        <f t="shared" si="293"/>
        <v>1493</v>
      </c>
      <c r="EU139" s="409">
        <v>0</v>
      </c>
      <c r="EV139" s="43"/>
      <c r="EW139" s="43">
        <f t="shared" si="294"/>
        <v>0</v>
      </c>
      <c r="EX139" s="43">
        <f t="shared" si="272"/>
        <v>0</v>
      </c>
      <c r="EY139" s="43">
        <f t="shared" si="295"/>
        <v>740</v>
      </c>
      <c r="EZ139" s="436">
        <v>87</v>
      </c>
      <c r="FA139" s="437"/>
      <c r="FB139" s="437">
        <f t="shared" si="296"/>
        <v>84</v>
      </c>
      <c r="FC139" s="437">
        <f t="shared" si="273"/>
        <v>3</v>
      </c>
      <c r="FD139" s="437">
        <f t="shared" si="297"/>
        <v>806</v>
      </c>
      <c r="FE139" s="442">
        <v>124</v>
      </c>
      <c r="FF139" s="443"/>
      <c r="FG139" s="443">
        <f t="shared" si="298"/>
        <v>111</v>
      </c>
      <c r="FH139" s="443">
        <f t="shared" si="274"/>
        <v>13</v>
      </c>
      <c r="FI139" s="443">
        <f t="shared" si="299"/>
        <v>889</v>
      </c>
      <c r="FJ139" s="392">
        <v>840</v>
      </c>
      <c r="FK139" s="298"/>
      <c r="FL139" s="298">
        <f t="shared" si="300"/>
        <v>750</v>
      </c>
      <c r="FM139" s="298">
        <f t="shared" si="275"/>
        <v>90</v>
      </c>
      <c r="FN139" s="498">
        <f t="shared" si="301"/>
        <v>2150</v>
      </c>
      <c r="HC139" s="402"/>
      <c r="HD139" s="52"/>
      <c r="HE139" s="52">
        <f t="shared" si="302"/>
        <v>0</v>
      </c>
      <c r="HF139" s="52">
        <f t="shared" si="276"/>
        <v>0</v>
      </c>
      <c r="HG139" s="51"/>
      <c r="HH139" s="52">
        <f t="shared" si="345"/>
        <v>400</v>
      </c>
      <c r="HI139" s="51"/>
      <c r="HJ139" s="1047"/>
    </row>
    <row r="140" spans="1:218">
      <c r="A140" s="807">
        <v>44803</v>
      </c>
      <c r="B140" s="390">
        <v>606521</v>
      </c>
      <c r="C140" s="18">
        <f t="shared" si="256"/>
        <v>66378081</v>
      </c>
      <c r="D140" s="376">
        <v>6218.96</v>
      </c>
      <c r="E140" s="417">
        <f t="shared" si="255"/>
        <v>849866.89999999979</v>
      </c>
      <c r="F140" s="397">
        <v>27478</v>
      </c>
      <c r="G140" s="37"/>
      <c r="H140" s="37">
        <f t="shared" si="277"/>
        <v>24705</v>
      </c>
      <c r="I140" s="37">
        <f t="shared" si="257"/>
        <v>2773</v>
      </c>
      <c r="J140" s="37">
        <f t="shared" si="258"/>
        <v>445.8944903971082</v>
      </c>
      <c r="K140" s="37">
        <f t="shared" si="303"/>
        <v>389662</v>
      </c>
      <c r="L140" s="37">
        <f t="shared" si="259"/>
        <v>458.49767769517803</v>
      </c>
      <c r="M140" s="648"/>
      <c r="N140" s="422">
        <v>175</v>
      </c>
      <c r="O140" s="423"/>
      <c r="P140" s="423">
        <f t="shared" si="304"/>
        <v>100</v>
      </c>
      <c r="Q140" s="423">
        <f t="shared" si="305"/>
        <v>75</v>
      </c>
      <c r="R140" s="423">
        <f t="shared" si="306"/>
        <v>10525</v>
      </c>
      <c r="S140" s="68">
        <v>6.18</v>
      </c>
      <c r="T140" s="67">
        <v>24</v>
      </c>
      <c r="U140" s="68">
        <f t="shared" si="307"/>
        <v>74.16</v>
      </c>
      <c r="V140" s="68">
        <f t="shared" si="260"/>
        <v>11.92482344314805</v>
      </c>
      <c r="W140" s="423">
        <f t="shared" si="308"/>
        <v>10299.504000000001</v>
      </c>
      <c r="X140" s="68">
        <f t="shared" si="261"/>
        <v>12.118961216162205</v>
      </c>
      <c r="Y140" s="500"/>
      <c r="Z140" s="424">
        <v>100</v>
      </c>
      <c r="AA140" s="425"/>
      <c r="AB140" s="425">
        <f t="shared" si="309"/>
        <v>100</v>
      </c>
      <c r="AC140" s="425">
        <f t="shared" si="310"/>
        <v>0</v>
      </c>
      <c r="AD140" s="425">
        <f t="shared" si="311"/>
        <v>1700</v>
      </c>
      <c r="AE140" s="72">
        <v>2.1800000000000002</v>
      </c>
      <c r="AF140" s="71">
        <v>12</v>
      </c>
      <c r="AG140" s="72">
        <f t="shared" si="312"/>
        <v>13.080000000000002</v>
      </c>
      <c r="AH140" s="72">
        <f t="shared" si="278"/>
        <v>2.1032455587429411</v>
      </c>
      <c r="AI140" s="425">
        <f t="shared" si="313"/>
        <v>1581.7920000000006</v>
      </c>
      <c r="AJ140" s="72">
        <f t="shared" si="346"/>
        <v>1.8612232103638831</v>
      </c>
      <c r="AK140" s="502"/>
      <c r="AL140" s="491">
        <v>30836</v>
      </c>
      <c r="AM140" s="491"/>
      <c r="AN140" s="492">
        <f t="shared" si="248"/>
        <v>30836</v>
      </c>
      <c r="AO140" s="492">
        <f t="shared" si="249"/>
        <v>0</v>
      </c>
      <c r="AP140" s="492">
        <f t="shared" si="250"/>
        <v>52737</v>
      </c>
      <c r="AQ140" s="493">
        <f t="shared" si="279"/>
        <v>62.053246220084596</v>
      </c>
      <c r="AR140" s="504"/>
      <c r="AS140" s="413">
        <v>30233</v>
      </c>
      <c r="AT140" s="64"/>
      <c r="AU140" s="66">
        <f t="shared" si="314"/>
        <v>29156</v>
      </c>
      <c r="AV140" s="66">
        <f t="shared" si="262"/>
        <v>1077</v>
      </c>
      <c r="AW140" s="412">
        <f t="shared" si="315"/>
        <v>1.7757010886679934</v>
      </c>
      <c r="AX140" s="66">
        <f t="shared" si="316"/>
        <v>160069</v>
      </c>
      <c r="AY140" s="412">
        <f t="shared" si="317"/>
        <v>2.4114737514029669</v>
      </c>
      <c r="AZ140" s="506"/>
      <c r="BA140" s="419">
        <v>47840</v>
      </c>
      <c r="BB140" s="419"/>
      <c r="BC140" s="407"/>
      <c r="BD140" s="419">
        <f t="shared" si="280"/>
        <v>19800</v>
      </c>
      <c r="BE140" s="419">
        <f t="shared" si="281"/>
        <v>28040</v>
      </c>
      <c r="BF140" s="407">
        <f t="shared" si="318"/>
        <v>46.230880711467535</v>
      </c>
      <c r="BG140" s="419">
        <f t="shared" si="251"/>
        <v>73535</v>
      </c>
      <c r="BH140" s="407">
        <f t="shared" si="319"/>
        <v>1.1078205168359718</v>
      </c>
      <c r="BI140" s="407">
        <f t="shared" si="320"/>
        <v>0.13565149185746594</v>
      </c>
      <c r="BJ140" s="508"/>
      <c r="BK140" s="510"/>
      <c r="BL140" s="49">
        <v>1540</v>
      </c>
      <c r="BM140" s="50"/>
      <c r="BN140" s="52">
        <f t="shared" si="321"/>
        <v>1194</v>
      </c>
      <c r="BO140" s="52">
        <f t="shared" si="263"/>
        <v>346</v>
      </c>
      <c r="BP140" s="406">
        <f t="shared" si="322"/>
        <v>0.57046664501311584</v>
      </c>
      <c r="BQ140" s="52">
        <f t="shared" si="323"/>
        <v>30206</v>
      </c>
      <c r="BR140" s="406">
        <f t="shared" si="324"/>
        <v>0.45505985627996687</v>
      </c>
      <c r="BS140" s="512"/>
      <c r="BT140" s="409">
        <v>2223</v>
      </c>
      <c r="BU140" s="43">
        <v>1000</v>
      </c>
      <c r="BV140" s="43">
        <f t="shared" si="245"/>
        <v>2885</v>
      </c>
      <c r="BW140" s="43">
        <f t="shared" si="246"/>
        <v>338</v>
      </c>
      <c r="BX140" s="42">
        <f t="shared" si="325"/>
        <v>0.55727666478159865</v>
      </c>
      <c r="BY140" s="43">
        <f t="shared" si="247"/>
        <v>13552</v>
      </c>
      <c r="BZ140" s="42">
        <f t="shared" si="326"/>
        <v>0.20416378111322622</v>
      </c>
      <c r="CA140" s="514"/>
      <c r="CB140" s="392">
        <v>1438</v>
      </c>
      <c r="CC140" s="298"/>
      <c r="CD140" s="298">
        <f t="shared" si="282"/>
        <v>805</v>
      </c>
      <c r="CE140" s="298">
        <f t="shared" si="264"/>
        <v>633</v>
      </c>
      <c r="CF140" s="297">
        <f t="shared" si="327"/>
        <v>1.0436571858187929</v>
      </c>
      <c r="CG140" s="298">
        <f t="shared" si="328"/>
        <v>54795</v>
      </c>
      <c r="CH140" s="297">
        <f t="shared" si="329"/>
        <v>0.82549840511357964</v>
      </c>
      <c r="CI140" s="516"/>
      <c r="CJ140" s="659">
        <v>625</v>
      </c>
      <c r="CK140" s="651"/>
      <c r="CL140" s="657">
        <f t="shared" si="252"/>
        <v>350</v>
      </c>
      <c r="CM140" s="657">
        <f t="shared" si="253"/>
        <v>275</v>
      </c>
      <c r="CN140" s="659">
        <f t="shared" si="254"/>
        <v>16150</v>
      </c>
      <c r="CO140" s="464">
        <v>20</v>
      </c>
      <c r="CP140" s="465"/>
      <c r="CQ140" s="465">
        <f t="shared" si="283"/>
        <v>20</v>
      </c>
      <c r="CR140" s="465">
        <f t="shared" si="265"/>
        <v>0</v>
      </c>
      <c r="CS140" s="486">
        <f t="shared" si="330"/>
        <v>0</v>
      </c>
      <c r="CT140" s="465">
        <f t="shared" si="331"/>
        <v>1439</v>
      </c>
      <c r="CU140" s="486">
        <f t="shared" si="332"/>
        <v>2.1678843050614856E-2</v>
      </c>
      <c r="CV140" s="518"/>
      <c r="CW140" s="427">
        <v>5</v>
      </c>
      <c r="CX140" s="427"/>
      <c r="CY140" s="427">
        <f t="shared" si="333"/>
        <v>5</v>
      </c>
      <c r="CZ140" s="427">
        <f t="shared" si="334"/>
        <v>0</v>
      </c>
      <c r="DA140" s="607">
        <f t="shared" si="349"/>
        <v>0</v>
      </c>
      <c r="DB140" s="607">
        <f t="shared" si="335"/>
        <v>110</v>
      </c>
      <c r="DC140" s="607">
        <f t="shared" si="284"/>
        <v>1.657173547996966E-3</v>
      </c>
      <c r="DD140" s="609"/>
      <c r="DE140" s="471">
        <v>19</v>
      </c>
      <c r="DF140" s="473"/>
      <c r="DG140" s="473">
        <f t="shared" si="285"/>
        <v>19</v>
      </c>
      <c r="DH140" s="473">
        <f t="shared" si="266"/>
        <v>0</v>
      </c>
      <c r="DI140" s="227">
        <f t="shared" si="336"/>
        <v>0</v>
      </c>
      <c r="DJ140" s="473">
        <f t="shared" si="337"/>
        <v>80.2</v>
      </c>
      <c r="DK140" s="227">
        <f t="shared" si="338"/>
        <v>1.2082301686305152E-3</v>
      </c>
      <c r="DL140" s="510"/>
      <c r="DM140" s="63">
        <v>1400</v>
      </c>
      <c r="DN140" s="64"/>
      <c r="DO140" s="66">
        <f t="shared" si="339"/>
        <v>1300</v>
      </c>
      <c r="DP140" s="66">
        <f t="shared" si="267"/>
        <v>100</v>
      </c>
      <c r="DQ140" s="412">
        <f t="shared" si="340"/>
        <v>0.16487475289396411</v>
      </c>
      <c r="DR140" s="66">
        <f t="shared" si="341"/>
        <v>15700</v>
      </c>
      <c r="DS140" s="412">
        <f t="shared" si="342"/>
        <v>0.23652386094138517</v>
      </c>
      <c r="DT140" s="506"/>
      <c r="DU140" s="596">
        <v>0</v>
      </c>
      <c r="DV140" s="596"/>
      <c r="DW140" s="596">
        <f t="shared" si="286"/>
        <v>0</v>
      </c>
      <c r="DX140" s="596">
        <f t="shared" si="268"/>
        <v>0</v>
      </c>
      <c r="DY140" s="592">
        <f t="shared" si="287"/>
        <v>0</v>
      </c>
      <c r="DZ140" s="596">
        <f t="shared" si="343"/>
        <v>2800</v>
      </c>
      <c r="EA140" s="592">
        <f t="shared" si="288"/>
        <v>4.2182599403559139E-2</v>
      </c>
      <c r="EB140" s="594"/>
      <c r="EC140" s="448">
        <v>110</v>
      </c>
      <c r="ED140" s="449"/>
      <c r="EE140" s="449">
        <f t="shared" si="289"/>
        <v>55</v>
      </c>
      <c r="EF140" s="449">
        <f t="shared" si="269"/>
        <v>55</v>
      </c>
      <c r="EG140" s="450">
        <f t="shared" si="347"/>
        <v>9.0681114091680254E-2</v>
      </c>
      <c r="EH140" s="449">
        <f t="shared" si="344"/>
        <v>755</v>
      </c>
      <c r="EI140" s="450">
        <f t="shared" si="348"/>
        <v>1.1374236624888267E-2</v>
      </c>
      <c r="EJ140" s="520"/>
      <c r="EK140" s="426">
        <v>3813</v>
      </c>
      <c r="EL140" s="427"/>
      <c r="EM140" s="427">
        <f t="shared" si="290"/>
        <v>3000</v>
      </c>
      <c r="EN140" s="427">
        <f t="shared" si="270"/>
        <v>813</v>
      </c>
      <c r="EO140" s="427">
        <f t="shared" si="291"/>
        <v>63622</v>
      </c>
      <c r="EP140" s="456">
        <v>90</v>
      </c>
      <c r="EQ140" s="457"/>
      <c r="ER140" s="457">
        <f t="shared" si="292"/>
        <v>45</v>
      </c>
      <c r="ES140" s="457">
        <f t="shared" si="271"/>
        <v>45</v>
      </c>
      <c r="ET140" s="457">
        <f t="shared" si="293"/>
        <v>1538</v>
      </c>
      <c r="EU140" s="409">
        <v>0</v>
      </c>
      <c r="EV140" s="43"/>
      <c r="EW140" s="43">
        <f t="shared" si="294"/>
        <v>0</v>
      </c>
      <c r="EX140" s="43">
        <f t="shared" si="272"/>
        <v>0</v>
      </c>
      <c r="EY140" s="43">
        <f t="shared" si="295"/>
        <v>740</v>
      </c>
      <c r="EZ140" s="436">
        <v>84</v>
      </c>
      <c r="FA140" s="437"/>
      <c r="FB140" s="437">
        <f t="shared" si="296"/>
        <v>80</v>
      </c>
      <c r="FC140" s="437">
        <f t="shared" si="273"/>
        <v>4</v>
      </c>
      <c r="FD140" s="437">
        <f t="shared" si="297"/>
        <v>810</v>
      </c>
      <c r="FE140" s="442">
        <v>111</v>
      </c>
      <c r="FF140" s="443"/>
      <c r="FG140" s="443">
        <f t="shared" si="298"/>
        <v>111</v>
      </c>
      <c r="FH140" s="443">
        <f t="shared" si="274"/>
        <v>0</v>
      </c>
      <c r="FI140" s="443">
        <f t="shared" si="299"/>
        <v>889</v>
      </c>
      <c r="FJ140" s="392">
        <v>750</v>
      </c>
      <c r="FK140" s="298">
        <v>900</v>
      </c>
      <c r="FL140" s="298">
        <f t="shared" si="300"/>
        <v>1650</v>
      </c>
      <c r="FM140" s="298">
        <f t="shared" si="275"/>
        <v>0</v>
      </c>
      <c r="FN140" s="498">
        <f t="shared" si="301"/>
        <v>2150</v>
      </c>
      <c r="HC140" s="402"/>
      <c r="HD140" s="52"/>
      <c r="HE140" s="52">
        <f t="shared" si="302"/>
        <v>0</v>
      </c>
      <c r="HF140" s="52">
        <f t="shared" si="276"/>
        <v>0</v>
      </c>
      <c r="HG140" s="51"/>
      <c r="HH140" s="52">
        <f t="shared" si="345"/>
        <v>400</v>
      </c>
      <c r="HI140" s="51"/>
      <c r="HJ140" s="1047"/>
    </row>
    <row r="141" spans="1:218" ht="15.75" thickBot="1">
      <c r="A141" s="807">
        <v>44804</v>
      </c>
      <c r="B141" s="390">
        <v>623586</v>
      </c>
      <c r="C141" s="18">
        <f t="shared" si="256"/>
        <v>67001667</v>
      </c>
      <c r="D141" s="376">
        <v>6512.48</v>
      </c>
      <c r="E141" s="417">
        <f t="shared" si="255"/>
        <v>856379.37999999977</v>
      </c>
      <c r="F141" s="397">
        <v>24705</v>
      </c>
      <c r="G141" s="37"/>
      <c r="H141" s="37">
        <f t="shared" si="277"/>
        <v>22857</v>
      </c>
      <c r="I141" s="37">
        <f t="shared" si="257"/>
        <v>1848</v>
      </c>
      <c r="J141" s="37">
        <f t="shared" si="258"/>
        <v>283.76286760189669</v>
      </c>
      <c r="K141" s="37">
        <f t="shared" si="303"/>
        <v>391510</v>
      </c>
      <c r="L141" s="37">
        <f t="shared" si="259"/>
        <v>457.16887765326635</v>
      </c>
      <c r="M141" s="648"/>
      <c r="N141" s="422">
        <v>100</v>
      </c>
      <c r="O141" s="423"/>
      <c r="P141" s="423">
        <f t="shared" si="304"/>
        <v>50</v>
      </c>
      <c r="Q141" s="423">
        <f t="shared" si="305"/>
        <v>50</v>
      </c>
      <c r="R141" s="423">
        <f t="shared" si="306"/>
        <v>10575</v>
      </c>
      <c r="S141" s="68">
        <v>6.6</v>
      </c>
      <c r="T141" s="67">
        <v>24</v>
      </c>
      <c r="U141" s="68">
        <f t="shared" si="307"/>
        <v>79.199999999999989</v>
      </c>
      <c r="V141" s="68">
        <f t="shared" si="260"/>
        <v>12.161265754366999</v>
      </c>
      <c r="W141" s="423">
        <f t="shared" si="308"/>
        <v>10378.704000000002</v>
      </c>
      <c r="X141" s="68">
        <f t="shared" si="261"/>
        <v>12.119282928087321</v>
      </c>
      <c r="Y141" s="500"/>
      <c r="Z141" s="424">
        <v>100</v>
      </c>
      <c r="AA141" s="425"/>
      <c r="AB141" s="425">
        <f t="shared" si="309"/>
        <v>75</v>
      </c>
      <c r="AC141" s="425">
        <f t="shared" si="310"/>
        <v>25</v>
      </c>
      <c r="AD141" s="425">
        <f t="shared" si="311"/>
        <v>1725</v>
      </c>
      <c r="AE141" s="72">
        <v>2.2999999999999998</v>
      </c>
      <c r="AF141" s="71">
        <v>12</v>
      </c>
      <c r="AG141" s="72">
        <f t="shared" si="312"/>
        <v>13.799999999999999</v>
      </c>
      <c r="AH141" s="72">
        <f t="shared" si="278"/>
        <v>2.1190084268972802</v>
      </c>
      <c r="AI141" s="425">
        <f t="shared" si="313"/>
        <v>1595.5920000000006</v>
      </c>
      <c r="AJ141" s="72">
        <f t="shared" si="346"/>
        <v>1.8631835810899615</v>
      </c>
      <c r="AK141" s="502"/>
      <c r="AL141" s="491">
        <v>30836</v>
      </c>
      <c r="AM141" s="491"/>
      <c r="AN141" s="492">
        <f t="shared" si="248"/>
        <v>30836</v>
      </c>
      <c r="AO141" s="492">
        <f t="shared" si="249"/>
        <v>0</v>
      </c>
      <c r="AP141" s="492">
        <f t="shared" si="250"/>
        <v>52737</v>
      </c>
      <c r="AQ141" s="493">
        <f t="shared" si="279"/>
        <v>61.581351947077493</v>
      </c>
      <c r="AR141" s="504"/>
      <c r="AS141" s="413">
        <v>29156</v>
      </c>
      <c r="AT141" s="64"/>
      <c r="AU141" s="66">
        <f t="shared" si="314"/>
        <v>27009</v>
      </c>
      <c r="AV141" s="66">
        <f t="shared" si="262"/>
        <v>2147</v>
      </c>
      <c r="AW141" s="412">
        <f t="shared" si="315"/>
        <v>3.4429894192621386</v>
      </c>
      <c r="AX141" s="66">
        <f t="shared" si="316"/>
        <v>162216</v>
      </c>
      <c r="AY141" s="412">
        <f t="shared" si="317"/>
        <v>2.4210740905894177</v>
      </c>
      <c r="AZ141" s="506"/>
      <c r="BA141" s="419">
        <v>19800</v>
      </c>
      <c r="BB141" s="419"/>
      <c r="BC141" s="407"/>
      <c r="BD141" s="419">
        <f t="shared" si="280"/>
        <v>0</v>
      </c>
      <c r="BE141" s="419">
        <f t="shared" si="281"/>
        <v>19800</v>
      </c>
      <c r="BF141" s="407">
        <f t="shared" si="318"/>
        <v>31.751835352301047</v>
      </c>
      <c r="BG141" s="419">
        <f t="shared" si="251"/>
        <v>93335</v>
      </c>
      <c r="BH141" s="407">
        <f t="shared" si="319"/>
        <v>1.3930250421978307</v>
      </c>
      <c r="BI141" s="407">
        <f t="shared" si="320"/>
        <v>0.1705744949629997</v>
      </c>
      <c r="BJ141" s="508"/>
      <c r="BK141" s="510"/>
      <c r="BL141" s="49">
        <v>1194</v>
      </c>
      <c r="BM141" s="50">
        <v>900</v>
      </c>
      <c r="BN141" s="52">
        <f t="shared" si="321"/>
        <v>1753</v>
      </c>
      <c r="BO141" s="52">
        <f t="shared" si="263"/>
        <v>341</v>
      </c>
      <c r="BP141" s="406">
        <f t="shared" si="322"/>
        <v>0.54683716440074026</v>
      </c>
      <c r="BQ141" s="52">
        <f t="shared" si="323"/>
        <v>30547</v>
      </c>
      <c r="BR141" s="406">
        <f t="shared" si="324"/>
        <v>0.45591402972108142</v>
      </c>
      <c r="BS141" s="512"/>
      <c r="BT141" s="409">
        <v>2885</v>
      </c>
      <c r="BU141" s="43"/>
      <c r="BV141" s="43">
        <f t="shared" si="245"/>
        <v>2586</v>
      </c>
      <c r="BW141" s="43">
        <f t="shared" si="246"/>
        <v>299</v>
      </c>
      <c r="BX141" s="42">
        <f t="shared" si="325"/>
        <v>0.47948478638070774</v>
      </c>
      <c r="BY141" s="43">
        <f t="shared" si="247"/>
        <v>13851</v>
      </c>
      <c r="BZ141" s="42">
        <f t="shared" si="326"/>
        <v>0.20672619981231213</v>
      </c>
      <c r="CA141" s="514"/>
      <c r="CB141" s="392">
        <v>805</v>
      </c>
      <c r="CC141" s="298">
        <v>2300</v>
      </c>
      <c r="CD141" s="298">
        <f t="shared" si="282"/>
        <v>2484</v>
      </c>
      <c r="CE141" s="298">
        <f t="shared" si="264"/>
        <v>621</v>
      </c>
      <c r="CF141" s="297">
        <f t="shared" si="327"/>
        <v>0.9958530178676237</v>
      </c>
      <c r="CG141" s="298">
        <f t="shared" si="328"/>
        <v>55416</v>
      </c>
      <c r="CH141" s="297">
        <f t="shared" si="329"/>
        <v>0.82708389927074499</v>
      </c>
      <c r="CI141" s="516"/>
      <c r="CJ141" s="659">
        <v>350</v>
      </c>
      <c r="CK141" s="651"/>
      <c r="CL141" s="657">
        <f t="shared" si="252"/>
        <v>50</v>
      </c>
      <c r="CM141" s="657">
        <f t="shared" si="253"/>
        <v>300</v>
      </c>
      <c r="CN141" s="659">
        <f t="shared" si="254"/>
        <v>16450</v>
      </c>
      <c r="CO141" s="464">
        <v>20</v>
      </c>
      <c r="CP141" s="465"/>
      <c r="CQ141" s="465">
        <f t="shared" si="283"/>
        <v>20</v>
      </c>
      <c r="CR141" s="465">
        <f t="shared" si="265"/>
        <v>0</v>
      </c>
      <c r="CS141" s="486">
        <f t="shared" si="330"/>
        <v>0</v>
      </c>
      <c r="CT141" s="465">
        <f t="shared" si="331"/>
        <v>1439</v>
      </c>
      <c r="CU141" s="486">
        <f t="shared" si="332"/>
        <v>2.1477077577786236E-2</v>
      </c>
      <c r="CV141" s="518"/>
      <c r="CW141" s="427">
        <v>5</v>
      </c>
      <c r="CX141" s="427"/>
      <c r="CY141" s="427">
        <f t="shared" si="333"/>
        <v>5</v>
      </c>
      <c r="CZ141" s="427">
        <f t="shared" si="334"/>
        <v>0</v>
      </c>
      <c r="DA141" s="607">
        <f t="shared" si="349"/>
        <v>0</v>
      </c>
      <c r="DB141" s="607">
        <f t="shared" si="335"/>
        <v>110</v>
      </c>
      <c r="DC141" s="607">
        <f t="shared" si="284"/>
        <v>1.6417501970510675E-3</v>
      </c>
      <c r="DD141" s="609"/>
      <c r="DE141" s="471">
        <v>19</v>
      </c>
      <c r="DF141" s="473"/>
      <c r="DG141" s="473">
        <f t="shared" si="285"/>
        <v>19</v>
      </c>
      <c r="DH141" s="473">
        <f t="shared" si="266"/>
        <v>0</v>
      </c>
      <c r="DI141" s="227">
        <f t="shared" si="336"/>
        <v>0</v>
      </c>
      <c r="DJ141" s="473">
        <f t="shared" si="337"/>
        <v>80.2</v>
      </c>
      <c r="DK141" s="227">
        <f t="shared" si="338"/>
        <v>1.1969851436681419E-3</v>
      </c>
      <c r="DL141" s="510"/>
      <c r="DM141" s="63">
        <v>1300</v>
      </c>
      <c r="DN141" s="64"/>
      <c r="DO141" s="66">
        <f t="shared" si="339"/>
        <v>1050</v>
      </c>
      <c r="DP141" s="66">
        <f t="shared" si="267"/>
        <v>250</v>
      </c>
      <c r="DQ141" s="412">
        <f t="shared" si="340"/>
        <v>0.40090701202400308</v>
      </c>
      <c r="DR141" s="66">
        <f t="shared" si="341"/>
        <v>15950</v>
      </c>
      <c r="DS141" s="412">
        <f t="shared" si="342"/>
        <v>0.23805377857240478</v>
      </c>
      <c r="DT141" s="506"/>
      <c r="DU141" s="596">
        <v>0</v>
      </c>
      <c r="DV141" s="596"/>
      <c r="DW141" s="596">
        <f t="shared" si="286"/>
        <v>0</v>
      </c>
      <c r="DX141" s="596">
        <f t="shared" si="268"/>
        <v>0</v>
      </c>
      <c r="DY141" s="592">
        <f t="shared" si="287"/>
        <v>0</v>
      </c>
      <c r="DZ141" s="596">
        <f t="shared" si="343"/>
        <v>2800</v>
      </c>
      <c r="EA141" s="592">
        <f t="shared" si="288"/>
        <v>4.1790005015845351E-2</v>
      </c>
      <c r="EB141" s="594"/>
      <c r="EC141" s="448">
        <v>55</v>
      </c>
      <c r="ED141" s="449">
        <v>55</v>
      </c>
      <c r="EE141" s="449">
        <f t="shared" si="289"/>
        <v>110</v>
      </c>
      <c r="EF141" s="449">
        <f t="shared" si="269"/>
        <v>0</v>
      </c>
      <c r="EG141" s="450">
        <f t="shared" si="347"/>
        <v>0</v>
      </c>
      <c r="EH141" s="449">
        <f t="shared" si="344"/>
        <v>755</v>
      </c>
      <c r="EI141" s="450">
        <f t="shared" si="348"/>
        <v>1.1268376352486871E-2</v>
      </c>
      <c r="EJ141" s="520"/>
      <c r="EK141" s="426">
        <v>3000</v>
      </c>
      <c r="EL141" s="427"/>
      <c r="EM141" s="427">
        <f t="shared" si="290"/>
        <v>2781</v>
      </c>
      <c r="EN141" s="427">
        <f t="shared" si="270"/>
        <v>219</v>
      </c>
      <c r="EO141" s="427">
        <f t="shared" si="291"/>
        <v>63841</v>
      </c>
      <c r="EP141" s="456">
        <v>45</v>
      </c>
      <c r="EQ141" s="457">
        <v>45</v>
      </c>
      <c r="ER141" s="457">
        <f t="shared" si="292"/>
        <v>90</v>
      </c>
      <c r="ES141" s="457">
        <f t="shared" si="271"/>
        <v>0</v>
      </c>
      <c r="ET141" s="457">
        <f t="shared" si="293"/>
        <v>1538</v>
      </c>
      <c r="EU141" s="409">
        <v>0</v>
      </c>
      <c r="EV141" s="43"/>
      <c r="EW141" s="43">
        <f t="shared" si="294"/>
        <v>0</v>
      </c>
      <c r="EX141" s="43">
        <f t="shared" si="272"/>
        <v>0</v>
      </c>
      <c r="EY141" s="43">
        <f t="shared" si="295"/>
        <v>740</v>
      </c>
      <c r="EZ141" s="436">
        <v>80</v>
      </c>
      <c r="FA141" s="437"/>
      <c r="FB141" s="437">
        <f t="shared" si="296"/>
        <v>76</v>
      </c>
      <c r="FC141" s="437">
        <f t="shared" si="273"/>
        <v>4</v>
      </c>
      <c r="FD141" s="437">
        <f t="shared" si="297"/>
        <v>814</v>
      </c>
      <c r="FE141" s="442">
        <v>111</v>
      </c>
      <c r="FF141" s="443"/>
      <c r="FG141" s="443">
        <f t="shared" si="298"/>
        <v>89</v>
      </c>
      <c r="FH141" s="443">
        <f t="shared" si="274"/>
        <v>22</v>
      </c>
      <c r="FI141" s="443">
        <f t="shared" si="299"/>
        <v>911</v>
      </c>
      <c r="FJ141" s="392">
        <v>1650</v>
      </c>
      <c r="FK141" s="298"/>
      <c r="FL141" s="298">
        <f t="shared" si="300"/>
        <v>1570</v>
      </c>
      <c r="FM141" s="298">
        <f t="shared" si="275"/>
        <v>80</v>
      </c>
      <c r="FN141" s="498">
        <f t="shared" si="301"/>
        <v>2230</v>
      </c>
      <c r="HC141" s="402"/>
      <c r="HD141" s="52"/>
      <c r="HE141" s="52">
        <f t="shared" si="302"/>
        <v>0</v>
      </c>
      <c r="HF141" s="52">
        <f t="shared" si="276"/>
        <v>0</v>
      </c>
      <c r="HG141" s="51"/>
      <c r="HH141" s="52">
        <f t="shared" si="345"/>
        <v>400</v>
      </c>
      <c r="HI141" s="51"/>
      <c r="HJ141" s="1047"/>
    </row>
    <row r="142" spans="1:218">
      <c r="A142" s="800">
        <v>44805</v>
      </c>
      <c r="B142" s="391">
        <v>674441</v>
      </c>
      <c r="C142" s="801">
        <f t="shared" si="256"/>
        <v>67676108</v>
      </c>
      <c r="D142" s="802">
        <v>7287.42</v>
      </c>
      <c r="E142" s="416">
        <f t="shared" si="255"/>
        <v>863666.79999999981</v>
      </c>
      <c r="F142" s="398">
        <v>22857</v>
      </c>
      <c r="G142" s="149"/>
      <c r="H142" s="149">
        <f t="shared" si="277"/>
        <v>22857</v>
      </c>
      <c r="I142" s="149">
        <f t="shared" si="257"/>
        <v>0</v>
      </c>
      <c r="J142" s="149">
        <f t="shared" si="258"/>
        <v>0</v>
      </c>
      <c r="K142" s="149">
        <f t="shared" si="303"/>
        <v>391510</v>
      </c>
      <c r="L142" s="149">
        <f t="shared" si="259"/>
        <v>453.3113927732316</v>
      </c>
      <c r="M142" s="647"/>
      <c r="N142" s="614">
        <v>50</v>
      </c>
      <c r="O142" s="615">
        <v>375</v>
      </c>
      <c r="P142" s="615">
        <f t="shared" si="304"/>
        <v>325</v>
      </c>
      <c r="Q142" s="615">
        <f t="shared" si="305"/>
        <v>100</v>
      </c>
      <c r="R142" s="615">
        <f t="shared" si="306"/>
        <v>10675</v>
      </c>
      <c r="S142" s="102">
        <v>6.37</v>
      </c>
      <c r="T142" s="135">
        <v>24</v>
      </c>
      <c r="U142" s="102">
        <f t="shared" si="307"/>
        <v>76.44</v>
      </c>
      <c r="V142" s="102">
        <f t="shared" si="260"/>
        <v>10.489308973546192</v>
      </c>
      <c r="W142" s="615">
        <f t="shared" si="308"/>
        <v>10455.144000000002</v>
      </c>
      <c r="X142" s="102">
        <f t="shared" si="261"/>
        <v>12.105529586178378</v>
      </c>
      <c r="Y142" s="662"/>
      <c r="Z142" s="616">
        <v>75</v>
      </c>
      <c r="AA142" s="617">
        <v>50</v>
      </c>
      <c r="AB142" s="617">
        <f t="shared" si="309"/>
        <v>100</v>
      </c>
      <c r="AC142" s="617">
        <f t="shared" si="310"/>
        <v>25</v>
      </c>
      <c r="AD142" s="617">
        <f t="shared" si="311"/>
        <v>1750</v>
      </c>
      <c r="AE142" s="138">
        <v>2.4700000000000002</v>
      </c>
      <c r="AF142" s="137">
        <v>12</v>
      </c>
      <c r="AG142" s="138">
        <f t="shared" si="312"/>
        <v>14.82</v>
      </c>
      <c r="AH142" s="138">
        <f t="shared" si="278"/>
        <v>2.033641535687527</v>
      </c>
      <c r="AI142" s="617">
        <f t="shared" si="313"/>
        <v>1610.4120000000005</v>
      </c>
      <c r="AJ142" s="138">
        <f t="shared" si="346"/>
        <v>1.8646218657473006</v>
      </c>
      <c r="AK142" s="663"/>
      <c r="AL142" s="618">
        <v>30836</v>
      </c>
      <c r="AM142" s="618"/>
      <c r="AN142" s="619">
        <f t="shared" si="248"/>
        <v>29035</v>
      </c>
      <c r="AO142" s="619">
        <f t="shared" si="249"/>
        <v>1801</v>
      </c>
      <c r="AP142" s="619">
        <f t="shared" si="250"/>
        <v>54538</v>
      </c>
      <c r="AQ142" s="620">
        <f t="shared" si="279"/>
        <v>63.147037723344248</v>
      </c>
      <c r="AR142" s="664"/>
      <c r="AS142" s="410">
        <v>27009</v>
      </c>
      <c r="AT142" s="132"/>
      <c r="AU142" s="411">
        <f t="shared" si="314"/>
        <v>20409</v>
      </c>
      <c r="AV142" s="411">
        <f t="shared" si="262"/>
        <v>6600</v>
      </c>
      <c r="AW142" s="621">
        <f t="shared" si="315"/>
        <v>9.7858819377825483</v>
      </c>
      <c r="AX142" s="411">
        <f t="shared" si="316"/>
        <v>168816</v>
      </c>
      <c r="AY142" s="621">
        <f t="shared" si="317"/>
        <v>2.4944696878845338</v>
      </c>
      <c r="AZ142" s="665"/>
      <c r="BA142" s="622">
        <v>0</v>
      </c>
      <c r="BB142" s="622"/>
      <c r="BC142" s="613"/>
      <c r="BD142" s="622">
        <f t="shared" si="280"/>
        <v>0</v>
      </c>
      <c r="BE142" s="622">
        <f t="shared" si="281"/>
        <v>0</v>
      </c>
      <c r="BF142" s="613">
        <f t="shared" si="318"/>
        <v>0</v>
      </c>
      <c r="BG142" s="622">
        <f t="shared" si="251"/>
        <v>93335</v>
      </c>
      <c r="BH142" s="613">
        <f t="shared" si="319"/>
        <v>1.3791425476181343</v>
      </c>
      <c r="BI142" s="613">
        <f t="shared" si="320"/>
        <v>0.16887459766752666</v>
      </c>
      <c r="BJ142" s="666"/>
      <c r="BK142" s="646"/>
      <c r="BL142" s="121">
        <v>1753</v>
      </c>
      <c r="BM142" s="122"/>
      <c r="BN142" s="404">
        <f t="shared" si="321"/>
        <v>881</v>
      </c>
      <c r="BO142" s="404">
        <f t="shared" si="263"/>
        <v>872</v>
      </c>
      <c r="BP142" s="623">
        <f t="shared" si="322"/>
        <v>1.2929225832949065</v>
      </c>
      <c r="BQ142" s="404">
        <f t="shared" si="323"/>
        <v>31419</v>
      </c>
      <c r="BR142" s="623">
        <f t="shared" si="324"/>
        <v>0.46425542083477966</v>
      </c>
      <c r="BS142" s="667"/>
      <c r="BT142" s="624">
        <v>2586</v>
      </c>
      <c r="BU142" s="625"/>
      <c r="BV142" s="625">
        <f t="shared" ref="BV142:BV205" si="350">BT143</f>
        <v>2307</v>
      </c>
      <c r="BW142" s="625">
        <f t="shared" ref="BW142:BW205" si="351">BT142+BU142-BV142</f>
        <v>279</v>
      </c>
      <c r="BX142" s="126">
        <f t="shared" si="325"/>
        <v>0.41367591827898959</v>
      </c>
      <c r="BY142" s="625">
        <f t="shared" ref="BY142:BY205" si="352">BY141+BW142</f>
        <v>14130</v>
      </c>
      <c r="BZ142" s="126">
        <f t="shared" si="326"/>
        <v>0.20878860232328963</v>
      </c>
      <c r="CA142" s="668"/>
      <c r="CB142" s="626">
        <v>2484</v>
      </c>
      <c r="CC142" s="627">
        <v>1150</v>
      </c>
      <c r="CD142" s="627">
        <f t="shared" si="282"/>
        <v>3036</v>
      </c>
      <c r="CE142" s="627">
        <f t="shared" si="264"/>
        <v>598</v>
      </c>
      <c r="CF142" s="304">
        <f t="shared" si="327"/>
        <v>0.88666021193847944</v>
      </c>
      <c r="CG142" s="627">
        <f t="shared" si="328"/>
        <v>56014</v>
      </c>
      <c r="CH142" s="304">
        <f t="shared" si="329"/>
        <v>0.82767761999552336</v>
      </c>
      <c r="CI142" s="669"/>
      <c r="CJ142" s="803">
        <v>50</v>
      </c>
      <c r="CK142" s="653">
        <v>1250</v>
      </c>
      <c r="CL142" s="804">
        <f t="shared" si="252"/>
        <v>750</v>
      </c>
      <c r="CM142" s="804">
        <f t="shared" si="253"/>
        <v>550</v>
      </c>
      <c r="CN142" s="803">
        <f t="shared" si="254"/>
        <v>17000</v>
      </c>
      <c r="CO142" s="628">
        <v>20</v>
      </c>
      <c r="CP142" s="629"/>
      <c r="CQ142" s="629">
        <f t="shared" si="283"/>
        <v>20</v>
      </c>
      <c r="CR142" s="629">
        <f t="shared" si="265"/>
        <v>0</v>
      </c>
      <c r="CS142" s="488">
        <f t="shared" si="330"/>
        <v>0</v>
      </c>
      <c r="CT142" s="629">
        <f t="shared" si="331"/>
        <v>1439</v>
      </c>
      <c r="CU142" s="488">
        <f t="shared" si="332"/>
        <v>2.1263043081614565E-2</v>
      </c>
      <c r="CV142" s="670"/>
      <c r="CW142" s="630">
        <v>5</v>
      </c>
      <c r="CX142" s="630"/>
      <c r="CY142" s="630">
        <f t="shared" si="333"/>
        <v>5</v>
      </c>
      <c r="CZ142" s="630">
        <f t="shared" si="334"/>
        <v>0</v>
      </c>
      <c r="DA142" s="631">
        <f t="shared" si="349"/>
        <v>0</v>
      </c>
      <c r="DB142" s="631">
        <f t="shared" si="335"/>
        <v>110</v>
      </c>
      <c r="DC142" s="631">
        <f t="shared" si="284"/>
        <v>1.62538897774677E-3</v>
      </c>
      <c r="DD142" s="805"/>
      <c r="DE142" s="632">
        <v>19</v>
      </c>
      <c r="DF142" s="633"/>
      <c r="DG142" s="633">
        <f t="shared" si="285"/>
        <v>19</v>
      </c>
      <c r="DH142" s="633">
        <f t="shared" si="266"/>
        <v>0</v>
      </c>
      <c r="DI142" s="229">
        <f t="shared" si="336"/>
        <v>0</v>
      </c>
      <c r="DJ142" s="633">
        <f t="shared" si="337"/>
        <v>80.2</v>
      </c>
      <c r="DK142" s="229">
        <f t="shared" si="338"/>
        <v>1.1850563274117358E-3</v>
      </c>
      <c r="DL142" s="646"/>
      <c r="DM142" s="131">
        <v>1050</v>
      </c>
      <c r="DN142" s="132"/>
      <c r="DO142" s="411">
        <f t="shared" si="339"/>
        <v>1020</v>
      </c>
      <c r="DP142" s="411">
        <f t="shared" si="267"/>
        <v>30</v>
      </c>
      <c r="DQ142" s="621">
        <f t="shared" si="340"/>
        <v>4.4481281535375221E-2</v>
      </c>
      <c r="DR142" s="411">
        <f t="shared" si="341"/>
        <v>15980</v>
      </c>
      <c r="DS142" s="621">
        <f t="shared" si="342"/>
        <v>0.23612468967630348</v>
      </c>
      <c r="DT142" s="665"/>
      <c r="DU142" s="634">
        <v>0</v>
      </c>
      <c r="DV142" s="634"/>
      <c r="DW142" s="634">
        <f t="shared" si="286"/>
        <v>0</v>
      </c>
      <c r="DX142" s="634">
        <f t="shared" si="268"/>
        <v>0</v>
      </c>
      <c r="DY142" s="635">
        <f t="shared" si="287"/>
        <v>0</v>
      </c>
      <c r="DZ142" s="634">
        <f t="shared" si="343"/>
        <v>2800</v>
      </c>
      <c r="EA142" s="635">
        <f t="shared" si="288"/>
        <v>4.1373537615372324E-2</v>
      </c>
      <c r="EB142" s="806"/>
      <c r="EC142" s="636">
        <v>110</v>
      </c>
      <c r="ED142" s="637"/>
      <c r="EE142" s="637">
        <f t="shared" si="289"/>
        <v>55</v>
      </c>
      <c r="EF142" s="637">
        <f t="shared" si="269"/>
        <v>55</v>
      </c>
      <c r="EG142" s="497">
        <f t="shared" si="347"/>
        <v>8.1549016148187908E-2</v>
      </c>
      <c r="EH142" s="637">
        <f t="shared" si="344"/>
        <v>810</v>
      </c>
      <c r="EI142" s="497">
        <f t="shared" si="348"/>
        <v>1.1968773381589852E-2</v>
      </c>
      <c r="EJ142" s="671"/>
      <c r="EK142" s="638">
        <v>2781</v>
      </c>
      <c r="EL142" s="630"/>
      <c r="EM142" s="630">
        <f t="shared" si="290"/>
        <v>2200</v>
      </c>
      <c r="EN142" s="630">
        <f t="shared" si="270"/>
        <v>581</v>
      </c>
      <c r="EO142" s="630">
        <f t="shared" si="291"/>
        <v>64422</v>
      </c>
      <c r="EP142" s="639">
        <v>90</v>
      </c>
      <c r="EQ142" s="640"/>
      <c r="ER142" s="640">
        <f t="shared" si="292"/>
        <v>90</v>
      </c>
      <c r="ES142" s="640">
        <f t="shared" si="271"/>
        <v>0</v>
      </c>
      <c r="ET142" s="640">
        <f t="shared" si="293"/>
        <v>1538</v>
      </c>
      <c r="EU142" s="624">
        <v>0</v>
      </c>
      <c r="EV142" s="625"/>
      <c r="EW142" s="625">
        <f t="shared" si="294"/>
        <v>0</v>
      </c>
      <c r="EX142" s="625">
        <f t="shared" si="272"/>
        <v>0</v>
      </c>
      <c r="EY142" s="625">
        <f t="shared" si="295"/>
        <v>740</v>
      </c>
      <c r="EZ142" s="641">
        <v>76</v>
      </c>
      <c r="FA142" s="642"/>
      <c r="FB142" s="642">
        <f t="shared" si="296"/>
        <v>72</v>
      </c>
      <c r="FC142" s="642">
        <f t="shared" si="273"/>
        <v>4</v>
      </c>
      <c r="FD142" s="642">
        <f t="shared" si="297"/>
        <v>818</v>
      </c>
      <c r="FE142" s="643">
        <v>89</v>
      </c>
      <c r="FF142" s="644"/>
      <c r="FG142" s="644">
        <f t="shared" si="298"/>
        <v>89</v>
      </c>
      <c r="FH142" s="644">
        <f t="shared" si="274"/>
        <v>0</v>
      </c>
      <c r="FI142" s="644">
        <f t="shared" si="299"/>
        <v>911</v>
      </c>
      <c r="FJ142" s="626">
        <v>1570</v>
      </c>
      <c r="FK142" s="627"/>
      <c r="FL142" s="627">
        <f t="shared" si="300"/>
        <v>1500</v>
      </c>
      <c r="FM142" s="627">
        <f t="shared" si="275"/>
        <v>70</v>
      </c>
      <c r="FN142" s="645">
        <f t="shared" si="301"/>
        <v>2300</v>
      </c>
      <c r="FO142" s="332"/>
      <c r="FP142" s="332"/>
      <c r="FQ142" s="332"/>
      <c r="FR142" s="332"/>
      <c r="FS142" s="332"/>
      <c r="FT142" s="332"/>
      <c r="FU142" s="332"/>
      <c r="FV142" s="332"/>
      <c r="FW142" s="332"/>
      <c r="FX142" s="332"/>
      <c r="FY142" s="332"/>
      <c r="FZ142" s="332"/>
      <c r="GA142" s="332"/>
      <c r="GB142" s="332"/>
      <c r="GC142" s="332"/>
      <c r="GD142" s="332"/>
      <c r="GE142" s="332"/>
      <c r="GF142" s="332"/>
      <c r="GG142" s="332"/>
      <c r="GH142" s="332"/>
      <c r="GI142" s="332"/>
      <c r="GJ142" s="332"/>
      <c r="GK142" s="332"/>
      <c r="GL142" s="332"/>
      <c r="GM142" s="332"/>
      <c r="GN142" s="332"/>
      <c r="GO142" s="332"/>
      <c r="GP142" s="332"/>
      <c r="GQ142" s="332"/>
      <c r="GR142" s="332"/>
      <c r="GS142" s="332"/>
      <c r="GT142" s="332"/>
      <c r="GU142" s="332"/>
      <c r="GV142" s="332"/>
      <c r="GW142" s="332"/>
      <c r="GX142" s="332"/>
      <c r="GY142" s="332"/>
      <c r="GZ142" s="332"/>
      <c r="HA142" s="332"/>
      <c r="HB142" s="332"/>
      <c r="HC142" s="401">
        <v>0</v>
      </c>
      <c r="HD142" s="404">
        <v>0</v>
      </c>
      <c r="HE142" s="404">
        <f t="shared" si="302"/>
        <v>0</v>
      </c>
      <c r="HF142" s="404">
        <f t="shared" si="276"/>
        <v>0</v>
      </c>
      <c r="HG142" s="123"/>
      <c r="HH142" s="404">
        <f t="shared" si="345"/>
        <v>400</v>
      </c>
      <c r="HI142" s="123"/>
      <c r="HJ142" s="1046"/>
    </row>
    <row r="143" spans="1:218">
      <c r="A143" s="807">
        <v>44806</v>
      </c>
      <c r="B143" s="390">
        <v>646633</v>
      </c>
      <c r="C143" s="18">
        <f t="shared" si="256"/>
        <v>68322741</v>
      </c>
      <c r="D143" s="376">
        <v>7396.24</v>
      </c>
      <c r="E143" s="417">
        <f t="shared" si="255"/>
        <v>871063.0399999998</v>
      </c>
      <c r="F143" s="397">
        <v>22857</v>
      </c>
      <c r="G143" s="37"/>
      <c r="H143" s="37">
        <f t="shared" si="277"/>
        <v>21933</v>
      </c>
      <c r="I143" s="37">
        <f t="shared" si="257"/>
        <v>924</v>
      </c>
      <c r="J143" s="37">
        <f t="shared" si="258"/>
        <v>124.92834196835149</v>
      </c>
      <c r="K143" s="37">
        <f t="shared" si="303"/>
        <v>392434</v>
      </c>
      <c r="L143" s="37">
        <f t="shared" si="259"/>
        <v>450.52307580401998</v>
      </c>
      <c r="M143" s="648"/>
      <c r="N143" s="422">
        <v>325</v>
      </c>
      <c r="O143" s="423"/>
      <c r="P143" s="423">
        <f t="shared" si="304"/>
        <v>225</v>
      </c>
      <c r="Q143" s="423">
        <f t="shared" si="305"/>
        <v>100</v>
      </c>
      <c r="R143" s="423">
        <f t="shared" si="306"/>
        <v>10775</v>
      </c>
      <c r="S143" s="68">
        <v>6.97</v>
      </c>
      <c r="T143" s="67">
        <v>24</v>
      </c>
      <c r="U143" s="68">
        <f t="shared" si="307"/>
        <v>83.64</v>
      </c>
      <c r="V143" s="68">
        <f t="shared" si="260"/>
        <v>11.308448617135193</v>
      </c>
      <c r="W143" s="423">
        <f t="shared" si="308"/>
        <v>10538.784000000001</v>
      </c>
      <c r="X143" s="68">
        <f t="shared" si="261"/>
        <v>12.098761531656772</v>
      </c>
      <c r="Y143" s="500"/>
      <c r="Z143" s="424">
        <v>100</v>
      </c>
      <c r="AA143" s="425"/>
      <c r="AB143" s="425">
        <f t="shared" si="309"/>
        <v>100</v>
      </c>
      <c r="AC143" s="425">
        <f t="shared" si="310"/>
        <v>0</v>
      </c>
      <c r="AD143" s="425">
        <f t="shared" si="311"/>
        <v>1750</v>
      </c>
      <c r="AE143" s="72">
        <v>2.48</v>
      </c>
      <c r="AF143" s="71">
        <v>12</v>
      </c>
      <c r="AG143" s="72">
        <f t="shared" si="312"/>
        <v>14.879999999999999</v>
      </c>
      <c r="AH143" s="72">
        <f t="shared" si="278"/>
        <v>2.0118330394903357</v>
      </c>
      <c r="AI143" s="425">
        <f t="shared" si="313"/>
        <v>1625.2920000000006</v>
      </c>
      <c r="AJ143" s="72">
        <f t="shared" si="346"/>
        <v>1.8658718432135533</v>
      </c>
      <c r="AK143" s="502"/>
      <c r="AL143" s="491">
        <v>29035</v>
      </c>
      <c r="AM143" s="491"/>
      <c r="AN143" s="492">
        <f t="shared" si="248"/>
        <v>29035</v>
      </c>
      <c r="AO143" s="492">
        <f t="shared" si="249"/>
        <v>0</v>
      </c>
      <c r="AP143" s="492">
        <f t="shared" si="250"/>
        <v>54538</v>
      </c>
      <c r="AQ143" s="493">
        <f t="shared" si="279"/>
        <v>62.610853056054374</v>
      </c>
      <c r="AR143" s="504"/>
      <c r="AS143" s="413">
        <v>20409</v>
      </c>
      <c r="AT143" s="64"/>
      <c r="AU143" s="66">
        <f t="shared" si="314"/>
        <v>14868</v>
      </c>
      <c r="AV143" s="66">
        <f t="shared" si="262"/>
        <v>5541</v>
      </c>
      <c r="AW143" s="412">
        <f t="shared" si="315"/>
        <v>8.5690028192189391</v>
      </c>
      <c r="AX143" s="66">
        <f t="shared" si="316"/>
        <v>174357</v>
      </c>
      <c r="AY143" s="412">
        <f t="shared" si="317"/>
        <v>2.5519614325777709</v>
      </c>
      <c r="AZ143" s="506"/>
      <c r="BA143" s="419">
        <v>0</v>
      </c>
      <c r="BB143" s="419"/>
      <c r="BC143" s="407"/>
      <c r="BD143" s="419">
        <f t="shared" si="280"/>
        <v>0</v>
      </c>
      <c r="BE143" s="419">
        <f t="shared" si="281"/>
        <v>0</v>
      </c>
      <c r="BF143" s="407">
        <f t="shared" si="318"/>
        <v>0</v>
      </c>
      <c r="BG143" s="419">
        <f t="shared" si="251"/>
        <v>93335</v>
      </c>
      <c r="BH143" s="407">
        <f t="shared" si="319"/>
        <v>1.3660898060281277</v>
      </c>
      <c r="BI143" s="407">
        <f t="shared" si="320"/>
        <v>0.16727630277895442</v>
      </c>
      <c r="BJ143" s="508"/>
      <c r="BK143" s="510"/>
      <c r="BL143" s="49">
        <v>881</v>
      </c>
      <c r="BM143" s="50">
        <v>900</v>
      </c>
      <c r="BN143" s="52">
        <f t="shared" si="321"/>
        <v>1422</v>
      </c>
      <c r="BO143" s="52">
        <f t="shared" si="263"/>
        <v>359</v>
      </c>
      <c r="BP143" s="406">
        <f t="shared" si="322"/>
        <v>0.55518354306074702</v>
      </c>
      <c r="BQ143" s="52">
        <f t="shared" si="323"/>
        <v>31778</v>
      </c>
      <c r="BR143" s="406">
        <f t="shared" si="324"/>
        <v>0.46511599995673475</v>
      </c>
      <c r="BS143" s="512"/>
      <c r="BT143" s="409">
        <v>2307</v>
      </c>
      <c r="BU143" s="43"/>
      <c r="BV143" s="43">
        <f t="shared" si="350"/>
        <v>2058</v>
      </c>
      <c r="BW143" s="43">
        <f t="shared" si="351"/>
        <v>249</v>
      </c>
      <c r="BX143" s="42">
        <f t="shared" si="325"/>
        <v>0.3850715939334986</v>
      </c>
      <c r="BY143" s="43">
        <f t="shared" si="352"/>
        <v>14379</v>
      </c>
      <c r="BZ143" s="42">
        <f t="shared" si="326"/>
        <v>0.21045701313417739</v>
      </c>
      <c r="CA143" s="514"/>
      <c r="CB143" s="392">
        <v>3036</v>
      </c>
      <c r="CC143" s="298"/>
      <c r="CD143" s="298">
        <f t="shared" si="282"/>
        <v>2415</v>
      </c>
      <c r="CE143" s="298">
        <f t="shared" si="264"/>
        <v>621</v>
      </c>
      <c r="CF143" s="297">
        <f t="shared" si="327"/>
        <v>0.96035927643655672</v>
      </c>
      <c r="CG143" s="298">
        <f t="shared" si="328"/>
        <v>56635</v>
      </c>
      <c r="CH143" s="297">
        <f t="shared" si="329"/>
        <v>0.82893337080841067</v>
      </c>
      <c r="CI143" s="516"/>
      <c r="CJ143" s="659">
        <v>750</v>
      </c>
      <c r="CK143" s="651">
        <v>1000</v>
      </c>
      <c r="CL143" s="657">
        <f t="shared" si="252"/>
        <v>1550</v>
      </c>
      <c r="CM143" s="657">
        <f t="shared" si="253"/>
        <v>200</v>
      </c>
      <c r="CN143" s="659">
        <f t="shared" si="254"/>
        <v>17200</v>
      </c>
      <c r="CO143" s="464">
        <v>20</v>
      </c>
      <c r="CP143" s="465"/>
      <c r="CQ143" s="465">
        <f t="shared" si="283"/>
        <v>20</v>
      </c>
      <c r="CR143" s="465">
        <f t="shared" si="265"/>
        <v>0</v>
      </c>
      <c r="CS143" s="486">
        <f t="shared" si="330"/>
        <v>0</v>
      </c>
      <c r="CT143" s="465">
        <f t="shared" si="331"/>
        <v>1439</v>
      </c>
      <c r="CU143" s="486">
        <f t="shared" si="332"/>
        <v>2.10618013700592E-2</v>
      </c>
      <c r="CV143" s="518"/>
      <c r="CW143" s="427">
        <v>5</v>
      </c>
      <c r="CX143" s="427"/>
      <c r="CY143" s="427">
        <f t="shared" si="333"/>
        <v>5</v>
      </c>
      <c r="CZ143" s="427">
        <f t="shared" si="334"/>
        <v>0</v>
      </c>
      <c r="DA143" s="607">
        <f t="shared" si="349"/>
        <v>0</v>
      </c>
      <c r="DB143" s="607">
        <f t="shared" si="335"/>
        <v>110</v>
      </c>
      <c r="DC143" s="607">
        <f t="shared" si="284"/>
        <v>1.6100056641462906E-3</v>
      </c>
      <c r="DD143" s="609"/>
      <c r="DE143" s="471">
        <v>19</v>
      </c>
      <c r="DF143" s="473"/>
      <c r="DG143" s="473">
        <f t="shared" si="285"/>
        <v>19</v>
      </c>
      <c r="DH143" s="473">
        <f t="shared" si="266"/>
        <v>0</v>
      </c>
      <c r="DI143" s="227">
        <f t="shared" si="336"/>
        <v>0</v>
      </c>
      <c r="DJ143" s="473">
        <f t="shared" si="337"/>
        <v>80.2</v>
      </c>
      <c r="DK143" s="227">
        <f t="shared" si="338"/>
        <v>1.1738404933139318E-3</v>
      </c>
      <c r="DL143" s="510"/>
      <c r="DM143" s="63">
        <v>1020</v>
      </c>
      <c r="DN143" s="64"/>
      <c r="DO143" s="66">
        <f t="shared" si="339"/>
        <v>940</v>
      </c>
      <c r="DP143" s="66">
        <f t="shared" si="267"/>
        <v>80</v>
      </c>
      <c r="DQ143" s="412">
        <f t="shared" si="340"/>
        <v>0.12371778118345336</v>
      </c>
      <c r="DR143" s="66">
        <f t="shared" si="341"/>
        <v>16060</v>
      </c>
      <c r="DS143" s="412">
        <f t="shared" si="342"/>
        <v>0.23506082696535843</v>
      </c>
      <c r="DT143" s="506"/>
      <c r="DU143" s="596">
        <v>0</v>
      </c>
      <c r="DV143" s="596"/>
      <c r="DW143" s="596">
        <f t="shared" si="286"/>
        <v>0</v>
      </c>
      <c r="DX143" s="596">
        <f t="shared" si="268"/>
        <v>0</v>
      </c>
      <c r="DY143" s="592">
        <f t="shared" si="287"/>
        <v>0</v>
      </c>
      <c r="DZ143" s="596">
        <f t="shared" si="343"/>
        <v>2800</v>
      </c>
      <c r="EA143" s="592">
        <f t="shared" si="288"/>
        <v>4.0981962360087394E-2</v>
      </c>
      <c r="EB143" s="594"/>
      <c r="EC143" s="448">
        <v>55</v>
      </c>
      <c r="ED143" s="449">
        <v>100</v>
      </c>
      <c r="EE143" s="449">
        <f t="shared" si="289"/>
        <v>110</v>
      </c>
      <c r="EF143" s="449">
        <f t="shared" si="269"/>
        <v>45</v>
      </c>
      <c r="EG143" s="450">
        <f t="shared" si="347"/>
        <v>6.9591251915692515E-2</v>
      </c>
      <c r="EH143" s="449">
        <f t="shared" si="344"/>
        <v>855</v>
      </c>
      <c r="EI143" s="450">
        <f t="shared" si="348"/>
        <v>1.2514134934955259E-2</v>
      </c>
      <c r="EJ143" s="520"/>
      <c r="EK143" s="426">
        <v>2200</v>
      </c>
      <c r="EL143" s="427">
        <v>1200</v>
      </c>
      <c r="EM143" s="427">
        <f t="shared" si="290"/>
        <v>2906</v>
      </c>
      <c r="EN143" s="427">
        <f t="shared" si="270"/>
        <v>494</v>
      </c>
      <c r="EO143" s="427">
        <f t="shared" si="291"/>
        <v>64916</v>
      </c>
      <c r="EP143" s="456">
        <v>90</v>
      </c>
      <c r="EQ143" s="457"/>
      <c r="ER143" s="457">
        <f t="shared" si="292"/>
        <v>90</v>
      </c>
      <c r="ES143" s="457">
        <f t="shared" si="271"/>
        <v>0</v>
      </c>
      <c r="ET143" s="457">
        <f t="shared" si="293"/>
        <v>1538</v>
      </c>
      <c r="EU143" s="409">
        <v>0</v>
      </c>
      <c r="EV143" s="43"/>
      <c r="EW143" s="43">
        <f t="shared" si="294"/>
        <v>0</v>
      </c>
      <c r="EX143" s="43">
        <f t="shared" si="272"/>
        <v>0</v>
      </c>
      <c r="EY143" s="43">
        <f t="shared" si="295"/>
        <v>740</v>
      </c>
      <c r="EZ143" s="436">
        <v>72</v>
      </c>
      <c r="FA143" s="437"/>
      <c r="FB143" s="437">
        <f t="shared" si="296"/>
        <v>69</v>
      </c>
      <c r="FC143" s="437">
        <f t="shared" si="273"/>
        <v>3</v>
      </c>
      <c r="FD143" s="437">
        <f t="shared" si="297"/>
        <v>821</v>
      </c>
      <c r="FE143" s="442">
        <v>89</v>
      </c>
      <c r="FF143" s="443"/>
      <c r="FG143" s="443">
        <f t="shared" si="298"/>
        <v>89</v>
      </c>
      <c r="FH143" s="443">
        <f t="shared" si="274"/>
        <v>0</v>
      </c>
      <c r="FI143" s="443">
        <f t="shared" si="299"/>
        <v>911</v>
      </c>
      <c r="FJ143" s="392">
        <v>1500</v>
      </c>
      <c r="FK143" s="298"/>
      <c r="FL143" s="298">
        <f t="shared" si="300"/>
        <v>1420</v>
      </c>
      <c r="FM143" s="298">
        <f t="shared" si="275"/>
        <v>80</v>
      </c>
      <c r="FN143" s="498">
        <f t="shared" si="301"/>
        <v>2380</v>
      </c>
      <c r="HC143" s="402">
        <v>0</v>
      </c>
      <c r="HD143" s="52">
        <v>0</v>
      </c>
      <c r="HE143" s="52">
        <f t="shared" si="302"/>
        <v>0</v>
      </c>
      <c r="HF143" s="52">
        <f t="shared" si="276"/>
        <v>0</v>
      </c>
      <c r="HG143" s="51"/>
      <c r="HH143" s="52">
        <f t="shared" si="345"/>
        <v>400</v>
      </c>
      <c r="HI143" s="51"/>
      <c r="HJ143" s="1047"/>
    </row>
    <row r="144" spans="1:218">
      <c r="A144" s="807">
        <v>44807</v>
      </c>
      <c r="B144" s="390">
        <v>667944</v>
      </c>
      <c r="C144" s="18">
        <f t="shared" si="256"/>
        <v>68990685</v>
      </c>
      <c r="D144" s="376">
        <v>5822.54</v>
      </c>
      <c r="E144" s="417">
        <f t="shared" si="255"/>
        <v>876885.57999999984</v>
      </c>
      <c r="F144" s="397">
        <v>21933</v>
      </c>
      <c r="G144" s="37"/>
      <c r="H144" s="37">
        <f t="shared" si="277"/>
        <v>18236</v>
      </c>
      <c r="I144" s="37">
        <f t="shared" si="257"/>
        <v>3697</v>
      </c>
      <c r="J144" s="37">
        <f t="shared" si="258"/>
        <v>634.94626056669426</v>
      </c>
      <c r="K144" s="37">
        <f t="shared" si="303"/>
        <v>396131</v>
      </c>
      <c r="L144" s="37">
        <f t="shared" si="259"/>
        <v>451.74764990433539</v>
      </c>
      <c r="M144" s="648"/>
      <c r="N144" s="422">
        <v>225</v>
      </c>
      <c r="O144" s="423"/>
      <c r="P144" s="423">
        <f t="shared" si="304"/>
        <v>150</v>
      </c>
      <c r="Q144" s="423">
        <f t="shared" si="305"/>
        <v>75</v>
      </c>
      <c r="R144" s="423">
        <f t="shared" si="306"/>
        <v>10850</v>
      </c>
      <c r="S144" s="68">
        <v>6.56</v>
      </c>
      <c r="T144" s="67">
        <v>24</v>
      </c>
      <c r="U144" s="68">
        <f t="shared" si="307"/>
        <v>78.72</v>
      </c>
      <c r="V144" s="68">
        <f t="shared" si="260"/>
        <v>13.519872770302994</v>
      </c>
      <c r="W144" s="423">
        <f t="shared" si="308"/>
        <v>10617.504000000001</v>
      </c>
      <c r="X144" s="68">
        <f t="shared" si="261"/>
        <v>12.108197742286972</v>
      </c>
      <c r="Y144" s="500"/>
      <c r="Z144" s="424">
        <v>100</v>
      </c>
      <c r="AA144" s="425"/>
      <c r="AB144" s="425">
        <f t="shared" si="309"/>
        <v>75</v>
      </c>
      <c r="AC144" s="425">
        <f t="shared" si="310"/>
        <v>25</v>
      </c>
      <c r="AD144" s="425">
        <f t="shared" si="311"/>
        <v>1775</v>
      </c>
      <c r="AE144" s="72">
        <v>2.0499999999999998</v>
      </c>
      <c r="AF144" s="71">
        <v>12</v>
      </c>
      <c r="AG144" s="72">
        <f t="shared" si="312"/>
        <v>12.299999999999999</v>
      </c>
      <c r="AH144" s="72">
        <f t="shared" si="278"/>
        <v>2.1124801203598427</v>
      </c>
      <c r="AI144" s="425">
        <f t="shared" si="313"/>
        <v>1637.5920000000006</v>
      </c>
      <c r="AJ144" s="72">
        <f t="shared" si="346"/>
        <v>1.8675093277277985</v>
      </c>
      <c r="AK144" s="502"/>
      <c r="AL144" s="491">
        <v>29035</v>
      </c>
      <c r="AM144" s="491"/>
      <c r="AN144" s="492">
        <f t="shared" si="248"/>
        <v>29035</v>
      </c>
      <c r="AO144" s="492">
        <f t="shared" si="249"/>
        <v>0</v>
      </c>
      <c r="AP144" s="492">
        <f t="shared" si="250"/>
        <v>54538</v>
      </c>
      <c r="AQ144" s="493">
        <f t="shared" si="279"/>
        <v>62.195115581670315</v>
      </c>
      <c r="AR144" s="504"/>
      <c r="AS144" s="413">
        <v>14868</v>
      </c>
      <c r="AT144" s="64"/>
      <c r="AU144" s="66">
        <f t="shared" si="314"/>
        <v>9089</v>
      </c>
      <c r="AV144" s="66">
        <f t="shared" si="262"/>
        <v>5779</v>
      </c>
      <c r="AW144" s="412">
        <f t="shared" si="315"/>
        <v>8.6519229156935307</v>
      </c>
      <c r="AX144" s="66">
        <f t="shared" si="316"/>
        <v>180136</v>
      </c>
      <c r="AY144" s="412">
        <f t="shared" si="317"/>
        <v>2.6110191542524905</v>
      </c>
      <c r="AZ144" s="506"/>
      <c r="BA144" s="419">
        <v>0</v>
      </c>
      <c r="BB144" s="419">
        <v>26375</v>
      </c>
      <c r="BC144" s="407"/>
      <c r="BD144" s="419">
        <f t="shared" si="280"/>
        <v>26375</v>
      </c>
      <c r="BE144" s="419">
        <f t="shared" si="281"/>
        <v>0</v>
      </c>
      <c r="BF144" s="407">
        <f t="shared" si="318"/>
        <v>0</v>
      </c>
      <c r="BG144" s="419">
        <f t="shared" si="251"/>
        <v>93335</v>
      </c>
      <c r="BH144" s="407">
        <f t="shared" si="319"/>
        <v>1.3528637960327543</v>
      </c>
      <c r="BI144" s="407">
        <f t="shared" si="320"/>
        <v>0.16565679135094952</v>
      </c>
      <c r="BJ144" s="508"/>
      <c r="BK144" s="510"/>
      <c r="BL144" s="49">
        <v>1422</v>
      </c>
      <c r="BM144" s="50"/>
      <c r="BN144" s="52">
        <f t="shared" si="321"/>
        <v>1088</v>
      </c>
      <c r="BO144" s="52">
        <f t="shared" si="263"/>
        <v>334</v>
      </c>
      <c r="BP144" s="406">
        <f t="shared" si="322"/>
        <v>0.50004191968188949</v>
      </c>
      <c r="BQ144" s="52">
        <f t="shared" si="323"/>
        <v>32112</v>
      </c>
      <c r="BR144" s="406">
        <f t="shared" si="324"/>
        <v>0.46545414065681473</v>
      </c>
      <c r="BS144" s="512"/>
      <c r="BT144" s="409">
        <v>2058</v>
      </c>
      <c r="BU144" s="43"/>
      <c r="BV144" s="43">
        <f t="shared" si="350"/>
        <v>1765</v>
      </c>
      <c r="BW144" s="43">
        <f t="shared" si="351"/>
        <v>293</v>
      </c>
      <c r="BX144" s="42">
        <f t="shared" si="325"/>
        <v>0.43865952834369348</v>
      </c>
      <c r="BY144" s="43">
        <f t="shared" si="352"/>
        <v>14672</v>
      </c>
      <c r="BZ144" s="42">
        <f t="shared" si="326"/>
        <v>0.2126663911222218</v>
      </c>
      <c r="CA144" s="514"/>
      <c r="CB144" s="392">
        <v>2415</v>
      </c>
      <c r="CC144" s="298"/>
      <c r="CD144" s="298">
        <f t="shared" si="282"/>
        <v>1782</v>
      </c>
      <c r="CE144" s="298">
        <f t="shared" si="264"/>
        <v>633</v>
      </c>
      <c r="CF144" s="297">
        <f t="shared" si="327"/>
        <v>0.94768423700190441</v>
      </c>
      <c r="CG144" s="298">
        <f t="shared" si="328"/>
        <v>57268</v>
      </c>
      <c r="CH144" s="297">
        <f t="shared" si="329"/>
        <v>0.83008307570797424</v>
      </c>
      <c r="CI144" s="516"/>
      <c r="CJ144" s="659">
        <v>1550</v>
      </c>
      <c r="CK144" s="651"/>
      <c r="CL144" s="657">
        <f t="shared" si="252"/>
        <v>1375</v>
      </c>
      <c r="CM144" s="657">
        <f t="shared" si="253"/>
        <v>175</v>
      </c>
      <c r="CN144" s="659">
        <f t="shared" si="254"/>
        <v>17375</v>
      </c>
      <c r="CO144" s="464">
        <v>20</v>
      </c>
      <c r="CP144" s="465"/>
      <c r="CQ144" s="465">
        <f t="shared" si="283"/>
        <v>20</v>
      </c>
      <c r="CR144" s="465">
        <f t="shared" si="265"/>
        <v>0</v>
      </c>
      <c r="CS144" s="486">
        <f t="shared" si="330"/>
        <v>0</v>
      </c>
      <c r="CT144" s="465">
        <f t="shared" si="331"/>
        <v>1439</v>
      </c>
      <c r="CU144" s="486">
        <f t="shared" si="332"/>
        <v>2.0857888278685739E-2</v>
      </c>
      <c r="CV144" s="518"/>
      <c r="CW144" s="427">
        <v>5</v>
      </c>
      <c r="CX144" s="427"/>
      <c r="CY144" s="427">
        <f t="shared" si="333"/>
        <v>5</v>
      </c>
      <c r="CZ144" s="427">
        <f t="shared" si="334"/>
        <v>0</v>
      </c>
      <c r="DA144" s="607">
        <f t="shared" si="349"/>
        <v>0</v>
      </c>
      <c r="DB144" s="607">
        <f t="shared" si="335"/>
        <v>110</v>
      </c>
      <c r="DC144" s="607">
        <f t="shared" si="284"/>
        <v>1.5944181450002998E-3</v>
      </c>
      <c r="DD144" s="609"/>
      <c r="DE144" s="471">
        <v>19</v>
      </c>
      <c r="DF144" s="473"/>
      <c r="DG144" s="473">
        <f t="shared" si="285"/>
        <v>5</v>
      </c>
      <c r="DH144" s="473">
        <f t="shared" si="266"/>
        <v>14</v>
      </c>
      <c r="DI144" s="227">
        <f t="shared" si="336"/>
        <v>2.0959840944749859E-2</v>
      </c>
      <c r="DJ144" s="473">
        <f t="shared" si="337"/>
        <v>94.2</v>
      </c>
      <c r="DK144" s="227">
        <f t="shared" si="338"/>
        <v>1.3654017205366202E-3</v>
      </c>
      <c r="DL144" s="510"/>
      <c r="DM144" s="63">
        <v>940</v>
      </c>
      <c r="DN144" s="64"/>
      <c r="DO144" s="66">
        <f t="shared" si="339"/>
        <v>820</v>
      </c>
      <c r="DP144" s="66">
        <f t="shared" si="267"/>
        <v>120</v>
      </c>
      <c r="DQ144" s="412">
        <f t="shared" si="340"/>
        <v>0.17965577952642736</v>
      </c>
      <c r="DR144" s="66">
        <f t="shared" si="341"/>
        <v>16180</v>
      </c>
      <c r="DS144" s="412">
        <f t="shared" si="342"/>
        <v>0.23452441441913499</v>
      </c>
      <c r="DT144" s="506"/>
      <c r="DU144" s="596">
        <v>0</v>
      </c>
      <c r="DV144" s="596"/>
      <c r="DW144" s="596">
        <f t="shared" si="286"/>
        <v>0</v>
      </c>
      <c r="DX144" s="596">
        <f t="shared" si="268"/>
        <v>0</v>
      </c>
      <c r="DY144" s="592">
        <f t="shared" si="287"/>
        <v>0</v>
      </c>
      <c r="DZ144" s="596">
        <f t="shared" si="343"/>
        <v>2800</v>
      </c>
      <c r="EA144" s="592">
        <f t="shared" si="288"/>
        <v>4.0585189145462171E-2</v>
      </c>
      <c r="EB144" s="594"/>
      <c r="EC144" s="448">
        <v>110</v>
      </c>
      <c r="ED144" s="449"/>
      <c r="EE144" s="449">
        <f t="shared" si="289"/>
        <v>110</v>
      </c>
      <c r="EF144" s="449">
        <f t="shared" si="269"/>
        <v>0</v>
      </c>
      <c r="EG144" s="450">
        <f t="shared" si="347"/>
        <v>0</v>
      </c>
      <c r="EH144" s="449">
        <f t="shared" si="344"/>
        <v>855</v>
      </c>
      <c r="EI144" s="450">
        <f t="shared" si="348"/>
        <v>1.2392977399775056E-2</v>
      </c>
      <c r="EJ144" s="520"/>
      <c r="EK144" s="426">
        <v>2906</v>
      </c>
      <c r="EL144" s="427"/>
      <c r="EM144" s="427">
        <f t="shared" si="290"/>
        <v>2363</v>
      </c>
      <c r="EN144" s="427">
        <f t="shared" si="270"/>
        <v>543</v>
      </c>
      <c r="EO144" s="427">
        <f t="shared" si="291"/>
        <v>65459</v>
      </c>
      <c r="EP144" s="456">
        <v>90</v>
      </c>
      <c r="EQ144" s="457"/>
      <c r="ER144" s="457">
        <f t="shared" si="292"/>
        <v>45</v>
      </c>
      <c r="ES144" s="457">
        <f t="shared" si="271"/>
        <v>45</v>
      </c>
      <c r="ET144" s="457">
        <f t="shared" si="293"/>
        <v>1583</v>
      </c>
      <c r="EU144" s="409">
        <v>0</v>
      </c>
      <c r="EV144" s="43"/>
      <c r="EW144" s="43">
        <f t="shared" si="294"/>
        <v>0</v>
      </c>
      <c r="EX144" s="43">
        <f t="shared" si="272"/>
        <v>0</v>
      </c>
      <c r="EY144" s="43">
        <f t="shared" si="295"/>
        <v>740</v>
      </c>
      <c r="EZ144" s="436">
        <v>69</v>
      </c>
      <c r="FA144" s="437"/>
      <c r="FB144" s="437">
        <f t="shared" si="296"/>
        <v>63</v>
      </c>
      <c r="FC144" s="437">
        <f t="shared" si="273"/>
        <v>6</v>
      </c>
      <c r="FD144" s="437">
        <f t="shared" si="297"/>
        <v>827</v>
      </c>
      <c r="FE144" s="442">
        <v>89</v>
      </c>
      <c r="FF144" s="443"/>
      <c r="FG144" s="443">
        <f t="shared" si="298"/>
        <v>89</v>
      </c>
      <c r="FH144" s="443">
        <f t="shared" si="274"/>
        <v>0</v>
      </c>
      <c r="FI144" s="443">
        <f t="shared" si="299"/>
        <v>911</v>
      </c>
      <c r="FJ144" s="392">
        <v>1420</v>
      </c>
      <c r="FK144" s="298"/>
      <c r="FL144" s="298">
        <f t="shared" si="300"/>
        <v>1390</v>
      </c>
      <c r="FM144" s="298">
        <f t="shared" si="275"/>
        <v>30</v>
      </c>
      <c r="FN144" s="498">
        <f t="shared" si="301"/>
        <v>2410</v>
      </c>
      <c r="HC144" s="402">
        <v>0</v>
      </c>
      <c r="HD144" s="52">
        <v>0</v>
      </c>
      <c r="HE144" s="52">
        <f t="shared" si="302"/>
        <v>0</v>
      </c>
      <c r="HF144" s="52">
        <f t="shared" si="276"/>
        <v>0</v>
      </c>
      <c r="HG144" s="51"/>
      <c r="HH144" s="52">
        <f t="shared" si="345"/>
        <v>400</v>
      </c>
      <c r="HI144" s="51"/>
      <c r="HJ144" s="1047"/>
    </row>
    <row r="145" spans="1:218">
      <c r="A145" s="807">
        <v>44808</v>
      </c>
      <c r="B145" s="390">
        <v>577078</v>
      </c>
      <c r="C145" s="18">
        <f t="shared" si="256"/>
        <v>69567763</v>
      </c>
      <c r="D145" s="376">
        <v>6764.3</v>
      </c>
      <c r="E145" s="417">
        <f t="shared" si="255"/>
        <v>883649.87999999989</v>
      </c>
      <c r="F145" s="397">
        <v>18236</v>
      </c>
      <c r="G145" s="37"/>
      <c r="H145" s="37">
        <f t="shared" si="277"/>
        <v>17312</v>
      </c>
      <c r="I145" s="37">
        <f t="shared" si="257"/>
        <v>924</v>
      </c>
      <c r="J145" s="37">
        <f t="shared" si="258"/>
        <v>136.59950031784516</v>
      </c>
      <c r="K145" s="37">
        <f t="shared" si="303"/>
        <v>397055</v>
      </c>
      <c r="L145" s="37">
        <f t="shared" si="259"/>
        <v>449.33520502486806</v>
      </c>
      <c r="M145" s="648"/>
      <c r="N145" s="422">
        <v>150</v>
      </c>
      <c r="O145" s="423"/>
      <c r="P145" s="423">
        <f t="shared" si="304"/>
        <v>100</v>
      </c>
      <c r="Q145" s="423">
        <f t="shared" si="305"/>
        <v>50</v>
      </c>
      <c r="R145" s="423">
        <f t="shared" si="306"/>
        <v>10900</v>
      </c>
      <c r="S145" s="68">
        <v>5.96</v>
      </c>
      <c r="T145" s="67">
        <v>24</v>
      </c>
      <c r="U145" s="68">
        <f t="shared" si="307"/>
        <v>71.52</v>
      </c>
      <c r="V145" s="68">
        <f t="shared" si="260"/>
        <v>10.573156128498145</v>
      </c>
      <c r="W145" s="423">
        <f t="shared" si="308"/>
        <v>10689.024000000001</v>
      </c>
      <c r="X145" s="68">
        <f t="shared" si="261"/>
        <v>12.096447067926952</v>
      </c>
      <c r="Y145" s="500"/>
      <c r="Z145" s="424">
        <v>75</v>
      </c>
      <c r="AA145" s="425"/>
      <c r="AB145" s="425">
        <f t="shared" si="309"/>
        <v>75</v>
      </c>
      <c r="AC145" s="425">
        <f t="shared" si="310"/>
        <v>0</v>
      </c>
      <c r="AD145" s="425">
        <f t="shared" si="311"/>
        <v>1775</v>
      </c>
      <c r="AE145" s="72">
        <v>2.4500000000000002</v>
      </c>
      <c r="AF145" s="71">
        <v>12</v>
      </c>
      <c r="AG145" s="72">
        <f t="shared" si="312"/>
        <v>14.700000000000001</v>
      </c>
      <c r="AH145" s="72">
        <f t="shared" si="278"/>
        <v>2.1731738686929916</v>
      </c>
      <c r="AI145" s="425">
        <f t="shared" si="313"/>
        <v>1652.2920000000006</v>
      </c>
      <c r="AJ145" s="72">
        <f t="shared" si="346"/>
        <v>1.8698491760107532</v>
      </c>
      <c r="AK145" s="502"/>
      <c r="AL145" s="491">
        <v>29035</v>
      </c>
      <c r="AM145" s="491"/>
      <c r="AN145" s="492">
        <f t="shared" si="248"/>
        <v>29035</v>
      </c>
      <c r="AO145" s="492">
        <f t="shared" si="249"/>
        <v>0</v>
      </c>
      <c r="AP145" s="492">
        <f t="shared" si="250"/>
        <v>54538</v>
      </c>
      <c r="AQ145" s="493">
        <f t="shared" si="279"/>
        <v>61.719014775399515</v>
      </c>
      <c r="AR145" s="504"/>
      <c r="AS145" s="413">
        <v>9089</v>
      </c>
      <c r="AT145" s="64"/>
      <c r="AU145" s="66">
        <f t="shared" si="314"/>
        <v>4518</v>
      </c>
      <c r="AV145" s="66">
        <f t="shared" si="262"/>
        <v>4571</v>
      </c>
      <c r="AW145" s="412">
        <f t="shared" si="315"/>
        <v>7.9209396303445985</v>
      </c>
      <c r="AX145" s="66">
        <f t="shared" si="316"/>
        <v>184707</v>
      </c>
      <c r="AY145" s="412">
        <f t="shared" si="317"/>
        <v>2.6550659678391555</v>
      </c>
      <c r="AZ145" s="506"/>
      <c r="BA145" s="419">
        <v>26375</v>
      </c>
      <c r="BB145" s="419"/>
      <c r="BC145" s="407"/>
      <c r="BD145" s="419">
        <f t="shared" si="280"/>
        <v>0</v>
      </c>
      <c r="BE145" s="419">
        <f t="shared" si="281"/>
        <v>26375</v>
      </c>
      <c r="BF145" s="407">
        <f t="shared" si="318"/>
        <v>45.704393513528501</v>
      </c>
      <c r="BG145" s="419">
        <f t="shared" si="251"/>
        <v>119710</v>
      </c>
      <c r="BH145" s="407">
        <f t="shared" si="319"/>
        <v>1.7207682817111714</v>
      </c>
      <c r="BI145" s="407">
        <f t="shared" si="320"/>
        <v>0.2107063202095312</v>
      </c>
      <c r="BJ145" s="508"/>
      <c r="BK145" s="510"/>
      <c r="BL145" s="49">
        <v>1088</v>
      </c>
      <c r="BM145" s="50"/>
      <c r="BN145" s="52">
        <f t="shared" si="321"/>
        <v>777</v>
      </c>
      <c r="BO145" s="52">
        <f t="shared" si="263"/>
        <v>311</v>
      </c>
      <c r="BP145" s="406">
        <f t="shared" si="322"/>
        <v>0.53892194815952088</v>
      </c>
      <c r="BQ145" s="52">
        <f t="shared" si="323"/>
        <v>32423</v>
      </c>
      <c r="BR145" s="406">
        <f t="shared" si="324"/>
        <v>0.46606357027751488</v>
      </c>
      <c r="BS145" s="512"/>
      <c r="BT145" s="409">
        <v>1765</v>
      </c>
      <c r="BU145" s="43"/>
      <c r="BV145" s="43">
        <f t="shared" si="350"/>
        <v>1452</v>
      </c>
      <c r="BW145" s="43">
        <f t="shared" si="351"/>
        <v>313</v>
      </c>
      <c r="BX145" s="42">
        <f t="shared" si="325"/>
        <v>0.54238768416054672</v>
      </c>
      <c r="BY145" s="43">
        <f t="shared" si="352"/>
        <v>14985</v>
      </c>
      <c r="BZ145" s="42">
        <f t="shared" si="326"/>
        <v>0.21540149278624929</v>
      </c>
      <c r="CA145" s="514"/>
      <c r="CB145" s="392">
        <v>1782</v>
      </c>
      <c r="CC145" s="298"/>
      <c r="CD145" s="298">
        <f t="shared" si="282"/>
        <v>1150</v>
      </c>
      <c r="CE145" s="298">
        <f t="shared" si="264"/>
        <v>632</v>
      </c>
      <c r="CF145" s="297">
        <f t="shared" si="327"/>
        <v>1.0951725763241711</v>
      </c>
      <c r="CG145" s="298">
        <f t="shared" si="328"/>
        <v>57900</v>
      </c>
      <c r="CH145" s="297">
        <f t="shared" si="329"/>
        <v>0.83228204419912133</v>
      </c>
      <c r="CI145" s="516"/>
      <c r="CJ145" s="659">
        <v>1375</v>
      </c>
      <c r="CK145" s="651"/>
      <c r="CL145" s="657">
        <f t="shared" si="252"/>
        <v>825</v>
      </c>
      <c r="CM145" s="657">
        <f t="shared" si="253"/>
        <v>550</v>
      </c>
      <c r="CN145" s="659">
        <f t="shared" si="254"/>
        <v>17925</v>
      </c>
      <c r="CO145" s="464">
        <v>20</v>
      </c>
      <c r="CP145" s="465"/>
      <c r="CQ145" s="465">
        <f t="shared" si="283"/>
        <v>20</v>
      </c>
      <c r="CR145" s="465">
        <f t="shared" si="265"/>
        <v>0</v>
      </c>
      <c r="CS145" s="486">
        <f t="shared" si="330"/>
        <v>0</v>
      </c>
      <c r="CT145" s="465">
        <f t="shared" si="331"/>
        <v>1439</v>
      </c>
      <c r="CU145" s="486">
        <f t="shared" si="332"/>
        <v>2.0684868076036884E-2</v>
      </c>
      <c r="CV145" s="518"/>
      <c r="CW145" s="427">
        <v>5</v>
      </c>
      <c r="CX145" s="427"/>
      <c r="CY145" s="427">
        <f t="shared" si="333"/>
        <v>5</v>
      </c>
      <c r="CZ145" s="427">
        <f t="shared" si="334"/>
        <v>0</v>
      </c>
      <c r="DA145" s="607">
        <f t="shared" si="349"/>
        <v>0</v>
      </c>
      <c r="DB145" s="607">
        <f t="shared" si="335"/>
        <v>110</v>
      </c>
      <c r="DC145" s="607">
        <f t="shared" si="284"/>
        <v>1.5811921392383998E-3</v>
      </c>
      <c r="DD145" s="609"/>
      <c r="DE145" s="471">
        <v>5</v>
      </c>
      <c r="DF145" s="473"/>
      <c r="DG145" s="473">
        <f t="shared" si="285"/>
        <v>5</v>
      </c>
      <c r="DH145" s="473">
        <f t="shared" si="266"/>
        <v>0</v>
      </c>
      <c r="DI145" s="227">
        <f t="shared" si="336"/>
        <v>0</v>
      </c>
      <c r="DJ145" s="473">
        <f t="shared" si="337"/>
        <v>94.2</v>
      </c>
      <c r="DK145" s="227">
        <f t="shared" si="338"/>
        <v>1.3540754501477933E-3</v>
      </c>
      <c r="DL145" s="510"/>
      <c r="DM145" s="63">
        <v>820</v>
      </c>
      <c r="DN145" s="64"/>
      <c r="DO145" s="66">
        <f t="shared" si="339"/>
        <v>740</v>
      </c>
      <c r="DP145" s="66">
        <f t="shared" si="267"/>
        <v>80</v>
      </c>
      <c r="DQ145" s="412">
        <f t="shared" si="340"/>
        <v>0.13862944004103431</v>
      </c>
      <c r="DR145" s="66">
        <f t="shared" si="341"/>
        <v>16260</v>
      </c>
      <c r="DS145" s="412">
        <f t="shared" si="342"/>
        <v>0.23372894712742165</v>
      </c>
      <c r="DT145" s="506"/>
      <c r="DU145" s="596">
        <v>0</v>
      </c>
      <c r="DV145" s="596"/>
      <c r="DW145" s="596">
        <f t="shared" si="286"/>
        <v>0</v>
      </c>
      <c r="DX145" s="596">
        <f t="shared" si="268"/>
        <v>0</v>
      </c>
      <c r="DY145" s="592">
        <f t="shared" si="287"/>
        <v>0</v>
      </c>
      <c r="DZ145" s="596">
        <f t="shared" si="343"/>
        <v>2800</v>
      </c>
      <c r="EA145" s="592">
        <f t="shared" si="288"/>
        <v>4.0248527180613815E-2</v>
      </c>
      <c r="EB145" s="594"/>
      <c r="EC145" s="448">
        <v>110</v>
      </c>
      <c r="ED145" s="449"/>
      <c r="EE145" s="449">
        <f t="shared" si="289"/>
        <v>55</v>
      </c>
      <c r="EF145" s="449">
        <f t="shared" si="269"/>
        <v>55</v>
      </c>
      <c r="EG145" s="450">
        <f t="shared" si="347"/>
        <v>9.5307740028211088E-2</v>
      </c>
      <c r="EH145" s="449">
        <f t="shared" si="344"/>
        <v>910</v>
      </c>
      <c r="EI145" s="450">
        <f t="shared" si="348"/>
        <v>1.308077133369949E-2</v>
      </c>
      <c r="EJ145" s="520"/>
      <c r="EK145" s="426">
        <v>2363</v>
      </c>
      <c r="EL145" s="427"/>
      <c r="EM145" s="427">
        <f t="shared" si="290"/>
        <v>2188</v>
      </c>
      <c r="EN145" s="427">
        <f t="shared" si="270"/>
        <v>175</v>
      </c>
      <c r="EO145" s="427">
        <f t="shared" si="291"/>
        <v>65634</v>
      </c>
      <c r="EP145" s="456">
        <v>45</v>
      </c>
      <c r="EQ145" s="457"/>
      <c r="ER145" s="457">
        <f t="shared" si="292"/>
        <v>0</v>
      </c>
      <c r="ES145" s="457">
        <f t="shared" si="271"/>
        <v>45</v>
      </c>
      <c r="ET145" s="457">
        <f t="shared" si="293"/>
        <v>1628</v>
      </c>
      <c r="EU145" s="409">
        <v>0</v>
      </c>
      <c r="EV145" s="43"/>
      <c r="EW145" s="43">
        <f t="shared" si="294"/>
        <v>0</v>
      </c>
      <c r="EX145" s="43">
        <f t="shared" si="272"/>
        <v>0</v>
      </c>
      <c r="EY145" s="43">
        <f t="shared" si="295"/>
        <v>740</v>
      </c>
      <c r="EZ145" s="436">
        <v>63</v>
      </c>
      <c r="FA145" s="437"/>
      <c r="FB145" s="437">
        <f t="shared" si="296"/>
        <v>47</v>
      </c>
      <c r="FC145" s="437">
        <f t="shared" si="273"/>
        <v>16</v>
      </c>
      <c r="FD145" s="437">
        <f t="shared" si="297"/>
        <v>843</v>
      </c>
      <c r="FE145" s="442">
        <v>89</v>
      </c>
      <c r="FF145" s="443"/>
      <c r="FG145" s="443">
        <f t="shared" si="298"/>
        <v>89</v>
      </c>
      <c r="FH145" s="443">
        <f t="shared" si="274"/>
        <v>0</v>
      </c>
      <c r="FI145" s="443">
        <f t="shared" si="299"/>
        <v>911</v>
      </c>
      <c r="FJ145" s="392">
        <v>1390</v>
      </c>
      <c r="FK145" s="298"/>
      <c r="FL145" s="298">
        <f t="shared" si="300"/>
        <v>1370</v>
      </c>
      <c r="FM145" s="298">
        <f t="shared" si="275"/>
        <v>20</v>
      </c>
      <c r="FN145" s="498">
        <f t="shared" si="301"/>
        <v>2430</v>
      </c>
      <c r="HC145" s="402">
        <v>0</v>
      </c>
      <c r="HD145" s="52">
        <v>0</v>
      </c>
      <c r="HE145" s="52">
        <f t="shared" si="302"/>
        <v>0</v>
      </c>
      <c r="HF145" s="52">
        <f t="shared" si="276"/>
        <v>0</v>
      </c>
      <c r="HG145" s="51"/>
      <c r="HH145" s="52">
        <f t="shared" si="345"/>
        <v>400</v>
      </c>
      <c r="HI145" s="51"/>
      <c r="HJ145" s="1047"/>
    </row>
    <row r="146" spans="1:218">
      <c r="A146" s="807">
        <v>44809</v>
      </c>
      <c r="B146" s="390">
        <v>645649</v>
      </c>
      <c r="C146" s="18">
        <f t="shared" si="256"/>
        <v>70213412</v>
      </c>
      <c r="D146" s="376">
        <v>6999.08</v>
      </c>
      <c r="E146" s="417">
        <f t="shared" si="255"/>
        <v>890648.95999999985</v>
      </c>
      <c r="F146" s="397">
        <v>17312</v>
      </c>
      <c r="G146" s="37">
        <v>31260</v>
      </c>
      <c r="H146" s="37">
        <f t="shared" si="277"/>
        <v>48572</v>
      </c>
      <c r="I146" s="37">
        <f t="shared" si="257"/>
        <v>0</v>
      </c>
      <c r="J146" s="37">
        <f t="shared" si="258"/>
        <v>0</v>
      </c>
      <c r="K146" s="37">
        <f t="shared" si="303"/>
        <v>397055</v>
      </c>
      <c r="L146" s="37">
        <f t="shared" si="259"/>
        <v>445.80414712436209</v>
      </c>
      <c r="M146" s="648"/>
      <c r="N146" s="422">
        <v>100</v>
      </c>
      <c r="O146" s="423">
        <v>25</v>
      </c>
      <c r="P146" s="423">
        <f t="shared" si="304"/>
        <v>25</v>
      </c>
      <c r="Q146" s="423">
        <f t="shared" si="305"/>
        <v>100</v>
      </c>
      <c r="R146" s="423">
        <f t="shared" si="306"/>
        <v>11000</v>
      </c>
      <c r="S146" s="68">
        <v>6.44</v>
      </c>
      <c r="T146" s="67">
        <v>24</v>
      </c>
      <c r="U146" s="68">
        <f t="shared" si="307"/>
        <v>77.28</v>
      </c>
      <c r="V146" s="68">
        <f t="shared" si="260"/>
        <v>11.04145116215274</v>
      </c>
      <c r="W146" s="423">
        <f t="shared" si="308"/>
        <v>10766.304000000002</v>
      </c>
      <c r="X146" s="68">
        <f t="shared" si="261"/>
        <v>12.088156483110925</v>
      </c>
      <c r="Y146" s="500"/>
      <c r="Z146" s="424">
        <v>75</v>
      </c>
      <c r="AA146" s="425"/>
      <c r="AB146" s="425">
        <f t="shared" si="309"/>
        <v>50</v>
      </c>
      <c r="AC146" s="425">
        <f t="shared" si="310"/>
        <v>25</v>
      </c>
      <c r="AD146" s="425">
        <f t="shared" si="311"/>
        <v>1800</v>
      </c>
      <c r="AE146" s="72">
        <v>2.3199999999999998</v>
      </c>
      <c r="AF146" s="71">
        <v>12</v>
      </c>
      <c r="AG146" s="72">
        <f t="shared" si="312"/>
        <v>13.919999999999998</v>
      </c>
      <c r="AH146" s="72">
        <f t="shared" si="278"/>
        <v>1.9888328180275119</v>
      </c>
      <c r="AI146" s="425">
        <f t="shared" si="313"/>
        <v>1666.2120000000007</v>
      </c>
      <c r="AJ146" s="72">
        <f t="shared" si="346"/>
        <v>1.8707841976259658</v>
      </c>
      <c r="AK146" s="502"/>
      <c r="AL146" s="491">
        <v>29035</v>
      </c>
      <c r="AM146" s="491"/>
      <c r="AN146" s="492">
        <f t="shared" ref="AN146:AN209" si="353">AL147</f>
        <v>29035</v>
      </c>
      <c r="AO146" s="492">
        <f t="shared" ref="AO146:AO209" si="354">AL146+AM146-AN146</f>
        <v>0</v>
      </c>
      <c r="AP146" s="492">
        <f t="shared" ref="AP146:AP209" si="355">AO146+AP145</f>
        <v>54538</v>
      </c>
      <c r="AQ146" s="493">
        <f t="shared" si="279"/>
        <v>61.234001777759907</v>
      </c>
      <c r="AR146" s="504"/>
      <c r="AS146" s="413">
        <v>4518</v>
      </c>
      <c r="AT146" s="64"/>
      <c r="AU146" s="66">
        <f t="shared" si="314"/>
        <v>653</v>
      </c>
      <c r="AV146" s="66">
        <f t="shared" si="262"/>
        <v>3865</v>
      </c>
      <c r="AW146" s="412">
        <f t="shared" si="315"/>
        <v>5.9862247134278839</v>
      </c>
      <c r="AX146" s="66">
        <f t="shared" si="316"/>
        <v>188572</v>
      </c>
      <c r="AY146" s="412">
        <f t="shared" si="317"/>
        <v>2.6856977125680777</v>
      </c>
      <c r="AZ146" s="506"/>
      <c r="BA146" s="419">
        <v>0</v>
      </c>
      <c r="BB146" s="419"/>
      <c r="BC146" s="407"/>
      <c r="BD146" s="419">
        <f t="shared" si="280"/>
        <v>0</v>
      </c>
      <c r="BE146" s="419">
        <f t="shared" si="281"/>
        <v>0</v>
      </c>
      <c r="BF146" s="407">
        <f t="shared" si="318"/>
        <v>0</v>
      </c>
      <c r="BG146" s="419">
        <f t="shared" ref="BG146:BG209" si="356">BG145+BE146</f>
        <v>119710</v>
      </c>
      <c r="BH146" s="407">
        <f t="shared" si="319"/>
        <v>1.7049449185007559</v>
      </c>
      <c r="BI146" s="407">
        <f t="shared" si="320"/>
        <v>0.20876876553070481</v>
      </c>
      <c r="BJ146" s="508"/>
      <c r="BK146" s="510"/>
      <c r="BL146" s="49">
        <v>777</v>
      </c>
      <c r="BM146" s="50">
        <v>1800</v>
      </c>
      <c r="BN146" s="52">
        <f t="shared" si="321"/>
        <v>2227</v>
      </c>
      <c r="BO146" s="52">
        <f t="shared" si="263"/>
        <v>350</v>
      </c>
      <c r="BP146" s="406">
        <f t="shared" si="322"/>
        <v>0.54209020690808785</v>
      </c>
      <c r="BQ146" s="52">
        <f t="shared" si="323"/>
        <v>32773</v>
      </c>
      <c r="BR146" s="406">
        <f t="shared" si="324"/>
        <v>0.46676267491458756</v>
      </c>
      <c r="BS146" s="512"/>
      <c r="BT146" s="409">
        <v>1452</v>
      </c>
      <c r="BU146" s="43"/>
      <c r="BV146" s="43">
        <f t="shared" si="350"/>
        <v>1256</v>
      </c>
      <c r="BW146" s="43">
        <f t="shared" si="351"/>
        <v>196</v>
      </c>
      <c r="BX146" s="42">
        <f t="shared" si="325"/>
        <v>0.30357051586852918</v>
      </c>
      <c r="BY146" s="43">
        <f t="shared" si="352"/>
        <v>15181</v>
      </c>
      <c r="BZ146" s="42">
        <f t="shared" si="326"/>
        <v>0.21621225300943928</v>
      </c>
      <c r="CA146" s="514"/>
      <c r="CB146" s="392">
        <v>1150</v>
      </c>
      <c r="CC146" s="298">
        <v>1150</v>
      </c>
      <c r="CD146" s="298">
        <f t="shared" si="282"/>
        <v>1748</v>
      </c>
      <c r="CE146" s="298">
        <f t="shared" si="264"/>
        <v>552</v>
      </c>
      <c r="CF146" s="297">
        <f t="shared" si="327"/>
        <v>0.85495369775218422</v>
      </c>
      <c r="CG146" s="298">
        <f t="shared" si="328"/>
        <v>58452</v>
      </c>
      <c r="CH146" s="297">
        <f t="shared" si="329"/>
        <v>0.83249052189630091</v>
      </c>
      <c r="CI146" s="516"/>
      <c r="CJ146" s="659">
        <v>825</v>
      </c>
      <c r="CK146" s="651"/>
      <c r="CL146" s="657">
        <f t="shared" ref="CL146:CL177" si="357">CJ147</f>
        <v>275</v>
      </c>
      <c r="CM146" s="657">
        <f t="shared" ref="CM146:CM177" si="358">CJ146+CK146-CL146</f>
        <v>550</v>
      </c>
      <c r="CN146" s="659">
        <f t="shared" ref="CN146:CN209" si="359">CM146+CN145</f>
        <v>18475</v>
      </c>
      <c r="CO146" s="464">
        <v>20</v>
      </c>
      <c r="CP146" s="465"/>
      <c r="CQ146" s="465">
        <f t="shared" si="283"/>
        <v>20</v>
      </c>
      <c r="CR146" s="465">
        <f t="shared" si="265"/>
        <v>0</v>
      </c>
      <c r="CS146" s="486">
        <f t="shared" si="330"/>
        <v>0</v>
      </c>
      <c r="CT146" s="465">
        <f t="shared" si="331"/>
        <v>1439</v>
      </c>
      <c r="CU146" s="486">
        <f t="shared" si="332"/>
        <v>2.0494659909135307E-2</v>
      </c>
      <c r="CV146" s="518"/>
      <c r="CW146" s="427">
        <v>5</v>
      </c>
      <c r="CX146" s="427"/>
      <c r="CY146" s="427">
        <f t="shared" si="333"/>
        <v>4</v>
      </c>
      <c r="CZ146" s="427">
        <f t="shared" si="334"/>
        <v>1</v>
      </c>
      <c r="DA146" s="607">
        <f t="shared" si="349"/>
        <v>1.5488291625945366E-3</v>
      </c>
      <c r="DB146" s="607">
        <f t="shared" si="335"/>
        <v>111</v>
      </c>
      <c r="DC146" s="607">
        <f t="shared" si="284"/>
        <v>1.5808945447630433E-3</v>
      </c>
      <c r="DD146" s="609"/>
      <c r="DE146" s="471">
        <v>5</v>
      </c>
      <c r="DF146" s="473"/>
      <c r="DG146" s="473">
        <f t="shared" si="285"/>
        <v>5</v>
      </c>
      <c r="DH146" s="473">
        <f t="shared" si="266"/>
        <v>0</v>
      </c>
      <c r="DI146" s="227">
        <f t="shared" si="336"/>
        <v>0</v>
      </c>
      <c r="DJ146" s="473">
        <f t="shared" si="337"/>
        <v>94.2</v>
      </c>
      <c r="DK146" s="227">
        <f t="shared" si="338"/>
        <v>1.3416240190691773E-3</v>
      </c>
      <c r="DL146" s="510"/>
      <c r="DM146" s="63">
        <v>740</v>
      </c>
      <c r="DN146" s="64">
        <v>1000</v>
      </c>
      <c r="DO146" s="66">
        <f t="shared" si="339"/>
        <v>1580</v>
      </c>
      <c r="DP146" s="66">
        <f t="shared" si="267"/>
        <v>160</v>
      </c>
      <c r="DQ146" s="412">
        <f t="shared" si="340"/>
        <v>0.24781266601512586</v>
      </c>
      <c r="DR146" s="66">
        <f t="shared" si="341"/>
        <v>16420</v>
      </c>
      <c r="DS146" s="412">
        <f t="shared" si="342"/>
        <v>0.23385845427936189</v>
      </c>
      <c r="DT146" s="506"/>
      <c r="DU146" s="596">
        <v>0</v>
      </c>
      <c r="DV146" s="596"/>
      <c r="DW146" s="596">
        <f t="shared" si="286"/>
        <v>0</v>
      </c>
      <c r="DX146" s="596">
        <f t="shared" si="268"/>
        <v>0</v>
      </c>
      <c r="DY146" s="592">
        <f t="shared" si="287"/>
        <v>0</v>
      </c>
      <c r="DZ146" s="596">
        <f t="shared" si="343"/>
        <v>2800</v>
      </c>
      <c r="EA146" s="592">
        <f t="shared" si="288"/>
        <v>3.9878420948977665E-2</v>
      </c>
      <c r="EB146" s="594"/>
      <c r="EC146" s="448">
        <v>55</v>
      </c>
      <c r="ED146" s="449"/>
      <c r="EE146" s="449">
        <f t="shared" si="289"/>
        <v>55</v>
      </c>
      <c r="EF146" s="449">
        <f t="shared" si="269"/>
        <v>0</v>
      </c>
      <c r="EG146" s="450">
        <f t="shared" si="347"/>
        <v>0</v>
      </c>
      <c r="EH146" s="449">
        <f t="shared" si="344"/>
        <v>910</v>
      </c>
      <c r="EI146" s="450">
        <f t="shared" si="348"/>
        <v>1.2960486808417743E-2</v>
      </c>
      <c r="EJ146" s="520"/>
      <c r="EK146" s="426">
        <v>2188</v>
      </c>
      <c r="EL146" s="427">
        <v>2500</v>
      </c>
      <c r="EM146" s="427">
        <f t="shared" si="290"/>
        <v>3738</v>
      </c>
      <c r="EN146" s="427">
        <f t="shared" si="270"/>
        <v>950</v>
      </c>
      <c r="EO146" s="427">
        <f t="shared" si="291"/>
        <v>66584</v>
      </c>
      <c r="EP146" s="456">
        <v>0</v>
      </c>
      <c r="EQ146" s="457">
        <v>180</v>
      </c>
      <c r="ER146" s="457">
        <f t="shared" si="292"/>
        <v>180</v>
      </c>
      <c r="ES146" s="457">
        <f t="shared" si="271"/>
        <v>0</v>
      </c>
      <c r="ET146" s="457">
        <f t="shared" si="293"/>
        <v>1628</v>
      </c>
      <c r="EU146" s="409">
        <v>0</v>
      </c>
      <c r="EV146" s="43"/>
      <c r="EW146" s="43">
        <f t="shared" si="294"/>
        <v>0</v>
      </c>
      <c r="EX146" s="43">
        <f t="shared" si="272"/>
        <v>0</v>
      </c>
      <c r="EY146" s="43">
        <f t="shared" si="295"/>
        <v>740</v>
      </c>
      <c r="EZ146" s="436">
        <v>47</v>
      </c>
      <c r="FA146" s="437"/>
      <c r="FB146" s="437">
        <f t="shared" si="296"/>
        <v>41</v>
      </c>
      <c r="FC146" s="437">
        <f t="shared" si="273"/>
        <v>6</v>
      </c>
      <c r="FD146" s="437">
        <f t="shared" si="297"/>
        <v>849</v>
      </c>
      <c r="FE146" s="442">
        <v>89</v>
      </c>
      <c r="FF146" s="443"/>
      <c r="FG146" s="443">
        <f t="shared" si="298"/>
        <v>67</v>
      </c>
      <c r="FH146" s="443">
        <f t="shared" si="274"/>
        <v>22</v>
      </c>
      <c r="FI146" s="443">
        <f t="shared" si="299"/>
        <v>933</v>
      </c>
      <c r="FJ146" s="392">
        <v>1370</v>
      </c>
      <c r="FK146" s="298"/>
      <c r="FL146" s="298">
        <f t="shared" si="300"/>
        <v>1300</v>
      </c>
      <c r="FM146" s="298">
        <f t="shared" si="275"/>
        <v>70</v>
      </c>
      <c r="FN146" s="498">
        <f t="shared" si="301"/>
        <v>2500</v>
      </c>
      <c r="HC146" s="402">
        <v>0</v>
      </c>
      <c r="HD146" s="52">
        <v>0</v>
      </c>
      <c r="HE146" s="52">
        <f t="shared" si="302"/>
        <v>0</v>
      </c>
      <c r="HF146" s="52">
        <f t="shared" si="276"/>
        <v>0</v>
      </c>
      <c r="HG146" s="51"/>
      <c r="HH146" s="52">
        <f t="shared" si="345"/>
        <v>400</v>
      </c>
      <c r="HI146" s="51"/>
      <c r="HJ146" s="1047"/>
    </row>
    <row r="147" spans="1:218">
      <c r="A147" s="807">
        <v>44810</v>
      </c>
      <c r="B147" s="390">
        <v>619581</v>
      </c>
      <c r="C147" s="18">
        <f t="shared" si="256"/>
        <v>70832993</v>
      </c>
      <c r="D147" s="376">
        <v>6723.68</v>
      </c>
      <c r="E147" s="417">
        <f t="shared" si="255"/>
        <v>897372.6399999999</v>
      </c>
      <c r="F147" s="397">
        <v>48572</v>
      </c>
      <c r="G147" s="37"/>
      <c r="H147" s="37">
        <f t="shared" si="277"/>
        <v>43189</v>
      </c>
      <c r="I147" s="37">
        <f t="shared" si="257"/>
        <v>5383</v>
      </c>
      <c r="J147" s="37">
        <f t="shared" si="258"/>
        <v>800.60324108226439</v>
      </c>
      <c r="K147" s="37">
        <f t="shared" si="303"/>
        <v>402438</v>
      </c>
      <c r="L147" s="37">
        <f t="shared" si="259"/>
        <v>448.46252499964794</v>
      </c>
      <c r="M147" s="648"/>
      <c r="N147" s="422">
        <v>25</v>
      </c>
      <c r="O147" s="423">
        <v>100</v>
      </c>
      <c r="P147" s="423">
        <f t="shared" si="304"/>
        <v>25</v>
      </c>
      <c r="Q147" s="423">
        <f t="shared" si="305"/>
        <v>100</v>
      </c>
      <c r="R147" s="423">
        <f t="shared" si="306"/>
        <v>11100</v>
      </c>
      <c r="S147" s="68">
        <v>7.38</v>
      </c>
      <c r="T147" s="67">
        <v>24</v>
      </c>
      <c r="U147" s="68">
        <f t="shared" si="307"/>
        <v>88.56</v>
      </c>
      <c r="V147" s="68">
        <f t="shared" si="260"/>
        <v>13.171358541750946</v>
      </c>
      <c r="W147" s="423">
        <f t="shared" si="308"/>
        <v>10854.864000000001</v>
      </c>
      <c r="X147" s="68">
        <f t="shared" si="261"/>
        <v>12.096272513946941</v>
      </c>
      <c r="Y147" s="500"/>
      <c r="Z147" s="424">
        <v>50</v>
      </c>
      <c r="AA147" s="425"/>
      <c r="AB147" s="425">
        <f t="shared" si="309"/>
        <v>25</v>
      </c>
      <c r="AC147" s="425">
        <f t="shared" si="310"/>
        <v>25</v>
      </c>
      <c r="AD147" s="425">
        <f t="shared" si="311"/>
        <v>1825</v>
      </c>
      <c r="AE147" s="72">
        <v>2.2000000000000002</v>
      </c>
      <c r="AF147" s="71">
        <v>12</v>
      </c>
      <c r="AG147" s="72">
        <f t="shared" si="312"/>
        <v>13.200000000000001</v>
      </c>
      <c r="AH147" s="72">
        <f t="shared" si="278"/>
        <v>1.9632106227542063</v>
      </c>
      <c r="AI147" s="425">
        <f t="shared" si="313"/>
        <v>1679.4120000000007</v>
      </c>
      <c r="AJ147" s="72">
        <f t="shared" si="346"/>
        <v>1.871476714511823</v>
      </c>
      <c r="AK147" s="502"/>
      <c r="AL147" s="491">
        <v>29035</v>
      </c>
      <c r="AM147" s="491"/>
      <c r="AN147" s="492">
        <f t="shared" si="353"/>
        <v>29035</v>
      </c>
      <c r="AO147" s="492">
        <f t="shared" si="354"/>
        <v>0</v>
      </c>
      <c r="AP147" s="492">
        <f t="shared" si="355"/>
        <v>54538</v>
      </c>
      <c r="AQ147" s="493">
        <f t="shared" si="279"/>
        <v>60.775198138423306</v>
      </c>
      <c r="AR147" s="504"/>
      <c r="AS147" s="413">
        <v>653</v>
      </c>
      <c r="AT147" s="64">
        <v>36480</v>
      </c>
      <c r="AU147" s="66">
        <f t="shared" si="314"/>
        <v>33733</v>
      </c>
      <c r="AV147" s="66">
        <f t="shared" si="262"/>
        <v>3400</v>
      </c>
      <c r="AW147" s="412">
        <f t="shared" si="315"/>
        <v>5.4875795093781123</v>
      </c>
      <c r="AX147" s="66">
        <f t="shared" si="316"/>
        <v>191972</v>
      </c>
      <c r="AY147" s="412">
        <f t="shared" si="317"/>
        <v>2.710205962919003</v>
      </c>
      <c r="AZ147" s="506"/>
      <c r="BA147" s="419">
        <v>0</v>
      </c>
      <c r="BB147" s="419"/>
      <c r="BC147" s="407"/>
      <c r="BD147" s="419">
        <f t="shared" si="280"/>
        <v>0</v>
      </c>
      <c r="BE147" s="419">
        <f t="shared" si="281"/>
        <v>0</v>
      </c>
      <c r="BF147" s="407">
        <f t="shared" si="318"/>
        <v>0</v>
      </c>
      <c r="BG147" s="419">
        <f t="shared" si="356"/>
        <v>119710</v>
      </c>
      <c r="BH147" s="407">
        <f t="shared" si="319"/>
        <v>1.6900316495167724</v>
      </c>
      <c r="BI147" s="407">
        <f t="shared" si="320"/>
        <v>0.20694265096123746</v>
      </c>
      <c r="BJ147" s="508"/>
      <c r="BK147" s="510"/>
      <c r="BL147" s="49">
        <v>2227</v>
      </c>
      <c r="BM147" s="50"/>
      <c r="BN147" s="52">
        <f t="shared" si="321"/>
        <v>2100</v>
      </c>
      <c r="BO147" s="52">
        <f t="shared" si="263"/>
        <v>127</v>
      </c>
      <c r="BP147" s="406">
        <f t="shared" si="322"/>
        <v>0.20497723461500594</v>
      </c>
      <c r="BQ147" s="52">
        <f t="shared" si="323"/>
        <v>32900</v>
      </c>
      <c r="BR147" s="406">
        <f t="shared" si="324"/>
        <v>0.46447281989058403</v>
      </c>
      <c r="BS147" s="512"/>
      <c r="BT147" s="409">
        <v>1256</v>
      </c>
      <c r="BU147" s="43"/>
      <c r="BV147" s="43">
        <f t="shared" si="350"/>
        <v>1003</v>
      </c>
      <c r="BW147" s="43">
        <f t="shared" si="351"/>
        <v>253</v>
      </c>
      <c r="BX147" s="42">
        <f t="shared" si="325"/>
        <v>0.40834047525666539</v>
      </c>
      <c r="BY147" s="43">
        <f t="shared" si="352"/>
        <v>15434</v>
      </c>
      <c r="BZ147" s="42">
        <f t="shared" si="326"/>
        <v>0.21789281161675605</v>
      </c>
      <c r="CA147" s="514"/>
      <c r="CB147" s="392">
        <v>1748</v>
      </c>
      <c r="CC147" s="298"/>
      <c r="CD147" s="298">
        <f t="shared" si="282"/>
        <v>1093</v>
      </c>
      <c r="CE147" s="298">
        <f t="shared" si="264"/>
        <v>655</v>
      </c>
      <c r="CF147" s="297">
        <f t="shared" si="327"/>
        <v>1.0571660525419597</v>
      </c>
      <c r="CG147" s="298">
        <f t="shared" si="328"/>
        <v>59107</v>
      </c>
      <c r="CH147" s="297">
        <f t="shared" si="329"/>
        <v>0.83445577402044835</v>
      </c>
      <c r="CI147" s="516"/>
      <c r="CJ147" s="659">
        <v>275</v>
      </c>
      <c r="CK147" s="651">
        <v>2500</v>
      </c>
      <c r="CL147" s="657">
        <f t="shared" si="357"/>
        <v>2188</v>
      </c>
      <c r="CM147" s="657">
        <f t="shared" si="358"/>
        <v>587</v>
      </c>
      <c r="CN147" s="659">
        <f t="shared" si="359"/>
        <v>19062</v>
      </c>
      <c r="CO147" s="464">
        <v>20</v>
      </c>
      <c r="CP147" s="465"/>
      <c r="CQ147" s="465">
        <f t="shared" si="283"/>
        <v>20</v>
      </c>
      <c r="CR147" s="465">
        <f t="shared" si="265"/>
        <v>0</v>
      </c>
      <c r="CS147" s="486">
        <f t="shared" si="330"/>
        <v>0</v>
      </c>
      <c r="CT147" s="465">
        <f t="shared" si="331"/>
        <v>1439</v>
      </c>
      <c r="CU147" s="486">
        <f t="shared" si="332"/>
        <v>2.0315391727129192E-2</v>
      </c>
      <c r="CV147" s="518"/>
      <c r="CW147" s="427">
        <v>4</v>
      </c>
      <c r="CX147" s="427"/>
      <c r="CY147" s="427">
        <f t="shared" si="333"/>
        <v>4</v>
      </c>
      <c r="CZ147" s="427">
        <f t="shared" si="334"/>
        <v>0</v>
      </c>
      <c r="DA147" s="607">
        <f t="shared" si="349"/>
        <v>0</v>
      </c>
      <c r="DB147" s="607">
        <f t="shared" si="335"/>
        <v>111</v>
      </c>
      <c r="DC147" s="607">
        <f t="shared" si="284"/>
        <v>1.5670663528223351E-3</v>
      </c>
      <c r="DD147" s="609"/>
      <c r="DE147" s="471">
        <v>5</v>
      </c>
      <c r="DF147" s="473"/>
      <c r="DG147" s="473">
        <f t="shared" si="285"/>
        <v>5</v>
      </c>
      <c r="DH147" s="473">
        <f t="shared" si="266"/>
        <v>0</v>
      </c>
      <c r="DI147" s="227">
        <f t="shared" si="336"/>
        <v>0</v>
      </c>
      <c r="DJ147" s="473">
        <f t="shared" si="337"/>
        <v>94.2</v>
      </c>
      <c r="DK147" s="227">
        <f t="shared" si="338"/>
        <v>1.3298887426654413E-3</v>
      </c>
      <c r="DL147" s="510"/>
      <c r="DM147" s="63">
        <v>1580</v>
      </c>
      <c r="DN147" s="64"/>
      <c r="DO147" s="66">
        <f t="shared" si="339"/>
        <v>1450</v>
      </c>
      <c r="DP147" s="66">
        <f t="shared" si="267"/>
        <v>130</v>
      </c>
      <c r="DQ147" s="412">
        <f t="shared" si="340"/>
        <v>0.20981921653504546</v>
      </c>
      <c r="DR147" s="66">
        <f t="shared" si="341"/>
        <v>16550</v>
      </c>
      <c r="DS147" s="412">
        <f t="shared" si="342"/>
        <v>0.23364818143432114</v>
      </c>
      <c r="DT147" s="506"/>
      <c r="DU147" s="596">
        <v>0</v>
      </c>
      <c r="DV147" s="596"/>
      <c r="DW147" s="596">
        <f t="shared" si="286"/>
        <v>0</v>
      </c>
      <c r="DX147" s="596">
        <f t="shared" si="268"/>
        <v>0</v>
      </c>
      <c r="DY147" s="592">
        <f t="shared" si="287"/>
        <v>0</v>
      </c>
      <c r="DZ147" s="596">
        <f t="shared" si="343"/>
        <v>2800</v>
      </c>
      <c r="EA147" s="592">
        <f t="shared" si="288"/>
        <v>3.9529601692815663E-2</v>
      </c>
      <c r="EB147" s="594"/>
      <c r="EC147" s="448">
        <v>55</v>
      </c>
      <c r="ED147" s="449"/>
      <c r="EE147" s="449">
        <f t="shared" si="289"/>
        <v>55</v>
      </c>
      <c r="EF147" s="449">
        <f t="shared" si="269"/>
        <v>0</v>
      </c>
      <c r="EG147" s="450">
        <f t="shared" si="347"/>
        <v>0</v>
      </c>
      <c r="EH147" s="449">
        <f t="shared" si="344"/>
        <v>910</v>
      </c>
      <c r="EI147" s="450">
        <f t="shared" si="348"/>
        <v>1.2847120550165091E-2</v>
      </c>
      <c r="EJ147" s="520"/>
      <c r="EK147" s="426">
        <v>3738</v>
      </c>
      <c r="EL147" s="427"/>
      <c r="EM147" s="427">
        <f t="shared" si="290"/>
        <v>3113</v>
      </c>
      <c r="EN147" s="427">
        <f t="shared" si="270"/>
        <v>625</v>
      </c>
      <c r="EO147" s="427">
        <f t="shared" si="291"/>
        <v>67209</v>
      </c>
      <c r="EP147" s="456">
        <v>180</v>
      </c>
      <c r="EQ147" s="457"/>
      <c r="ER147" s="457">
        <f t="shared" si="292"/>
        <v>180</v>
      </c>
      <c r="ES147" s="457">
        <f t="shared" si="271"/>
        <v>0</v>
      </c>
      <c r="ET147" s="457">
        <f t="shared" si="293"/>
        <v>1628</v>
      </c>
      <c r="EU147" s="409">
        <v>0</v>
      </c>
      <c r="EV147" s="43"/>
      <c r="EW147" s="43">
        <f t="shared" si="294"/>
        <v>0</v>
      </c>
      <c r="EX147" s="43">
        <f t="shared" si="272"/>
        <v>0</v>
      </c>
      <c r="EY147" s="43">
        <f t="shared" si="295"/>
        <v>740</v>
      </c>
      <c r="EZ147" s="436">
        <v>41</v>
      </c>
      <c r="FA147" s="437"/>
      <c r="FB147" s="437">
        <f t="shared" si="296"/>
        <v>35</v>
      </c>
      <c r="FC147" s="437">
        <f t="shared" si="273"/>
        <v>6</v>
      </c>
      <c r="FD147" s="437">
        <f t="shared" si="297"/>
        <v>855</v>
      </c>
      <c r="FE147" s="442">
        <v>67</v>
      </c>
      <c r="FF147" s="443"/>
      <c r="FG147" s="443">
        <f t="shared" si="298"/>
        <v>58</v>
      </c>
      <c r="FH147" s="443">
        <f t="shared" si="274"/>
        <v>9</v>
      </c>
      <c r="FI147" s="443">
        <f t="shared" si="299"/>
        <v>942</v>
      </c>
      <c r="FJ147" s="392">
        <v>1300</v>
      </c>
      <c r="FK147" s="298"/>
      <c r="FL147" s="298">
        <f t="shared" si="300"/>
        <v>1275</v>
      </c>
      <c r="FM147" s="298">
        <f t="shared" si="275"/>
        <v>25</v>
      </c>
      <c r="FN147" s="498">
        <f t="shared" si="301"/>
        <v>2525</v>
      </c>
      <c r="HC147" s="402">
        <v>0</v>
      </c>
      <c r="HD147" s="52">
        <v>0</v>
      </c>
      <c r="HE147" s="52">
        <f t="shared" si="302"/>
        <v>0</v>
      </c>
      <c r="HF147" s="52">
        <f t="shared" si="276"/>
        <v>0</v>
      </c>
      <c r="HG147" s="51"/>
      <c r="HH147" s="52">
        <f t="shared" si="345"/>
        <v>400</v>
      </c>
      <c r="HI147" s="51"/>
      <c r="HJ147" s="1047"/>
    </row>
    <row r="148" spans="1:218">
      <c r="A148" s="807">
        <v>44811</v>
      </c>
      <c r="B148" s="390">
        <v>314184</v>
      </c>
      <c r="C148" s="18">
        <f t="shared" si="256"/>
        <v>71147177</v>
      </c>
      <c r="D148" s="376">
        <v>0</v>
      </c>
      <c r="E148" s="417">
        <f t="shared" ref="E148:E211" si="360">E147+D148</f>
        <v>897372.6399999999</v>
      </c>
      <c r="F148" s="397">
        <v>43189</v>
      </c>
      <c r="G148" s="37"/>
      <c r="H148" s="37">
        <f t="shared" si="277"/>
        <v>40416</v>
      </c>
      <c r="I148" s="37">
        <f t="shared" si="257"/>
        <v>2773</v>
      </c>
      <c r="J148" s="37" t="e">
        <f t="shared" si="258"/>
        <v>#DIV/0!</v>
      </c>
      <c r="K148" s="37">
        <f t="shared" si="303"/>
        <v>405211</v>
      </c>
      <c r="L148" s="37">
        <f t="shared" si="259"/>
        <v>451.55265709906206</v>
      </c>
      <c r="M148" s="648"/>
      <c r="N148" s="422">
        <v>25</v>
      </c>
      <c r="O148" s="423"/>
      <c r="P148" s="423">
        <f t="shared" si="304"/>
        <v>25</v>
      </c>
      <c r="Q148" s="423">
        <f t="shared" si="305"/>
        <v>0</v>
      </c>
      <c r="R148" s="423">
        <f t="shared" si="306"/>
        <v>11100</v>
      </c>
      <c r="S148" s="68">
        <v>1.49</v>
      </c>
      <c r="T148" s="67">
        <v>24</v>
      </c>
      <c r="U148" s="68">
        <f t="shared" si="307"/>
        <v>17.88</v>
      </c>
      <c r="V148" s="68" t="e">
        <f t="shared" si="260"/>
        <v>#DIV/0!</v>
      </c>
      <c r="W148" s="423">
        <f t="shared" si="308"/>
        <v>10872.744000000001</v>
      </c>
      <c r="X148" s="68">
        <f t="shared" si="261"/>
        <v>12.116197346957225</v>
      </c>
      <c r="Y148" s="500"/>
      <c r="Z148" s="424">
        <v>25</v>
      </c>
      <c r="AA148" s="425"/>
      <c r="AB148" s="425">
        <f t="shared" si="309"/>
        <v>25</v>
      </c>
      <c r="AC148" s="425">
        <f t="shared" si="310"/>
        <v>0</v>
      </c>
      <c r="AD148" s="425">
        <f t="shared" si="311"/>
        <v>1825</v>
      </c>
      <c r="AE148" s="72">
        <v>0.43</v>
      </c>
      <c r="AF148" s="71">
        <v>12</v>
      </c>
      <c r="AG148" s="72">
        <f t="shared" si="312"/>
        <v>2.58</v>
      </c>
      <c r="AH148" s="72" t="e">
        <f t="shared" si="278"/>
        <v>#DIV/0!</v>
      </c>
      <c r="AI148" s="425">
        <f t="shared" si="313"/>
        <v>1681.9920000000006</v>
      </c>
      <c r="AJ148" s="72">
        <f t="shared" si="346"/>
        <v>1.8743517743086093</v>
      </c>
      <c r="AK148" s="502"/>
      <c r="AL148" s="491">
        <v>29035</v>
      </c>
      <c r="AM148" s="491"/>
      <c r="AN148" s="492">
        <f t="shared" si="353"/>
        <v>23607</v>
      </c>
      <c r="AO148" s="492">
        <f t="shared" si="354"/>
        <v>5428</v>
      </c>
      <c r="AP148" s="492">
        <f t="shared" si="355"/>
        <v>59966</v>
      </c>
      <c r="AQ148" s="493">
        <f t="shared" si="279"/>
        <v>66.823967354297778</v>
      </c>
      <c r="AR148" s="504"/>
      <c r="AS148" s="413">
        <v>33733</v>
      </c>
      <c r="AT148" s="64"/>
      <c r="AU148" s="66">
        <f t="shared" si="314"/>
        <v>32926</v>
      </c>
      <c r="AV148" s="66">
        <f t="shared" si="262"/>
        <v>807</v>
      </c>
      <c r="AW148" s="412">
        <f t="shared" si="315"/>
        <v>2.5685585516767246</v>
      </c>
      <c r="AX148" s="66">
        <f t="shared" si="316"/>
        <v>192779</v>
      </c>
      <c r="AY148" s="412">
        <f t="shared" si="317"/>
        <v>2.7095804518006386</v>
      </c>
      <c r="AZ148" s="506"/>
      <c r="BA148" s="419">
        <v>0</v>
      </c>
      <c r="BB148" s="419"/>
      <c r="BC148" s="407"/>
      <c r="BD148" s="419">
        <f t="shared" si="280"/>
        <v>0</v>
      </c>
      <c r="BE148" s="419">
        <f t="shared" si="281"/>
        <v>0</v>
      </c>
      <c r="BF148" s="407">
        <f t="shared" si="318"/>
        <v>0</v>
      </c>
      <c r="BG148" s="419">
        <f t="shared" si="356"/>
        <v>119710</v>
      </c>
      <c r="BH148" s="407">
        <f t="shared" si="319"/>
        <v>1.6825685156840446</v>
      </c>
      <c r="BI148" s="407">
        <f t="shared" si="320"/>
        <v>0.20602879783886263</v>
      </c>
      <c r="BJ148" s="508"/>
      <c r="BK148" s="510"/>
      <c r="BL148" s="49">
        <v>2100</v>
      </c>
      <c r="BM148" s="50"/>
      <c r="BN148" s="52">
        <f t="shared" si="321"/>
        <v>2091</v>
      </c>
      <c r="BO148" s="52">
        <f t="shared" si="263"/>
        <v>9</v>
      </c>
      <c r="BP148" s="406">
        <f t="shared" si="322"/>
        <v>2.8645634405316631E-2</v>
      </c>
      <c r="BQ148" s="52">
        <f t="shared" si="323"/>
        <v>32909</v>
      </c>
      <c r="BR148" s="406">
        <f t="shared" si="324"/>
        <v>0.46254821888435571</v>
      </c>
      <c r="BS148" s="512"/>
      <c r="BT148" s="409">
        <v>1003</v>
      </c>
      <c r="BU148" s="43"/>
      <c r="BV148" s="43">
        <f t="shared" si="350"/>
        <v>964</v>
      </c>
      <c r="BW148" s="43">
        <f t="shared" si="351"/>
        <v>39</v>
      </c>
      <c r="BX148" s="42">
        <f t="shared" si="325"/>
        <v>0.12413108242303873</v>
      </c>
      <c r="BY148" s="43">
        <f t="shared" si="352"/>
        <v>15473</v>
      </c>
      <c r="BZ148" s="42">
        <f t="shared" si="326"/>
        <v>0.217478762368885</v>
      </c>
      <c r="CA148" s="514"/>
      <c r="CB148" s="392">
        <v>1093</v>
      </c>
      <c r="CC148" s="298"/>
      <c r="CD148" s="298">
        <f t="shared" si="282"/>
        <v>839</v>
      </c>
      <c r="CE148" s="298">
        <f t="shared" si="264"/>
        <v>254</v>
      </c>
      <c r="CF148" s="297">
        <f t="shared" si="327"/>
        <v>0.8084434598833804</v>
      </c>
      <c r="CG148" s="298">
        <f t="shared" si="328"/>
        <v>59361</v>
      </c>
      <c r="CH148" s="297">
        <f t="shared" si="329"/>
        <v>0.83434090434817954</v>
      </c>
      <c r="CI148" s="516"/>
      <c r="CJ148" s="659">
        <v>2188</v>
      </c>
      <c r="CK148" s="651"/>
      <c r="CL148" s="657">
        <f t="shared" si="357"/>
        <v>2025</v>
      </c>
      <c r="CM148" s="657">
        <f t="shared" si="358"/>
        <v>163</v>
      </c>
      <c r="CN148" s="659">
        <f t="shared" si="359"/>
        <v>19225</v>
      </c>
      <c r="CO148" s="464">
        <v>20</v>
      </c>
      <c r="CP148" s="465"/>
      <c r="CQ148" s="465">
        <f t="shared" si="283"/>
        <v>20</v>
      </c>
      <c r="CR148" s="465">
        <f t="shared" si="265"/>
        <v>0</v>
      </c>
      <c r="CS148" s="486">
        <f t="shared" si="330"/>
        <v>0</v>
      </c>
      <c r="CT148" s="465">
        <f t="shared" si="331"/>
        <v>1439</v>
      </c>
      <c r="CU148" s="486">
        <f t="shared" si="332"/>
        <v>2.0225679509392198E-2</v>
      </c>
      <c r="CV148" s="518"/>
      <c r="CW148" s="427">
        <v>4</v>
      </c>
      <c r="CX148" s="427"/>
      <c r="CY148" s="427">
        <f t="shared" si="333"/>
        <v>4</v>
      </c>
      <c r="CZ148" s="427">
        <f t="shared" si="334"/>
        <v>0</v>
      </c>
      <c r="DA148" s="607">
        <f t="shared" si="349"/>
        <v>0</v>
      </c>
      <c r="DB148" s="607">
        <f t="shared" si="335"/>
        <v>111</v>
      </c>
      <c r="DC148" s="607">
        <f t="shared" si="284"/>
        <v>1.5601462303978695E-3</v>
      </c>
      <c r="DD148" s="609"/>
      <c r="DE148" s="471">
        <v>5</v>
      </c>
      <c r="DF148" s="473"/>
      <c r="DG148" s="473">
        <f t="shared" si="285"/>
        <v>5</v>
      </c>
      <c r="DH148" s="473">
        <f t="shared" si="266"/>
        <v>0</v>
      </c>
      <c r="DI148" s="227">
        <f t="shared" si="336"/>
        <v>0</v>
      </c>
      <c r="DJ148" s="473">
        <f t="shared" si="337"/>
        <v>94.2</v>
      </c>
      <c r="DK148" s="227">
        <f t="shared" si="338"/>
        <v>1.3240159901214351E-3</v>
      </c>
      <c r="DL148" s="510"/>
      <c r="DM148" s="63">
        <v>1450</v>
      </c>
      <c r="DN148" s="64"/>
      <c r="DO148" s="66">
        <f t="shared" si="339"/>
        <v>1340</v>
      </c>
      <c r="DP148" s="66">
        <f t="shared" si="267"/>
        <v>110</v>
      </c>
      <c r="DQ148" s="412">
        <f t="shared" si="340"/>
        <v>0.35011330939831437</v>
      </c>
      <c r="DR148" s="66">
        <f t="shared" si="341"/>
        <v>16660</v>
      </c>
      <c r="DS148" s="412">
        <f t="shared" si="342"/>
        <v>0.23416248827413069</v>
      </c>
      <c r="DT148" s="506"/>
      <c r="DU148" s="596">
        <v>0</v>
      </c>
      <c r="DV148" s="596"/>
      <c r="DW148" s="596">
        <f t="shared" si="286"/>
        <v>0</v>
      </c>
      <c r="DX148" s="596">
        <f t="shared" si="268"/>
        <v>0</v>
      </c>
      <c r="DY148" s="592">
        <f t="shared" si="287"/>
        <v>0</v>
      </c>
      <c r="DZ148" s="596">
        <f t="shared" si="343"/>
        <v>2800</v>
      </c>
      <c r="EA148" s="592">
        <f t="shared" si="288"/>
        <v>3.9355040046072383E-2</v>
      </c>
      <c r="EB148" s="594"/>
      <c r="EC148" s="448">
        <v>55</v>
      </c>
      <c r="ED148" s="449"/>
      <c r="EE148" s="449">
        <f t="shared" si="289"/>
        <v>55</v>
      </c>
      <c r="EF148" s="449">
        <f t="shared" si="269"/>
        <v>0</v>
      </c>
      <c r="EG148" s="450">
        <f t="shared" si="347"/>
        <v>0</v>
      </c>
      <c r="EH148" s="449">
        <f t="shared" si="344"/>
        <v>910</v>
      </c>
      <c r="EI148" s="450">
        <f t="shared" si="348"/>
        <v>1.2790388014973524E-2</v>
      </c>
      <c r="EJ148" s="520"/>
      <c r="EK148" s="426">
        <v>3113</v>
      </c>
      <c r="EL148" s="427"/>
      <c r="EM148" s="427">
        <f t="shared" si="290"/>
        <v>2725</v>
      </c>
      <c r="EN148" s="427">
        <f t="shared" si="270"/>
        <v>388</v>
      </c>
      <c r="EO148" s="427">
        <f t="shared" si="291"/>
        <v>67597</v>
      </c>
      <c r="EP148" s="456">
        <v>180</v>
      </c>
      <c r="EQ148" s="457"/>
      <c r="ER148" s="457">
        <f t="shared" si="292"/>
        <v>180</v>
      </c>
      <c r="ES148" s="457">
        <f t="shared" si="271"/>
        <v>0</v>
      </c>
      <c r="ET148" s="457">
        <f t="shared" si="293"/>
        <v>1628</v>
      </c>
      <c r="EU148" s="409">
        <v>0</v>
      </c>
      <c r="EV148" s="43"/>
      <c r="EW148" s="43">
        <f t="shared" si="294"/>
        <v>0</v>
      </c>
      <c r="EX148" s="43">
        <f t="shared" si="272"/>
        <v>0</v>
      </c>
      <c r="EY148" s="43">
        <f t="shared" si="295"/>
        <v>740</v>
      </c>
      <c r="EZ148" s="436">
        <v>35</v>
      </c>
      <c r="FA148" s="437"/>
      <c r="FB148" s="437">
        <f t="shared" si="296"/>
        <v>32</v>
      </c>
      <c r="FC148" s="437">
        <f t="shared" si="273"/>
        <v>3</v>
      </c>
      <c r="FD148" s="437">
        <f t="shared" si="297"/>
        <v>858</v>
      </c>
      <c r="FE148" s="442">
        <v>58</v>
      </c>
      <c r="FF148" s="443"/>
      <c r="FG148" s="443">
        <f t="shared" si="298"/>
        <v>58</v>
      </c>
      <c r="FH148" s="443">
        <f t="shared" si="274"/>
        <v>0</v>
      </c>
      <c r="FI148" s="443">
        <f t="shared" si="299"/>
        <v>942</v>
      </c>
      <c r="FJ148" s="392">
        <v>1275</v>
      </c>
      <c r="FK148" s="298"/>
      <c r="FL148" s="298">
        <f t="shared" si="300"/>
        <v>1230</v>
      </c>
      <c r="FM148" s="298">
        <f t="shared" si="275"/>
        <v>45</v>
      </c>
      <c r="FN148" s="498">
        <f t="shared" si="301"/>
        <v>2570</v>
      </c>
      <c r="HC148" s="402">
        <v>0</v>
      </c>
      <c r="HD148" s="52">
        <v>0</v>
      </c>
      <c r="HE148" s="52">
        <f t="shared" si="302"/>
        <v>0</v>
      </c>
      <c r="HF148" s="52">
        <f t="shared" si="276"/>
        <v>0</v>
      </c>
      <c r="HG148" s="51"/>
      <c r="HH148" s="52">
        <f t="shared" si="345"/>
        <v>400</v>
      </c>
      <c r="HI148" s="51"/>
      <c r="HJ148" s="1047"/>
    </row>
    <row r="149" spans="1:218">
      <c r="A149" s="807">
        <v>44812</v>
      </c>
      <c r="B149" s="390">
        <v>149304</v>
      </c>
      <c r="C149" s="18">
        <f t="shared" si="256"/>
        <v>71296481</v>
      </c>
      <c r="D149" s="376">
        <v>4755.5</v>
      </c>
      <c r="E149" s="417">
        <f t="shared" si="360"/>
        <v>902128.1399999999</v>
      </c>
      <c r="F149" s="397">
        <v>40416</v>
      </c>
      <c r="G149" s="37"/>
      <c r="H149" s="37">
        <f t="shared" si="277"/>
        <v>40416</v>
      </c>
      <c r="I149" s="37">
        <f t="shared" si="257"/>
        <v>0</v>
      </c>
      <c r="J149" s="37">
        <f t="shared" si="258"/>
        <v>0</v>
      </c>
      <c r="K149" s="37">
        <f t="shared" si="303"/>
        <v>405211</v>
      </c>
      <c r="L149" s="37">
        <f t="shared" si="259"/>
        <v>449.17233154926311</v>
      </c>
      <c r="M149" s="648"/>
      <c r="N149" s="422">
        <v>25</v>
      </c>
      <c r="O149" s="423">
        <v>225</v>
      </c>
      <c r="P149" s="423">
        <f t="shared" si="304"/>
        <v>200</v>
      </c>
      <c r="Q149" s="423">
        <f t="shared" si="305"/>
        <v>50</v>
      </c>
      <c r="R149" s="423">
        <f t="shared" si="306"/>
        <v>11150</v>
      </c>
      <c r="S149" s="68">
        <v>4.1399999999999997</v>
      </c>
      <c r="T149" s="67">
        <v>24</v>
      </c>
      <c r="U149" s="68">
        <f t="shared" si="307"/>
        <v>49.679999999999993</v>
      </c>
      <c r="V149" s="68">
        <f t="shared" si="260"/>
        <v>10.446851014614655</v>
      </c>
      <c r="W149" s="423">
        <f t="shared" si="308"/>
        <v>10922.424000000001</v>
      </c>
      <c r="X149" s="68">
        <f t="shared" si="261"/>
        <v>12.107397514503873</v>
      </c>
      <c r="Y149" s="500"/>
      <c r="Z149" s="424">
        <v>25</v>
      </c>
      <c r="AA149" s="425">
        <v>25</v>
      </c>
      <c r="AB149" s="425">
        <f t="shared" si="309"/>
        <v>50</v>
      </c>
      <c r="AC149" s="425">
        <f t="shared" si="310"/>
        <v>0</v>
      </c>
      <c r="AD149" s="425">
        <f t="shared" si="311"/>
        <v>1825</v>
      </c>
      <c r="AE149" s="72">
        <v>1.5</v>
      </c>
      <c r="AF149" s="71">
        <v>12</v>
      </c>
      <c r="AG149" s="72">
        <f t="shared" si="312"/>
        <v>9</v>
      </c>
      <c r="AH149" s="72">
        <f t="shared" si="278"/>
        <v>1.8925454736620755</v>
      </c>
      <c r="AI149" s="425">
        <f t="shared" si="313"/>
        <v>1690.9920000000006</v>
      </c>
      <c r="AJ149" s="72">
        <f t="shared" si="346"/>
        <v>1.8744476810134765</v>
      </c>
      <c r="AK149" s="502"/>
      <c r="AL149" s="491">
        <v>23607</v>
      </c>
      <c r="AM149" s="491"/>
      <c r="AN149" s="492">
        <f t="shared" si="353"/>
        <v>23607</v>
      </c>
      <c r="AO149" s="492">
        <f t="shared" si="354"/>
        <v>0</v>
      </c>
      <c r="AP149" s="492">
        <f t="shared" si="355"/>
        <v>59966</v>
      </c>
      <c r="AQ149" s="493">
        <f t="shared" si="279"/>
        <v>66.471709883697898</v>
      </c>
      <c r="AR149" s="504"/>
      <c r="AS149" s="413">
        <v>32926</v>
      </c>
      <c r="AT149" s="64"/>
      <c r="AU149" s="66">
        <f t="shared" si="314"/>
        <v>30502</v>
      </c>
      <c r="AV149" s="66">
        <f t="shared" si="262"/>
        <v>2424</v>
      </c>
      <c r="AW149" s="412">
        <f t="shared" si="315"/>
        <v>16.235331940202538</v>
      </c>
      <c r="AX149" s="66">
        <f t="shared" si="316"/>
        <v>195203</v>
      </c>
      <c r="AY149" s="412">
        <f t="shared" si="317"/>
        <v>2.7379051148400997</v>
      </c>
      <c r="AZ149" s="506"/>
      <c r="BA149" s="419">
        <v>0</v>
      </c>
      <c r="BB149" s="419"/>
      <c r="BC149" s="407"/>
      <c r="BD149" s="419">
        <f t="shared" si="280"/>
        <v>0</v>
      </c>
      <c r="BE149" s="419">
        <f t="shared" si="281"/>
        <v>0</v>
      </c>
      <c r="BF149" s="407">
        <f t="shared" si="318"/>
        <v>0</v>
      </c>
      <c r="BG149" s="419">
        <f t="shared" si="356"/>
        <v>119710</v>
      </c>
      <c r="BH149" s="407">
        <f t="shared" si="319"/>
        <v>1.6790450008325095</v>
      </c>
      <c r="BI149" s="407">
        <f t="shared" si="320"/>
        <v>0.20559734704071547</v>
      </c>
      <c r="BJ149" s="508"/>
      <c r="BK149" s="510"/>
      <c r="BL149" s="49">
        <v>2091</v>
      </c>
      <c r="BM149" s="50"/>
      <c r="BN149" s="52">
        <f t="shared" si="321"/>
        <v>2067</v>
      </c>
      <c r="BO149" s="52">
        <f t="shared" si="263"/>
        <v>24</v>
      </c>
      <c r="BP149" s="406">
        <f t="shared" si="322"/>
        <v>0.16074586079408454</v>
      </c>
      <c r="BQ149" s="52">
        <f t="shared" si="323"/>
        <v>32933</v>
      </c>
      <c r="BR149" s="406">
        <f t="shared" si="324"/>
        <v>0.46191620593448363</v>
      </c>
      <c r="BS149" s="512"/>
      <c r="BT149" s="409">
        <v>964</v>
      </c>
      <c r="BU149" s="43"/>
      <c r="BV149" s="43">
        <f t="shared" si="350"/>
        <v>855</v>
      </c>
      <c r="BW149" s="43">
        <f t="shared" si="351"/>
        <v>109</v>
      </c>
      <c r="BX149" s="42">
        <f t="shared" si="325"/>
        <v>0.730054117773134</v>
      </c>
      <c r="BY149" s="43">
        <f t="shared" si="352"/>
        <v>15582</v>
      </c>
      <c r="BZ149" s="42">
        <f t="shared" si="326"/>
        <v>0.2185521610807131</v>
      </c>
      <c r="CA149" s="514"/>
      <c r="CB149" s="392">
        <v>839</v>
      </c>
      <c r="CC149" s="298">
        <v>1150</v>
      </c>
      <c r="CD149" s="298">
        <f t="shared" si="282"/>
        <v>1989</v>
      </c>
      <c r="CE149" s="298">
        <f t="shared" si="264"/>
        <v>0</v>
      </c>
      <c r="CF149" s="297">
        <f t="shared" si="327"/>
        <v>0</v>
      </c>
      <c r="CG149" s="298">
        <f t="shared" si="328"/>
        <v>59361</v>
      </c>
      <c r="CH149" s="297">
        <f t="shared" si="329"/>
        <v>0.83259368719754911</v>
      </c>
      <c r="CI149" s="516"/>
      <c r="CJ149" s="659">
        <v>2025</v>
      </c>
      <c r="CK149" s="651"/>
      <c r="CL149" s="657">
        <f t="shared" si="357"/>
        <v>2025</v>
      </c>
      <c r="CM149" s="657">
        <f t="shared" si="358"/>
        <v>0</v>
      </c>
      <c r="CN149" s="659">
        <f t="shared" si="359"/>
        <v>19225</v>
      </c>
      <c r="CO149" s="464">
        <v>20</v>
      </c>
      <c r="CP149" s="465"/>
      <c r="CQ149" s="465">
        <f t="shared" si="283"/>
        <v>20</v>
      </c>
      <c r="CR149" s="465">
        <f t="shared" si="265"/>
        <v>0</v>
      </c>
      <c r="CS149" s="486">
        <f t="shared" si="330"/>
        <v>0</v>
      </c>
      <c r="CT149" s="465">
        <f t="shared" si="331"/>
        <v>1439</v>
      </c>
      <c r="CU149" s="486">
        <f t="shared" si="332"/>
        <v>2.018332433546054E-2</v>
      </c>
      <c r="CV149" s="518"/>
      <c r="CW149" s="427">
        <v>4</v>
      </c>
      <c r="CX149" s="427"/>
      <c r="CY149" s="427">
        <f t="shared" si="333"/>
        <v>4</v>
      </c>
      <c r="CZ149" s="427">
        <f t="shared" si="334"/>
        <v>0</v>
      </c>
      <c r="DA149" s="607">
        <f t="shared" si="349"/>
        <v>0</v>
      </c>
      <c r="DB149" s="607">
        <f t="shared" si="335"/>
        <v>111</v>
      </c>
      <c r="DC149" s="607">
        <f t="shared" si="284"/>
        <v>1.5568790835553301E-3</v>
      </c>
      <c r="DD149" s="609"/>
      <c r="DE149" s="471">
        <v>5</v>
      </c>
      <c r="DF149" s="473"/>
      <c r="DG149" s="473">
        <f t="shared" si="285"/>
        <v>5</v>
      </c>
      <c r="DH149" s="473">
        <f t="shared" si="266"/>
        <v>0</v>
      </c>
      <c r="DI149" s="227">
        <f t="shared" si="336"/>
        <v>0</v>
      </c>
      <c r="DJ149" s="473">
        <f t="shared" si="337"/>
        <v>94.2</v>
      </c>
      <c r="DK149" s="227">
        <f t="shared" si="338"/>
        <v>1.3212433303685773E-3</v>
      </c>
      <c r="DL149" s="510"/>
      <c r="DM149" s="63">
        <v>1340</v>
      </c>
      <c r="DN149" s="64"/>
      <c r="DO149" s="66">
        <f t="shared" si="339"/>
        <v>1250</v>
      </c>
      <c r="DP149" s="66">
        <f t="shared" si="267"/>
        <v>90</v>
      </c>
      <c r="DQ149" s="412">
        <f t="shared" si="340"/>
        <v>0.60279697797781706</v>
      </c>
      <c r="DR149" s="66">
        <f t="shared" si="341"/>
        <v>16750</v>
      </c>
      <c r="DS149" s="412">
        <f t="shared" si="342"/>
        <v>0.23493445630226828</v>
      </c>
      <c r="DT149" s="506"/>
      <c r="DU149" s="596">
        <v>0</v>
      </c>
      <c r="DV149" s="596"/>
      <c r="DW149" s="596">
        <f t="shared" si="286"/>
        <v>0</v>
      </c>
      <c r="DX149" s="596">
        <f t="shared" si="268"/>
        <v>0</v>
      </c>
      <c r="DY149" s="592">
        <f t="shared" si="287"/>
        <v>0</v>
      </c>
      <c r="DZ149" s="596">
        <f t="shared" si="343"/>
        <v>2800</v>
      </c>
      <c r="EA149" s="592">
        <f t="shared" si="288"/>
        <v>3.9272625531125441E-2</v>
      </c>
      <c r="EB149" s="594"/>
      <c r="EC149" s="448">
        <v>55</v>
      </c>
      <c r="ED149" s="449">
        <v>100</v>
      </c>
      <c r="EE149" s="449">
        <f t="shared" si="289"/>
        <v>110</v>
      </c>
      <c r="EF149" s="449">
        <f t="shared" si="269"/>
        <v>45</v>
      </c>
      <c r="EG149" s="450">
        <f t="shared" si="347"/>
        <v>0.30139848898890853</v>
      </c>
      <c r="EH149" s="449">
        <f t="shared" si="344"/>
        <v>955</v>
      </c>
      <c r="EI149" s="450">
        <f t="shared" si="348"/>
        <v>1.3394770493651714E-2</v>
      </c>
      <c r="EJ149" s="520"/>
      <c r="EK149" s="426">
        <v>2725</v>
      </c>
      <c r="EL149" s="427"/>
      <c r="EM149" s="427">
        <f t="shared" si="290"/>
        <v>2525</v>
      </c>
      <c r="EN149" s="427">
        <f t="shared" si="270"/>
        <v>200</v>
      </c>
      <c r="EO149" s="427">
        <f t="shared" si="291"/>
        <v>67797</v>
      </c>
      <c r="EP149" s="456">
        <v>180</v>
      </c>
      <c r="EQ149" s="457"/>
      <c r="ER149" s="457">
        <f t="shared" si="292"/>
        <v>180</v>
      </c>
      <c r="ES149" s="457">
        <f t="shared" si="271"/>
        <v>0</v>
      </c>
      <c r="ET149" s="457">
        <f t="shared" si="293"/>
        <v>1628</v>
      </c>
      <c r="EU149" s="409">
        <v>0</v>
      </c>
      <c r="EV149" s="43"/>
      <c r="EW149" s="43">
        <f t="shared" si="294"/>
        <v>0</v>
      </c>
      <c r="EX149" s="43">
        <f t="shared" si="272"/>
        <v>0</v>
      </c>
      <c r="EY149" s="43">
        <f t="shared" si="295"/>
        <v>740</v>
      </c>
      <c r="EZ149" s="436">
        <v>32</v>
      </c>
      <c r="FA149" s="437"/>
      <c r="FB149" s="437">
        <f t="shared" si="296"/>
        <v>30</v>
      </c>
      <c r="FC149" s="437">
        <f t="shared" si="273"/>
        <v>2</v>
      </c>
      <c r="FD149" s="437">
        <f t="shared" si="297"/>
        <v>860</v>
      </c>
      <c r="FE149" s="442">
        <v>58</v>
      </c>
      <c r="FF149" s="443"/>
      <c r="FG149" s="443">
        <f t="shared" si="298"/>
        <v>58</v>
      </c>
      <c r="FH149" s="443">
        <f t="shared" si="274"/>
        <v>0</v>
      </c>
      <c r="FI149" s="443">
        <f t="shared" si="299"/>
        <v>942</v>
      </c>
      <c r="FJ149" s="392">
        <v>1230</v>
      </c>
      <c r="FK149" s="298"/>
      <c r="FL149" s="298">
        <f t="shared" si="300"/>
        <v>1050</v>
      </c>
      <c r="FM149" s="298">
        <f t="shared" si="275"/>
        <v>180</v>
      </c>
      <c r="FN149" s="498">
        <f t="shared" si="301"/>
        <v>2750</v>
      </c>
      <c r="HC149" s="402">
        <v>0</v>
      </c>
      <c r="HD149" s="52">
        <v>0</v>
      </c>
      <c r="HE149" s="52">
        <f t="shared" si="302"/>
        <v>0</v>
      </c>
      <c r="HF149" s="52">
        <f t="shared" si="276"/>
        <v>0</v>
      </c>
      <c r="HG149" s="51"/>
      <c r="HH149" s="52">
        <f t="shared" si="345"/>
        <v>400</v>
      </c>
      <c r="HI149" s="51"/>
      <c r="HJ149" s="1047"/>
    </row>
    <row r="150" spans="1:218">
      <c r="A150" s="807">
        <v>44813</v>
      </c>
      <c r="B150" s="390">
        <v>627215</v>
      </c>
      <c r="C150" s="18">
        <f t="shared" si="256"/>
        <v>71923696</v>
      </c>
      <c r="D150" s="376">
        <v>7069.46</v>
      </c>
      <c r="E150" s="417">
        <f t="shared" si="360"/>
        <v>909197.59999999986</v>
      </c>
      <c r="F150" s="397">
        <v>40416</v>
      </c>
      <c r="G150" s="37"/>
      <c r="H150" s="37">
        <f t="shared" si="277"/>
        <v>38568</v>
      </c>
      <c r="I150" s="37">
        <f t="shared" si="257"/>
        <v>1848</v>
      </c>
      <c r="J150" s="37">
        <f t="shared" si="258"/>
        <v>261.40610456809998</v>
      </c>
      <c r="K150" s="37">
        <f t="shared" si="303"/>
        <v>407059</v>
      </c>
      <c r="L150" s="37">
        <f t="shared" si="259"/>
        <v>447.71235647784385</v>
      </c>
      <c r="M150" s="648"/>
      <c r="N150" s="422">
        <v>200</v>
      </c>
      <c r="O150" s="423">
        <v>100</v>
      </c>
      <c r="P150" s="423">
        <f t="shared" si="304"/>
        <v>175</v>
      </c>
      <c r="Q150" s="423">
        <f t="shared" si="305"/>
        <v>125</v>
      </c>
      <c r="R150" s="423">
        <f t="shared" si="306"/>
        <v>11275</v>
      </c>
      <c r="S150" s="68">
        <v>7.34</v>
      </c>
      <c r="T150" s="67">
        <v>24</v>
      </c>
      <c r="U150" s="68">
        <f t="shared" si="307"/>
        <v>88.08</v>
      </c>
      <c r="V150" s="68">
        <f t="shared" si="260"/>
        <v>12.459226022921129</v>
      </c>
      <c r="W150" s="423">
        <f t="shared" si="308"/>
        <v>11010.504000000001</v>
      </c>
      <c r="X150" s="68">
        <f t="shared" si="261"/>
        <v>12.110133154772958</v>
      </c>
      <c r="Y150" s="500"/>
      <c r="Z150" s="424">
        <v>50</v>
      </c>
      <c r="AA150" s="425"/>
      <c r="AB150" s="425">
        <f t="shared" si="309"/>
        <v>25</v>
      </c>
      <c r="AC150" s="425">
        <f t="shared" si="310"/>
        <v>25</v>
      </c>
      <c r="AD150" s="425">
        <f t="shared" si="311"/>
        <v>1850</v>
      </c>
      <c r="AE150" s="72">
        <v>2.21</v>
      </c>
      <c r="AF150" s="71">
        <v>12</v>
      </c>
      <c r="AG150" s="72">
        <f t="shared" si="312"/>
        <v>13.26</v>
      </c>
      <c r="AH150" s="72">
        <f t="shared" si="278"/>
        <v>1.8756736723879901</v>
      </c>
      <c r="AI150" s="425">
        <f t="shared" si="313"/>
        <v>1704.2520000000006</v>
      </c>
      <c r="AJ150" s="72">
        <f t="shared" si="346"/>
        <v>1.8744572137014011</v>
      </c>
      <c r="AK150" s="502"/>
      <c r="AL150" s="491">
        <v>23607</v>
      </c>
      <c r="AM150" s="491"/>
      <c r="AN150" s="492">
        <f t="shared" si="353"/>
        <v>23607</v>
      </c>
      <c r="AO150" s="492">
        <f t="shared" si="354"/>
        <v>0</v>
      </c>
      <c r="AP150" s="492">
        <f t="shared" si="355"/>
        <v>59966</v>
      </c>
      <c r="AQ150" s="493">
        <f t="shared" si="279"/>
        <v>65.954859537684669</v>
      </c>
      <c r="AR150" s="504"/>
      <c r="AS150" s="413">
        <v>30502</v>
      </c>
      <c r="AT150" s="64"/>
      <c r="AU150" s="66">
        <f t="shared" si="314"/>
        <v>25406</v>
      </c>
      <c r="AV150" s="66">
        <f t="shared" si="262"/>
        <v>5096</v>
      </c>
      <c r="AW150" s="412">
        <f t="shared" si="315"/>
        <v>8.1248056886394622</v>
      </c>
      <c r="AX150" s="66">
        <f t="shared" si="316"/>
        <v>200299</v>
      </c>
      <c r="AY150" s="412">
        <f t="shared" si="317"/>
        <v>2.7848819115191188</v>
      </c>
      <c r="AZ150" s="506"/>
      <c r="BA150" s="419">
        <v>0</v>
      </c>
      <c r="BB150" s="419"/>
      <c r="BC150" s="407"/>
      <c r="BD150" s="419">
        <f t="shared" si="280"/>
        <v>0</v>
      </c>
      <c r="BE150" s="419">
        <f t="shared" si="281"/>
        <v>0</v>
      </c>
      <c r="BF150" s="407">
        <f t="shared" si="318"/>
        <v>0</v>
      </c>
      <c r="BG150" s="419">
        <f t="shared" si="356"/>
        <v>119710</v>
      </c>
      <c r="BH150" s="407">
        <f t="shared" si="319"/>
        <v>1.6644027859747363</v>
      </c>
      <c r="BI150" s="407">
        <f t="shared" si="320"/>
        <v>0.2038044227724167</v>
      </c>
      <c r="BJ150" s="508"/>
      <c r="BK150" s="510"/>
      <c r="BL150" s="49">
        <v>2067</v>
      </c>
      <c r="BM150" s="50">
        <v>900</v>
      </c>
      <c r="BN150" s="52">
        <f t="shared" si="321"/>
        <v>2762</v>
      </c>
      <c r="BO150" s="52">
        <f t="shared" si="263"/>
        <v>205</v>
      </c>
      <c r="BP150" s="406">
        <f t="shared" si="322"/>
        <v>0.32684167311049639</v>
      </c>
      <c r="BQ150" s="52">
        <f t="shared" si="323"/>
        <v>33138</v>
      </c>
      <c r="BR150" s="406">
        <f t="shared" si="324"/>
        <v>0.46073828019071766</v>
      </c>
      <c r="BS150" s="512"/>
      <c r="BT150" s="409">
        <v>855</v>
      </c>
      <c r="BU150" s="43"/>
      <c r="BV150" s="43">
        <f t="shared" si="350"/>
        <v>745</v>
      </c>
      <c r="BW150" s="43">
        <f t="shared" si="351"/>
        <v>110</v>
      </c>
      <c r="BX150" s="42">
        <f t="shared" si="325"/>
        <v>0.17537845874221758</v>
      </c>
      <c r="BY150" s="43">
        <f t="shared" si="352"/>
        <v>15692</v>
      </c>
      <c r="BZ150" s="42">
        <f t="shared" si="326"/>
        <v>0.21817566216285658</v>
      </c>
      <c r="CA150" s="514"/>
      <c r="CB150" s="392">
        <v>1989</v>
      </c>
      <c r="CC150" s="298"/>
      <c r="CD150" s="298">
        <f t="shared" si="282"/>
        <v>1989</v>
      </c>
      <c r="CE150" s="298">
        <f t="shared" si="264"/>
        <v>0</v>
      </c>
      <c r="CF150" s="297">
        <f t="shared" si="327"/>
        <v>0</v>
      </c>
      <c r="CG150" s="298">
        <f t="shared" si="328"/>
        <v>59361</v>
      </c>
      <c r="CH150" s="297">
        <f t="shared" si="329"/>
        <v>0.82533300290908296</v>
      </c>
      <c r="CI150" s="516"/>
      <c r="CJ150" s="659">
        <v>2025</v>
      </c>
      <c r="CK150" s="651"/>
      <c r="CL150" s="657">
        <f t="shared" si="357"/>
        <v>1625</v>
      </c>
      <c r="CM150" s="657">
        <f t="shared" si="358"/>
        <v>400</v>
      </c>
      <c r="CN150" s="659">
        <f t="shared" si="359"/>
        <v>19625</v>
      </c>
      <c r="CO150" s="464">
        <v>20</v>
      </c>
      <c r="CP150" s="465">
        <v>60</v>
      </c>
      <c r="CQ150" s="465">
        <f t="shared" si="283"/>
        <v>17</v>
      </c>
      <c r="CR150" s="465">
        <f t="shared" si="265"/>
        <v>63</v>
      </c>
      <c r="CS150" s="486">
        <f t="shared" si="330"/>
        <v>0.1004440263705428</v>
      </c>
      <c r="CT150" s="465">
        <f t="shared" si="331"/>
        <v>1502</v>
      </c>
      <c r="CU150" s="486">
        <f t="shared" si="332"/>
        <v>2.0883242707660631E-2</v>
      </c>
      <c r="CV150" s="518"/>
      <c r="CW150" s="427">
        <v>4</v>
      </c>
      <c r="CX150" s="427"/>
      <c r="CY150" s="427">
        <f t="shared" si="333"/>
        <v>4</v>
      </c>
      <c r="CZ150" s="427">
        <f t="shared" si="334"/>
        <v>0</v>
      </c>
      <c r="DA150" s="607">
        <f t="shared" si="349"/>
        <v>0</v>
      </c>
      <c r="DB150" s="607">
        <f t="shared" si="335"/>
        <v>111</v>
      </c>
      <c r="DC150" s="607">
        <f t="shared" si="284"/>
        <v>1.5433022240681292E-3</v>
      </c>
      <c r="DD150" s="609"/>
      <c r="DE150" s="471">
        <v>5</v>
      </c>
      <c r="DF150" s="473"/>
      <c r="DG150" s="473">
        <f t="shared" si="285"/>
        <v>5</v>
      </c>
      <c r="DH150" s="473">
        <f t="shared" si="266"/>
        <v>0</v>
      </c>
      <c r="DI150" s="227">
        <f t="shared" si="336"/>
        <v>0</v>
      </c>
      <c r="DJ150" s="473">
        <f t="shared" si="337"/>
        <v>94.2</v>
      </c>
      <c r="DK150" s="227">
        <f t="shared" si="338"/>
        <v>1.3097213469118716E-3</v>
      </c>
      <c r="DL150" s="510"/>
      <c r="DM150" s="63">
        <v>1250</v>
      </c>
      <c r="DN150" s="64"/>
      <c r="DO150" s="66">
        <f t="shared" si="339"/>
        <v>1150</v>
      </c>
      <c r="DP150" s="66">
        <f t="shared" si="267"/>
        <v>100</v>
      </c>
      <c r="DQ150" s="412">
        <f t="shared" si="340"/>
        <v>0.15943496249292508</v>
      </c>
      <c r="DR150" s="66">
        <f t="shared" si="341"/>
        <v>16850</v>
      </c>
      <c r="DS150" s="412">
        <f t="shared" si="342"/>
        <v>0.23427605833827006</v>
      </c>
      <c r="DT150" s="506"/>
      <c r="DU150" s="596">
        <v>0</v>
      </c>
      <c r="DV150" s="596"/>
      <c r="DW150" s="596">
        <f t="shared" si="286"/>
        <v>0</v>
      </c>
      <c r="DX150" s="596">
        <f t="shared" si="268"/>
        <v>0</v>
      </c>
      <c r="DY150" s="592">
        <f t="shared" si="287"/>
        <v>0</v>
      </c>
      <c r="DZ150" s="596">
        <f t="shared" si="343"/>
        <v>2800</v>
      </c>
      <c r="EA150" s="592">
        <f t="shared" si="288"/>
        <v>3.8930146192709562E-2</v>
      </c>
      <c r="EB150" s="594"/>
      <c r="EC150" s="448">
        <v>110</v>
      </c>
      <c r="ED150" s="449"/>
      <c r="EE150" s="449">
        <f t="shared" si="289"/>
        <v>110</v>
      </c>
      <c r="EF150" s="449">
        <f t="shared" si="269"/>
        <v>0</v>
      </c>
      <c r="EG150" s="450">
        <f t="shared" si="347"/>
        <v>0</v>
      </c>
      <c r="EH150" s="449">
        <f t="shared" si="344"/>
        <v>955</v>
      </c>
      <c r="EI150" s="450">
        <f t="shared" si="348"/>
        <v>1.3277960576442012E-2</v>
      </c>
      <c r="EJ150" s="520"/>
      <c r="EK150" s="426">
        <v>2525</v>
      </c>
      <c r="EL150" s="427"/>
      <c r="EM150" s="427">
        <f t="shared" si="290"/>
        <v>2125</v>
      </c>
      <c r="EN150" s="427">
        <f t="shared" si="270"/>
        <v>400</v>
      </c>
      <c r="EO150" s="427">
        <f t="shared" si="291"/>
        <v>68197</v>
      </c>
      <c r="EP150" s="456">
        <v>180</v>
      </c>
      <c r="EQ150" s="457"/>
      <c r="ER150" s="457">
        <f t="shared" si="292"/>
        <v>90</v>
      </c>
      <c r="ES150" s="457">
        <f t="shared" si="271"/>
        <v>90</v>
      </c>
      <c r="ET150" s="457">
        <f t="shared" si="293"/>
        <v>1718</v>
      </c>
      <c r="EU150" s="409">
        <v>0</v>
      </c>
      <c r="EV150" s="43"/>
      <c r="EW150" s="43">
        <f t="shared" si="294"/>
        <v>0</v>
      </c>
      <c r="EX150" s="43">
        <f t="shared" si="272"/>
        <v>0</v>
      </c>
      <c r="EY150" s="43">
        <f t="shared" si="295"/>
        <v>740</v>
      </c>
      <c r="EZ150" s="436">
        <v>30</v>
      </c>
      <c r="FA150" s="437"/>
      <c r="FB150" s="437">
        <f t="shared" si="296"/>
        <v>27</v>
      </c>
      <c r="FC150" s="437">
        <f t="shared" si="273"/>
        <v>3</v>
      </c>
      <c r="FD150" s="437">
        <f t="shared" si="297"/>
        <v>863</v>
      </c>
      <c r="FE150" s="442">
        <v>58</v>
      </c>
      <c r="FF150" s="443"/>
      <c r="FG150" s="443">
        <f t="shared" si="298"/>
        <v>58</v>
      </c>
      <c r="FH150" s="443">
        <f t="shared" si="274"/>
        <v>0</v>
      </c>
      <c r="FI150" s="443">
        <f t="shared" si="299"/>
        <v>942</v>
      </c>
      <c r="FJ150" s="392">
        <v>1050</v>
      </c>
      <c r="FK150" s="298"/>
      <c r="FL150" s="298">
        <f t="shared" si="300"/>
        <v>1050</v>
      </c>
      <c r="FM150" s="298">
        <f t="shared" si="275"/>
        <v>0</v>
      </c>
      <c r="FN150" s="498">
        <f t="shared" si="301"/>
        <v>2750</v>
      </c>
      <c r="HC150" s="402">
        <v>0</v>
      </c>
      <c r="HD150" s="52">
        <v>0</v>
      </c>
      <c r="HE150" s="52">
        <f t="shared" si="302"/>
        <v>0</v>
      </c>
      <c r="HF150" s="52">
        <f t="shared" si="276"/>
        <v>0</v>
      </c>
      <c r="HG150" s="51"/>
      <c r="HH150" s="52">
        <f t="shared" si="345"/>
        <v>400</v>
      </c>
      <c r="HI150" s="51"/>
      <c r="HJ150" s="1047"/>
    </row>
    <row r="151" spans="1:218">
      <c r="A151" s="807">
        <v>44814</v>
      </c>
      <c r="B151" s="390">
        <v>665968</v>
      </c>
      <c r="C151" s="18">
        <f t="shared" si="256"/>
        <v>72589664</v>
      </c>
      <c r="D151" s="376">
        <v>6996.46</v>
      </c>
      <c r="E151" s="417">
        <f t="shared" si="360"/>
        <v>916194.05999999982</v>
      </c>
      <c r="F151" s="397">
        <v>38568</v>
      </c>
      <c r="G151" s="37"/>
      <c r="H151" s="37">
        <f t="shared" si="277"/>
        <v>34871</v>
      </c>
      <c r="I151" s="37">
        <f t="shared" si="257"/>
        <v>3697</v>
      </c>
      <c r="J151" s="37">
        <f t="shared" si="258"/>
        <v>528.41008166987308</v>
      </c>
      <c r="K151" s="37">
        <f t="shared" si="303"/>
        <v>410756</v>
      </c>
      <c r="L151" s="37">
        <f t="shared" si="259"/>
        <v>448.32859972918845</v>
      </c>
      <c r="M151" s="648"/>
      <c r="N151" s="422">
        <v>175</v>
      </c>
      <c r="O151" s="423"/>
      <c r="P151" s="423">
        <f t="shared" si="304"/>
        <v>100</v>
      </c>
      <c r="Q151" s="423">
        <f t="shared" si="305"/>
        <v>75</v>
      </c>
      <c r="R151" s="423">
        <f t="shared" si="306"/>
        <v>11350</v>
      </c>
      <c r="S151" s="68">
        <v>6.81</v>
      </c>
      <c r="T151" s="67">
        <v>24</v>
      </c>
      <c r="U151" s="68">
        <f t="shared" si="307"/>
        <v>81.72</v>
      </c>
      <c r="V151" s="68">
        <f t="shared" si="260"/>
        <v>11.680192554520429</v>
      </c>
      <c r="W151" s="423">
        <f t="shared" si="308"/>
        <v>11092.224</v>
      </c>
      <c r="X151" s="68">
        <f t="shared" si="261"/>
        <v>12.106849939629605</v>
      </c>
      <c r="Y151" s="500"/>
      <c r="Z151" s="424">
        <v>25</v>
      </c>
      <c r="AA151" s="425"/>
      <c r="AB151" s="425">
        <f t="shared" si="309"/>
        <v>25</v>
      </c>
      <c r="AC151" s="425">
        <f t="shared" si="310"/>
        <v>0</v>
      </c>
      <c r="AD151" s="425">
        <f t="shared" si="311"/>
        <v>1850</v>
      </c>
      <c r="AE151" s="72">
        <v>2.46</v>
      </c>
      <c r="AF151" s="71">
        <v>12</v>
      </c>
      <c r="AG151" s="72">
        <f t="shared" si="312"/>
        <v>14.76</v>
      </c>
      <c r="AH151" s="72">
        <f t="shared" si="278"/>
        <v>2.1096383027988441</v>
      </c>
      <c r="AI151" s="425">
        <f t="shared" si="313"/>
        <v>1719.0120000000006</v>
      </c>
      <c r="AJ151" s="72">
        <f t="shared" si="346"/>
        <v>1.8762531597290655</v>
      </c>
      <c r="AK151" s="502"/>
      <c r="AL151" s="491">
        <v>23607</v>
      </c>
      <c r="AM151" s="491"/>
      <c r="AN151" s="492">
        <f t="shared" si="353"/>
        <v>23607</v>
      </c>
      <c r="AO151" s="492">
        <f t="shared" si="354"/>
        <v>0</v>
      </c>
      <c r="AP151" s="492">
        <f t="shared" si="355"/>
        <v>59966</v>
      </c>
      <c r="AQ151" s="493">
        <f t="shared" si="279"/>
        <v>65.451199279768318</v>
      </c>
      <c r="AR151" s="504"/>
      <c r="AS151" s="413">
        <v>25406</v>
      </c>
      <c r="AT151" s="64">
        <v>35960</v>
      </c>
      <c r="AU151" s="66">
        <f t="shared" si="314"/>
        <v>55626</v>
      </c>
      <c r="AV151" s="66">
        <f t="shared" si="262"/>
        <v>5740</v>
      </c>
      <c r="AW151" s="412">
        <f t="shared" si="315"/>
        <v>8.6190327463181422</v>
      </c>
      <c r="AX151" s="66">
        <f t="shared" si="316"/>
        <v>206039</v>
      </c>
      <c r="AY151" s="412">
        <f t="shared" si="317"/>
        <v>2.8384068563810958</v>
      </c>
      <c r="AZ151" s="506"/>
      <c r="BA151" s="419">
        <v>0</v>
      </c>
      <c r="BB151" s="419"/>
      <c r="BC151" s="407"/>
      <c r="BD151" s="419">
        <f t="shared" si="280"/>
        <v>0</v>
      </c>
      <c r="BE151" s="419">
        <f t="shared" si="281"/>
        <v>0</v>
      </c>
      <c r="BF151" s="407">
        <f t="shared" si="318"/>
        <v>0</v>
      </c>
      <c r="BG151" s="419">
        <f t="shared" si="356"/>
        <v>119710</v>
      </c>
      <c r="BH151" s="407">
        <f t="shared" si="319"/>
        <v>1.6491328572618824</v>
      </c>
      <c r="BI151" s="407">
        <f t="shared" si="320"/>
        <v>0.20193463558308766</v>
      </c>
      <c r="BJ151" s="508"/>
      <c r="BK151" s="510"/>
      <c r="BL151" s="49">
        <v>2762</v>
      </c>
      <c r="BM151" s="50"/>
      <c r="BN151" s="52">
        <f t="shared" si="321"/>
        <v>2556</v>
      </c>
      <c r="BO151" s="52">
        <f t="shared" si="263"/>
        <v>206</v>
      </c>
      <c r="BP151" s="406">
        <f t="shared" si="322"/>
        <v>0.30932417173197513</v>
      </c>
      <c r="BQ151" s="52">
        <f t="shared" si="323"/>
        <v>33344</v>
      </c>
      <c r="BR151" s="406">
        <f t="shared" si="324"/>
        <v>0.45934914370178104</v>
      </c>
      <c r="BS151" s="512"/>
      <c r="BT151" s="409">
        <v>745</v>
      </c>
      <c r="BU151" s="43"/>
      <c r="BV151" s="43">
        <f t="shared" si="350"/>
        <v>606</v>
      </c>
      <c r="BW151" s="43">
        <f t="shared" si="351"/>
        <v>139</v>
      </c>
      <c r="BX151" s="42">
        <f t="shared" si="325"/>
        <v>0.20871873723662399</v>
      </c>
      <c r="BY151" s="43">
        <f t="shared" si="352"/>
        <v>15831</v>
      </c>
      <c r="BZ151" s="42">
        <f t="shared" si="326"/>
        <v>0.2180889003701684</v>
      </c>
      <c r="CA151" s="514"/>
      <c r="CB151" s="392">
        <v>1989</v>
      </c>
      <c r="CC151" s="298"/>
      <c r="CD151" s="298">
        <f t="shared" si="282"/>
        <v>1989</v>
      </c>
      <c r="CE151" s="298">
        <f t="shared" si="264"/>
        <v>0</v>
      </c>
      <c r="CF151" s="297">
        <f t="shared" si="327"/>
        <v>0</v>
      </c>
      <c r="CG151" s="298">
        <f t="shared" si="328"/>
        <v>59361</v>
      </c>
      <c r="CH151" s="297">
        <f t="shared" si="329"/>
        <v>0.81776105204178928</v>
      </c>
      <c r="CI151" s="516"/>
      <c r="CJ151" s="659">
        <v>1625</v>
      </c>
      <c r="CK151" s="651"/>
      <c r="CL151" s="657">
        <f t="shared" si="357"/>
        <v>1150</v>
      </c>
      <c r="CM151" s="657">
        <f t="shared" si="358"/>
        <v>475</v>
      </c>
      <c r="CN151" s="659">
        <f t="shared" si="359"/>
        <v>20100</v>
      </c>
      <c r="CO151" s="464">
        <v>17</v>
      </c>
      <c r="CP151" s="465"/>
      <c r="CQ151" s="465">
        <f t="shared" si="283"/>
        <v>17</v>
      </c>
      <c r="CR151" s="465">
        <f t="shared" si="265"/>
        <v>0</v>
      </c>
      <c r="CS151" s="486">
        <f t="shared" si="330"/>
        <v>0</v>
      </c>
      <c r="CT151" s="465">
        <f t="shared" si="331"/>
        <v>1502</v>
      </c>
      <c r="CU151" s="486">
        <f t="shared" si="332"/>
        <v>2.069165108685446E-2</v>
      </c>
      <c r="CV151" s="518"/>
      <c r="CW151" s="427">
        <v>4</v>
      </c>
      <c r="CX151" s="427"/>
      <c r="CY151" s="427">
        <f t="shared" si="333"/>
        <v>4</v>
      </c>
      <c r="CZ151" s="427">
        <f t="shared" si="334"/>
        <v>0</v>
      </c>
      <c r="DA151" s="607">
        <f t="shared" si="349"/>
        <v>0</v>
      </c>
      <c r="DB151" s="607">
        <f t="shared" si="335"/>
        <v>111</v>
      </c>
      <c r="DC151" s="607">
        <f t="shared" si="284"/>
        <v>1.5291433226636785E-3</v>
      </c>
      <c r="DD151" s="609"/>
      <c r="DE151" s="471">
        <v>5</v>
      </c>
      <c r="DF151" s="473"/>
      <c r="DG151" s="473">
        <f t="shared" si="285"/>
        <v>5</v>
      </c>
      <c r="DH151" s="473">
        <f t="shared" si="266"/>
        <v>0</v>
      </c>
      <c r="DI151" s="227">
        <f t="shared" si="336"/>
        <v>0</v>
      </c>
      <c r="DJ151" s="473">
        <f t="shared" si="337"/>
        <v>94.2</v>
      </c>
      <c r="DK151" s="227">
        <f t="shared" si="338"/>
        <v>1.2977054143686352E-3</v>
      </c>
      <c r="DL151" s="510"/>
      <c r="DM151" s="63">
        <v>1150</v>
      </c>
      <c r="DN151" s="64"/>
      <c r="DO151" s="66">
        <f t="shared" si="339"/>
        <v>1050</v>
      </c>
      <c r="DP151" s="66">
        <f t="shared" si="267"/>
        <v>100</v>
      </c>
      <c r="DQ151" s="412">
        <f t="shared" si="340"/>
        <v>0.15015736491843451</v>
      </c>
      <c r="DR151" s="66">
        <f t="shared" si="341"/>
        <v>16950</v>
      </c>
      <c r="DS151" s="412">
        <f t="shared" si="342"/>
        <v>0.23350431819053469</v>
      </c>
      <c r="DT151" s="506"/>
      <c r="DU151" s="596">
        <v>0</v>
      </c>
      <c r="DV151" s="596"/>
      <c r="DW151" s="596">
        <f t="shared" si="286"/>
        <v>0</v>
      </c>
      <c r="DX151" s="596">
        <f t="shared" si="268"/>
        <v>0</v>
      </c>
      <c r="DY151" s="592">
        <f t="shared" si="287"/>
        <v>0</v>
      </c>
      <c r="DZ151" s="596">
        <f t="shared" si="343"/>
        <v>2800</v>
      </c>
      <c r="EA151" s="592">
        <f t="shared" si="288"/>
        <v>3.8572984715840537E-2</v>
      </c>
      <c r="EB151" s="594"/>
      <c r="EC151" s="448">
        <v>110</v>
      </c>
      <c r="ED151" s="449"/>
      <c r="EE151" s="449">
        <f t="shared" si="289"/>
        <v>110</v>
      </c>
      <c r="EF151" s="449">
        <f t="shared" si="269"/>
        <v>0</v>
      </c>
      <c r="EG151" s="450">
        <f t="shared" si="347"/>
        <v>0</v>
      </c>
      <c r="EH151" s="449">
        <f t="shared" si="344"/>
        <v>955</v>
      </c>
      <c r="EI151" s="450">
        <f t="shared" si="348"/>
        <v>1.3156143001295612E-2</v>
      </c>
      <c r="EJ151" s="520"/>
      <c r="EK151" s="426">
        <v>2125</v>
      </c>
      <c r="EL151" s="427"/>
      <c r="EM151" s="427">
        <f t="shared" si="290"/>
        <v>1863</v>
      </c>
      <c r="EN151" s="427">
        <f t="shared" si="270"/>
        <v>262</v>
      </c>
      <c r="EO151" s="427">
        <f t="shared" si="291"/>
        <v>68459</v>
      </c>
      <c r="EP151" s="456">
        <v>90</v>
      </c>
      <c r="EQ151" s="457"/>
      <c r="ER151" s="457">
        <f t="shared" si="292"/>
        <v>45</v>
      </c>
      <c r="ES151" s="457">
        <f t="shared" si="271"/>
        <v>45</v>
      </c>
      <c r="ET151" s="457">
        <f t="shared" si="293"/>
        <v>1763</v>
      </c>
      <c r="EU151" s="409">
        <v>0</v>
      </c>
      <c r="EV151" s="43"/>
      <c r="EW151" s="43">
        <f t="shared" si="294"/>
        <v>0</v>
      </c>
      <c r="EX151" s="43">
        <f t="shared" si="272"/>
        <v>0</v>
      </c>
      <c r="EY151" s="43">
        <f t="shared" si="295"/>
        <v>740</v>
      </c>
      <c r="EZ151" s="436">
        <v>27</v>
      </c>
      <c r="FA151" s="437"/>
      <c r="FB151" s="437">
        <f t="shared" si="296"/>
        <v>23</v>
      </c>
      <c r="FC151" s="437">
        <f t="shared" si="273"/>
        <v>4</v>
      </c>
      <c r="FD151" s="437">
        <f t="shared" si="297"/>
        <v>867</v>
      </c>
      <c r="FE151" s="442">
        <v>58</v>
      </c>
      <c r="FF151" s="443"/>
      <c r="FG151" s="443">
        <f t="shared" si="298"/>
        <v>58</v>
      </c>
      <c r="FH151" s="443">
        <f t="shared" si="274"/>
        <v>0</v>
      </c>
      <c r="FI151" s="443">
        <f t="shared" si="299"/>
        <v>942</v>
      </c>
      <c r="FJ151" s="392">
        <v>1050</v>
      </c>
      <c r="FK151" s="298"/>
      <c r="FL151" s="298">
        <f t="shared" si="300"/>
        <v>1000</v>
      </c>
      <c r="FM151" s="298">
        <f t="shared" si="275"/>
        <v>50</v>
      </c>
      <c r="FN151" s="498">
        <f t="shared" si="301"/>
        <v>2800</v>
      </c>
      <c r="HC151" s="402">
        <v>0</v>
      </c>
      <c r="HD151" s="52">
        <v>0</v>
      </c>
      <c r="HE151" s="52">
        <f t="shared" si="302"/>
        <v>0</v>
      </c>
      <c r="HF151" s="52">
        <f t="shared" si="276"/>
        <v>0</v>
      </c>
      <c r="HG151" s="51"/>
      <c r="HH151" s="52">
        <f t="shared" si="345"/>
        <v>400</v>
      </c>
      <c r="HI151" s="51"/>
      <c r="HJ151" s="1047"/>
    </row>
    <row r="152" spans="1:218">
      <c r="A152" s="807">
        <v>44815</v>
      </c>
      <c r="B152" s="390">
        <v>683416</v>
      </c>
      <c r="C152" s="18">
        <f t="shared" si="256"/>
        <v>73273080</v>
      </c>
      <c r="D152" s="376">
        <v>7740.46</v>
      </c>
      <c r="E152" s="417">
        <f t="shared" si="360"/>
        <v>923934.51999999979</v>
      </c>
      <c r="F152" s="397">
        <v>34871</v>
      </c>
      <c r="G152" s="37"/>
      <c r="H152" s="37">
        <f t="shared" si="277"/>
        <v>29326</v>
      </c>
      <c r="I152" s="37">
        <f t="shared" si="257"/>
        <v>5545</v>
      </c>
      <c r="J152" s="37">
        <f t="shared" si="258"/>
        <v>716.36569402852024</v>
      </c>
      <c r="K152" s="37">
        <f t="shared" si="303"/>
        <v>416301</v>
      </c>
      <c r="L152" s="37">
        <f t="shared" si="259"/>
        <v>450.57413808935303</v>
      </c>
      <c r="M152" s="648"/>
      <c r="N152" s="422">
        <v>100</v>
      </c>
      <c r="O152" s="423"/>
      <c r="P152" s="423">
        <f t="shared" si="304"/>
        <v>50</v>
      </c>
      <c r="Q152" s="423">
        <f t="shared" si="305"/>
        <v>50</v>
      </c>
      <c r="R152" s="423">
        <f t="shared" si="306"/>
        <v>11400</v>
      </c>
      <c r="S152" s="68">
        <v>7.02</v>
      </c>
      <c r="T152" s="67">
        <v>24</v>
      </c>
      <c r="U152" s="68">
        <f t="shared" si="307"/>
        <v>84.24</v>
      </c>
      <c r="V152" s="68">
        <f t="shared" si="260"/>
        <v>10.883074132545094</v>
      </c>
      <c r="W152" s="423">
        <f t="shared" si="308"/>
        <v>11176.464</v>
      </c>
      <c r="X152" s="68">
        <f t="shared" si="261"/>
        <v>12.096597494809483</v>
      </c>
      <c r="Y152" s="500"/>
      <c r="Z152" s="424">
        <v>25</v>
      </c>
      <c r="AA152" s="425"/>
      <c r="AB152" s="425">
        <f t="shared" si="309"/>
        <v>0</v>
      </c>
      <c r="AC152" s="425">
        <f t="shared" si="310"/>
        <v>25</v>
      </c>
      <c r="AD152" s="425">
        <f t="shared" si="311"/>
        <v>1875</v>
      </c>
      <c r="AE152" s="72">
        <v>2.4500000000000002</v>
      </c>
      <c r="AF152" s="71">
        <v>12</v>
      </c>
      <c r="AG152" s="72">
        <f t="shared" si="312"/>
        <v>14.700000000000001</v>
      </c>
      <c r="AH152" s="72">
        <f t="shared" si="278"/>
        <v>1.8991119390837239</v>
      </c>
      <c r="AI152" s="425">
        <f t="shared" si="313"/>
        <v>1733.7120000000007</v>
      </c>
      <c r="AJ152" s="72">
        <f t="shared" si="346"/>
        <v>1.876444664065589</v>
      </c>
      <c r="AK152" s="502"/>
      <c r="AL152" s="491">
        <v>23607</v>
      </c>
      <c r="AM152" s="491"/>
      <c r="AN152" s="492">
        <f t="shared" si="353"/>
        <v>23607</v>
      </c>
      <c r="AO152" s="492">
        <f t="shared" si="354"/>
        <v>0</v>
      </c>
      <c r="AP152" s="492">
        <f t="shared" si="355"/>
        <v>59966</v>
      </c>
      <c r="AQ152" s="493">
        <f t="shared" si="279"/>
        <v>64.90286779197298</v>
      </c>
      <c r="AR152" s="504"/>
      <c r="AS152" s="413">
        <v>55626</v>
      </c>
      <c r="AT152" s="64"/>
      <c r="AU152" s="66">
        <f t="shared" si="314"/>
        <v>48720</v>
      </c>
      <c r="AV152" s="66">
        <f t="shared" si="262"/>
        <v>6906</v>
      </c>
      <c r="AW152" s="412">
        <f t="shared" si="315"/>
        <v>10.105118990483103</v>
      </c>
      <c r="AX152" s="66">
        <f t="shared" si="316"/>
        <v>212945</v>
      </c>
      <c r="AY152" s="412">
        <f t="shared" si="317"/>
        <v>2.9061832804080296</v>
      </c>
      <c r="AZ152" s="506"/>
      <c r="BA152" s="419">
        <v>0</v>
      </c>
      <c r="BB152" s="419"/>
      <c r="BC152" s="407"/>
      <c r="BD152" s="419">
        <f t="shared" si="280"/>
        <v>0</v>
      </c>
      <c r="BE152" s="419">
        <f t="shared" si="281"/>
        <v>0</v>
      </c>
      <c r="BF152" s="407">
        <f t="shared" si="318"/>
        <v>0</v>
      </c>
      <c r="BG152" s="419">
        <f t="shared" si="356"/>
        <v>119710</v>
      </c>
      <c r="BH152" s="407">
        <f t="shared" si="319"/>
        <v>1.6337514405017504</v>
      </c>
      <c r="BI152" s="407">
        <f t="shared" si="320"/>
        <v>0.2000511967961327</v>
      </c>
      <c r="BJ152" s="508"/>
      <c r="BK152" s="510"/>
      <c r="BL152" s="49">
        <v>2556</v>
      </c>
      <c r="BM152" s="50"/>
      <c r="BN152" s="52">
        <f t="shared" si="321"/>
        <v>2402</v>
      </c>
      <c r="BO152" s="52">
        <f t="shared" si="263"/>
        <v>154</v>
      </c>
      <c r="BP152" s="406">
        <f t="shared" si="322"/>
        <v>0.22533859318482446</v>
      </c>
      <c r="BQ152" s="52">
        <f t="shared" si="323"/>
        <v>33498</v>
      </c>
      <c r="BR152" s="406">
        <f t="shared" si="324"/>
        <v>0.45716653373926686</v>
      </c>
      <c r="BS152" s="512"/>
      <c r="BT152" s="409">
        <v>606</v>
      </c>
      <c r="BU152" s="43"/>
      <c r="BV152" s="43">
        <f t="shared" si="350"/>
        <v>586</v>
      </c>
      <c r="BW152" s="43">
        <f t="shared" si="351"/>
        <v>20</v>
      </c>
      <c r="BX152" s="42">
        <f t="shared" si="325"/>
        <v>2.9264752361665515E-2</v>
      </c>
      <c r="BY152" s="43">
        <f t="shared" si="352"/>
        <v>15851</v>
      </c>
      <c r="BZ152" s="42">
        <f t="shared" si="326"/>
        <v>0.21632774273989847</v>
      </c>
      <c r="CA152" s="514"/>
      <c r="CB152" s="392">
        <v>1989</v>
      </c>
      <c r="CC152" s="298"/>
      <c r="CD152" s="298">
        <f t="shared" si="282"/>
        <v>1989</v>
      </c>
      <c r="CE152" s="298">
        <f t="shared" si="264"/>
        <v>0</v>
      </c>
      <c r="CF152" s="297">
        <f t="shared" si="327"/>
        <v>0</v>
      </c>
      <c r="CG152" s="298">
        <f t="shared" si="328"/>
        <v>59361</v>
      </c>
      <c r="CH152" s="297">
        <f t="shared" si="329"/>
        <v>0.81013381722182276</v>
      </c>
      <c r="CI152" s="516"/>
      <c r="CJ152" s="659">
        <v>1150</v>
      </c>
      <c r="CK152" s="651"/>
      <c r="CL152" s="657">
        <f t="shared" si="357"/>
        <v>750</v>
      </c>
      <c r="CM152" s="657">
        <f t="shared" si="358"/>
        <v>400</v>
      </c>
      <c r="CN152" s="659">
        <f t="shared" si="359"/>
        <v>20500</v>
      </c>
      <c r="CO152" s="464">
        <v>17</v>
      </c>
      <c r="CP152" s="465"/>
      <c r="CQ152" s="465">
        <f t="shared" si="283"/>
        <v>17</v>
      </c>
      <c r="CR152" s="465">
        <f t="shared" si="265"/>
        <v>0</v>
      </c>
      <c r="CS152" s="486">
        <f t="shared" si="330"/>
        <v>0</v>
      </c>
      <c r="CT152" s="465">
        <f t="shared" si="331"/>
        <v>1502</v>
      </c>
      <c r="CU152" s="486">
        <f t="shared" si="332"/>
        <v>2.0498660626794996E-2</v>
      </c>
      <c r="CV152" s="518"/>
      <c r="CW152" s="427">
        <v>4</v>
      </c>
      <c r="CX152" s="427"/>
      <c r="CY152" s="427">
        <f t="shared" si="333"/>
        <v>4</v>
      </c>
      <c r="CZ152" s="427">
        <f t="shared" si="334"/>
        <v>0</v>
      </c>
      <c r="DA152" s="607">
        <f t="shared" si="349"/>
        <v>0</v>
      </c>
      <c r="DB152" s="607">
        <f t="shared" si="335"/>
        <v>111</v>
      </c>
      <c r="DC152" s="607">
        <f t="shared" si="284"/>
        <v>1.5148810449895104E-3</v>
      </c>
      <c r="DD152" s="609"/>
      <c r="DE152" s="471">
        <v>5</v>
      </c>
      <c r="DF152" s="473"/>
      <c r="DG152" s="473">
        <f t="shared" si="285"/>
        <v>5</v>
      </c>
      <c r="DH152" s="473">
        <f t="shared" si="266"/>
        <v>0</v>
      </c>
      <c r="DI152" s="227">
        <f t="shared" si="336"/>
        <v>0</v>
      </c>
      <c r="DJ152" s="473">
        <f t="shared" si="337"/>
        <v>94.2</v>
      </c>
      <c r="DK152" s="227">
        <f t="shared" si="338"/>
        <v>1.2856017516938009E-3</v>
      </c>
      <c r="DL152" s="510"/>
      <c r="DM152" s="63">
        <v>1050</v>
      </c>
      <c r="DN152" s="64"/>
      <c r="DO152" s="66">
        <f t="shared" si="339"/>
        <v>1000</v>
      </c>
      <c r="DP152" s="66">
        <f t="shared" si="267"/>
        <v>50</v>
      </c>
      <c r="DQ152" s="412">
        <f t="shared" si="340"/>
        <v>7.3161880904163784E-2</v>
      </c>
      <c r="DR152" s="66">
        <f t="shared" si="341"/>
        <v>17000</v>
      </c>
      <c r="DS152" s="412">
        <f t="shared" si="342"/>
        <v>0.23200880869208718</v>
      </c>
      <c r="DT152" s="506"/>
      <c r="DU152" s="596">
        <v>0</v>
      </c>
      <c r="DV152" s="596"/>
      <c r="DW152" s="596">
        <f t="shared" si="286"/>
        <v>0</v>
      </c>
      <c r="DX152" s="596">
        <f t="shared" si="268"/>
        <v>0</v>
      </c>
      <c r="DY152" s="592">
        <f t="shared" si="287"/>
        <v>0</v>
      </c>
      <c r="DZ152" s="596">
        <f t="shared" si="343"/>
        <v>2800</v>
      </c>
      <c r="EA152" s="592">
        <f t="shared" si="288"/>
        <v>3.8213215549284946E-2</v>
      </c>
      <c r="EB152" s="594"/>
      <c r="EC152" s="448">
        <v>110</v>
      </c>
      <c r="ED152" s="449"/>
      <c r="EE152" s="449">
        <f t="shared" si="289"/>
        <v>110</v>
      </c>
      <c r="EF152" s="449">
        <f t="shared" si="269"/>
        <v>0</v>
      </c>
      <c r="EG152" s="450">
        <f t="shared" si="347"/>
        <v>0</v>
      </c>
      <c r="EH152" s="449">
        <f t="shared" si="344"/>
        <v>955</v>
      </c>
      <c r="EI152" s="450">
        <f t="shared" si="348"/>
        <v>1.3033436017702545E-2</v>
      </c>
      <c r="EJ152" s="520"/>
      <c r="EK152" s="426">
        <v>1863</v>
      </c>
      <c r="EL152" s="427"/>
      <c r="EM152" s="427">
        <f t="shared" si="290"/>
        <v>1188</v>
      </c>
      <c r="EN152" s="427">
        <f t="shared" si="270"/>
        <v>675</v>
      </c>
      <c r="EO152" s="427">
        <f t="shared" si="291"/>
        <v>69134</v>
      </c>
      <c r="EP152" s="456">
        <v>45</v>
      </c>
      <c r="EQ152" s="457"/>
      <c r="ER152" s="457">
        <f t="shared" si="292"/>
        <v>45</v>
      </c>
      <c r="ES152" s="457">
        <f t="shared" si="271"/>
        <v>0</v>
      </c>
      <c r="ET152" s="457">
        <f t="shared" si="293"/>
        <v>1763</v>
      </c>
      <c r="EU152" s="409">
        <v>0</v>
      </c>
      <c r="EV152" s="43"/>
      <c r="EW152" s="43">
        <f t="shared" si="294"/>
        <v>0</v>
      </c>
      <c r="EX152" s="43">
        <f t="shared" si="272"/>
        <v>0</v>
      </c>
      <c r="EY152" s="43">
        <f t="shared" si="295"/>
        <v>740</v>
      </c>
      <c r="EZ152" s="436">
        <v>23</v>
      </c>
      <c r="FA152" s="437"/>
      <c r="FB152" s="437">
        <f t="shared" si="296"/>
        <v>19</v>
      </c>
      <c r="FC152" s="437">
        <f t="shared" si="273"/>
        <v>4</v>
      </c>
      <c r="FD152" s="437">
        <f t="shared" si="297"/>
        <v>871</v>
      </c>
      <c r="FE152" s="442">
        <v>58</v>
      </c>
      <c r="FF152" s="443"/>
      <c r="FG152" s="443">
        <f t="shared" si="298"/>
        <v>58</v>
      </c>
      <c r="FH152" s="443">
        <f t="shared" si="274"/>
        <v>0</v>
      </c>
      <c r="FI152" s="443">
        <f t="shared" si="299"/>
        <v>942</v>
      </c>
      <c r="FJ152" s="392">
        <v>1000</v>
      </c>
      <c r="FK152" s="298"/>
      <c r="FL152" s="298">
        <f t="shared" si="300"/>
        <v>980</v>
      </c>
      <c r="FM152" s="298">
        <f t="shared" si="275"/>
        <v>20</v>
      </c>
      <c r="FN152" s="498">
        <f t="shared" si="301"/>
        <v>2820</v>
      </c>
      <c r="HC152" s="402">
        <v>0</v>
      </c>
      <c r="HD152" s="52">
        <v>0</v>
      </c>
      <c r="HE152" s="52">
        <f t="shared" si="302"/>
        <v>0</v>
      </c>
      <c r="HF152" s="52">
        <f t="shared" si="276"/>
        <v>0</v>
      </c>
      <c r="HG152" s="51"/>
      <c r="HH152" s="52">
        <f t="shared" si="345"/>
        <v>400</v>
      </c>
      <c r="HI152" s="51"/>
      <c r="HJ152" s="1047"/>
    </row>
    <row r="153" spans="1:218">
      <c r="A153" s="807">
        <v>44816</v>
      </c>
      <c r="B153" s="390">
        <v>683198</v>
      </c>
      <c r="C153" s="18">
        <f t="shared" si="256"/>
        <v>73956278</v>
      </c>
      <c r="D153" s="376">
        <v>7001.14</v>
      </c>
      <c r="E153" s="417">
        <f t="shared" si="360"/>
        <v>930935.6599999998</v>
      </c>
      <c r="F153" s="397">
        <v>29326</v>
      </c>
      <c r="G153" s="37"/>
      <c r="H153" s="37">
        <f t="shared" si="277"/>
        <v>25629</v>
      </c>
      <c r="I153" s="37">
        <f t="shared" si="257"/>
        <v>3697</v>
      </c>
      <c r="J153" s="37">
        <f t="shared" si="258"/>
        <v>528.05685931148355</v>
      </c>
      <c r="K153" s="37">
        <f t="shared" si="303"/>
        <v>419998</v>
      </c>
      <c r="L153" s="37">
        <f t="shared" si="259"/>
        <v>451.15685008779241</v>
      </c>
      <c r="M153" s="648"/>
      <c r="N153" s="422">
        <v>50</v>
      </c>
      <c r="O153" s="423">
        <v>400</v>
      </c>
      <c r="P153" s="423">
        <f t="shared" si="304"/>
        <v>250</v>
      </c>
      <c r="Q153" s="423">
        <f t="shared" si="305"/>
        <v>200</v>
      </c>
      <c r="R153" s="423">
        <f t="shared" si="306"/>
        <v>11600</v>
      </c>
      <c r="S153" s="68">
        <v>11.52</v>
      </c>
      <c r="T153" s="67">
        <v>24</v>
      </c>
      <c r="U153" s="68">
        <f t="shared" si="307"/>
        <v>138.24</v>
      </c>
      <c r="V153" s="68">
        <f t="shared" si="260"/>
        <v>19.74535575634825</v>
      </c>
      <c r="W153" s="423">
        <f t="shared" si="308"/>
        <v>11314.704</v>
      </c>
      <c r="X153" s="68">
        <f t="shared" si="261"/>
        <v>12.154120296562711</v>
      </c>
      <c r="Y153" s="500"/>
      <c r="Z153" s="424">
        <v>0</v>
      </c>
      <c r="AA153" s="425">
        <v>150</v>
      </c>
      <c r="AB153" s="425">
        <f t="shared" si="309"/>
        <v>125</v>
      </c>
      <c r="AC153" s="425">
        <f t="shared" si="310"/>
        <v>25</v>
      </c>
      <c r="AD153" s="425">
        <f t="shared" si="311"/>
        <v>1900</v>
      </c>
      <c r="AE153" s="72">
        <v>2.4</v>
      </c>
      <c r="AF153" s="71">
        <v>12</v>
      </c>
      <c r="AG153" s="72">
        <f t="shared" si="312"/>
        <v>14.399999999999999</v>
      </c>
      <c r="AH153" s="72">
        <f t="shared" si="278"/>
        <v>2.0568078912862759</v>
      </c>
      <c r="AI153" s="425">
        <f t="shared" si="313"/>
        <v>1748.1120000000008</v>
      </c>
      <c r="AJ153" s="72">
        <f t="shared" si="346"/>
        <v>1.8778010931496609</v>
      </c>
      <c r="AK153" s="502"/>
      <c r="AL153" s="491">
        <v>23607</v>
      </c>
      <c r="AM153" s="491"/>
      <c r="AN153" s="492">
        <f t="shared" si="353"/>
        <v>23607</v>
      </c>
      <c r="AO153" s="492">
        <f t="shared" si="354"/>
        <v>0</v>
      </c>
      <c r="AP153" s="492">
        <f t="shared" si="355"/>
        <v>59966</v>
      </c>
      <c r="AQ153" s="493">
        <f t="shared" si="279"/>
        <v>64.414763099739901</v>
      </c>
      <c r="AR153" s="504"/>
      <c r="AS153" s="413">
        <v>48720</v>
      </c>
      <c r="AT153" s="64"/>
      <c r="AU153" s="66">
        <f t="shared" si="314"/>
        <v>42728</v>
      </c>
      <c r="AV153" s="66">
        <f t="shared" si="262"/>
        <v>5992</v>
      </c>
      <c r="AW153" s="412">
        <f t="shared" si="315"/>
        <v>8.7705174780956625</v>
      </c>
      <c r="AX153" s="66">
        <f t="shared" si="316"/>
        <v>218937</v>
      </c>
      <c r="AY153" s="412">
        <f t="shared" si="317"/>
        <v>2.9603571991548843</v>
      </c>
      <c r="AZ153" s="506"/>
      <c r="BA153" s="419">
        <v>0</v>
      </c>
      <c r="BB153" s="419"/>
      <c r="BC153" s="407"/>
      <c r="BD153" s="419">
        <f t="shared" si="280"/>
        <v>0</v>
      </c>
      <c r="BE153" s="419">
        <f t="shared" si="281"/>
        <v>0</v>
      </c>
      <c r="BF153" s="407">
        <f t="shared" si="318"/>
        <v>0</v>
      </c>
      <c r="BG153" s="419">
        <f t="shared" si="356"/>
        <v>119710</v>
      </c>
      <c r="BH153" s="407">
        <f t="shared" si="319"/>
        <v>1.6186590677264747</v>
      </c>
      <c r="BI153" s="407">
        <f t="shared" si="320"/>
        <v>0.19820315115018058</v>
      </c>
      <c r="BJ153" s="508"/>
      <c r="BK153" s="510"/>
      <c r="BL153" s="49">
        <v>2402</v>
      </c>
      <c r="BM153" s="50"/>
      <c r="BN153" s="52">
        <f t="shared" si="321"/>
        <v>2152</v>
      </c>
      <c r="BO153" s="52">
        <f t="shared" si="263"/>
        <v>250</v>
      </c>
      <c r="BP153" s="406">
        <f t="shared" si="322"/>
        <v>0.36592612976033301</v>
      </c>
      <c r="BQ153" s="52">
        <f t="shared" si="323"/>
        <v>33748</v>
      </c>
      <c r="BR153" s="406">
        <f t="shared" si="324"/>
        <v>0.45632366734302121</v>
      </c>
      <c r="BS153" s="512"/>
      <c r="BT153" s="409">
        <v>586</v>
      </c>
      <c r="BU153" s="43">
        <v>2000</v>
      </c>
      <c r="BV153" s="43">
        <f t="shared" si="350"/>
        <v>2360</v>
      </c>
      <c r="BW153" s="43">
        <f t="shared" si="351"/>
        <v>226</v>
      </c>
      <c r="BX153" s="42">
        <f t="shared" si="325"/>
        <v>0.33079722130334105</v>
      </c>
      <c r="BY153" s="43">
        <f t="shared" si="352"/>
        <v>16077</v>
      </c>
      <c r="BZ153" s="42">
        <f t="shared" si="326"/>
        <v>0.21738519615603155</v>
      </c>
      <c r="CA153" s="514"/>
      <c r="CB153" s="392">
        <v>1989</v>
      </c>
      <c r="CC153" s="298"/>
      <c r="CD153" s="298">
        <f t="shared" si="282"/>
        <v>1989</v>
      </c>
      <c r="CE153" s="298">
        <f t="shared" si="264"/>
        <v>0</v>
      </c>
      <c r="CF153" s="297">
        <f t="shared" si="327"/>
        <v>0</v>
      </c>
      <c r="CG153" s="298">
        <f t="shared" si="328"/>
        <v>59361</v>
      </c>
      <c r="CH153" s="297">
        <f t="shared" si="329"/>
        <v>0.80264991161399446</v>
      </c>
      <c r="CI153" s="516"/>
      <c r="CJ153" s="659">
        <v>750</v>
      </c>
      <c r="CK153" s="651">
        <v>1250</v>
      </c>
      <c r="CL153" s="657">
        <f t="shared" si="357"/>
        <v>1600</v>
      </c>
      <c r="CM153" s="657">
        <f t="shared" si="358"/>
        <v>400</v>
      </c>
      <c r="CN153" s="659">
        <f t="shared" si="359"/>
        <v>20900</v>
      </c>
      <c r="CO153" s="464">
        <v>17</v>
      </c>
      <c r="CP153" s="465"/>
      <c r="CQ153" s="465">
        <f t="shared" si="283"/>
        <v>17</v>
      </c>
      <c r="CR153" s="465">
        <f t="shared" si="265"/>
        <v>0</v>
      </c>
      <c r="CS153" s="486">
        <f t="shared" si="330"/>
        <v>0</v>
      </c>
      <c r="CT153" s="465">
        <f t="shared" si="331"/>
        <v>1502</v>
      </c>
      <c r="CU153" s="486">
        <f t="shared" si="332"/>
        <v>2.0309296798305614E-2</v>
      </c>
      <c r="CV153" s="518"/>
      <c r="CW153" s="427">
        <v>4</v>
      </c>
      <c r="CX153" s="427"/>
      <c r="CY153" s="427">
        <f t="shared" si="333"/>
        <v>4</v>
      </c>
      <c r="CZ153" s="427">
        <f t="shared" si="334"/>
        <v>0</v>
      </c>
      <c r="DA153" s="607">
        <f t="shared" si="349"/>
        <v>0</v>
      </c>
      <c r="DB153" s="607">
        <f t="shared" si="335"/>
        <v>111</v>
      </c>
      <c r="DC153" s="607">
        <f t="shared" si="284"/>
        <v>1.5008867807003484E-3</v>
      </c>
      <c r="DD153" s="609"/>
      <c r="DE153" s="471">
        <v>5</v>
      </c>
      <c r="DF153" s="473"/>
      <c r="DG153" s="473">
        <f t="shared" si="285"/>
        <v>5</v>
      </c>
      <c r="DH153" s="473">
        <f t="shared" si="266"/>
        <v>0</v>
      </c>
      <c r="DI153" s="227">
        <f t="shared" si="336"/>
        <v>0</v>
      </c>
      <c r="DJ153" s="473">
        <f t="shared" si="337"/>
        <v>94.2</v>
      </c>
      <c r="DK153" s="227">
        <f t="shared" si="338"/>
        <v>1.2737255382159714E-3</v>
      </c>
      <c r="DL153" s="510"/>
      <c r="DM153" s="63">
        <v>1000</v>
      </c>
      <c r="DN153" s="64"/>
      <c r="DO153" s="66">
        <f t="shared" si="339"/>
        <v>990</v>
      </c>
      <c r="DP153" s="66">
        <f t="shared" si="267"/>
        <v>10</v>
      </c>
      <c r="DQ153" s="412">
        <f t="shared" si="340"/>
        <v>1.463704519041332E-2</v>
      </c>
      <c r="DR153" s="66">
        <f t="shared" si="341"/>
        <v>17010</v>
      </c>
      <c r="DS153" s="412">
        <f t="shared" si="342"/>
        <v>0.23000075801543177</v>
      </c>
      <c r="DT153" s="506"/>
      <c r="DU153" s="596">
        <v>0</v>
      </c>
      <c r="DV153" s="596"/>
      <c r="DW153" s="596">
        <f t="shared" si="286"/>
        <v>0</v>
      </c>
      <c r="DX153" s="596">
        <f t="shared" si="268"/>
        <v>0</v>
      </c>
      <c r="DY153" s="592">
        <f t="shared" si="287"/>
        <v>0</v>
      </c>
      <c r="DZ153" s="596">
        <f t="shared" si="343"/>
        <v>2800</v>
      </c>
      <c r="EA153" s="592">
        <f t="shared" si="288"/>
        <v>3.7860207080729506E-2</v>
      </c>
      <c r="EB153" s="594"/>
      <c r="EC153" s="448">
        <v>110</v>
      </c>
      <c r="ED153" s="449"/>
      <c r="EE153" s="449">
        <f t="shared" si="289"/>
        <v>110</v>
      </c>
      <c r="EF153" s="449">
        <f t="shared" si="269"/>
        <v>0</v>
      </c>
      <c r="EG153" s="450">
        <f t="shared" si="347"/>
        <v>0</v>
      </c>
      <c r="EH153" s="449">
        <f t="shared" si="344"/>
        <v>955</v>
      </c>
      <c r="EI153" s="450">
        <f t="shared" si="348"/>
        <v>1.2913034915034529E-2</v>
      </c>
      <c r="EJ153" s="520"/>
      <c r="EK153" s="426">
        <v>1188</v>
      </c>
      <c r="EL153" s="427">
        <v>3600</v>
      </c>
      <c r="EM153" s="427">
        <f t="shared" si="290"/>
        <v>4650</v>
      </c>
      <c r="EN153" s="427">
        <f t="shared" si="270"/>
        <v>138</v>
      </c>
      <c r="EO153" s="427">
        <f t="shared" si="291"/>
        <v>69272</v>
      </c>
      <c r="EP153" s="456">
        <v>45</v>
      </c>
      <c r="EQ153" s="457"/>
      <c r="ER153" s="457">
        <f t="shared" si="292"/>
        <v>45</v>
      </c>
      <c r="ES153" s="457">
        <f t="shared" si="271"/>
        <v>0</v>
      </c>
      <c r="ET153" s="457">
        <f t="shared" si="293"/>
        <v>1763</v>
      </c>
      <c r="EU153" s="409">
        <v>0</v>
      </c>
      <c r="EV153" s="43"/>
      <c r="EW153" s="43">
        <f t="shared" si="294"/>
        <v>0</v>
      </c>
      <c r="EX153" s="43">
        <f t="shared" si="272"/>
        <v>0</v>
      </c>
      <c r="EY153" s="43">
        <f t="shared" si="295"/>
        <v>740</v>
      </c>
      <c r="EZ153" s="436">
        <v>19</v>
      </c>
      <c r="FA153" s="437"/>
      <c r="FB153" s="437">
        <f t="shared" si="296"/>
        <v>3</v>
      </c>
      <c r="FC153" s="437">
        <f t="shared" si="273"/>
        <v>16</v>
      </c>
      <c r="FD153" s="437">
        <f t="shared" si="297"/>
        <v>887</v>
      </c>
      <c r="FE153" s="442">
        <v>58</v>
      </c>
      <c r="FF153" s="443"/>
      <c r="FG153" s="443">
        <f t="shared" si="298"/>
        <v>58</v>
      </c>
      <c r="FH153" s="443">
        <f t="shared" si="274"/>
        <v>0</v>
      </c>
      <c r="FI153" s="443">
        <f t="shared" si="299"/>
        <v>942</v>
      </c>
      <c r="FJ153" s="392">
        <v>980</v>
      </c>
      <c r="FK153" s="298"/>
      <c r="FL153" s="298">
        <f t="shared" si="300"/>
        <v>980</v>
      </c>
      <c r="FM153" s="298">
        <f t="shared" si="275"/>
        <v>0</v>
      </c>
      <c r="FN153" s="498">
        <f t="shared" si="301"/>
        <v>2820</v>
      </c>
      <c r="HC153" s="402">
        <v>0</v>
      </c>
      <c r="HD153" s="52">
        <v>0</v>
      </c>
      <c r="HE153" s="52">
        <f t="shared" si="302"/>
        <v>0</v>
      </c>
      <c r="HF153" s="52">
        <f t="shared" si="276"/>
        <v>0</v>
      </c>
      <c r="HG153" s="51"/>
      <c r="HH153" s="52">
        <f t="shared" si="345"/>
        <v>400</v>
      </c>
      <c r="HI153" s="51"/>
      <c r="HJ153" s="1047"/>
    </row>
    <row r="154" spans="1:218">
      <c r="A154" s="807">
        <v>44817</v>
      </c>
      <c r="B154" s="390">
        <v>680362</v>
      </c>
      <c r="C154" s="18">
        <f t="shared" si="256"/>
        <v>74636640</v>
      </c>
      <c r="D154" s="376">
        <v>6856.5</v>
      </c>
      <c r="E154" s="417">
        <f t="shared" si="360"/>
        <v>937792.1599999998</v>
      </c>
      <c r="F154" s="397">
        <v>25629</v>
      </c>
      <c r="G154" s="37"/>
      <c r="H154" s="37">
        <f t="shared" si="277"/>
        <v>24705</v>
      </c>
      <c r="I154" s="37">
        <f t="shared" si="257"/>
        <v>924</v>
      </c>
      <c r="J154" s="37">
        <f t="shared" si="258"/>
        <v>134.76263399693721</v>
      </c>
      <c r="K154" s="37">
        <f t="shared" si="303"/>
        <v>420922</v>
      </c>
      <c r="L154" s="37">
        <f t="shared" si="259"/>
        <v>448.84359024711841</v>
      </c>
      <c r="M154" s="648"/>
      <c r="N154" s="422">
        <v>250</v>
      </c>
      <c r="O154" s="423">
        <v>150</v>
      </c>
      <c r="P154" s="423">
        <f t="shared" si="304"/>
        <v>275</v>
      </c>
      <c r="Q154" s="423">
        <f t="shared" si="305"/>
        <v>125</v>
      </c>
      <c r="R154" s="423">
        <f t="shared" si="306"/>
        <v>11725</v>
      </c>
      <c r="S154" s="68">
        <v>9.82</v>
      </c>
      <c r="T154" s="67">
        <v>24</v>
      </c>
      <c r="U154" s="68">
        <f t="shared" si="307"/>
        <v>117.84</v>
      </c>
      <c r="V154" s="68">
        <f t="shared" si="260"/>
        <v>17.186611244804201</v>
      </c>
      <c r="W154" s="423">
        <f t="shared" si="308"/>
        <v>11432.544</v>
      </c>
      <c r="X154" s="68">
        <f t="shared" si="261"/>
        <v>12.190914455928063</v>
      </c>
      <c r="Y154" s="500"/>
      <c r="Z154" s="424">
        <v>125</v>
      </c>
      <c r="AA154" s="425"/>
      <c r="AB154" s="425">
        <f t="shared" si="309"/>
        <v>125</v>
      </c>
      <c r="AC154" s="425">
        <f t="shared" si="310"/>
        <v>0</v>
      </c>
      <c r="AD154" s="425">
        <f t="shared" si="311"/>
        <v>1900</v>
      </c>
      <c r="AE154" s="72">
        <v>2.44</v>
      </c>
      <c r="AF154" s="71">
        <v>12</v>
      </c>
      <c r="AG154" s="72">
        <f t="shared" si="312"/>
        <v>14.64</v>
      </c>
      <c r="AH154" s="72">
        <f t="shared" si="278"/>
        <v>2.1352001750164078</v>
      </c>
      <c r="AI154" s="425">
        <f t="shared" si="313"/>
        <v>1762.7520000000009</v>
      </c>
      <c r="AJ154" s="72">
        <f t="shared" si="346"/>
        <v>1.8796830205959509</v>
      </c>
      <c r="AK154" s="502"/>
      <c r="AL154" s="491">
        <v>23607</v>
      </c>
      <c r="AM154" s="491"/>
      <c r="AN154" s="492">
        <f t="shared" si="353"/>
        <v>23607</v>
      </c>
      <c r="AO154" s="492">
        <f t="shared" si="354"/>
        <v>0</v>
      </c>
      <c r="AP154" s="492">
        <f t="shared" si="355"/>
        <v>59966</v>
      </c>
      <c r="AQ154" s="493">
        <f t="shared" si="279"/>
        <v>63.943806056130832</v>
      </c>
      <c r="AR154" s="504"/>
      <c r="AS154" s="413">
        <v>42728</v>
      </c>
      <c r="AT154" s="64"/>
      <c r="AU154" s="66">
        <f t="shared" si="314"/>
        <v>36948</v>
      </c>
      <c r="AV154" s="66">
        <f t="shared" si="262"/>
        <v>5780</v>
      </c>
      <c r="AW154" s="412">
        <f t="shared" si="315"/>
        <v>8.4954774076153576</v>
      </c>
      <c r="AX154" s="66">
        <f t="shared" si="316"/>
        <v>224717</v>
      </c>
      <c r="AY154" s="412">
        <f t="shared" si="317"/>
        <v>3.0108134556968267</v>
      </c>
      <c r="AZ154" s="506"/>
      <c r="BA154" s="419">
        <v>0</v>
      </c>
      <c r="BB154" s="419">
        <v>27125</v>
      </c>
      <c r="BC154" s="407"/>
      <c r="BD154" s="419">
        <f t="shared" si="280"/>
        <v>27125</v>
      </c>
      <c r="BE154" s="419">
        <f t="shared" si="281"/>
        <v>0</v>
      </c>
      <c r="BF154" s="407">
        <f t="shared" si="318"/>
        <v>0</v>
      </c>
      <c r="BG154" s="419">
        <f t="shared" si="356"/>
        <v>119710</v>
      </c>
      <c r="BH154" s="407">
        <f t="shared" si="319"/>
        <v>1.6039039270792468</v>
      </c>
      <c r="BI154" s="407">
        <f t="shared" si="320"/>
        <v>0.1963963992341935</v>
      </c>
      <c r="BJ154" s="508"/>
      <c r="BK154" s="510"/>
      <c r="BL154" s="49">
        <v>2152</v>
      </c>
      <c r="BM154" s="50"/>
      <c r="BN154" s="52">
        <f t="shared" si="321"/>
        <v>1870</v>
      </c>
      <c r="BO154" s="52">
        <f t="shared" si="263"/>
        <v>282</v>
      </c>
      <c r="BP154" s="406">
        <f t="shared" si="322"/>
        <v>0.41448522992171816</v>
      </c>
      <c r="BQ154" s="52">
        <f t="shared" si="323"/>
        <v>34030</v>
      </c>
      <c r="BR154" s="406">
        <f t="shared" si="324"/>
        <v>0.4559422825036068</v>
      </c>
      <c r="BS154" s="512"/>
      <c r="BT154" s="409">
        <v>2360</v>
      </c>
      <c r="BU154" s="43"/>
      <c r="BV154" s="43">
        <f t="shared" si="350"/>
        <v>2156</v>
      </c>
      <c r="BW154" s="43">
        <f t="shared" si="351"/>
        <v>204</v>
      </c>
      <c r="BX154" s="42">
        <f t="shared" si="325"/>
        <v>0.29984037909230676</v>
      </c>
      <c r="BY154" s="43">
        <f t="shared" si="352"/>
        <v>16281</v>
      </c>
      <c r="BZ154" s="42">
        <f t="shared" si="326"/>
        <v>0.21813682931064421</v>
      </c>
      <c r="CA154" s="514"/>
      <c r="CB154" s="392">
        <v>1989</v>
      </c>
      <c r="CC154" s="298"/>
      <c r="CD154" s="298">
        <f t="shared" si="282"/>
        <v>1989</v>
      </c>
      <c r="CE154" s="298">
        <f t="shared" si="264"/>
        <v>0</v>
      </c>
      <c r="CF154" s="297">
        <f t="shared" si="327"/>
        <v>0</v>
      </c>
      <c r="CG154" s="298">
        <f t="shared" si="328"/>
        <v>59361</v>
      </c>
      <c r="CH154" s="297">
        <f t="shared" si="329"/>
        <v>0.79533323043481052</v>
      </c>
      <c r="CI154" s="516"/>
      <c r="CJ154" s="659">
        <v>1600</v>
      </c>
      <c r="CK154" s="651"/>
      <c r="CL154" s="657">
        <f t="shared" si="357"/>
        <v>1075</v>
      </c>
      <c r="CM154" s="657">
        <f t="shared" si="358"/>
        <v>525</v>
      </c>
      <c r="CN154" s="659">
        <f t="shared" si="359"/>
        <v>21425</v>
      </c>
      <c r="CO154" s="464">
        <v>17</v>
      </c>
      <c r="CP154" s="465"/>
      <c r="CQ154" s="465">
        <f t="shared" si="283"/>
        <v>17</v>
      </c>
      <c r="CR154" s="465">
        <f t="shared" si="265"/>
        <v>0</v>
      </c>
      <c r="CS154" s="486">
        <f t="shared" si="330"/>
        <v>0</v>
      </c>
      <c r="CT154" s="465">
        <f t="shared" si="331"/>
        <v>1502</v>
      </c>
      <c r="CU154" s="486">
        <f t="shared" si="332"/>
        <v>2.0124164217467454E-2</v>
      </c>
      <c r="CV154" s="518"/>
      <c r="CW154" s="427">
        <v>4</v>
      </c>
      <c r="CX154" s="427"/>
      <c r="CY154" s="427">
        <f t="shared" si="333"/>
        <v>4</v>
      </c>
      <c r="CZ154" s="427">
        <f t="shared" si="334"/>
        <v>0</v>
      </c>
      <c r="DA154" s="607">
        <f t="shared" si="349"/>
        <v>0</v>
      </c>
      <c r="DB154" s="607">
        <f t="shared" si="335"/>
        <v>111</v>
      </c>
      <c r="DC154" s="607">
        <f t="shared" si="284"/>
        <v>1.487205211810178E-3</v>
      </c>
      <c r="DD154" s="609"/>
      <c r="DE154" s="471">
        <v>5</v>
      </c>
      <c r="DF154" s="473"/>
      <c r="DG154" s="473">
        <f t="shared" si="285"/>
        <v>5</v>
      </c>
      <c r="DH154" s="473">
        <f t="shared" si="266"/>
        <v>0</v>
      </c>
      <c r="DI154" s="227">
        <f t="shared" si="336"/>
        <v>0</v>
      </c>
      <c r="DJ154" s="473">
        <f t="shared" si="337"/>
        <v>94.2</v>
      </c>
      <c r="DK154" s="227">
        <f t="shared" si="338"/>
        <v>1.2621146932659348E-3</v>
      </c>
      <c r="DL154" s="510"/>
      <c r="DM154" s="63">
        <v>990</v>
      </c>
      <c r="DN154" s="64"/>
      <c r="DO154" s="66">
        <f t="shared" si="339"/>
        <v>705</v>
      </c>
      <c r="DP154" s="66">
        <f t="shared" si="267"/>
        <v>285</v>
      </c>
      <c r="DQ154" s="412">
        <f t="shared" si="340"/>
        <v>0.41889464726131087</v>
      </c>
      <c r="DR154" s="66">
        <f t="shared" si="341"/>
        <v>17295</v>
      </c>
      <c r="DS154" s="412">
        <f t="shared" si="342"/>
        <v>0.23172264989420746</v>
      </c>
      <c r="DT154" s="506"/>
      <c r="DU154" s="596">
        <v>0</v>
      </c>
      <c r="DV154" s="596"/>
      <c r="DW154" s="596">
        <f t="shared" si="286"/>
        <v>0</v>
      </c>
      <c r="DX154" s="596">
        <f t="shared" si="268"/>
        <v>0</v>
      </c>
      <c r="DY154" s="592">
        <f t="shared" si="287"/>
        <v>0</v>
      </c>
      <c r="DZ154" s="596">
        <f t="shared" si="343"/>
        <v>2800</v>
      </c>
      <c r="EA154" s="592">
        <f t="shared" si="288"/>
        <v>3.7515086424040528E-2</v>
      </c>
      <c r="EB154" s="594"/>
      <c r="EC154" s="448">
        <v>110</v>
      </c>
      <c r="ED154" s="449"/>
      <c r="EE154" s="449">
        <f t="shared" si="289"/>
        <v>110</v>
      </c>
      <c r="EF154" s="449">
        <f t="shared" si="269"/>
        <v>0</v>
      </c>
      <c r="EG154" s="450">
        <f t="shared" si="347"/>
        <v>0</v>
      </c>
      <c r="EH154" s="449">
        <f t="shared" si="344"/>
        <v>955</v>
      </c>
      <c r="EI154" s="450">
        <f t="shared" si="348"/>
        <v>1.2795324119628108E-2</v>
      </c>
      <c r="EJ154" s="520"/>
      <c r="EK154" s="426">
        <v>4650</v>
      </c>
      <c r="EL154" s="427"/>
      <c r="EM154" s="427">
        <f t="shared" si="290"/>
        <v>4219</v>
      </c>
      <c r="EN154" s="427">
        <f t="shared" si="270"/>
        <v>431</v>
      </c>
      <c r="EO154" s="427">
        <f t="shared" si="291"/>
        <v>69703</v>
      </c>
      <c r="EP154" s="456">
        <v>45</v>
      </c>
      <c r="EQ154" s="457"/>
      <c r="ER154" s="457">
        <f t="shared" si="292"/>
        <v>45</v>
      </c>
      <c r="ES154" s="457">
        <f t="shared" si="271"/>
        <v>0</v>
      </c>
      <c r="ET154" s="457">
        <f t="shared" si="293"/>
        <v>1763</v>
      </c>
      <c r="EU154" s="409">
        <v>0</v>
      </c>
      <c r="EV154" s="43"/>
      <c r="EW154" s="43">
        <f t="shared" si="294"/>
        <v>0</v>
      </c>
      <c r="EX154" s="43">
        <f t="shared" si="272"/>
        <v>0</v>
      </c>
      <c r="EY154" s="43">
        <f t="shared" si="295"/>
        <v>740</v>
      </c>
      <c r="EZ154" s="436">
        <v>3</v>
      </c>
      <c r="FA154" s="437"/>
      <c r="FB154" s="437">
        <f t="shared" si="296"/>
        <v>0</v>
      </c>
      <c r="FC154" s="437">
        <f t="shared" si="273"/>
        <v>3</v>
      </c>
      <c r="FD154" s="437">
        <f t="shared" si="297"/>
        <v>890</v>
      </c>
      <c r="FE154" s="442">
        <v>58</v>
      </c>
      <c r="FF154" s="443"/>
      <c r="FG154" s="443">
        <f t="shared" si="298"/>
        <v>58</v>
      </c>
      <c r="FH154" s="443">
        <f t="shared" si="274"/>
        <v>0</v>
      </c>
      <c r="FI154" s="443">
        <f t="shared" si="299"/>
        <v>942</v>
      </c>
      <c r="FJ154" s="392">
        <v>980</v>
      </c>
      <c r="FK154" s="298"/>
      <c r="FL154" s="298">
        <f t="shared" si="300"/>
        <v>960</v>
      </c>
      <c r="FM154" s="298">
        <f t="shared" si="275"/>
        <v>20</v>
      </c>
      <c r="FN154" s="498">
        <f t="shared" si="301"/>
        <v>2840</v>
      </c>
      <c r="HC154" s="402">
        <v>0</v>
      </c>
      <c r="HD154" s="52">
        <v>0</v>
      </c>
      <c r="HE154" s="52">
        <f t="shared" si="302"/>
        <v>0</v>
      </c>
      <c r="HF154" s="52">
        <f t="shared" si="276"/>
        <v>0</v>
      </c>
      <c r="HG154" s="51"/>
      <c r="HH154" s="52">
        <f t="shared" si="345"/>
        <v>400</v>
      </c>
      <c r="HI154" s="51"/>
      <c r="HJ154" s="1047"/>
    </row>
    <row r="155" spans="1:218">
      <c r="A155" s="807">
        <v>44818</v>
      </c>
      <c r="B155" s="390">
        <v>546914</v>
      </c>
      <c r="C155" s="18">
        <f t="shared" si="256"/>
        <v>75183554</v>
      </c>
      <c r="D155" s="376">
        <v>2699.88</v>
      </c>
      <c r="E155" s="417">
        <f t="shared" si="360"/>
        <v>940492.0399999998</v>
      </c>
      <c r="F155" s="397">
        <v>24705</v>
      </c>
      <c r="G155" s="37"/>
      <c r="H155" s="37">
        <f t="shared" si="277"/>
        <v>21008</v>
      </c>
      <c r="I155" s="37">
        <f t="shared" si="257"/>
        <v>3697</v>
      </c>
      <c r="J155" s="37">
        <f t="shared" si="258"/>
        <v>1369.3201179311673</v>
      </c>
      <c r="K155" s="37">
        <f t="shared" si="303"/>
        <v>424619</v>
      </c>
      <c r="L155" s="37">
        <f t="shared" si="259"/>
        <v>451.48601151371798</v>
      </c>
      <c r="M155" s="648"/>
      <c r="N155" s="422">
        <v>275</v>
      </c>
      <c r="O155" s="423"/>
      <c r="P155" s="423">
        <f t="shared" si="304"/>
        <v>175</v>
      </c>
      <c r="Q155" s="423">
        <f t="shared" si="305"/>
        <v>100</v>
      </c>
      <c r="R155" s="423">
        <f t="shared" si="306"/>
        <v>11825</v>
      </c>
      <c r="S155" s="68">
        <v>6.17</v>
      </c>
      <c r="T155" s="67">
        <v>24</v>
      </c>
      <c r="U155" s="68">
        <f t="shared" si="307"/>
        <v>74.039999999999992</v>
      </c>
      <c r="V155" s="68">
        <f t="shared" si="260"/>
        <v>27.423441041824073</v>
      </c>
      <c r="W155" s="423">
        <f t="shared" si="308"/>
        <v>11506.584000000001</v>
      </c>
      <c r="X155" s="68">
        <f t="shared" si="261"/>
        <v>12.234642623875905</v>
      </c>
      <c r="Y155" s="500"/>
      <c r="Z155" s="424">
        <v>125</v>
      </c>
      <c r="AA155" s="425"/>
      <c r="AB155" s="425">
        <f t="shared" si="309"/>
        <v>125</v>
      </c>
      <c r="AC155" s="425">
        <f t="shared" si="310"/>
        <v>0</v>
      </c>
      <c r="AD155" s="425">
        <f t="shared" si="311"/>
        <v>1900</v>
      </c>
      <c r="AE155" s="72">
        <v>1.2</v>
      </c>
      <c r="AF155" s="71">
        <v>12</v>
      </c>
      <c r="AG155" s="72">
        <f t="shared" si="312"/>
        <v>7.1999999999999993</v>
      </c>
      <c r="AH155" s="72">
        <f t="shared" si="278"/>
        <v>2.6667851904529085</v>
      </c>
      <c r="AI155" s="425">
        <f t="shared" si="313"/>
        <v>1769.9520000000009</v>
      </c>
      <c r="AJ155" s="72">
        <f t="shared" si="346"/>
        <v>1.8819425627461996</v>
      </c>
      <c r="AK155" s="502"/>
      <c r="AL155" s="491">
        <v>23607</v>
      </c>
      <c r="AM155" s="491"/>
      <c r="AN155" s="492">
        <f t="shared" si="353"/>
        <v>23607</v>
      </c>
      <c r="AO155" s="492">
        <f t="shared" si="354"/>
        <v>0</v>
      </c>
      <c r="AP155" s="492">
        <f t="shared" si="355"/>
        <v>59966</v>
      </c>
      <c r="AQ155" s="493">
        <f t="shared" si="279"/>
        <v>63.760241926130512</v>
      </c>
      <c r="AR155" s="504"/>
      <c r="AS155" s="413">
        <v>36948</v>
      </c>
      <c r="AT155" s="64"/>
      <c r="AU155" s="66">
        <f t="shared" si="314"/>
        <v>34807</v>
      </c>
      <c r="AV155" s="66">
        <f t="shared" si="262"/>
        <v>2141</v>
      </c>
      <c r="AW155" s="412">
        <f t="shared" si="315"/>
        <v>3.9146922550894656</v>
      </c>
      <c r="AX155" s="66">
        <f t="shared" si="316"/>
        <v>226858</v>
      </c>
      <c r="AY155" s="412">
        <f t="shared" si="317"/>
        <v>3.0173886166647561</v>
      </c>
      <c r="AZ155" s="506"/>
      <c r="BA155" s="419">
        <v>27125</v>
      </c>
      <c r="BB155" s="419">
        <v>28625</v>
      </c>
      <c r="BC155" s="407"/>
      <c r="BD155" s="419">
        <f t="shared" si="280"/>
        <v>55750</v>
      </c>
      <c r="BE155" s="419">
        <f t="shared" si="281"/>
        <v>0</v>
      </c>
      <c r="BF155" s="407">
        <f t="shared" si="318"/>
        <v>0</v>
      </c>
      <c r="BG155" s="419">
        <f t="shared" si="356"/>
        <v>119710</v>
      </c>
      <c r="BH155" s="407">
        <f t="shared" si="319"/>
        <v>1.5922365149165467</v>
      </c>
      <c r="BI155" s="407">
        <f t="shared" si="320"/>
        <v>0.19496773652039348</v>
      </c>
      <c r="BJ155" s="508"/>
      <c r="BK155" s="510"/>
      <c r="BL155" s="49">
        <v>1870</v>
      </c>
      <c r="BM155" s="50"/>
      <c r="BN155" s="52">
        <f t="shared" si="321"/>
        <v>1805</v>
      </c>
      <c r="BO155" s="52">
        <f t="shared" si="263"/>
        <v>65</v>
      </c>
      <c r="BP155" s="406">
        <f t="shared" si="322"/>
        <v>0.11884866724932988</v>
      </c>
      <c r="BQ155" s="52">
        <f t="shared" si="323"/>
        <v>34095</v>
      </c>
      <c r="BR155" s="406">
        <f t="shared" si="324"/>
        <v>0.45349013429186918</v>
      </c>
      <c r="BS155" s="512"/>
      <c r="BT155" s="409">
        <v>2156</v>
      </c>
      <c r="BU155" s="43"/>
      <c r="BV155" s="43">
        <f t="shared" si="350"/>
        <v>2003</v>
      </c>
      <c r="BW155" s="43">
        <f t="shared" si="351"/>
        <v>153</v>
      </c>
      <c r="BX155" s="42">
        <f t="shared" si="325"/>
        <v>0.27975147829457647</v>
      </c>
      <c r="BY155" s="43">
        <f t="shared" si="352"/>
        <v>16434</v>
      </c>
      <c r="BZ155" s="42">
        <f t="shared" si="326"/>
        <v>0.21858503789272851</v>
      </c>
      <c r="CA155" s="514"/>
      <c r="CB155" s="392">
        <v>1989</v>
      </c>
      <c r="CC155" s="298"/>
      <c r="CD155" s="298">
        <f t="shared" si="282"/>
        <v>1989</v>
      </c>
      <c r="CE155" s="298">
        <f t="shared" si="264"/>
        <v>0</v>
      </c>
      <c r="CF155" s="297">
        <f t="shared" si="327"/>
        <v>0</v>
      </c>
      <c r="CG155" s="298">
        <f t="shared" si="328"/>
        <v>59361</v>
      </c>
      <c r="CH155" s="297">
        <f t="shared" si="329"/>
        <v>0.7895476715559363</v>
      </c>
      <c r="CI155" s="516"/>
      <c r="CJ155" s="659">
        <v>1075</v>
      </c>
      <c r="CK155" s="651"/>
      <c r="CL155" s="657">
        <f t="shared" si="357"/>
        <v>900</v>
      </c>
      <c r="CM155" s="657">
        <f t="shared" si="358"/>
        <v>175</v>
      </c>
      <c r="CN155" s="659">
        <f t="shared" si="359"/>
        <v>21600</v>
      </c>
      <c r="CO155" s="464">
        <v>17</v>
      </c>
      <c r="CP155" s="465"/>
      <c r="CQ155" s="465">
        <f t="shared" si="283"/>
        <v>17</v>
      </c>
      <c r="CR155" s="465">
        <f t="shared" si="265"/>
        <v>0</v>
      </c>
      <c r="CS155" s="486">
        <f t="shared" si="330"/>
        <v>0</v>
      </c>
      <c r="CT155" s="465">
        <f t="shared" si="331"/>
        <v>1502</v>
      </c>
      <c r="CU155" s="486">
        <f t="shared" si="332"/>
        <v>1.9977773330587697E-2</v>
      </c>
      <c r="CV155" s="518"/>
      <c r="CW155" s="427">
        <v>4</v>
      </c>
      <c r="CX155" s="427"/>
      <c r="CY155" s="427">
        <f t="shared" si="333"/>
        <v>4</v>
      </c>
      <c r="CZ155" s="427">
        <f t="shared" si="334"/>
        <v>0</v>
      </c>
      <c r="DA155" s="607">
        <f t="shared" si="349"/>
        <v>0</v>
      </c>
      <c r="DB155" s="607">
        <f t="shared" si="335"/>
        <v>111</v>
      </c>
      <c r="DC155" s="607">
        <f t="shared" si="284"/>
        <v>1.4763867108490243E-3</v>
      </c>
      <c r="DD155" s="609"/>
      <c r="DE155" s="471">
        <v>5</v>
      </c>
      <c r="DF155" s="473"/>
      <c r="DG155" s="473">
        <f t="shared" si="285"/>
        <v>5</v>
      </c>
      <c r="DH155" s="473">
        <f t="shared" si="266"/>
        <v>0</v>
      </c>
      <c r="DI155" s="227">
        <f t="shared" si="336"/>
        <v>0</v>
      </c>
      <c r="DJ155" s="473">
        <f t="shared" si="337"/>
        <v>94.2</v>
      </c>
      <c r="DK155" s="227">
        <f t="shared" si="338"/>
        <v>1.2529335870448475E-3</v>
      </c>
      <c r="DL155" s="510"/>
      <c r="DM155" s="63">
        <v>705</v>
      </c>
      <c r="DN155" s="64"/>
      <c r="DO155" s="66">
        <f t="shared" si="339"/>
        <v>610</v>
      </c>
      <c r="DP155" s="66">
        <f t="shared" si="267"/>
        <v>95</v>
      </c>
      <c r="DQ155" s="412">
        <f t="shared" si="340"/>
        <v>0.17370189828748211</v>
      </c>
      <c r="DR155" s="66">
        <f t="shared" si="341"/>
        <v>17390</v>
      </c>
      <c r="DS155" s="412">
        <f t="shared" si="342"/>
        <v>0.23130058469968046</v>
      </c>
      <c r="DT155" s="506"/>
      <c r="DU155" s="596">
        <v>0</v>
      </c>
      <c r="DV155" s="596"/>
      <c r="DW155" s="596">
        <f t="shared" si="286"/>
        <v>0</v>
      </c>
      <c r="DX155" s="596">
        <f t="shared" si="268"/>
        <v>0</v>
      </c>
      <c r="DY155" s="592">
        <f t="shared" si="287"/>
        <v>0</v>
      </c>
      <c r="DZ155" s="596">
        <f t="shared" si="343"/>
        <v>2800</v>
      </c>
      <c r="EA155" s="592">
        <f t="shared" si="288"/>
        <v>3.724218730069611E-2</v>
      </c>
      <c r="EB155" s="594"/>
      <c r="EC155" s="448">
        <v>110</v>
      </c>
      <c r="ED155" s="449"/>
      <c r="EE155" s="449">
        <f t="shared" si="289"/>
        <v>100</v>
      </c>
      <c r="EF155" s="449">
        <f t="shared" si="269"/>
        <v>10</v>
      </c>
      <c r="EG155" s="450">
        <f t="shared" si="347"/>
        <v>1.8284410346050751E-2</v>
      </c>
      <c r="EH155" s="449">
        <f t="shared" si="344"/>
        <v>965</v>
      </c>
      <c r="EI155" s="450">
        <f t="shared" si="348"/>
        <v>1.2835253837561338E-2</v>
      </c>
      <c r="EJ155" s="520"/>
      <c r="EK155" s="426">
        <v>4219</v>
      </c>
      <c r="EL155" s="427"/>
      <c r="EM155" s="427">
        <f t="shared" si="290"/>
        <v>3800</v>
      </c>
      <c r="EN155" s="427">
        <f t="shared" si="270"/>
        <v>419</v>
      </c>
      <c r="EO155" s="427">
        <f t="shared" si="291"/>
        <v>70122</v>
      </c>
      <c r="EP155" s="456">
        <v>45</v>
      </c>
      <c r="EQ155" s="457"/>
      <c r="ER155" s="457">
        <f t="shared" si="292"/>
        <v>0</v>
      </c>
      <c r="ES155" s="457">
        <f t="shared" si="271"/>
        <v>45</v>
      </c>
      <c r="ET155" s="457">
        <f t="shared" si="293"/>
        <v>1808</v>
      </c>
      <c r="EU155" s="409">
        <v>0</v>
      </c>
      <c r="EV155" s="43">
        <v>100</v>
      </c>
      <c r="EW155" s="43">
        <f t="shared" si="294"/>
        <v>53</v>
      </c>
      <c r="EX155" s="43">
        <f t="shared" si="272"/>
        <v>47</v>
      </c>
      <c r="EY155" s="43">
        <f t="shared" si="295"/>
        <v>787</v>
      </c>
      <c r="EZ155" s="436">
        <v>0</v>
      </c>
      <c r="FA155" s="437"/>
      <c r="FB155" s="437">
        <f t="shared" si="296"/>
        <v>0</v>
      </c>
      <c r="FC155" s="437">
        <f t="shared" si="273"/>
        <v>0</v>
      </c>
      <c r="FD155" s="437">
        <f t="shared" si="297"/>
        <v>890</v>
      </c>
      <c r="FE155" s="442">
        <v>58</v>
      </c>
      <c r="FF155" s="443"/>
      <c r="FG155" s="443">
        <f t="shared" si="298"/>
        <v>42</v>
      </c>
      <c r="FH155" s="443">
        <f t="shared" si="274"/>
        <v>16</v>
      </c>
      <c r="FI155" s="443">
        <f t="shared" si="299"/>
        <v>958</v>
      </c>
      <c r="FJ155" s="392">
        <v>960</v>
      </c>
      <c r="FK155" s="298"/>
      <c r="FL155" s="298">
        <f t="shared" si="300"/>
        <v>900</v>
      </c>
      <c r="FM155" s="298">
        <f t="shared" si="275"/>
        <v>60</v>
      </c>
      <c r="FN155" s="498">
        <f t="shared" si="301"/>
        <v>2900</v>
      </c>
      <c r="HC155" s="402">
        <v>0</v>
      </c>
      <c r="HD155" s="52">
        <v>0</v>
      </c>
      <c r="HE155" s="52">
        <f t="shared" si="302"/>
        <v>0</v>
      </c>
      <c r="HF155" s="52">
        <f t="shared" si="276"/>
        <v>0</v>
      </c>
      <c r="HG155" s="51"/>
      <c r="HH155" s="52">
        <f t="shared" si="345"/>
        <v>400</v>
      </c>
      <c r="HI155" s="51"/>
      <c r="HJ155" s="1047"/>
    </row>
    <row r="156" spans="1:218">
      <c r="A156" s="807">
        <v>44819</v>
      </c>
      <c r="B156" s="390">
        <v>0</v>
      </c>
      <c r="C156" s="18">
        <f t="shared" si="256"/>
        <v>75183554</v>
      </c>
      <c r="D156" s="376">
        <v>0</v>
      </c>
      <c r="E156" s="417">
        <f t="shared" si="360"/>
        <v>940492.0399999998</v>
      </c>
      <c r="F156" s="397">
        <v>21008</v>
      </c>
      <c r="G156" s="37"/>
      <c r="H156" s="37">
        <f t="shared" si="277"/>
        <v>21008</v>
      </c>
      <c r="I156" s="37">
        <f t="shared" si="257"/>
        <v>0</v>
      </c>
      <c r="J156" s="37" t="e">
        <f t="shared" si="258"/>
        <v>#DIV/0!</v>
      </c>
      <c r="K156" s="37">
        <f t="shared" si="303"/>
        <v>424619</v>
      </c>
      <c r="L156" s="37">
        <f t="shared" si="259"/>
        <v>451.48601151371798</v>
      </c>
      <c r="M156" s="648"/>
      <c r="N156" s="422">
        <v>175</v>
      </c>
      <c r="O156" s="423"/>
      <c r="P156" s="423">
        <f t="shared" si="304"/>
        <v>175</v>
      </c>
      <c r="Q156" s="423">
        <f t="shared" si="305"/>
        <v>0</v>
      </c>
      <c r="R156" s="423">
        <f t="shared" si="306"/>
        <v>11825</v>
      </c>
      <c r="S156" s="68">
        <v>0</v>
      </c>
      <c r="T156" s="67">
        <v>24</v>
      </c>
      <c r="U156" s="68">
        <f t="shared" si="307"/>
        <v>0</v>
      </c>
      <c r="V156" s="68" t="e">
        <f t="shared" si="260"/>
        <v>#DIV/0!</v>
      </c>
      <c r="W156" s="423">
        <f t="shared" si="308"/>
        <v>11506.584000000001</v>
      </c>
      <c r="X156" s="68">
        <f t="shared" si="261"/>
        <v>12.234642623875905</v>
      </c>
      <c r="Y156" s="500"/>
      <c r="Z156" s="424">
        <v>125</v>
      </c>
      <c r="AA156" s="425"/>
      <c r="AB156" s="425">
        <f t="shared" si="309"/>
        <v>125</v>
      </c>
      <c r="AC156" s="425">
        <f t="shared" si="310"/>
        <v>0</v>
      </c>
      <c r="AD156" s="425">
        <f t="shared" si="311"/>
        <v>1900</v>
      </c>
      <c r="AE156" s="72">
        <v>0</v>
      </c>
      <c r="AF156" s="71">
        <v>12</v>
      </c>
      <c r="AG156" s="72">
        <f t="shared" si="312"/>
        <v>0</v>
      </c>
      <c r="AH156" s="72" t="e">
        <f t="shared" si="278"/>
        <v>#DIV/0!</v>
      </c>
      <c r="AI156" s="425">
        <f t="shared" si="313"/>
        <v>1769.9520000000009</v>
      </c>
      <c r="AJ156" s="72">
        <f t="shared" si="346"/>
        <v>1.8819425627461996</v>
      </c>
      <c r="AK156" s="502"/>
      <c r="AL156" s="491">
        <v>23607</v>
      </c>
      <c r="AM156" s="491"/>
      <c r="AN156" s="492">
        <f t="shared" si="353"/>
        <v>23607</v>
      </c>
      <c r="AO156" s="492">
        <f t="shared" si="354"/>
        <v>0</v>
      </c>
      <c r="AP156" s="492">
        <f t="shared" si="355"/>
        <v>59966</v>
      </c>
      <c r="AQ156" s="493">
        <f t="shared" si="279"/>
        <v>63.760241926130512</v>
      </c>
      <c r="AR156" s="504"/>
      <c r="AS156" s="413">
        <v>34807</v>
      </c>
      <c r="AT156" s="64"/>
      <c r="AU156" s="66">
        <f t="shared" si="314"/>
        <v>34807</v>
      </c>
      <c r="AV156" s="66">
        <f t="shared" si="262"/>
        <v>0</v>
      </c>
      <c r="AW156" s="412" t="e">
        <f t="shared" si="315"/>
        <v>#DIV/0!</v>
      </c>
      <c r="AX156" s="66">
        <f t="shared" si="316"/>
        <v>226858</v>
      </c>
      <c r="AY156" s="412">
        <f t="shared" si="317"/>
        <v>3.0173886166647561</v>
      </c>
      <c r="AZ156" s="506"/>
      <c r="BA156" s="419">
        <v>55750</v>
      </c>
      <c r="BB156" s="419"/>
      <c r="BC156" s="407"/>
      <c r="BD156" s="419">
        <f t="shared" si="280"/>
        <v>55750</v>
      </c>
      <c r="BE156" s="419">
        <f t="shared" si="281"/>
        <v>0</v>
      </c>
      <c r="BF156" s="407" t="e">
        <f t="shared" si="318"/>
        <v>#DIV/0!</v>
      </c>
      <c r="BG156" s="419">
        <f t="shared" si="356"/>
        <v>119710</v>
      </c>
      <c r="BH156" s="407">
        <f t="shared" si="319"/>
        <v>1.5922365149165467</v>
      </c>
      <c r="BI156" s="407">
        <f t="shared" si="320"/>
        <v>0.19496773652039348</v>
      </c>
      <c r="BJ156" s="508"/>
      <c r="BK156" s="510"/>
      <c r="BL156" s="49">
        <v>1805</v>
      </c>
      <c r="BM156" s="50"/>
      <c r="BN156" s="52">
        <f t="shared" si="321"/>
        <v>1805</v>
      </c>
      <c r="BO156" s="52">
        <f t="shared" si="263"/>
        <v>0</v>
      </c>
      <c r="BP156" s="406" t="e">
        <f t="shared" si="322"/>
        <v>#DIV/0!</v>
      </c>
      <c r="BQ156" s="52">
        <f t="shared" si="323"/>
        <v>34095</v>
      </c>
      <c r="BR156" s="406">
        <f t="shared" si="324"/>
        <v>0.45349013429186918</v>
      </c>
      <c r="BS156" s="512"/>
      <c r="BT156" s="409">
        <v>2003</v>
      </c>
      <c r="BU156" s="43"/>
      <c r="BV156" s="43">
        <f t="shared" si="350"/>
        <v>2003</v>
      </c>
      <c r="BW156" s="43">
        <f t="shared" si="351"/>
        <v>0</v>
      </c>
      <c r="BX156" s="42" t="e">
        <f t="shared" si="325"/>
        <v>#DIV/0!</v>
      </c>
      <c r="BY156" s="43">
        <f t="shared" si="352"/>
        <v>16434</v>
      </c>
      <c r="BZ156" s="42">
        <f t="shared" si="326"/>
        <v>0.21858503789272851</v>
      </c>
      <c r="CA156" s="514"/>
      <c r="CB156" s="392">
        <v>1989</v>
      </c>
      <c r="CC156" s="298"/>
      <c r="CD156" s="298">
        <f t="shared" si="282"/>
        <v>1989</v>
      </c>
      <c r="CE156" s="298">
        <f t="shared" si="264"/>
        <v>0</v>
      </c>
      <c r="CF156" s="297" t="e">
        <f t="shared" si="327"/>
        <v>#DIV/0!</v>
      </c>
      <c r="CG156" s="298">
        <f t="shared" si="328"/>
        <v>59361</v>
      </c>
      <c r="CH156" s="297">
        <f t="shared" si="329"/>
        <v>0.7895476715559363</v>
      </c>
      <c r="CI156" s="516"/>
      <c r="CJ156" s="659">
        <v>900</v>
      </c>
      <c r="CK156" s="651"/>
      <c r="CL156" s="657">
        <f t="shared" si="357"/>
        <v>900</v>
      </c>
      <c r="CM156" s="657">
        <f t="shared" si="358"/>
        <v>0</v>
      </c>
      <c r="CN156" s="659">
        <f t="shared" si="359"/>
        <v>21600</v>
      </c>
      <c r="CO156" s="464">
        <v>17</v>
      </c>
      <c r="CP156" s="465"/>
      <c r="CQ156" s="465">
        <f t="shared" si="283"/>
        <v>17</v>
      </c>
      <c r="CR156" s="465">
        <f t="shared" si="265"/>
        <v>0</v>
      </c>
      <c r="CS156" s="486" t="e">
        <f t="shared" si="330"/>
        <v>#DIV/0!</v>
      </c>
      <c r="CT156" s="465">
        <f t="shared" si="331"/>
        <v>1502</v>
      </c>
      <c r="CU156" s="486">
        <f t="shared" si="332"/>
        <v>1.9977773330587697E-2</v>
      </c>
      <c r="CV156" s="518"/>
      <c r="CW156" s="427">
        <v>4</v>
      </c>
      <c r="CX156" s="427"/>
      <c r="CY156" s="427">
        <f t="shared" si="333"/>
        <v>4</v>
      </c>
      <c r="CZ156" s="427">
        <f t="shared" si="334"/>
        <v>0</v>
      </c>
      <c r="DA156" s="607" t="e">
        <f t="shared" si="349"/>
        <v>#DIV/0!</v>
      </c>
      <c r="DB156" s="607">
        <f t="shared" si="335"/>
        <v>111</v>
      </c>
      <c r="DC156" s="607">
        <f t="shared" si="284"/>
        <v>1.4763867108490243E-3</v>
      </c>
      <c r="DD156" s="609"/>
      <c r="DE156" s="471">
        <v>5</v>
      </c>
      <c r="DF156" s="473"/>
      <c r="DG156" s="473">
        <f t="shared" si="285"/>
        <v>5</v>
      </c>
      <c r="DH156" s="473">
        <f t="shared" si="266"/>
        <v>0</v>
      </c>
      <c r="DI156" s="227" t="e">
        <f t="shared" si="336"/>
        <v>#DIV/0!</v>
      </c>
      <c r="DJ156" s="473">
        <f t="shared" si="337"/>
        <v>94.2</v>
      </c>
      <c r="DK156" s="227">
        <f t="shared" si="338"/>
        <v>1.2529335870448475E-3</v>
      </c>
      <c r="DL156" s="510"/>
      <c r="DM156" s="63">
        <v>610</v>
      </c>
      <c r="DN156" s="64"/>
      <c r="DO156" s="66">
        <f t="shared" si="339"/>
        <v>610</v>
      </c>
      <c r="DP156" s="66">
        <f t="shared" si="267"/>
        <v>0</v>
      </c>
      <c r="DQ156" s="412" t="e">
        <f t="shared" si="340"/>
        <v>#DIV/0!</v>
      </c>
      <c r="DR156" s="66">
        <f t="shared" si="341"/>
        <v>17390</v>
      </c>
      <c r="DS156" s="412">
        <f t="shared" si="342"/>
        <v>0.23130058469968046</v>
      </c>
      <c r="DT156" s="506"/>
      <c r="DU156" s="596">
        <v>0</v>
      </c>
      <c r="DV156" s="596"/>
      <c r="DW156" s="596">
        <f t="shared" si="286"/>
        <v>0</v>
      </c>
      <c r="DX156" s="596">
        <f t="shared" si="268"/>
        <v>0</v>
      </c>
      <c r="DY156" s="592" t="e">
        <f t="shared" si="287"/>
        <v>#DIV/0!</v>
      </c>
      <c r="DZ156" s="596">
        <f t="shared" si="343"/>
        <v>2800</v>
      </c>
      <c r="EA156" s="592">
        <f t="shared" si="288"/>
        <v>3.724218730069611E-2</v>
      </c>
      <c r="EB156" s="594"/>
      <c r="EC156" s="448">
        <v>100</v>
      </c>
      <c r="ED156" s="449"/>
      <c r="EE156" s="449">
        <f t="shared" si="289"/>
        <v>100</v>
      </c>
      <c r="EF156" s="449">
        <f t="shared" si="269"/>
        <v>0</v>
      </c>
      <c r="EG156" s="450" t="e">
        <f t="shared" si="347"/>
        <v>#DIV/0!</v>
      </c>
      <c r="EH156" s="449">
        <f t="shared" si="344"/>
        <v>965</v>
      </c>
      <c r="EI156" s="450">
        <f t="shared" si="348"/>
        <v>1.2835253837561338E-2</v>
      </c>
      <c r="EJ156" s="520"/>
      <c r="EK156" s="426">
        <v>3800</v>
      </c>
      <c r="EL156" s="427"/>
      <c r="EM156" s="427">
        <f t="shared" si="290"/>
        <v>3725</v>
      </c>
      <c r="EN156" s="427">
        <f t="shared" si="270"/>
        <v>75</v>
      </c>
      <c r="EO156" s="427">
        <f t="shared" si="291"/>
        <v>70197</v>
      </c>
      <c r="EP156" s="456">
        <v>0</v>
      </c>
      <c r="EQ156" s="457"/>
      <c r="ER156" s="457">
        <f t="shared" si="292"/>
        <v>0</v>
      </c>
      <c r="ES156" s="457">
        <f t="shared" si="271"/>
        <v>0</v>
      </c>
      <c r="ET156" s="457">
        <f t="shared" si="293"/>
        <v>1808</v>
      </c>
      <c r="EU156" s="409">
        <v>53</v>
      </c>
      <c r="EV156" s="43"/>
      <c r="EW156" s="43">
        <f t="shared" si="294"/>
        <v>51</v>
      </c>
      <c r="EX156" s="43">
        <f t="shared" si="272"/>
        <v>2</v>
      </c>
      <c r="EY156" s="43">
        <f t="shared" si="295"/>
        <v>789</v>
      </c>
      <c r="EZ156" s="436">
        <v>0</v>
      </c>
      <c r="FA156" s="437"/>
      <c r="FB156" s="437">
        <f t="shared" si="296"/>
        <v>0</v>
      </c>
      <c r="FC156" s="437">
        <f t="shared" si="273"/>
        <v>0</v>
      </c>
      <c r="FD156" s="437">
        <f t="shared" si="297"/>
        <v>890</v>
      </c>
      <c r="FE156" s="442">
        <v>42</v>
      </c>
      <c r="FF156" s="443"/>
      <c r="FG156" s="443">
        <f t="shared" si="298"/>
        <v>42</v>
      </c>
      <c r="FH156" s="443">
        <f t="shared" si="274"/>
        <v>0</v>
      </c>
      <c r="FI156" s="443">
        <f t="shared" si="299"/>
        <v>958</v>
      </c>
      <c r="FJ156" s="392">
        <v>900</v>
      </c>
      <c r="FK156" s="298"/>
      <c r="FL156" s="298">
        <f t="shared" si="300"/>
        <v>865</v>
      </c>
      <c r="FM156" s="298">
        <f t="shared" si="275"/>
        <v>35</v>
      </c>
      <c r="FN156" s="498">
        <f t="shared" si="301"/>
        <v>2935</v>
      </c>
      <c r="HC156" s="402">
        <v>0</v>
      </c>
      <c r="HD156" s="52">
        <v>0</v>
      </c>
      <c r="HE156" s="52">
        <f t="shared" si="302"/>
        <v>0</v>
      </c>
      <c r="HF156" s="52">
        <f t="shared" si="276"/>
        <v>0</v>
      </c>
      <c r="HG156" s="51"/>
      <c r="HH156" s="52">
        <f t="shared" si="345"/>
        <v>400</v>
      </c>
      <c r="HI156" s="51"/>
      <c r="HJ156" s="1047"/>
    </row>
    <row r="157" spans="1:218">
      <c r="A157" s="807">
        <v>44820</v>
      </c>
      <c r="B157" s="390">
        <v>0</v>
      </c>
      <c r="C157" s="18">
        <f t="shared" si="256"/>
        <v>75183554</v>
      </c>
      <c r="D157" s="376">
        <v>1134</v>
      </c>
      <c r="E157" s="417">
        <f t="shared" si="360"/>
        <v>941626.0399999998</v>
      </c>
      <c r="F157" s="397">
        <v>21008</v>
      </c>
      <c r="G157" s="37">
        <v>30780</v>
      </c>
      <c r="H157" s="37">
        <f t="shared" si="277"/>
        <v>51788</v>
      </c>
      <c r="I157" s="37">
        <f t="shared" si="257"/>
        <v>0</v>
      </c>
      <c r="J157" s="37">
        <f t="shared" si="258"/>
        <v>0</v>
      </c>
      <c r="K157" s="37">
        <f t="shared" si="303"/>
        <v>424619</v>
      </c>
      <c r="L157" s="37">
        <f t="shared" si="259"/>
        <v>450.94228702511253</v>
      </c>
      <c r="M157" s="648"/>
      <c r="N157" s="422">
        <v>175</v>
      </c>
      <c r="O157" s="423"/>
      <c r="P157" s="423">
        <f t="shared" si="304"/>
        <v>175</v>
      </c>
      <c r="Q157" s="423">
        <f t="shared" si="305"/>
        <v>0</v>
      </c>
      <c r="R157" s="423">
        <f t="shared" si="306"/>
        <v>11825</v>
      </c>
      <c r="S157" s="68">
        <v>0.6</v>
      </c>
      <c r="T157" s="67">
        <v>24</v>
      </c>
      <c r="U157" s="68">
        <f t="shared" si="307"/>
        <v>7.1999999999999993</v>
      </c>
      <c r="V157" s="68">
        <f t="shared" si="260"/>
        <v>6.349206349206348</v>
      </c>
      <c r="W157" s="423">
        <f t="shared" si="308"/>
        <v>11513.784000000001</v>
      </c>
      <c r="X157" s="68">
        <f t="shared" si="261"/>
        <v>12.227554794470217</v>
      </c>
      <c r="Y157" s="500"/>
      <c r="Z157" s="424">
        <v>125</v>
      </c>
      <c r="AA157" s="425"/>
      <c r="AB157" s="425">
        <f t="shared" si="309"/>
        <v>100</v>
      </c>
      <c r="AC157" s="425">
        <f t="shared" si="310"/>
        <v>25</v>
      </c>
      <c r="AD157" s="425">
        <f t="shared" si="311"/>
        <v>1925</v>
      </c>
      <c r="AE157" s="72">
        <v>0.4</v>
      </c>
      <c r="AF157" s="71">
        <v>12</v>
      </c>
      <c r="AG157" s="72">
        <f t="shared" si="312"/>
        <v>2.4000000000000004</v>
      </c>
      <c r="AH157" s="72">
        <f t="shared" si="278"/>
        <v>2.1164021164021167</v>
      </c>
      <c r="AI157" s="425">
        <f t="shared" si="313"/>
        <v>1772.352000000001</v>
      </c>
      <c r="AJ157" s="72">
        <f t="shared" si="346"/>
        <v>1.8822249223269159</v>
      </c>
      <c r="AK157" s="502"/>
      <c r="AL157" s="491">
        <v>23607</v>
      </c>
      <c r="AM157" s="491"/>
      <c r="AN157" s="492">
        <f t="shared" si="353"/>
        <v>23607</v>
      </c>
      <c r="AO157" s="492">
        <f t="shared" si="354"/>
        <v>0</v>
      </c>
      <c r="AP157" s="492">
        <f t="shared" si="355"/>
        <v>59966</v>
      </c>
      <c r="AQ157" s="493">
        <f t="shared" si="279"/>
        <v>63.683455483028077</v>
      </c>
      <c r="AR157" s="504"/>
      <c r="AS157" s="413">
        <v>34807</v>
      </c>
      <c r="AT157" s="64"/>
      <c r="AU157" s="66">
        <f t="shared" si="314"/>
        <v>34807</v>
      </c>
      <c r="AV157" s="66">
        <f t="shared" si="262"/>
        <v>0</v>
      </c>
      <c r="AW157" s="412" t="e">
        <f t="shared" si="315"/>
        <v>#DIV/0!</v>
      </c>
      <c r="AX157" s="66">
        <f t="shared" si="316"/>
        <v>226858</v>
      </c>
      <c r="AY157" s="412">
        <f t="shared" si="317"/>
        <v>3.0173886166647561</v>
      </c>
      <c r="AZ157" s="506"/>
      <c r="BA157" s="419">
        <v>55750</v>
      </c>
      <c r="BB157" s="419"/>
      <c r="BC157" s="407"/>
      <c r="BD157" s="419">
        <f t="shared" si="280"/>
        <v>55750</v>
      </c>
      <c r="BE157" s="419">
        <f t="shared" si="281"/>
        <v>0</v>
      </c>
      <c r="BF157" s="407" t="e">
        <f t="shared" si="318"/>
        <v>#DIV/0!</v>
      </c>
      <c r="BG157" s="419">
        <f t="shared" si="356"/>
        <v>119710</v>
      </c>
      <c r="BH157" s="407">
        <f t="shared" si="319"/>
        <v>1.5922365149165467</v>
      </c>
      <c r="BI157" s="407">
        <f t="shared" si="320"/>
        <v>0.19496773652039348</v>
      </c>
      <c r="BJ157" s="508"/>
      <c r="BK157" s="510"/>
      <c r="BL157" s="49">
        <v>1805</v>
      </c>
      <c r="BM157" s="50">
        <v>900</v>
      </c>
      <c r="BN157" s="52">
        <f t="shared" si="321"/>
        <v>2705</v>
      </c>
      <c r="BO157" s="52">
        <f t="shared" si="263"/>
        <v>0</v>
      </c>
      <c r="BP157" s="406" t="e">
        <f t="shared" si="322"/>
        <v>#DIV/0!</v>
      </c>
      <c r="BQ157" s="52">
        <f t="shared" si="323"/>
        <v>34095</v>
      </c>
      <c r="BR157" s="406">
        <f t="shared" si="324"/>
        <v>0.45349013429186918</v>
      </c>
      <c r="BS157" s="512"/>
      <c r="BT157" s="409">
        <v>2003</v>
      </c>
      <c r="BU157" s="43">
        <v>1000</v>
      </c>
      <c r="BV157" s="43">
        <f t="shared" si="350"/>
        <v>3003</v>
      </c>
      <c r="BW157" s="43">
        <f t="shared" si="351"/>
        <v>0</v>
      </c>
      <c r="BX157" s="42" t="e">
        <f t="shared" si="325"/>
        <v>#DIV/0!</v>
      </c>
      <c r="BY157" s="43">
        <f t="shared" si="352"/>
        <v>16434</v>
      </c>
      <c r="BZ157" s="42">
        <f t="shared" si="326"/>
        <v>0.21858503789272851</v>
      </c>
      <c r="CA157" s="514"/>
      <c r="CB157" s="392">
        <v>1989</v>
      </c>
      <c r="CC157" s="298"/>
      <c r="CD157" s="298">
        <f t="shared" si="282"/>
        <v>1989</v>
      </c>
      <c r="CE157" s="298">
        <f t="shared" si="264"/>
        <v>0</v>
      </c>
      <c r="CF157" s="297" t="e">
        <f t="shared" si="327"/>
        <v>#DIV/0!</v>
      </c>
      <c r="CG157" s="298">
        <f t="shared" si="328"/>
        <v>59361</v>
      </c>
      <c r="CH157" s="297">
        <f t="shared" si="329"/>
        <v>0.7895476715559363</v>
      </c>
      <c r="CI157" s="516"/>
      <c r="CJ157" s="659">
        <v>900</v>
      </c>
      <c r="CK157" s="651">
        <v>1250</v>
      </c>
      <c r="CL157" s="657">
        <f t="shared" si="357"/>
        <v>1900</v>
      </c>
      <c r="CM157" s="657">
        <f t="shared" si="358"/>
        <v>250</v>
      </c>
      <c r="CN157" s="659">
        <f t="shared" si="359"/>
        <v>21850</v>
      </c>
      <c r="CO157" s="464">
        <v>17</v>
      </c>
      <c r="CP157" s="465"/>
      <c r="CQ157" s="465">
        <f t="shared" si="283"/>
        <v>17</v>
      </c>
      <c r="CR157" s="465">
        <f t="shared" si="265"/>
        <v>0</v>
      </c>
      <c r="CS157" s="486" t="e">
        <f t="shared" si="330"/>
        <v>#DIV/0!</v>
      </c>
      <c r="CT157" s="465">
        <f t="shared" si="331"/>
        <v>1502</v>
      </c>
      <c r="CU157" s="486">
        <f t="shared" si="332"/>
        <v>1.9977773330587697E-2</v>
      </c>
      <c r="CV157" s="518"/>
      <c r="CW157" s="427">
        <v>4</v>
      </c>
      <c r="CX157" s="427"/>
      <c r="CY157" s="427">
        <f t="shared" si="333"/>
        <v>0</v>
      </c>
      <c r="CZ157" s="427">
        <f t="shared" si="334"/>
        <v>4</v>
      </c>
      <c r="DA157" s="607" t="e">
        <f t="shared" si="349"/>
        <v>#DIV/0!</v>
      </c>
      <c r="DB157" s="607">
        <f t="shared" si="335"/>
        <v>115</v>
      </c>
      <c r="DC157" s="607">
        <f t="shared" si="284"/>
        <v>1.5295898355643044E-3</v>
      </c>
      <c r="DD157" s="609"/>
      <c r="DE157" s="471">
        <v>5</v>
      </c>
      <c r="DF157" s="473"/>
      <c r="DG157" s="473">
        <f t="shared" si="285"/>
        <v>5</v>
      </c>
      <c r="DH157" s="473">
        <f t="shared" si="266"/>
        <v>0</v>
      </c>
      <c r="DI157" s="227" t="e">
        <f t="shared" si="336"/>
        <v>#DIV/0!</v>
      </c>
      <c r="DJ157" s="473">
        <f t="shared" si="337"/>
        <v>94.2</v>
      </c>
      <c r="DK157" s="227">
        <f t="shared" si="338"/>
        <v>1.2529335870448475E-3</v>
      </c>
      <c r="DL157" s="510"/>
      <c r="DM157" s="63">
        <v>610</v>
      </c>
      <c r="DN157" s="64"/>
      <c r="DO157" s="66">
        <f t="shared" si="339"/>
        <v>610</v>
      </c>
      <c r="DP157" s="66">
        <f t="shared" si="267"/>
        <v>0</v>
      </c>
      <c r="DQ157" s="412" t="e">
        <f t="shared" si="340"/>
        <v>#DIV/0!</v>
      </c>
      <c r="DR157" s="66">
        <f t="shared" si="341"/>
        <v>17390</v>
      </c>
      <c r="DS157" s="412">
        <f t="shared" si="342"/>
        <v>0.23130058469968046</v>
      </c>
      <c r="DT157" s="506"/>
      <c r="DU157" s="596">
        <v>0</v>
      </c>
      <c r="DV157" s="596"/>
      <c r="DW157" s="596">
        <f t="shared" si="286"/>
        <v>0</v>
      </c>
      <c r="DX157" s="596">
        <f t="shared" si="268"/>
        <v>0</v>
      </c>
      <c r="DY157" s="592" t="e">
        <f t="shared" si="287"/>
        <v>#DIV/0!</v>
      </c>
      <c r="DZ157" s="596">
        <f t="shared" si="343"/>
        <v>2800</v>
      </c>
      <c r="EA157" s="592">
        <f t="shared" si="288"/>
        <v>3.724218730069611E-2</v>
      </c>
      <c r="EB157" s="594"/>
      <c r="EC157" s="448">
        <v>100</v>
      </c>
      <c r="ED157" s="449"/>
      <c r="EE157" s="449">
        <f t="shared" si="289"/>
        <v>100</v>
      </c>
      <c r="EF157" s="449">
        <f t="shared" si="269"/>
        <v>0</v>
      </c>
      <c r="EG157" s="450" t="e">
        <f t="shared" si="347"/>
        <v>#DIV/0!</v>
      </c>
      <c r="EH157" s="449">
        <f t="shared" si="344"/>
        <v>965</v>
      </c>
      <c r="EI157" s="450">
        <f t="shared" si="348"/>
        <v>1.2835253837561338E-2</v>
      </c>
      <c r="EJ157" s="520"/>
      <c r="EK157" s="426">
        <v>3725</v>
      </c>
      <c r="EL157" s="427"/>
      <c r="EM157" s="427">
        <f t="shared" si="290"/>
        <v>3681</v>
      </c>
      <c r="EN157" s="427">
        <f t="shared" si="270"/>
        <v>44</v>
      </c>
      <c r="EO157" s="427">
        <f t="shared" si="291"/>
        <v>70241</v>
      </c>
      <c r="EP157" s="456">
        <v>0</v>
      </c>
      <c r="EQ157" s="457"/>
      <c r="ER157" s="457">
        <f t="shared" si="292"/>
        <v>0</v>
      </c>
      <c r="ES157" s="457">
        <f t="shared" si="271"/>
        <v>0</v>
      </c>
      <c r="ET157" s="457">
        <f t="shared" si="293"/>
        <v>1808</v>
      </c>
      <c r="EU157" s="409">
        <v>51</v>
      </c>
      <c r="EV157" s="43"/>
      <c r="EW157" s="43">
        <f t="shared" si="294"/>
        <v>49</v>
      </c>
      <c r="EX157" s="43">
        <f t="shared" si="272"/>
        <v>2</v>
      </c>
      <c r="EY157" s="43">
        <f t="shared" si="295"/>
        <v>791</v>
      </c>
      <c r="EZ157" s="436">
        <v>0</v>
      </c>
      <c r="FA157" s="437"/>
      <c r="FB157" s="437">
        <f t="shared" si="296"/>
        <v>0</v>
      </c>
      <c r="FC157" s="437">
        <f t="shared" si="273"/>
        <v>0</v>
      </c>
      <c r="FD157" s="437">
        <f t="shared" si="297"/>
        <v>890</v>
      </c>
      <c r="FE157" s="442">
        <v>42</v>
      </c>
      <c r="FF157" s="443"/>
      <c r="FG157" s="443">
        <f t="shared" si="298"/>
        <v>42</v>
      </c>
      <c r="FH157" s="443">
        <f t="shared" si="274"/>
        <v>0</v>
      </c>
      <c r="FI157" s="443">
        <f t="shared" si="299"/>
        <v>958</v>
      </c>
      <c r="FJ157" s="392">
        <v>865</v>
      </c>
      <c r="FK157" s="298"/>
      <c r="FL157" s="298">
        <f t="shared" si="300"/>
        <v>865</v>
      </c>
      <c r="FM157" s="298">
        <f t="shared" si="275"/>
        <v>0</v>
      </c>
      <c r="FN157" s="498">
        <f t="shared" si="301"/>
        <v>2935</v>
      </c>
      <c r="HC157" s="402">
        <v>0</v>
      </c>
      <c r="HD157" s="52">
        <v>0</v>
      </c>
      <c r="HE157" s="52">
        <f t="shared" si="302"/>
        <v>0</v>
      </c>
      <c r="HF157" s="52">
        <f t="shared" si="276"/>
        <v>0</v>
      </c>
      <c r="HG157" s="51"/>
      <c r="HH157" s="52">
        <f t="shared" si="345"/>
        <v>400</v>
      </c>
      <c r="HI157" s="51"/>
      <c r="HJ157" s="1047"/>
    </row>
    <row r="158" spans="1:218">
      <c r="A158" s="807">
        <v>44821</v>
      </c>
      <c r="B158" s="390">
        <v>492768</v>
      </c>
      <c r="C158" s="18">
        <f t="shared" si="256"/>
        <v>75676322</v>
      </c>
      <c r="D158" s="376">
        <v>7534.14</v>
      </c>
      <c r="E158" s="417">
        <f t="shared" si="360"/>
        <v>949160.17999999982</v>
      </c>
      <c r="F158" s="397">
        <v>51788</v>
      </c>
      <c r="G158" s="37"/>
      <c r="H158" s="37">
        <f t="shared" si="277"/>
        <v>51788</v>
      </c>
      <c r="I158" s="37">
        <f t="shared" si="257"/>
        <v>0</v>
      </c>
      <c r="J158" s="37">
        <f t="shared" si="258"/>
        <v>0</v>
      </c>
      <c r="K158" s="37">
        <f t="shared" si="303"/>
        <v>424619</v>
      </c>
      <c r="L158" s="37">
        <f t="shared" si="259"/>
        <v>447.3628465956084</v>
      </c>
      <c r="M158" s="648"/>
      <c r="N158" s="422">
        <v>175</v>
      </c>
      <c r="O158" s="423"/>
      <c r="P158" s="423">
        <f t="shared" si="304"/>
        <v>50</v>
      </c>
      <c r="Q158" s="423">
        <f t="shared" si="305"/>
        <v>125</v>
      </c>
      <c r="R158" s="423">
        <f t="shared" si="306"/>
        <v>11950</v>
      </c>
      <c r="S158" s="68">
        <v>8.5399999999999991</v>
      </c>
      <c r="T158" s="67">
        <v>24</v>
      </c>
      <c r="U158" s="68">
        <f t="shared" si="307"/>
        <v>102.47999999999999</v>
      </c>
      <c r="V158" s="68">
        <f t="shared" si="260"/>
        <v>13.602083316742187</v>
      </c>
      <c r="W158" s="423">
        <f t="shared" si="308"/>
        <v>11616.264000000001</v>
      </c>
      <c r="X158" s="68">
        <f t="shared" si="261"/>
        <v>12.238465376834503</v>
      </c>
      <c r="Y158" s="500"/>
      <c r="Z158" s="424">
        <v>100</v>
      </c>
      <c r="AA158" s="425"/>
      <c r="AB158" s="425">
        <f t="shared" si="309"/>
        <v>100</v>
      </c>
      <c r="AC158" s="425">
        <f t="shared" si="310"/>
        <v>0</v>
      </c>
      <c r="AD158" s="425">
        <f t="shared" si="311"/>
        <v>1925</v>
      </c>
      <c r="AE158" s="72">
        <v>2.4</v>
      </c>
      <c r="AF158" s="71">
        <v>12</v>
      </c>
      <c r="AG158" s="72">
        <f t="shared" si="312"/>
        <v>14.399999999999999</v>
      </c>
      <c r="AH158" s="72">
        <f t="shared" si="278"/>
        <v>1.911299763476654</v>
      </c>
      <c r="AI158" s="425">
        <f t="shared" si="313"/>
        <v>1786.7520000000011</v>
      </c>
      <c r="AJ158" s="72">
        <f t="shared" si="346"/>
        <v>1.8824557094251484</v>
      </c>
      <c r="AK158" s="502"/>
      <c r="AL158" s="491">
        <v>23607</v>
      </c>
      <c r="AM158" s="491"/>
      <c r="AN158" s="492">
        <f t="shared" si="353"/>
        <v>23607</v>
      </c>
      <c r="AO158" s="492">
        <f t="shared" si="354"/>
        <v>0</v>
      </c>
      <c r="AP158" s="492">
        <f t="shared" si="355"/>
        <v>59966</v>
      </c>
      <c r="AQ158" s="493">
        <f t="shared" si="279"/>
        <v>63.177955906241252</v>
      </c>
      <c r="AR158" s="504"/>
      <c r="AS158" s="413">
        <v>34807</v>
      </c>
      <c r="AT158" s="64"/>
      <c r="AU158" s="66">
        <f t="shared" si="314"/>
        <v>31579</v>
      </c>
      <c r="AV158" s="66">
        <f t="shared" si="262"/>
        <v>3228</v>
      </c>
      <c r="AW158" s="412">
        <f t="shared" si="315"/>
        <v>6.5507500487044616</v>
      </c>
      <c r="AX158" s="66">
        <f t="shared" si="316"/>
        <v>230086</v>
      </c>
      <c r="AY158" s="412">
        <f t="shared" si="317"/>
        <v>3.040396175702091</v>
      </c>
      <c r="AZ158" s="506"/>
      <c r="BA158" s="419">
        <v>55750</v>
      </c>
      <c r="BB158" s="419"/>
      <c r="BC158" s="407"/>
      <c r="BD158" s="419">
        <f t="shared" si="280"/>
        <v>26400</v>
      </c>
      <c r="BE158" s="419">
        <f t="shared" si="281"/>
        <v>29350</v>
      </c>
      <c r="BF158" s="407">
        <f t="shared" si="318"/>
        <v>59.56149749983765</v>
      </c>
      <c r="BG158" s="419">
        <f t="shared" si="356"/>
        <v>149060</v>
      </c>
      <c r="BH158" s="407">
        <f t="shared" si="319"/>
        <v>1.9697046058871623</v>
      </c>
      <c r="BI158" s="407">
        <f t="shared" si="320"/>
        <v>0.24118831908822397</v>
      </c>
      <c r="BJ158" s="508"/>
      <c r="BK158" s="510"/>
      <c r="BL158" s="49">
        <v>2705</v>
      </c>
      <c r="BM158" s="50"/>
      <c r="BN158" s="52">
        <f t="shared" si="321"/>
        <v>2550</v>
      </c>
      <c r="BO158" s="52">
        <f t="shared" si="263"/>
        <v>155</v>
      </c>
      <c r="BP158" s="406">
        <f t="shared" si="322"/>
        <v>0.31454964608091435</v>
      </c>
      <c r="BQ158" s="52">
        <f t="shared" si="323"/>
        <v>34250</v>
      </c>
      <c r="BR158" s="406">
        <f t="shared" si="324"/>
        <v>0.45258542031152094</v>
      </c>
      <c r="BS158" s="512"/>
      <c r="BT158" s="409">
        <v>3003</v>
      </c>
      <c r="BU158" s="43"/>
      <c r="BV158" s="43">
        <f t="shared" si="350"/>
        <v>2944</v>
      </c>
      <c r="BW158" s="43">
        <f t="shared" si="351"/>
        <v>59</v>
      </c>
      <c r="BX158" s="42">
        <f t="shared" si="325"/>
        <v>0.11973180076628352</v>
      </c>
      <c r="BY158" s="43">
        <f t="shared" si="352"/>
        <v>16493</v>
      </c>
      <c r="BZ158" s="42">
        <f t="shared" si="326"/>
        <v>0.21794135291088804</v>
      </c>
      <c r="CA158" s="514"/>
      <c r="CB158" s="392">
        <v>1989</v>
      </c>
      <c r="CC158" s="298"/>
      <c r="CD158" s="298">
        <f t="shared" si="282"/>
        <v>1989</v>
      </c>
      <c r="CE158" s="298">
        <f t="shared" si="264"/>
        <v>0</v>
      </c>
      <c r="CF158" s="297">
        <f t="shared" si="327"/>
        <v>0</v>
      </c>
      <c r="CG158" s="298">
        <f t="shared" si="328"/>
        <v>59361</v>
      </c>
      <c r="CH158" s="297">
        <f t="shared" si="329"/>
        <v>0.78440651489378677</v>
      </c>
      <c r="CI158" s="516"/>
      <c r="CJ158" s="659">
        <v>1900</v>
      </c>
      <c r="CK158" s="651"/>
      <c r="CL158" s="657">
        <f t="shared" si="357"/>
        <v>1900</v>
      </c>
      <c r="CM158" s="657">
        <f t="shared" si="358"/>
        <v>0</v>
      </c>
      <c r="CN158" s="659">
        <f t="shared" si="359"/>
        <v>21850</v>
      </c>
      <c r="CO158" s="464">
        <v>17</v>
      </c>
      <c r="CP158" s="465"/>
      <c r="CQ158" s="465">
        <f t="shared" si="283"/>
        <v>0</v>
      </c>
      <c r="CR158" s="465">
        <f t="shared" si="265"/>
        <v>17</v>
      </c>
      <c r="CS158" s="486">
        <f t="shared" si="330"/>
        <v>3.4498993441132539E-2</v>
      </c>
      <c r="CT158" s="465">
        <f t="shared" si="331"/>
        <v>1519</v>
      </c>
      <c r="CU158" s="486">
        <f t="shared" si="332"/>
        <v>2.0072328567976652E-2</v>
      </c>
      <c r="CV158" s="518"/>
      <c r="CW158" s="427">
        <v>0</v>
      </c>
      <c r="CX158" s="427"/>
      <c r="CY158" s="427">
        <f t="shared" si="333"/>
        <v>0</v>
      </c>
      <c r="CZ158" s="427">
        <f t="shared" si="334"/>
        <v>0</v>
      </c>
      <c r="DA158" s="607">
        <f t="shared" si="349"/>
        <v>0</v>
      </c>
      <c r="DB158" s="607">
        <f t="shared" si="335"/>
        <v>115</v>
      </c>
      <c r="DC158" s="607">
        <f t="shared" si="284"/>
        <v>1.5196298784182455E-3</v>
      </c>
      <c r="DD158" s="609"/>
      <c r="DE158" s="471">
        <v>5</v>
      </c>
      <c r="DF158" s="473">
        <v>24</v>
      </c>
      <c r="DG158" s="473">
        <f t="shared" si="285"/>
        <v>13</v>
      </c>
      <c r="DH158" s="473">
        <f t="shared" si="266"/>
        <v>16</v>
      </c>
      <c r="DI158" s="227">
        <f t="shared" si="336"/>
        <v>3.2469640885771804E-2</v>
      </c>
      <c r="DJ158" s="473">
        <f t="shared" si="337"/>
        <v>110.2</v>
      </c>
      <c r="DK158" s="227">
        <f t="shared" si="338"/>
        <v>1.4562018487103536E-3</v>
      </c>
      <c r="DL158" s="510"/>
      <c r="DM158" s="63">
        <v>610</v>
      </c>
      <c r="DN158" s="64"/>
      <c r="DO158" s="66">
        <f t="shared" si="339"/>
        <v>515</v>
      </c>
      <c r="DP158" s="66">
        <f t="shared" si="267"/>
        <v>95</v>
      </c>
      <c r="DQ158" s="412">
        <f t="shared" si="340"/>
        <v>0.19278849275927007</v>
      </c>
      <c r="DR158" s="66">
        <f t="shared" si="341"/>
        <v>17485</v>
      </c>
      <c r="DS158" s="412">
        <f t="shared" si="342"/>
        <v>0.23104981238385239</v>
      </c>
      <c r="DT158" s="506"/>
      <c r="DU158" s="596">
        <v>0</v>
      </c>
      <c r="DV158" s="596"/>
      <c r="DW158" s="596">
        <f t="shared" si="286"/>
        <v>0</v>
      </c>
      <c r="DX158" s="596">
        <f t="shared" si="268"/>
        <v>0</v>
      </c>
      <c r="DY158" s="592">
        <f t="shared" si="287"/>
        <v>0</v>
      </c>
      <c r="DZ158" s="596">
        <f t="shared" si="343"/>
        <v>2800</v>
      </c>
      <c r="EA158" s="592">
        <f t="shared" si="288"/>
        <v>3.6999683996270329E-2</v>
      </c>
      <c r="EB158" s="594"/>
      <c r="EC158" s="448">
        <v>100</v>
      </c>
      <c r="ED158" s="449"/>
      <c r="EE158" s="449">
        <f t="shared" si="289"/>
        <v>100</v>
      </c>
      <c r="EF158" s="449">
        <f t="shared" si="269"/>
        <v>0</v>
      </c>
      <c r="EG158" s="450">
        <f t="shared" si="347"/>
        <v>0</v>
      </c>
      <c r="EH158" s="449">
        <f t="shared" si="344"/>
        <v>965</v>
      </c>
      <c r="EI158" s="450">
        <f t="shared" si="348"/>
        <v>1.2751676805857452E-2</v>
      </c>
      <c r="EJ158" s="520"/>
      <c r="EK158" s="426">
        <v>3681</v>
      </c>
      <c r="EL158" s="427"/>
      <c r="EM158" s="427">
        <f t="shared" si="290"/>
        <v>3194</v>
      </c>
      <c r="EN158" s="427">
        <f t="shared" si="270"/>
        <v>487</v>
      </c>
      <c r="EO158" s="427">
        <f t="shared" si="291"/>
        <v>70728</v>
      </c>
      <c r="EP158" s="456">
        <v>0</v>
      </c>
      <c r="EQ158" s="457"/>
      <c r="ER158" s="457">
        <f t="shared" si="292"/>
        <v>0</v>
      </c>
      <c r="ES158" s="457">
        <f t="shared" si="271"/>
        <v>0</v>
      </c>
      <c r="ET158" s="457">
        <f t="shared" si="293"/>
        <v>1808</v>
      </c>
      <c r="EU158" s="409">
        <v>49</v>
      </c>
      <c r="EV158" s="43"/>
      <c r="EW158" s="43">
        <f t="shared" si="294"/>
        <v>24</v>
      </c>
      <c r="EX158" s="43">
        <f t="shared" si="272"/>
        <v>25</v>
      </c>
      <c r="EY158" s="43">
        <f t="shared" si="295"/>
        <v>816</v>
      </c>
      <c r="EZ158" s="436">
        <v>0</v>
      </c>
      <c r="FA158" s="437"/>
      <c r="FB158" s="437">
        <f t="shared" si="296"/>
        <v>0</v>
      </c>
      <c r="FC158" s="437">
        <f t="shared" si="273"/>
        <v>0</v>
      </c>
      <c r="FD158" s="437">
        <f t="shared" si="297"/>
        <v>890</v>
      </c>
      <c r="FE158" s="442">
        <v>42</v>
      </c>
      <c r="FF158" s="443"/>
      <c r="FG158" s="443">
        <f t="shared" si="298"/>
        <v>42</v>
      </c>
      <c r="FH158" s="443">
        <f t="shared" si="274"/>
        <v>0</v>
      </c>
      <c r="FI158" s="443">
        <f t="shared" si="299"/>
        <v>958</v>
      </c>
      <c r="FJ158" s="392">
        <v>865</v>
      </c>
      <c r="FK158" s="298"/>
      <c r="FL158" s="298">
        <f t="shared" si="300"/>
        <v>840</v>
      </c>
      <c r="FM158" s="298">
        <f t="shared" si="275"/>
        <v>25</v>
      </c>
      <c r="FN158" s="498">
        <f t="shared" si="301"/>
        <v>2960</v>
      </c>
      <c r="HC158" s="402">
        <v>0</v>
      </c>
      <c r="HD158" s="52">
        <v>0</v>
      </c>
      <c r="HE158" s="52">
        <f t="shared" si="302"/>
        <v>0</v>
      </c>
      <c r="HF158" s="52">
        <f t="shared" si="276"/>
        <v>0</v>
      </c>
      <c r="HG158" s="51"/>
      <c r="HH158" s="52">
        <f t="shared" si="345"/>
        <v>400</v>
      </c>
      <c r="HI158" s="51"/>
      <c r="HJ158" s="1047"/>
    </row>
    <row r="159" spans="1:218">
      <c r="A159" s="807">
        <v>44822</v>
      </c>
      <c r="B159" s="390">
        <v>694080</v>
      </c>
      <c r="C159" s="18">
        <f t="shared" si="256"/>
        <v>76370402</v>
      </c>
      <c r="D159" s="376">
        <v>7778.42</v>
      </c>
      <c r="E159" s="417">
        <f t="shared" si="360"/>
        <v>956938.59999999986</v>
      </c>
      <c r="F159" s="397">
        <v>51788</v>
      </c>
      <c r="G159" s="37"/>
      <c r="H159" s="37">
        <f t="shared" si="277"/>
        <v>47810</v>
      </c>
      <c r="I159" s="37">
        <f t="shared" si="257"/>
        <v>3978</v>
      </c>
      <c r="J159" s="37">
        <f t="shared" si="258"/>
        <v>511.41491459705185</v>
      </c>
      <c r="K159" s="37">
        <f t="shared" si="303"/>
        <v>428597</v>
      </c>
      <c r="L159" s="37">
        <f t="shared" si="259"/>
        <v>447.88349012151883</v>
      </c>
      <c r="M159" s="648"/>
      <c r="N159" s="422">
        <v>50</v>
      </c>
      <c r="O159" s="423">
        <v>200</v>
      </c>
      <c r="P159" s="423">
        <f t="shared" si="304"/>
        <v>150</v>
      </c>
      <c r="Q159" s="423">
        <f t="shared" si="305"/>
        <v>100</v>
      </c>
      <c r="R159" s="423">
        <f t="shared" si="306"/>
        <v>12050</v>
      </c>
      <c r="S159" s="68">
        <v>9.7200000000000006</v>
      </c>
      <c r="T159" s="67">
        <v>24</v>
      </c>
      <c r="U159" s="68">
        <f t="shared" si="307"/>
        <v>116.64000000000001</v>
      </c>
      <c r="V159" s="68">
        <f t="shared" si="260"/>
        <v>14.995333242483694</v>
      </c>
      <c r="W159" s="423">
        <f t="shared" si="308"/>
        <v>11732.904</v>
      </c>
      <c r="X159" s="68">
        <f t="shared" si="261"/>
        <v>12.260874417648115</v>
      </c>
      <c r="Y159" s="500"/>
      <c r="Z159" s="424">
        <v>100</v>
      </c>
      <c r="AA159" s="425"/>
      <c r="AB159" s="425">
        <f t="shared" si="309"/>
        <v>75</v>
      </c>
      <c r="AC159" s="425">
        <f t="shared" si="310"/>
        <v>25</v>
      </c>
      <c r="AD159" s="425">
        <f t="shared" si="311"/>
        <v>1950</v>
      </c>
      <c r="AE159" s="72">
        <v>2.4</v>
      </c>
      <c r="AF159" s="71">
        <v>12</v>
      </c>
      <c r="AG159" s="72">
        <f t="shared" si="312"/>
        <v>14.399999999999999</v>
      </c>
      <c r="AH159" s="72">
        <f t="shared" si="278"/>
        <v>1.8512757089486036</v>
      </c>
      <c r="AI159" s="425">
        <f t="shared" si="313"/>
        <v>1801.1520000000012</v>
      </c>
      <c r="AJ159" s="72">
        <f t="shared" si="346"/>
        <v>1.882202264596706</v>
      </c>
      <c r="AK159" s="502"/>
      <c r="AL159" s="491">
        <v>23607</v>
      </c>
      <c r="AM159" s="491"/>
      <c r="AN159" s="492">
        <f t="shared" si="353"/>
        <v>23607</v>
      </c>
      <c r="AO159" s="492">
        <f t="shared" si="354"/>
        <v>0</v>
      </c>
      <c r="AP159" s="492">
        <f t="shared" si="355"/>
        <v>59966</v>
      </c>
      <c r="AQ159" s="493">
        <f t="shared" si="279"/>
        <v>62.664417549882522</v>
      </c>
      <c r="AR159" s="504"/>
      <c r="AS159" s="413">
        <v>31579</v>
      </c>
      <c r="AT159" s="64">
        <v>35950</v>
      </c>
      <c r="AU159" s="66">
        <f t="shared" si="314"/>
        <v>57742</v>
      </c>
      <c r="AV159" s="66">
        <f t="shared" si="262"/>
        <v>9787</v>
      </c>
      <c r="AW159" s="412">
        <f t="shared" si="315"/>
        <v>14.100680036883356</v>
      </c>
      <c r="AX159" s="66">
        <f t="shared" si="316"/>
        <v>239873</v>
      </c>
      <c r="AY159" s="412">
        <f t="shared" si="317"/>
        <v>3.1409157699602002</v>
      </c>
      <c r="AZ159" s="506"/>
      <c r="BA159" s="419">
        <v>26400</v>
      </c>
      <c r="BB159" s="419"/>
      <c r="BC159" s="407"/>
      <c r="BD159" s="419">
        <f t="shared" si="280"/>
        <v>26400</v>
      </c>
      <c r="BE159" s="419">
        <f t="shared" si="281"/>
        <v>0</v>
      </c>
      <c r="BF159" s="407">
        <f t="shared" si="318"/>
        <v>0</v>
      </c>
      <c r="BG159" s="419">
        <f t="shared" si="356"/>
        <v>149060</v>
      </c>
      <c r="BH159" s="407">
        <f t="shared" si="319"/>
        <v>1.9518032653540307</v>
      </c>
      <c r="BI159" s="407">
        <f t="shared" si="320"/>
        <v>0.23899631820661602</v>
      </c>
      <c r="BJ159" s="508"/>
      <c r="BK159" s="510"/>
      <c r="BL159" s="49">
        <v>2550</v>
      </c>
      <c r="BM159" s="50"/>
      <c r="BN159" s="52">
        <f t="shared" si="321"/>
        <v>2410</v>
      </c>
      <c r="BO159" s="52">
        <f t="shared" si="263"/>
        <v>140</v>
      </c>
      <c r="BP159" s="406">
        <f t="shared" si="322"/>
        <v>0.20170585523282619</v>
      </c>
      <c r="BQ159" s="52">
        <f t="shared" si="323"/>
        <v>34390</v>
      </c>
      <c r="BR159" s="406">
        <f t="shared" si="324"/>
        <v>0.45030534211408235</v>
      </c>
      <c r="BS159" s="512"/>
      <c r="BT159" s="409">
        <v>2944</v>
      </c>
      <c r="BU159" s="43"/>
      <c r="BV159" s="43">
        <f t="shared" si="350"/>
        <v>2845</v>
      </c>
      <c r="BW159" s="43">
        <f t="shared" si="351"/>
        <v>99</v>
      </c>
      <c r="BX159" s="42">
        <f t="shared" si="325"/>
        <v>0.14263485477178423</v>
      </c>
      <c r="BY159" s="43">
        <f t="shared" si="352"/>
        <v>16592</v>
      </c>
      <c r="BZ159" s="42">
        <f t="shared" si="326"/>
        <v>0.2172569420284052</v>
      </c>
      <c r="CA159" s="514"/>
      <c r="CB159" s="392">
        <v>1989</v>
      </c>
      <c r="CC159" s="298"/>
      <c r="CD159" s="298">
        <f t="shared" si="282"/>
        <v>1984</v>
      </c>
      <c r="CE159" s="298">
        <f t="shared" si="264"/>
        <v>5</v>
      </c>
      <c r="CF159" s="297">
        <f t="shared" si="327"/>
        <v>7.2037805440295071E-3</v>
      </c>
      <c r="CG159" s="298">
        <f t="shared" si="328"/>
        <v>59366</v>
      </c>
      <c r="CH159" s="297">
        <f t="shared" si="329"/>
        <v>0.77734303401990734</v>
      </c>
      <c r="CI159" s="516"/>
      <c r="CJ159" s="659">
        <v>1900</v>
      </c>
      <c r="CK159" s="651"/>
      <c r="CL159" s="657">
        <f t="shared" si="357"/>
        <v>1900</v>
      </c>
      <c r="CM159" s="657">
        <f t="shared" si="358"/>
        <v>0</v>
      </c>
      <c r="CN159" s="659">
        <f t="shared" si="359"/>
        <v>21850</v>
      </c>
      <c r="CO159" s="464">
        <v>0</v>
      </c>
      <c r="CP159" s="465"/>
      <c r="CQ159" s="465">
        <f t="shared" si="283"/>
        <v>0</v>
      </c>
      <c r="CR159" s="465">
        <f t="shared" si="265"/>
        <v>0</v>
      </c>
      <c r="CS159" s="486">
        <f t="shared" si="330"/>
        <v>0</v>
      </c>
      <c r="CT159" s="465">
        <f t="shared" si="331"/>
        <v>1519</v>
      </c>
      <c r="CU159" s="486">
        <f t="shared" si="332"/>
        <v>1.9889904468487676E-2</v>
      </c>
      <c r="CV159" s="518"/>
      <c r="CW159" s="427">
        <v>0</v>
      </c>
      <c r="CX159" s="427"/>
      <c r="CY159" s="427">
        <f t="shared" si="333"/>
        <v>0</v>
      </c>
      <c r="CZ159" s="427">
        <f t="shared" si="334"/>
        <v>0</v>
      </c>
      <c r="DA159" s="607">
        <f t="shared" si="349"/>
        <v>0</v>
      </c>
      <c r="DB159" s="607">
        <f t="shared" si="335"/>
        <v>115</v>
      </c>
      <c r="DC159" s="607">
        <f t="shared" si="284"/>
        <v>1.5058189689770129E-3</v>
      </c>
      <c r="DD159" s="609"/>
      <c r="DE159" s="471">
        <v>13</v>
      </c>
      <c r="DF159" s="473"/>
      <c r="DG159" s="473">
        <f t="shared" si="285"/>
        <v>13</v>
      </c>
      <c r="DH159" s="473">
        <f t="shared" si="266"/>
        <v>0</v>
      </c>
      <c r="DI159" s="227">
        <f t="shared" si="336"/>
        <v>0</v>
      </c>
      <c r="DJ159" s="473">
        <f t="shared" si="337"/>
        <v>110.2</v>
      </c>
      <c r="DK159" s="227">
        <f t="shared" si="338"/>
        <v>1.4429673946197113E-3</v>
      </c>
      <c r="DL159" s="510"/>
      <c r="DM159" s="63">
        <v>515</v>
      </c>
      <c r="DN159" s="64"/>
      <c r="DO159" s="66">
        <f t="shared" si="339"/>
        <v>450</v>
      </c>
      <c r="DP159" s="66">
        <f t="shared" si="267"/>
        <v>65</v>
      </c>
      <c r="DQ159" s="412">
        <f t="shared" si="340"/>
        <v>9.3649147072383587E-2</v>
      </c>
      <c r="DR159" s="66">
        <f t="shared" si="341"/>
        <v>17550</v>
      </c>
      <c r="DS159" s="412">
        <f t="shared" si="342"/>
        <v>0.22980106874388326</v>
      </c>
      <c r="DT159" s="506"/>
      <c r="DU159" s="596">
        <v>0</v>
      </c>
      <c r="DV159" s="596"/>
      <c r="DW159" s="596">
        <f t="shared" si="286"/>
        <v>0</v>
      </c>
      <c r="DX159" s="596">
        <f t="shared" si="268"/>
        <v>0</v>
      </c>
      <c r="DY159" s="592">
        <f t="shared" si="287"/>
        <v>0</v>
      </c>
      <c r="DZ159" s="596">
        <f t="shared" si="343"/>
        <v>2800</v>
      </c>
      <c r="EA159" s="592">
        <f t="shared" si="288"/>
        <v>3.6663418375092488E-2</v>
      </c>
      <c r="EB159" s="594"/>
      <c r="EC159" s="448">
        <v>100</v>
      </c>
      <c r="ED159" s="449"/>
      <c r="EE159" s="449">
        <f t="shared" si="289"/>
        <v>50</v>
      </c>
      <c r="EF159" s="449">
        <f t="shared" si="269"/>
        <v>50</v>
      </c>
      <c r="EG159" s="450">
        <f t="shared" si="347"/>
        <v>7.2037805440295061E-2</v>
      </c>
      <c r="EH159" s="449">
        <f t="shared" si="344"/>
        <v>1015</v>
      </c>
      <c r="EI159" s="450">
        <f t="shared" si="348"/>
        <v>1.3290489160971027E-2</v>
      </c>
      <c r="EJ159" s="520"/>
      <c r="EK159" s="426">
        <v>3194</v>
      </c>
      <c r="EL159" s="427"/>
      <c r="EM159" s="427">
        <f t="shared" si="290"/>
        <v>2700</v>
      </c>
      <c r="EN159" s="427">
        <f t="shared" si="270"/>
        <v>494</v>
      </c>
      <c r="EO159" s="427">
        <f t="shared" si="291"/>
        <v>71222</v>
      </c>
      <c r="EP159" s="456">
        <v>0</v>
      </c>
      <c r="EQ159" s="457"/>
      <c r="ER159" s="457">
        <f t="shared" si="292"/>
        <v>0</v>
      </c>
      <c r="ES159" s="457">
        <f t="shared" si="271"/>
        <v>0</v>
      </c>
      <c r="ET159" s="457">
        <f t="shared" si="293"/>
        <v>1808</v>
      </c>
      <c r="EU159" s="409">
        <v>24</v>
      </c>
      <c r="EV159" s="43"/>
      <c r="EW159" s="43">
        <f t="shared" si="294"/>
        <v>11</v>
      </c>
      <c r="EX159" s="43">
        <f t="shared" si="272"/>
        <v>13</v>
      </c>
      <c r="EY159" s="43">
        <f t="shared" si="295"/>
        <v>829</v>
      </c>
      <c r="EZ159" s="436">
        <v>0</v>
      </c>
      <c r="FA159" s="437"/>
      <c r="FB159" s="437">
        <f t="shared" si="296"/>
        <v>0</v>
      </c>
      <c r="FC159" s="437">
        <f t="shared" si="273"/>
        <v>0</v>
      </c>
      <c r="FD159" s="437">
        <f t="shared" si="297"/>
        <v>890</v>
      </c>
      <c r="FE159" s="442">
        <v>42</v>
      </c>
      <c r="FF159" s="443"/>
      <c r="FG159" s="443">
        <f t="shared" si="298"/>
        <v>42</v>
      </c>
      <c r="FH159" s="443">
        <f t="shared" si="274"/>
        <v>0</v>
      </c>
      <c r="FI159" s="443">
        <f t="shared" si="299"/>
        <v>958</v>
      </c>
      <c r="FJ159" s="392">
        <v>840</v>
      </c>
      <c r="FK159" s="298"/>
      <c r="FL159" s="298">
        <f t="shared" si="300"/>
        <v>800</v>
      </c>
      <c r="FM159" s="298">
        <f t="shared" si="275"/>
        <v>40</v>
      </c>
      <c r="FN159" s="498">
        <f t="shared" si="301"/>
        <v>3000</v>
      </c>
      <c r="HC159" s="402">
        <v>0</v>
      </c>
      <c r="HD159" s="52">
        <v>0</v>
      </c>
      <c r="HE159" s="52">
        <f t="shared" si="302"/>
        <v>0</v>
      </c>
      <c r="HF159" s="52">
        <f t="shared" si="276"/>
        <v>0</v>
      </c>
      <c r="HG159" s="51"/>
      <c r="HH159" s="52">
        <f t="shared" si="345"/>
        <v>400</v>
      </c>
      <c r="HI159" s="51"/>
      <c r="HJ159" s="1047"/>
    </row>
    <row r="160" spans="1:218">
      <c r="A160" s="807">
        <v>44823</v>
      </c>
      <c r="B160" s="390">
        <v>696556</v>
      </c>
      <c r="C160" s="18">
        <f t="shared" si="256"/>
        <v>77066958</v>
      </c>
      <c r="D160" s="376">
        <v>6954.82</v>
      </c>
      <c r="E160" s="417">
        <f t="shared" si="360"/>
        <v>963893.41999999981</v>
      </c>
      <c r="F160" s="397">
        <v>47810</v>
      </c>
      <c r="G160" s="37"/>
      <c r="H160" s="37">
        <f t="shared" si="277"/>
        <v>44113</v>
      </c>
      <c r="I160" s="37">
        <f t="shared" si="257"/>
        <v>3697</v>
      </c>
      <c r="J160" s="37">
        <f t="shared" si="258"/>
        <v>531.57378623745831</v>
      </c>
      <c r="K160" s="37">
        <f t="shared" si="303"/>
        <v>432294</v>
      </c>
      <c r="L160" s="37">
        <f t="shared" si="259"/>
        <v>448.48734417130896</v>
      </c>
      <c r="M160" s="648"/>
      <c r="N160" s="422">
        <v>150</v>
      </c>
      <c r="O160" s="423">
        <v>250</v>
      </c>
      <c r="P160" s="423">
        <f t="shared" si="304"/>
        <v>300</v>
      </c>
      <c r="Q160" s="423">
        <f t="shared" si="305"/>
        <v>100</v>
      </c>
      <c r="R160" s="423">
        <f t="shared" si="306"/>
        <v>12150</v>
      </c>
      <c r="S160" s="68">
        <v>8.64</v>
      </c>
      <c r="T160" s="67">
        <v>24</v>
      </c>
      <c r="U160" s="68">
        <f t="shared" si="307"/>
        <v>103.68</v>
      </c>
      <c r="V160" s="68">
        <f t="shared" si="260"/>
        <v>14.907646783094314</v>
      </c>
      <c r="W160" s="423">
        <f t="shared" si="308"/>
        <v>11836.584000000001</v>
      </c>
      <c r="X160" s="68">
        <f t="shared" si="261"/>
        <v>12.279971783602385</v>
      </c>
      <c r="Y160" s="500"/>
      <c r="Z160" s="424">
        <v>75</v>
      </c>
      <c r="AA160" s="425"/>
      <c r="AB160" s="425">
        <f t="shared" si="309"/>
        <v>75</v>
      </c>
      <c r="AC160" s="425">
        <f t="shared" si="310"/>
        <v>0</v>
      </c>
      <c r="AD160" s="425">
        <f t="shared" si="311"/>
        <v>1950</v>
      </c>
      <c r="AE160" s="72">
        <v>2.2599999999999998</v>
      </c>
      <c r="AF160" s="71">
        <v>12</v>
      </c>
      <c r="AG160" s="72">
        <f t="shared" si="312"/>
        <v>13.559999999999999</v>
      </c>
      <c r="AH160" s="72">
        <f t="shared" si="278"/>
        <v>1.949726951955622</v>
      </c>
      <c r="AI160" s="425">
        <f t="shared" si="313"/>
        <v>1814.7120000000011</v>
      </c>
      <c r="AJ160" s="72">
        <f t="shared" si="346"/>
        <v>1.8826894782620276</v>
      </c>
      <c r="AK160" s="502"/>
      <c r="AL160" s="491">
        <v>23607</v>
      </c>
      <c r="AM160" s="491"/>
      <c r="AN160" s="492">
        <f t="shared" si="353"/>
        <v>23607</v>
      </c>
      <c r="AO160" s="492">
        <f t="shared" si="354"/>
        <v>0</v>
      </c>
      <c r="AP160" s="492">
        <f t="shared" si="355"/>
        <v>59966</v>
      </c>
      <c r="AQ160" s="493">
        <f t="shared" si="279"/>
        <v>62.21227239003251</v>
      </c>
      <c r="AR160" s="504"/>
      <c r="AS160" s="413">
        <v>57742</v>
      </c>
      <c r="AT160" s="64"/>
      <c r="AU160" s="66">
        <f t="shared" si="314"/>
        <v>55827</v>
      </c>
      <c r="AV160" s="66">
        <f t="shared" si="262"/>
        <v>1915</v>
      </c>
      <c r="AW160" s="412">
        <f t="shared" si="315"/>
        <v>2.7492405492164305</v>
      </c>
      <c r="AX160" s="66">
        <f t="shared" si="316"/>
        <v>241788</v>
      </c>
      <c r="AY160" s="412">
        <f t="shared" si="317"/>
        <v>3.1373756831040351</v>
      </c>
      <c r="AZ160" s="506"/>
      <c r="BA160" s="419">
        <v>26400</v>
      </c>
      <c r="BB160" s="419"/>
      <c r="BC160" s="407"/>
      <c r="BD160" s="419">
        <f t="shared" si="280"/>
        <v>26400</v>
      </c>
      <c r="BE160" s="419">
        <f t="shared" si="281"/>
        <v>0</v>
      </c>
      <c r="BF160" s="407">
        <f t="shared" si="318"/>
        <v>0</v>
      </c>
      <c r="BG160" s="419">
        <f t="shared" si="356"/>
        <v>149060</v>
      </c>
      <c r="BH160" s="407">
        <f t="shared" si="319"/>
        <v>1.9341622385043407</v>
      </c>
      <c r="BI160" s="407">
        <f t="shared" si="320"/>
        <v>0.23683619246991927</v>
      </c>
      <c r="BJ160" s="508"/>
      <c r="BK160" s="510"/>
      <c r="BL160" s="49">
        <v>2410</v>
      </c>
      <c r="BM160" s="50"/>
      <c r="BN160" s="52">
        <f t="shared" si="321"/>
        <v>2225</v>
      </c>
      <c r="BO160" s="52">
        <f t="shared" si="263"/>
        <v>185</v>
      </c>
      <c r="BP160" s="406">
        <f t="shared" si="322"/>
        <v>0.26559242903657421</v>
      </c>
      <c r="BQ160" s="52">
        <f t="shared" si="323"/>
        <v>34575</v>
      </c>
      <c r="BR160" s="406">
        <f t="shared" si="324"/>
        <v>0.44863584728490258</v>
      </c>
      <c r="BS160" s="512"/>
      <c r="BT160" s="409">
        <v>2845</v>
      </c>
      <c r="BU160" s="43"/>
      <c r="BV160" s="43">
        <f t="shared" si="350"/>
        <v>2725</v>
      </c>
      <c r="BW160" s="43">
        <f t="shared" si="351"/>
        <v>120</v>
      </c>
      <c r="BX160" s="42">
        <f t="shared" si="325"/>
        <v>0.17227617018588598</v>
      </c>
      <c r="BY160" s="43">
        <f t="shared" si="352"/>
        <v>16712</v>
      </c>
      <c r="BZ160" s="42">
        <f t="shared" si="326"/>
        <v>0.21685039131815739</v>
      </c>
      <c r="CA160" s="514"/>
      <c r="CB160" s="392">
        <v>1984</v>
      </c>
      <c r="CC160" s="298"/>
      <c r="CD160" s="298">
        <f t="shared" si="282"/>
        <v>1984</v>
      </c>
      <c r="CE160" s="298">
        <f t="shared" si="264"/>
        <v>0</v>
      </c>
      <c r="CF160" s="297">
        <f t="shared" si="327"/>
        <v>0</v>
      </c>
      <c r="CG160" s="298">
        <f t="shared" si="328"/>
        <v>59366</v>
      </c>
      <c r="CH160" s="297">
        <f t="shared" si="329"/>
        <v>0.77031715719206151</v>
      </c>
      <c r="CI160" s="516"/>
      <c r="CJ160" s="659">
        <v>1900</v>
      </c>
      <c r="CK160" s="651"/>
      <c r="CL160" s="657">
        <f t="shared" si="357"/>
        <v>1900</v>
      </c>
      <c r="CM160" s="657">
        <f t="shared" si="358"/>
        <v>0</v>
      </c>
      <c r="CN160" s="659">
        <f t="shared" si="359"/>
        <v>21850</v>
      </c>
      <c r="CO160" s="464">
        <v>0</v>
      </c>
      <c r="CP160" s="465"/>
      <c r="CQ160" s="465">
        <f t="shared" si="283"/>
        <v>0</v>
      </c>
      <c r="CR160" s="465">
        <f t="shared" si="265"/>
        <v>0</v>
      </c>
      <c r="CS160" s="486">
        <f t="shared" si="330"/>
        <v>0</v>
      </c>
      <c r="CT160" s="465">
        <f t="shared" si="331"/>
        <v>1519</v>
      </c>
      <c r="CU160" s="486">
        <f t="shared" si="332"/>
        <v>1.9710133102697525E-2</v>
      </c>
      <c r="CV160" s="518"/>
      <c r="CW160" s="427">
        <v>0</v>
      </c>
      <c r="CX160" s="427"/>
      <c r="CY160" s="427">
        <f t="shared" si="333"/>
        <v>0</v>
      </c>
      <c r="CZ160" s="427">
        <f t="shared" si="334"/>
        <v>0</v>
      </c>
      <c r="DA160" s="607">
        <f t="shared" si="349"/>
        <v>0</v>
      </c>
      <c r="DB160" s="607">
        <f t="shared" si="335"/>
        <v>115</v>
      </c>
      <c r="DC160" s="607">
        <f t="shared" si="284"/>
        <v>1.4922088919092926E-3</v>
      </c>
      <c r="DD160" s="609"/>
      <c r="DE160" s="471">
        <v>13</v>
      </c>
      <c r="DF160" s="473"/>
      <c r="DG160" s="473">
        <f t="shared" si="285"/>
        <v>13</v>
      </c>
      <c r="DH160" s="473">
        <f t="shared" si="266"/>
        <v>0</v>
      </c>
      <c r="DI160" s="227">
        <f t="shared" si="336"/>
        <v>0</v>
      </c>
      <c r="DJ160" s="473">
        <f t="shared" si="337"/>
        <v>110.2</v>
      </c>
      <c r="DK160" s="227">
        <f t="shared" si="338"/>
        <v>1.4299253903339484E-3</v>
      </c>
      <c r="DL160" s="510"/>
      <c r="DM160" s="63">
        <v>450</v>
      </c>
      <c r="DN160" s="64"/>
      <c r="DO160" s="66">
        <f t="shared" si="339"/>
        <v>380</v>
      </c>
      <c r="DP160" s="66">
        <f t="shared" si="267"/>
        <v>70</v>
      </c>
      <c r="DQ160" s="412">
        <f t="shared" si="340"/>
        <v>0.10049443260843349</v>
      </c>
      <c r="DR160" s="66">
        <f t="shared" si="341"/>
        <v>17620</v>
      </c>
      <c r="DS160" s="412">
        <f t="shared" si="342"/>
        <v>0.22863235369949336</v>
      </c>
      <c r="DT160" s="506"/>
      <c r="DU160" s="596">
        <v>0</v>
      </c>
      <c r="DV160" s="596"/>
      <c r="DW160" s="596">
        <f t="shared" si="286"/>
        <v>0</v>
      </c>
      <c r="DX160" s="596">
        <f t="shared" si="268"/>
        <v>0</v>
      </c>
      <c r="DY160" s="592">
        <f t="shared" si="287"/>
        <v>0</v>
      </c>
      <c r="DZ160" s="596">
        <f t="shared" si="343"/>
        <v>2800</v>
      </c>
      <c r="EA160" s="592">
        <f t="shared" si="288"/>
        <v>3.6332042585617563E-2</v>
      </c>
      <c r="EB160" s="594"/>
      <c r="EC160" s="448">
        <v>50</v>
      </c>
      <c r="ED160" s="449"/>
      <c r="EE160" s="449">
        <f t="shared" si="289"/>
        <v>50</v>
      </c>
      <c r="EF160" s="449">
        <f t="shared" si="269"/>
        <v>0</v>
      </c>
      <c r="EG160" s="450">
        <f t="shared" si="347"/>
        <v>0</v>
      </c>
      <c r="EH160" s="449">
        <f t="shared" si="344"/>
        <v>1015</v>
      </c>
      <c r="EI160" s="450">
        <f t="shared" si="348"/>
        <v>1.3170365437286367E-2</v>
      </c>
      <c r="EJ160" s="520"/>
      <c r="EK160" s="426">
        <v>2700</v>
      </c>
      <c r="EL160" s="427">
        <v>1200</v>
      </c>
      <c r="EM160" s="427">
        <f t="shared" si="290"/>
        <v>3400</v>
      </c>
      <c r="EN160" s="427">
        <f t="shared" si="270"/>
        <v>500</v>
      </c>
      <c r="EO160" s="427">
        <f t="shared" si="291"/>
        <v>71722</v>
      </c>
      <c r="EP160" s="456">
        <v>0</v>
      </c>
      <c r="EQ160" s="457"/>
      <c r="ER160" s="457">
        <f t="shared" si="292"/>
        <v>0</v>
      </c>
      <c r="ES160" s="457">
        <f t="shared" si="271"/>
        <v>0</v>
      </c>
      <c r="ET160" s="457">
        <f t="shared" si="293"/>
        <v>1808</v>
      </c>
      <c r="EU160" s="409">
        <v>11</v>
      </c>
      <c r="EV160" s="43"/>
      <c r="EW160" s="43">
        <f t="shared" si="294"/>
        <v>11</v>
      </c>
      <c r="EX160" s="43">
        <f t="shared" si="272"/>
        <v>0</v>
      </c>
      <c r="EY160" s="43">
        <f t="shared" si="295"/>
        <v>829</v>
      </c>
      <c r="EZ160" s="436">
        <v>0</v>
      </c>
      <c r="FA160" s="437"/>
      <c r="FB160" s="437">
        <f t="shared" si="296"/>
        <v>0</v>
      </c>
      <c r="FC160" s="437">
        <f t="shared" si="273"/>
        <v>0</v>
      </c>
      <c r="FD160" s="437">
        <f t="shared" si="297"/>
        <v>890</v>
      </c>
      <c r="FE160" s="442">
        <v>42</v>
      </c>
      <c r="FF160" s="443"/>
      <c r="FG160" s="443">
        <f t="shared" si="298"/>
        <v>16</v>
      </c>
      <c r="FH160" s="443">
        <f t="shared" si="274"/>
        <v>26</v>
      </c>
      <c r="FI160" s="443">
        <f t="shared" si="299"/>
        <v>984</v>
      </c>
      <c r="FJ160" s="392">
        <v>800</v>
      </c>
      <c r="FK160" s="298"/>
      <c r="FL160" s="298">
        <f t="shared" si="300"/>
        <v>785</v>
      </c>
      <c r="FM160" s="298">
        <f t="shared" si="275"/>
        <v>15</v>
      </c>
      <c r="FN160" s="498">
        <f t="shared" si="301"/>
        <v>3015</v>
      </c>
      <c r="HC160" s="402">
        <v>0</v>
      </c>
      <c r="HD160" s="52">
        <v>0</v>
      </c>
      <c r="HE160" s="52">
        <f t="shared" si="302"/>
        <v>0</v>
      </c>
      <c r="HF160" s="52">
        <f t="shared" si="276"/>
        <v>0</v>
      </c>
      <c r="HG160" s="51"/>
      <c r="HH160" s="52">
        <f t="shared" si="345"/>
        <v>400</v>
      </c>
      <c r="HI160" s="51"/>
      <c r="HJ160" s="1047"/>
    </row>
    <row r="161" spans="1:218">
      <c r="A161" s="807">
        <v>44824</v>
      </c>
      <c r="B161" s="390">
        <v>390361</v>
      </c>
      <c r="C161" s="18">
        <f t="shared" si="256"/>
        <v>77457319</v>
      </c>
      <c r="D161" s="376">
        <v>4344.5200000000004</v>
      </c>
      <c r="E161" s="417">
        <f t="shared" si="360"/>
        <v>968237.93999999983</v>
      </c>
      <c r="F161" s="397">
        <v>44113</v>
      </c>
      <c r="G161" s="37"/>
      <c r="H161" s="37">
        <f t="shared" si="277"/>
        <v>39492</v>
      </c>
      <c r="I161" s="37">
        <f t="shared" si="257"/>
        <v>4621</v>
      </c>
      <c r="J161" s="37">
        <f t="shared" si="258"/>
        <v>1063.6387909366281</v>
      </c>
      <c r="K161" s="37">
        <f t="shared" si="303"/>
        <v>436915</v>
      </c>
      <c r="L161" s="37">
        <f t="shared" si="259"/>
        <v>451.24755181562097</v>
      </c>
      <c r="M161" s="648"/>
      <c r="N161" s="422">
        <v>300</v>
      </c>
      <c r="O161" s="423"/>
      <c r="P161" s="423">
        <f t="shared" si="304"/>
        <v>200</v>
      </c>
      <c r="Q161" s="423">
        <f t="shared" si="305"/>
        <v>100</v>
      </c>
      <c r="R161" s="423">
        <f t="shared" si="306"/>
        <v>12250</v>
      </c>
      <c r="S161" s="68">
        <v>7</v>
      </c>
      <c r="T161" s="67">
        <v>24</v>
      </c>
      <c r="U161" s="68">
        <f t="shared" si="307"/>
        <v>84</v>
      </c>
      <c r="V161" s="68">
        <f t="shared" si="260"/>
        <v>19.334702107482528</v>
      </c>
      <c r="W161" s="423">
        <f t="shared" si="308"/>
        <v>11920.584000000001</v>
      </c>
      <c r="X161" s="68">
        <f t="shared" si="261"/>
        <v>12.311626623513639</v>
      </c>
      <c r="Y161" s="500"/>
      <c r="Z161" s="424">
        <v>75</v>
      </c>
      <c r="AA161" s="425"/>
      <c r="AB161" s="425">
        <f t="shared" si="309"/>
        <v>50</v>
      </c>
      <c r="AC161" s="425">
        <f t="shared" si="310"/>
        <v>25</v>
      </c>
      <c r="AD161" s="425">
        <f t="shared" si="311"/>
        <v>1975</v>
      </c>
      <c r="AE161" s="72">
        <v>1.77</v>
      </c>
      <c r="AF161" s="71">
        <v>12</v>
      </c>
      <c r="AG161" s="72">
        <f t="shared" si="312"/>
        <v>10.620000000000001</v>
      </c>
      <c r="AH161" s="72">
        <f t="shared" si="278"/>
        <v>2.4444587664460058</v>
      </c>
      <c r="AI161" s="425">
        <f t="shared" si="313"/>
        <v>1825.332000000001</v>
      </c>
      <c r="AJ161" s="72">
        <f t="shared" si="346"/>
        <v>1.8852101581559604</v>
      </c>
      <c r="AK161" s="502"/>
      <c r="AL161" s="491">
        <v>23607</v>
      </c>
      <c r="AM161" s="491"/>
      <c r="AN161" s="492">
        <f t="shared" si="353"/>
        <v>23607</v>
      </c>
      <c r="AO161" s="492">
        <f t="shared" si="354"/>
        <v>0</v>
      </c>
      <c r="AP161" s="492">
        <f t="shared" si="355"/>
        <v>59966</v>
      </c>
      <c r="AQ161" s="493">
        <f t="shared" si="279"/>
        <v>61.933123587369451</v>
      </c>
      <c r="AR161" s="504"/>
      <c r="AS161" s="413">
        <v>55827</v>
      </c>
      <c r="AT161" s="64"/>
      <c r="AU161" s="66">
        <f t="shared" si="314"/>
        <v>54806</v>
      </c>
      <c r="AV161" s="66">
        <f t="shared" si="262"/>
        <v>1021</v>
      </c>
      <c r="AW161" s="412">
        <f t="shared" si="315"/>
        <v>2.6155276782260524</v>
      </c>
      <c r="AX161" s="66">
        <f t="shared" si="316"/>
        <v>242809</v>
      </c>
      <c r="AY161" s="412">
        <f t="shared" si="317"/>
        <v>3.1347457300968551</v>
      </c>
      <c r="AZ161" s="506"/>
      <c r="BA161" s="419">
        <v>26400</v>
      </c>
      <c r="BB161" s="419"/>
      <c r="BC161" s="407"/>
      <c r="BD161" s="419">
        <f t="shared" si="280"/>
        <v>6600</v>
      </c>
      <c r="BE161" s="419">
        <f t="shared" si="281"/>
        <v>19800</v>
      </c>
      <c r="BF161" s="407">
        <f t="shared" si="318"/>
        <v>50.722280145813748</v>
      </c>
      <c r="BG161" s="419">
        <f t="shared" si="356"/>
        <v>168860</v>
      </c>
      <c r="BH161" s="407">
        <f t="shared" si="319"/>
        <v>2.1800393065502304</v>
      </c>
      <c r="BI161" s="407">
        <f t="shared" si="320"/>
        <v>0.2669435885571711</v>
      </c>
      <c r="BJ161" s="508"/>
      <c r="BK161" s="510"/>
      <c r="BL161" s="49">
        <v>2225</v>
      </c>
      <c r="BM161" s="50"/>
      <c r="BN161" s="52">
        <f t="shared" si="321"/>
        <v>2192</v>
      </c>
      <c r="BO161" s="52">
        <f t="shared" si="263"/>
        <v>33</v>
      </c>
      <c r="BP161" s="406">
        <f t="shared" si="322"/>
        <v>8.4537133576356241E-2</v>
      </c>
      <c r="BQ161" s="52">
        <f t="shared" si="323"/>
        <v>34608</v>
      </c>
      <c r="BR161" s="406">
        <f t="shared" si="324"/>
        <v>0.446800902055492</v>
      </c>
      <c r="BS161" s="512"/>
      <c r="BT161" s="409">
        <v>2725</v>
      </c>
      <c r="BU161" s="43"/>
      <c r="BV161" s="43">
        <f t="shared" si="350"/>
        <v>2606</v>
      </c>
      <c r="BW161" s="43">
        <f t="shared" si="351"/>
        <v>119</v>
      </c>
      <c r="BX161" s="42">
        <f t="shared" si="325"/>
        <v>0.30484602713898162</v>
      </c>
      <c r="BY161" s="43">
        <f t="shared" si="352"/>
        <v>16831</v>
      </c>
      <c r="BZ161" s="42">
        <f t="shared" si="326"/>
        <v>0.21729386218492794</v>
      </c>
      <c r="CA161" s="514"/>
      <c r="CB161" s="392">
        <v>1984</v>
      </c>
      <c r="CC161" s="298"/>
      <c r="CD161" s="298">
        <f t="shared" si="282"/>
        <v>1984</v>
      </c>
      <c r="CE161" s="298">
        <f t="shared" si="264"/>
        <v>0</v>
      </c>
      <c r="CF161" s="297">
        <f t="shared" si="327"/>
        <v>0</v>
      </c>
      <c r="CG161" s="298">
        <f t="shared" si="328"/>
        <v>59366</v>
      </c>
      <c r="CH161" s="297">
        <f t="shared" si="329"/>
        <v>0.76643499628485723</v>
      </c>
      <c r="CI161" s="516"/>
      <c r="CJ161" s="659">
        <v>1900</v>
      </c>
      <c r="CK161" s="651"/>
      <c r="CL161" s="657">
        <f t="shared" si="357"/>
        <v>1900</v>
      </c>
      <c r="CM161" s="657">
        <f t="shared" si="358"/>
        <v>0</v>
      </c>
      <c r="CN161" s="659">
        <f t="shared" si="359"/>
        <v>21850</v>
      </c>
      <c r="CO161" s="464">
        <v>0</v>
      </c>
      <c r="CP161" s="465"/>
      <c r="CQ161" s="465">
        <f t="shared" si="283"/>
        <v>0</v>
      </c>
      <c r="CR161" s="465">
        <f t="shared" si="265"/>
        <v>0</v>
      </c>
      <c r="CS161" s="486">
        <f t="shared" si="330"/>
        <v>0</v>
      </c>
      <c r="CT161" s="465">
        <f t="shared" si="331"/>
        <v>1519</v>
      </c>
      <c r="CU161" s="486">
        <f t="shared" si="332"/>
        <v>1.9610800110445342E-2</v>
      </c>
      <c r="CV161" s="518"/>
      <c r="CW161" s="427">
        <v>0</v>
      </c>
      <c r="CX161" s="427"/>
      <c r="CY161" s="427">
        <f t="shared" si="333"/>
        <v>0</v>
      </c>
      <c r="CZ161" s="427">
        <f t="shared" si="334"/>
        <v>0</v>
      </c>
      <c r="DA161" s="607">
        <f t="shared" si="349"/>
        <v>0</v>
      </c>
      <c r="DB161" s="607">
        <f t="shared" si="335"/>
        <v>115</v>
      </c>
      <c r="DC161" s="607">
        <f t="shared" si="284"/>
        <v>1.4846886192898053E-3</v>
      </c>
      <c r="DD161" s="609"/>
      <c r="DE161" s="471">
        <v>13</v>
      </c>
      <c r="DF161" s="473"/>
      <c r="DG161" s="473">
        <f t="shared" si="285"/>
        <v>13</v>
      </c>
      <c r="DH161" s="473">
        <f t="shared" si="266"/>
        <v>0</v>
      </c>
      <c r="DI161" s="227">
        <f t="shared" si="336"/>
        <v>0</v>
      </c>
      <c r="DJ161" s="473">
        <f t="shared" si="337"/>
        <v>110.2</v>
      </c>
      <c r="DK161" s="227">
        <f t="shared" si="338"/>
        <v>1.4227190073542307E-3</v>
      </c>
      <c r="DL161" s="510"/>
      <c r="DM161" s="63">
        <v>380</v>
      </c>
      <c r="DN161" s="64"/>
      <c r="DO161" s="66">
        <f t="shared" si="339"/>
        <v>350</v>
      </c>
      <c r="DP161" s="66">
        <f t="shared" si="267"/>
        <v>30</v>
      </c>
      <c r="DQ161" s="412">
        <f t="shared" si="340"/>
        <v>7.6851939614869316E-2</v>
      </c>
      <c r="DR161" s="66">
        <f t="shared" si="341"/>
        <v>17650</v>
      </c>
      <c r="DS161" s="412">
        <f t="shared" si="342"/>
        <v>0.22786742722143533</v>
      </c>
      <c r="DT161" s="506"/>
      <c r="DU161" s="596">
        <v>0</v>
      </c>
      <c r="DV161" s="596"/>
      <c r="DW161" s="596">
        <f t="shared" si="286"/>
        <v>0</v>
      </c>
      <c r="DX161" s="596">
        <f t="shared" si="268"/>
        <v>0</v>
      </c>
      <c r="DY161" s="592">
        <f t="shared" si="287"/>
        <v>0</v>
      </c>
      <c r="DZ161" s="596">
        <f t="shared" si="343"/>
        <v>2800</v>
      </c>
      <c r="EA161" s="592">
        <f t="shared" si="288"/>
        <v>3.6148940295751782E-2</v>
      </c>
      <c r="EB161" s="594"/>
      <c r="EC161" s="448">
        <v>50</v>
      </c>
      <c r="ED161" s="449"/>
      <c r="EE161" s="449">
        <f t="shared" si="289"/>
        <v>50</v>
      </c>
      <c r="EF161" s="449">
        <f t="shared" si="269"/>
        <v>0</v>
      </c>
      <c r="EG161" s="450">
        <f t="shared" si="347"/>
        <v>0</v>
      </c>
      <c r="EH161" s="449">
        <f t="shared" si="344"/>
        <v>1015</v>
      </c>
      <c r="EI161" s="450">
        <f t="shared" si="348"/>
        <v>1.3103990857210021E-2</v>
      </c>
      <c r="EJ161" s="520"/>
      <c r="EK161" s="426">
        <v>3400</v>
      </c>
      <c r="EL161" s="427"/>
      <c r="EM161" s="427">
        <f t="shared" si="290"/>
        <v>3063</v>
      </c>
      <c r="EN161" s="427">
        <f t="shared" si="270"/>
        <v>337</v>
      </c>
      <c r="EO161" s="427">
        <f t="shared" si="291"/>
        <v>72059</v>
      </c>
      <c r="EP161" s="456">
        <v>0</v>
      </c>
      <c r="EQ161" s="457"/>
      <c r="ER161" s="457">
        <f t="shared" si="292"/>
        <v>0</v>
      </c>
      <c r="ES161" s="457">
        <f t="shared" si="271"/>
        <v>0</v>
      </c>
      <c r="ET161" s="457">
        <f t="shared" si="293"/>
        <v>1808</v>
      </c>
      <c r="EU161" s="409">
        <v>11</v>
      </c>
      <c r="EV161" s="43"/>
      <c r="EW161" s="43">
        <f t="shared" si="294"/>
        <v>11</v>
      </c>
      <c r="EX161" s="43">
        <f t="shared" si="272"/>
        <v>0</v>
      </c>
      <c r="EY161" s="43">
        <f t="shared" si="295"/>
        <v>829</v>
      </c>
      <c r="EZ161" s="436">
        <v>0</v>
      </c>
      <c r="FA161" s="437"/>
      <c r="FB161" s="437">
        <f t="shared" si="296"/>
        <v>0</v>
      </c>
      <c r="FC161" s="437">
        <f t="shared" si="273"/>
        <v>0</v>
      </c>
      <c r="FD161" s="437">
        <f t="shared" si="297"/>
        <v>890</v>
      </c>
      <c r="FE161" s="442">
        <v>16</v>
      </c>
      <c r="FF161" s="443"/>
      <c r="FG161" s="443">
        <f t="shared" si="298"/>
        <v>16</v>
      </c>
      <c r="FH161" s="443">
        <f t="shared" si="274"/>
        <v>0</v>
      </c>
      <c r="FI161" s="443">
        <f t="shared" si="299"/>
        <v>984</v>
      </c>
      <c r="FJ161" s="392">
        <v>785</v>
      </c>
      <c r="FK161" s="298"/>
      <c r="FL161" s="298">
        <f t="shared" si="300"/>
        <v>770</v>
      </c>
      <c r="FM161" s="298">
        <f t="shared" si="275"/>
        <v>15</v>
      </c>
      <c r="FN161" s="498">
        <f t="shared" si="301"/>
        <v>3030</v>
      </c>
      <c r="HC161" s="402">
        <v>0</v>
      </c>
      <c r="HD161" s="52">
        <v>2400</v>
      </c>
      <c r="HE161" s="52">
        <f t="shared" si="302"/>
        <v>2400</v>
      </c>
      <c r="HF161" s="52">
        <f t="shared" si="276"/>
        <v>0</v>
      </c>
      <c r="HG161" s="51"/>
      <c r="HH161" s="52">
        <f t="shared" si="345"/>
        <v>400</v>
      </c>
      <c r="HI161" s="51"/>
      <c r="HJ161" s="1047"/>
    </row>
    <row r="162" spans="1:218">
      <c r="A162" s="807">
        <v>44825</v>
      </c>
      <c r="B162" s="390">
        <v>428983</v>
      </c>
      <c r="C162" s="18">
        <f t="shared" si="256"/>
        <v>77886302</v>
      </c>
      <c r="D162" s="376">
        <v>467.34</v>
      </c>
      <c r="E162" s="417">
        <f t="shared" si="360"/>
        <v>968705.2799999998</v>
      </c>
      <c r="F162" s="397">
        <v>39492</v>
      </c>
      <c r="G162" s="37"/>
      <c r="H162" s="37">
        <f t="shared" si="277"/>
        <v>39492</v>
      </c>
      <c r="I162" s="37">
        <f t="shared" si="257"/>
        <v>0</v>
      </c>
      <c r="J162" s="37">
        <f t="shared" si="258"/>
        <v>0</v>
      </c>
      <c r="K162" s="37">
        <f t="shared" si="303"/>
        <v>436915</v>
      </c>
      <c r="L162" s="37">
        <f t="shared" si="259"/>
        <v>451.02985296002527</v>
      </c>
      <c r="M162" s="648"/>
      <c r="N162" s="422">
        <v>200</v>
      </c>
      <c r="O162" s="423"/>
      <c r="P162" s="423">
        <f t="shared" si="304"/>
        <v>200</v>
      </c>
      <c r="Q162" s="423">
        <f t="shared" si="305"/>
        <v>0</v>
      </c>
      <c r="R162" s="423">
        <f t="shared" si="306"/>
        <v>12250</v>
      </c>
      <c r="S162" s="68">
        <v>2</v>
      </c>
      <c r="T162" s="67">
        <v>24</v>
      </c>
      <c r="U162" s="68">
        <f t="shared" si="307"/>
        <v>24</v>
      </c>
      <c r="V162" s="68">
        <f t="shared" si="260"/>
        <v>51.35447425856978</v>
      </c>
      <c r="W162" s="423">
        <f t="shared" si="308"/>
        <v>11944.584000000001</v>
      </c>
      <c r="X162" s="68">
        <f t="shared" si="261"/>
        <v>12.330462367253746</v>
      </c>
      <c r="Y162" s="500"/>
      <c r="Z162" s="424">
        <v>50</v>
      </c>
      <c r="AA162" s="425"/>
      <c r="AB162" s="425">
        <f t="shared" si="309"/>
        <v>50</v>
      </c>
      <c r="AC162" s="425">
        <f t="shared" si="310"/>
        <v>0</v>
      </c>
      <c r="AD162" s="425">
        <f t="shared" si="311"/>
        <v>1975</v>
      </c>
      <c r="AE162" s="72">
        <v>0.3</v>
      </c>
      <c r="AF162" s="71">
        <v>12</v>
      </c>
      <c r="AG162" s="72">
        <f t="shared" si="312"/>
        <v>1.7999999999999998</v>
      </c>
      <c r="AH162" s="72">
        <f t="shared" si="278"/>
        <v>3.851585569392733</v>
      </c>
      <c r="AI162" s="425">
        <f t="shared" si="313"/>
        <v>1827.132000000001</v>
      </c>
      <c r="AJ162" s="72">
        <f t="shared" si="346"/>
        <v>1.8861588118937489</v>
      </c>
      <c r="AK162" s="502"/>
      <c r="AL162" s="491">
        <v>23607</v>
      </c>
      <c r="AM162" s="491"/>
      <c r="AN162" s="492">
        <f t="shared" si="353"/>
        <v>23607</v>
      </c>
      <c r="AO162" s="492">
        <f t="shared" si="354"/>
        <v>0</v>
      </c>
      <c r="AP162" s="492">
        <f t="shared" si="355"/>
        <v>59966</v>
      </c>
      <c r="AQ162" s="493">
        <f t="shared" si="279"/>
        <v>61.903244710300342</v>
      </c>
      <c r="AR162" s="504"/>
      <c r="AS162" s="413">
        <v>54806</v>
      </c>
      <c r="AT162" s="64"/>
      <c r="AU162" s="66">
        <f t="shared" si="314"/>
        <v>54387</v>
      </c>
      <c r="AV162" s="66">
        <f t="shared" si="262"/>
        <v>419</v>
      </c>
      <c r="AW162" s="412">
        <f t="shared" si="315"/>
        <v>0.97672868155614556</v>
      </c>
      <c r="AX162" s="66">
        <f t="shared" si="316"/>
        <v>243228</v>
      </c>
      <c r="AY162" s="412">
        <f t="shared" si="317"/>
        <v>3.122859780915006</v>
      </c>
      <c r="AZ162" s="506"/>
      <c r="BA162" s="419">
        <v>6600</v>
      </c>
      <c r="BB162" s="419"/>
      <c r="BC162" s="407"/>
      <c r="BD162" s="419">
        <f t="shared" si="280"/>
        <v>1980</v>
      </c>
      <c r="BE162" s="419">
        <f t="shared" si="281"/>
        <v>4620</v>
      </c>
      <c r="BF162" s="407">
        <f t="shared" si="318"/>
        <v>10.769657538876832</v>
      </c>
      <c r="BG162" s="419">
        <f t="shared" si="356"/>
        <v>173480</v>
      </c>
      <c r="BH162" s="407">
        <f t="shared" si="319"/>
        <v>2.2273492969277191</v>
      </c>
      <c r="BI162" s="407">
        <f t="shared" si="320"/>
        <v>0.27273664860339419</v>
      </c>
      <c r="BJ162" s="508"/>
      <c r="BK162" s="510"/>
      <c r="BL162" s="49">
        <v>2192</v>
      </c>
      <c r="BM162" s="50"/>
      <c r="BN162" s="52">
        <f t="shared" si="321"/>
        <v>2124</v>
      </c>
      <c r="BO162" s="52">
        <f t="shared" si="263"/>
        <v>68</v>
      </c>
      <c r="BP162" s="406">
        <f t="shared" si="322"/>
        <v>0.1585144399661525</v>
      </c>
      <c r="BQ162" s="52">
        <f t="shared" si="323"/>
        <v>34676</v>
      </c>
      <c r="BR162" s="406">
        <f t="shared" si="324"/>
        <v>0.44521307482283601</v>
      </c>
      <c r="BS162" s="512"/>
      <c r="BT162" s="409">
        <v>2606</v>
      </c>
      <c r="BU162" s="43"/>
      <c r="BV162" s="43">
        <f t="shared" si="350"/>
        <v>2547</v>
      </c>
      <c r="BW162" s="43">
        <f t="shared" si="351"/>
        <v>59</v>
      </c>
      <c r="BX162" s="42">
        <f t="shared" si="325"/>
        <v>0.13753458761769113</v>
      </c>
      <c r="BY162" s="43">
        <f t="shared" si="352"/>
        <v>16890</v>
      </c>
      <c r="BZ162" s="42">
        <f t="shared" si="326"/>
        <v>0.21685456320676261</v>
      </c>
      <c r="CA162" s="514"/>
      <c r="CB162" s="392">
        <v>1984</v>
      </c>
      <c r="CC162" s="298"/>
      <c r="CD162" s="298">
        <f t="shared" si="282"/>
        <v>1984</v>
      </c>
      <c r="CE162" s="298">
        <f t="shared" si="264"/>
        <v>0</v>
      </c>
      <c r="CF162" s="297">
        <f t="shared" si="327"/>
        <v>0</v>
      </c>
      <c r="CG162" s="298">
        <f t="shared" si="328"/>
        <v>59366</v>
      </c>
      <c r="CH162" s="297">
        <f t="shared" si="329"/>
        <v>0.76221361748565231</v>
      </c>
      <c r="CI162" s="516"/>
      <c r="CJ162" s="659">
        <v>1900</v>
      </c>
      <c r="CK162" s="651"/>
      <c r="CL162" s="657">
        <f t="shared" si="357"/>
        <v>1900</v>
      </c>
      <c r="CM162" s="657">
        <f t="shared" si="358"/>
        <v>0</v>
      </c>
      <c r="CN162" s="659">
        <f t="shared" si="359"/>
        <v>21850</v>
      </c>
      <c r="CO162" s="464">
        <v>0</v>
      </c>
      <c r="CP162" s="465"/>
      <c r="CQ162" s="465">
        <f t="shared" si="283"/>
        <v>0</v>
      </c>
      <c r="CR162" s="465">
        <f t="shared" si="265"/>
        <v>0</v>
      </c>
      <c r="CS162" s="486">
        <f t="shared" si="330"/>
        <v>0</v>
      </c>
      <c r="CT162" s="465">
        <f t="shared" si="331"/>
        <v>1519</v>
      </c>
      <c r="CU162" s="486">
        <f t="shared" si="332"/>
        <v>1.9502787537659702E-2</v>
      </c>
      <c r="CV162" s="518"/>
      <c r="CW162" s="427">
        <v>0</v>
      </c>
      <c r="CX162" s="427"/>
      <c r="CY162" s="427">
        <f t="shared" si="333"/>
        <v>0</v>
      </c>
      <c r="CZ162" s="427">
        <f t="shared" si="334"/>
        <v>0</v>
      </c>
      <c r="DA162" s="607">
        <f t="shared" si="349"/>
        <v>0</v>
      </c>
      <c r="DB162" s="607">
        <f t="shared" si="335"/>
        <v>115</v>
      </c>
      <c r="DC162" s="607">
        <f t="shared" si="284"/>
        <v>1.4765112355700236E-3</v>
      </c>
      <c r="DD162" s="609"/>
      <c r="DE162" s="471">
        <v>13</v>
      </c>
      <c r="DF162" s="473"/>
      <c r="DG162" s="473">
        <f t="shared" si="285"/>
        <v>13</v>
      </c>
      <c r="DH162" s="473">
        <f t="shared" si="266"/>
        <v>0</v>
      </c>
      <c r="DI162" s="227">
        <f t="shared" si="336"/>
        <v>0</v>
      </c>
      <c r="DJ162" s="473">
        <f t="shared" si="337"/>
        <v>110.2</v>
      </c>
      <c r="DK162" s="227">
        <f t="shared" si="338"/>
        <v>1.4148829405201443E-3</v>
      </c>
      <c r="DL162" s="510"/>
      <c r="DM162" s="63">
        <v>350</v>
      </c>
      <c r="DN162" s="64"/>
      <c r="DO162" s="66">
        <f t="shared" si="339"/>
        <v>290</v>
      </c>
      <c r="DP162" s="66">
        <f t="shared" si="267"/>
        <v>60</v>
      </c>
      <c r="DQ162" s="412">
        <f t="shared" si="340"/>
        <v>0.13986568232307575</v>
      </c>
      <c r="DR162" s="66">
        <f t="shared" si="341"/>
        <v>17710</v>
      </c>
      <c r="DS162" s="412">
        <f t="shared" si="342"/>
        <v>0.22738273027778363</v>
      </c>
      <c r="DT162" s="506"/>
      <c r="DU162" s="596">
        <v>0</v>
      </c>
      <c r="DV162" s="596"/>
      <c r="DW162" s="596">
        <f t="shared" si="286"/>
        <v>0</v>
      </c>
      <c r="DX162" s="596">
        <f t="shared" si="268"/>
        <v>0</v>
      </c>
      <c r="DY162" s="592">
        <f t="shared" si="287"/>
        <v>0</v>
      </c>
      <c r="DZ162" s="596">
        <f t="shared" si="343"/>
        <v>2800</v>
      </c>
      <c r="EA162" s="592">
        <f t="shared" si="288"/>
        <v>3.594983877909623E-2</v>
      </c>
      <c r="EB162" s="594"/>
      <c r="EC162" s="448">
        <v>50</v>
      </c>
      <c r="ED162" s="449"/>
      <c r="EE162" s="449">
        <f t="shared" si="289"/>
        <v>50</v>
      </c>
      <c r="EF162" s="449">
        <f t="shared" si="269"/>
        <v>0</v>
      </c>
      <c r="EG162" s="450">
        <f t="shared" si="347"/>
        <v>0</v>
      </c>
      <c r="EH162" s="449">
        <f t="shared" si="344"/>
        <v>1015</v>
      </c>
      <c r="EI162" s="450">
        <f t="shared" si="348"/>
        <v>1.3031816557422382E-2</v>
      </c>
      <c r="EJ162" s="520"/>
      <c r="EK162" s="426">
        <v>3063</v>
      </c>
      <c r="EL162" s="427"/>
      <c r="EM162" s="427">
        <f t="shared" si="290"/>
        <v>2606</v>
      </c>
      <c r="EN162" s="427">
        <f t="shared" si="270"/>
        <v>457</v>
      </c>
      <c r="EO162" s="427">
        <f t="shared" si="291"/>
        <v>72516</v>
      </c>
      <c r="EP162" s="456">
        <v>0</v>
      </c>
      <c r="EQ162" s="457"/>
      <c r="ER162" s="457">
        <f t="shared" si="292"/>
        <v>0</v>
      </c>
      <c r="ES162" s="457">
        <f t="shared" si="271"/>
        <v>0</v>
      </c>
      <c r="ET162" s="457">
        <f t="shared" si="293"/>
        <v>1808</v>
      </c>
      <c r="EU162" s="409">
        <v>11</v>
      </c>
      <c r="EV162" s="43"/>
      <c r="EW162" s="43">
        <f t="shared" si="294"/>
        <v>11</v>
      </c>
      <c r="EX162" s="43">
        <f t="shared" si="272"/>
        <v>0</v>
      </c>
      <c r="EY162" s="43">
        <f t="shared" si="295"/>
        <v>829</v>
      </c>
      <c r="EZ162" s="436">
        <v>0</v>
      </c>
      <c r="FA162" s="437"/>
      <c r="FB162" s="437">
        <f t="shared" si="296"/>
        <v>0</v>
      </c>
      <c r="FC162" s="437">
        <f t="shared" si="273"/>
        <v>0</v>
      </c>
      <c r="FD162" s="437">
        <f t="shared" si="297"/>
        <v>890</v>
      </c>
      <c r="FE162" s="442">
        <v>16</v>
      </c>
      <c r="FF162" s="443">
        <v>200</v>
      </c>
      <c r="FG162" s="443">
        <f t="shared" si="298"/>
        <v>169</v>
      </c>
      <c r="FH162" s="443">
        <f t="shared" si="274"/>
        <v>47</v>
      </c>
      <c r="FI162" s="443">
        <f t="shared" si="299"/>
        <v>1031</v>
      </c>
      <c r="FJ162" s="392">
        <v>770</v>
      </c>
      <c r="FK162" s="298"/>
      <c r="FL162" s="298">
        <f t="shared" si="300"/>
        <v>705</v>
      </c>
      <c r="FM162" s="298">
        <f t="shared" si="275"/>
        <v>65</v>
      </c>
      <c r="FN162" s="498">
        <f t="shared" si="301"/>
        <v>3095</v>
      </c>
      <c r="HC162" s="402">
        <v>2400</v>
      </c>
      <c r="HD162" s="52"/>
      <c r="HE162" s="52">
        <f t="shared" si="302"/>
        <v>2400</v>
      </c>
      <c r="HF162" s="52">
        <f t="shared" si="276"/>
        <v>0</v>
      </c>
      <c r="HG162" s="51"/>
      <c r="HH162" s="52">
        <f t="shared" si="345"/>
        <v>400</v>
      </c>
      <c r="HI162" s="51"/>
      <c r="HJ162" s="1047"/>
    </row>
    <row r="163" spans="1:218">
      <c r="A163" s="807">
        <v>44826</v>
      </c>
      <c r="B163" s="390">
        <v>0</v>
      </c>
      <c r="C163" s="18">
        <f t="shared" si="256"/>
        <v>77886302</v>
      </c>
      <c r="D163" s="376">
        <v>0</v>
      </c>
      <c r="E163" s="417">
        <f t="shared" si="360"/>
        <v>968705.2799999998</v>
      </c>
      <c r="F163" s="397">
        <v>39492</v>
      </c>
      <c r="G163" s="37"/>
      <c r="H163" s="37">
        <f t="shared" si="277"/>
        <v>39492</v>
      </c>
      <c r="I163" s="37">
        <f t="shared" si="257"/>
        <v>0</v>
      </c>
      <c r="J163" s="37" t="e">
        <f t="shared" si="258"/>
        <v>#DIV/0!</v>
      </c>
      <c r="K163" s="37">
        <f t="shared" si="303"/>
        <v>436915</v>
      </c>
      <c r="L163" s="37">
        <f t="shared" si="259"/>
        <v>451.02985296002527</v>
      </c>
      <c r="M163" s="648"/>
      <c r="N163" s="422">
        <v>200</v>
      </c>
      <c r="O163" s="423"/>
      <c r="P163" s="423">
        <f t="shared" si="304"/>
        <v>200</v>
      </c>
      <c r="Q163" s="423">
        <f t="shared" si="305"/>
        <v>0</v>
      </c>
      <c r="R163" s="423">
        <f t="shared" si="306"/>
        <v>12250</v>
      </c>
      <c r="S163" s="68">
        <v>0</v>
      </c>
      <c r="T163" s="67">
        <v>24</v>
      </c>
      <c r="U163" s="68">
        <f t="shared" si="307"/>
        <v>0</v>
      </c>
      <c r="V163" s="68" t="e">
        <f t="shared" si="260"/>
        <v>#DIV/0!</v>
      </c>
      <c r="W163" s="423">
        <f t="shared" si="308"/>
        <v>11944.584000000001</v>
      </c>
      <c r="X163" s="68">
        <f t="shared" si="261"/>
        <v>12.330462367253746</v>
      </c>
      <c r="Y163" s="500"/>
      <c r="Z163" s="424">
        <v>50</v>
      </c>
      <c r="AA163" s="425"/>
      <c r="AB163" s="425">
        <f t="shared" si="309"/>
        <v>50</v>
      </c>
      <c r="AC163" s="425">
        <f t="shared" si="310"/>
        <v>0</v>
      </c>
      <c r="AD163" s="425">
        <f t="shared" si="311"/>
        <v>1975</v>
      </c>
      <c r="AE163" s="72">
        <v>0</v>
      </c>
      <c r="AF163" s="71">
        <v>12</v>
      </c>
      <c r="AG163" s="72">
        <f t="shared" si="312"/>
        <v>0</v>
      </c>
      <c r="AH163" s="72" t="e">
        <f t="shared" si="278"/>
        <v>#DIV/0!</v>
      </c>
      <c r="AI163" s="425">
        <f t="shared" si="313"/>
        <v>1827.132000000001</v>
      </c>
      <c r="AJ163" s="72">
        <f t="shared" si="346"/>
        <v>1.8861588118937489</v>
      </c>
      <c r="AK163" s="502"/>
      <c r="AL163" s="491">
        <v>23607</v>
      </c>
      <c r="AM163" s="491"/>
      <c r="AN163" s="492">
        <f t="shared" si="353"/>
        <v>23607</v>
      </c>
      <c r="AO163" s="492">
        <f t="shared" si="354"/>
        <v>0</v>
      </c>
      <c r="AP163" s="492">
        <f t="shared" si="355"/>
        <v>59966</v>
      </c>
      <c r="AQ163" s="493">
        <f t="shared" si="279"/>
        <v>61.903244710300342</v>
      </c>
      <c r="AR163" s="504"/>
      <c r="AS163" s="413">
        <v>54387</v>
      </c>
      <c r="AT163" s="64"/>
      <c r="AU163" s="66">
        <f t="shared" si="314"/>
        <v>54387</v>
      </c>
      <c r="AV163" s="66">
        <f t="shared" si="262"/>
        <v>0</v>
      </c>
      <c r="AW163" s="412" t="e">
        <f t="shared" si="315"/>
        <v>#DIV/0!</v>
      </c>
      <c r="AX163" s="66">
        <f t="shared" si="316"/>
        <v>243228</v>
      </c>
      <c r="AY163" s="412">
        <f t="shared" si="317"/>
        <v>3.122859780915006</v>
      </c>
      <c r="AZ163" s="506"/>
      <c r="BA163" s="419">
        <v>1980</v>
      </c>
      <c r="BB163" s="419"/>
      <c r="BC163" s="407"/>
      <c r="BD163" s="419">
        <f t="shared" si="280"/>
        <v>1980</v>
      </c>
      <c r="BE163" s="419">
        <f t="shared" si="281"/>
        <v>0</v>
      </c>
      <c r="BF163" s="407" t="e">
        <f t="shared" si="318"/>
        <v>#DIV/0!</v>
      </c>
      <c r="BG163" s="419">
        <f t="shared" si="356"/>
        <v>173480</v>
      </c>
      <c r="BH163" s="407">
        <f t="shared" si="319"/>
        <v>2.2273492969277191</v>
      </c>
      <c r="BI163" s="407">
        <f t="shared" si="320"/>
        <v>0.27273664860339419</v>
      </c>
      <c r="BJ163" s="508"/>
      <c r="BK163" s="510"/>
      <c r="BL163" s="49">
        <v>2124</v>
      </c>
      <c r="BM163" s="50"/>
      <c r="BN163" s="52">
        <f t="shared" si="321"/>
        <v>2124</v>
      </c>
      <c r="BO163" s="52">
        <f t="shared" si="263"/>
        <v>0</v>
      </c>
      <c r="BP163" s="406" t="e">
        <f t="shared" si="322"/>
        <v>#DIV/0!</v>
      </c>
      <c r="BQ163" s="52">
        <f t="shared" si="323"/>
        <v>34676</v>
      </c>
      <c r="BR163" s="406">
        <f t="shared" si="324"/>
        <v>0.44521307482283601</v>
      </c>
      <c r="BS163" s="512"/>
      <c r="BT163" s="409">
        <v>2547</v>
      </c>
      <c r="BU163" s="43"/>
      <c r="BV163" s="43">
        <f t="shared" si="350"/>
        <v>2547</v>
      </c>
      <c r="BW163" s="43">
        <f t="shared" si="351"/>
        <v>0</v>
      </c>
      <c r="BX163" s="42" t="e">
        <f t="shared" si="325"/>
        <v>#DIV/0!</v>
      </c>
      <c r="BY163" s="43">
        <f t="shared" si="352"/>
        <v>16890</v>
      </c>
      <c r="BZ163" s="42">
        <f t="shared" si="326"/>
        <v>0.21685456320676261</v>
      </c>
      <c r="CA163" s="514"/>
      <c r="CB163" s="392">
        <v>1984</v>
      </c>
      <c r="CC163" s="298"/>
      <c r="CD163" s="298">
        <f t="shared" si="282"/>
        <v>1984</v>
      </c>
      <c r="CE163" s="298">
        <f t="shared" si="264"/>
        <v>0</v>
      </c>
      <c r="CF163" s="297" t="e">
        <f t="shared" si="327"/>
        <v>#DIV/0!</v>
      </c>
      <c r="CG163" s="298">
        <f t="shared" si="328"/>
        <v>59366</v>
      </c>
      <c r="CH163" s="297">
        <f t="shared" si="329"/>
        <v>0.76221361748565231</v>
      </c>
      <c r="CI163" s="516"/>
      <c r="CJ163" s="659">
        <v>1900</v>
      </c>
      <c r="CK163" s="651"/>
      <c r="CL163" s="657">
        <f t="shared" si="357"/>
        <v>1900</v>
      </c>
      <c r="CM163" s="657">
        <f t="shared" si="358"/>
        <v>0</v>
      </c>
      <c r="CN163" s="659">
        <f t="shared" si="359"/>
        <v>21850</v>
      </c>
      <c r="CO163" s="464">
        <v>0</v>
      </c>
      <c r="CP163" s="465">
        <v>20</v>
      </c>
      <c r="CQ163" s="465">
        <f t="shared" si="283"/>
        <v>0</v>
      </c>
      <c r="CR163" s="465">
        <f t="shared" si="265"/>
        <v>20</v>
      </c>
      <c r="CS163" s="486" t="e">
        <f t="shared" si="330"/>
        <v>#DIV/0!</v>
      </c>
      <c r="CT163" s="465">
        <f t="shared" si="331"/>
        <v>1539</v>
      </c>
      <c r="CU163" s="486">
        <f t="shared" si="332"/>
        <v>1.9759572100367533E-2</v>
      </c>
      <c r="CV163" s="518"/>
      <c r="CW163" s="427">
        <v>0</v>
      </c>
      <c r="CX163" s="427"/>
      <c r="CY163" s="427">
        <f t="shared" si="333"/>
        <v>0</v>
      </c>
      <c r="CZ163" s="427">
        <f t="shared" si="334"/>
        <v>0</v>
      </c>
      <c r="DA163" s="607" t="e">
        <f t="shared" si="349"/>
        <v>#DIV/0!</v>
      </c>
      <c r="DB163" s="607">
        <f t="shared" si="335"/>
        <v>115</v>
      </c>
      <c r="DC163" s="607">
        <f t="shared" si="284"/>
        <v>1.4765112355700236E-3</v>
      </c>
      <c r="DD163" s="609"/>
      <c r="DE163" s="471">
        <v>13</v>
      </c>
      <c r="DF163" s="473"/>
      <c r="DG163" s="473">
        <f t="shared" si="285"/>
        <v>13</v>
      </c>
      <c r="DH163" s="473">
        <f t="shared" si="266"/>
        <v>0</v>
      </c>
      <c r="DI163" s="227" t="e">
        <f t="shared" si="336"/>
        <v>#DIV/0!</v>
      </c>
      <c r="DJ163" s="473">
        <f t="shared" si="337"/>
        <v>110.2</v>
      </c>
      <c r="DK163" s="227">
        <f t="shared" si="338"/>
        <v>1.4148829405201443E-3</v>
      </c>
      <c r="DL163" s="510"/>
      <c r="DM163" s="63">
        <v>290</v>
      </c>
      <c r="DN163" s="64"/>
      <c r="DO163" s="66">
        <f t="shared" si="339"/>
        <v>290</v>
      </c>
      <c r="DP163" s="66">
        <f t="shared" si="267"/>
        <v>0</v>
      </c>
      <c r="DQ163" s="412" t="e">
        <f t="shared" si="340"/>
        <v>#DIV/0!</v>
      </c>
      <c r="DR163" s="66">
        <f t="shared" si="341"/>
        <v>17710</v>
      </c>
      <c r="DS163" s="412">
        <f t="shared" si="342"/>
        <v>0.22738273027778363</v>
      </c>
      <c r="DT163" s="506"/>
      <c r="DU163" s="596">
        <v>0</v>
      </c>
      <c r="DV163" s="596"/>
      <c r="DW163" s="596">
        <f t="shared" si="286"/>
        <v>0</v>
      </c>
      <c r="DX163" s="596">
        <f t="shared" si="268"/>
        <v>0</v>
      </c>
      <c r="DY163" s="592" t="e">
        <f t="shared" si="287"/>
        <v>#DIV/0!</v>
      </c>
      <c r="DZ163" s="596">
        <f t="shared" si="343"/>
        <v>2800</v>
      </c>
      <c r="EA163" s="592">
        <f t="shared" si="288"/>
        <v>3.594983877909623E-2</v>
      </c>
      <c r="EB163" s="594"/>
      <c r="EC163" s="448">
        <v>50</v>
      </c>
      <c r="ED163" s="449"/>
      <c r="EE163" s="449">
        <f t="shared" si="289"/>
        <v>50</v>
      </c>
      <c r="EF163" s="449">
        <f t="shared" si="269"/>
        <v>0</v>
      </c>
      <c r="EG163" s="450" t="e">
        <f t="shared" si="347"/>
        <v>#DIV/0!</v>
      </c>
      <c r="EH163" s="449">
        <f t="shared" si="344"/>
        <v>1015</v>
      </c>
      <c r="EI163" s="450">
        <f t="shared" si="348"/>
        <v>1.3031816557422382E-2</v>
      </c>
      <c r="EJ163" s="520"/>
      <c r="EK163" s="426">
        <v>2606</v>
      </c>
      <c r="EL163" s="427"/>
      <c r="EM163" s="427">
        <f t="shared" si="290"/>
        <v>2463</v>
      </c>
      <c r="EN163" s="427">
        <f t="shared" si="270"/>
        <v>143</v>
      </c>
      <c r="EO163" s="427">
        <f t="shared" si="291"/>
        <v>72659</v>
      </c>
      <c r="EP163" s="456">
        <v>0</v>
      </c>
      <c r="EQ163" s="457"/>
      <c r="ER163" s="457">
        <f t="shared" si="292"/>
        <v>0</v>
      </c>
      <c r="ES163" s="457">
        <f t="shared" si="271"/>
        <v>0</v>
      </c>
      <c r="ET163" s="457">
        <f t="shared" si="293"/>
        <v>1808</v>
      </c>
      <c r="EU163" s="409">
        <v>11</v>
      </c>
      <c r="EV163" s="43"/>
      <c r="EW163" s="43">
        <f t="shared" si="294"/>
        <v>11</v>
      </c>
      <c r="EX163" s="43">
        <f t="shared" si="272"/>
        <v>0</v>
      </c>
      <c r="EY163" s="43">
        <f t="shared" si="295"/>
        <v>829</v>
      </c>
      <c r="EZ163" s="436">
        <v>0</v>
      </c>
      <c r="FA163" s="437"/>
      <c r="FB163" s="437">
        <f t="shared" si="296"/>
        <v>0</v>
      </c>
      <c r="FC163" s="437">
        <f t="shared" si="273"/>
        <v>0</v>
      </c>
      <c r="FD163" s="437">
        <f t="shared" si="297"/>
        <v>890</v>
      </c>
      <c r="FE163" s="442">
        <v>169</v>
      </c>
      <c r="FF163" s="443"/>
      <c r="FG163" s="443">
        <f t="shared" si="298"/>
        <v>169</v>
      </c>
      <c r="FH163" s="443">
        <f t="shared" si="274"/>
        <v>0</v>
      </c>
      <c r="FI163" s="443">
        <f t="shared" si="299"/>
        <v>1031</v>
      </c>
      <c r="FJ163" s="392">
        <v>705</v>
      </c>
      <c r="FK163" s="298"/>
      <c r="FL163" s="298">
        <f t="shared" si="300"/>
        <v>665</v>
      </c>
      <c r="FM163" s="298">
        <f t="shared" si="275"/>
        <v>40</v>
      </c>
      <c r="FN163" s="498">
        <f t="shared" si="301"/>
        <v>3135</v>
      </c>
      <c r="HC163" s="402">
        <v>2400</v>
      </c>
      <c r="HD163" s="52"/>
      <c r="HE163" s="52">
        <f t="shared" si="302"/>
        <v>2400</v>
      </c>
      <c r="HF163" s="52">
        <f t="shared" si="276"/>
        <v>0</v>
      </c>
      <c r="HG163" s="51"/>
      <c r="HH163" s="52">
        <f t="shared" si="345"/>
        <v>400</v>
      </c>
      <c r="HI163" s="51"/>
      <c r="HJ163" s="1047"/>
    </row>
    <row r="164" spans="1:218">
      <c r="A164" s="807">
        <v>44827</v>
      </c>
      <c r="B164" s="390">
        <v>0</v>
      </c>
      <c r="C164" s="18">
        <f t="shared" si="256"/>
        <v>77886302</v>
      </c>
      <c r="D164" s="376">
        <v>62.28</v>
      </c>
      <c r="E164" s="417">
        <f t="shared" si="360"/>
        <v>968767.55999999982</v>
      </c>
      <c r="F164" s="397">
        <v>39492</v>
      </c>
      <c r="G164" s="37"/>
      <c r="H164" s="37">
        <f t="shared" si="277"/>
        <v>39492</v>
      </c>
      <c r="I164" s="37">
        <f t="shared" si="257"/>
        <v>0</v>
      </c>
      <c r="J164" s="37">
        <f t="shared" si="258"/>
        <v>0</v>
      </c>
      <c r="K164" s="37">
        <f t="shared" si="303"/>
        <v>436915</v>
      </c>
      <c r="L164" s="37">
        <f t="shared" si="259"/>
        <v>451.00085721284893</v>
      </c>
      <c r="M164" s="648"/>
      <c r="N164" s="422">
        <v>200</v>
      </c>
      <c r="O164" s="423"/>
      <c r="P164" s="423">
        <f t="shared" si="304"/>
        <v>150</v>
      </c>
      <c r="Q164" s="423">
        <f t="shared" si="305"/>
        <v>50</v>
      </c>
      <c r="R164" s="423">
        <f t="shared" si="306"/>
        <v>12300</v>
      </c>
      <c r="S164" s="68">
        <v>0</v>
      </c>
      <c r="T164" s="67">
        <v>24</v>
      </c>
      <c r="U164" s="68">
        <f t="shared" si="307"/>
        <v>0</v>
      </c>
      <c r="V164" s="68">
        <f t="shared" si="260"/>
        <v>0</v>
      </c>
      <c r="W164" s="423">
        <f t="shared" si="308"/>
        <v>11944.584000000001</v>
      </c>
      <c r="X164" s="68">
        <f t="shared" si="261"/>
        <v>12.329669668129682</v>
      </c>
      <c r="Y164" s="500"/>
      <c r="Z164" s="424">
        <v>50</v>
      </c>
      <c r="AA164" s="425"/>
      <c r="AB164" s="425">
        <f t="shared" si="309"/>
        <v>50</v>
      </c>
      <c r="AC164" s="425">
        <f t="shared" si="310"/>
        <v>0</v>
      </c>
      <c r="AD164" s="425">
        <f t="shared" si="311"/>
        <v>1975</v>
      </c>
      <c r="AE164" s="72">
        <v>0.1</v>
      </c>
      <c r="AF164" s="71">
        <v>12</v>
      </c>
      <c r="AG164" s="72">
        <f t="shared" si="312"/>
        <v>0.60000000000000009</v>
      </c>
      <c r="AH164" s="72">
        <f t="shared" si="278"/>
        <v>9.6339113680154167</v>
      </c>
      <c r="AI164" s="425">
        <f t="shared" si="313"/>
        <v>1827.7320000000009</v>
      </c>
      <c r="AJ164" s="72">
        <f t="shared" si="346"/>
        <v>1.8866568983792162</v>
      </c>
      <c r="AK164" s="502"/>
      <c r="AL164" s="491">
        <v>23607</v>
      </c>
      <c r="AM164" s="491"/>
      <c r="AN164" s="492">
        <f t="shared" si="353"/>
        <v>23607</v>
      </c>
      <c r="AO164" s="492">
        <f t="shared" si="354"/>
        <v>0</v>
      </c>
      <c r="AP164" s="492">
        <f t="shared" si="355"/>
        <v>59966</v>
      </c>
      <c r="AQ164" s="493">
        <f t="shared" si="279"/>
        <v>61.899265082740811</v>
      </c>
      <c r="AR164" s="504"/>
      <c r="AS164" s="413">
        <v>54387</v>
      </c>
      <c r="AT164" s="64"/>
      <c r="AU164" s="66">
        <f t="shared" si="314"/>
        <v>54387</v>
      </c>
      <c r="AV164" s="66">
        <f t="shared" si="262"/>
        <v>0</v>
      </c>
      <c r="AW164" s="412" t="e">
        <f t="shared" si="315"/>
        <v>#DIV/0!</v>
      </c>
      <c r="AX164" s="66">
        <f t="shared" si="316"/>
        <v>243228</v>
      </c>
      <c r="AY164" s="412">
        <f t="shared" si="317"/>
        <v>3.122859780915006</v>
      </c>
      <c r="AZ164" s="506"/>
      <c r="BA164" s="419">
        <v>1980</v>
      </c>
      <c r="BB164" s="419"/>
      <c r="BC164" s="407"/>
      <c r="BD164" s="419">
        <f t="shared" si="280"/>
        <v>1980</v>
      </c>
      <c r="BE164" s="419">
        <f t="shared" si="281"/>
        <v>0</v>
      </c>
      <c r="BF164" s="407" t="e">
        <f t="shared" si="318"/>
        <v>#DIV/0!</v>
      </c>
      <c r="BG164" s="419">
        <f t="shared" si="356"/>
        <v>173480</v>
      </c>
      <c r="BH164" s="407">
        <f t="shared" si="319"/>
        <v>2.2273492969277191</v>
      </c>
      <c r="BI164" s="407">
        <f t="shared" si="320"/>
        <v>0.27273664860339419</v>
      </c>
      <c r="BJ164" s="508"/>
      <c r="BK164" s="510"/>
      <c r="BL164" s="49">
        <v>2124</v>
      </c>
      <c r="BM164" s="50"/>
      <c r="BN164" s="52">
        <f t="shared" si="321"/>
        <v>2124</v>
      </c>
      <c r="BO164" s="52">
        <f t="shared" si="263"/>
        <v>0</v>
      </c>
      <c r="BP164" s="406" t="e">
        <f t="shared" si="322"/>
        <v>#DIV/0!</v>
      </c>
      <c r="BQ164" s="52">
        <f t="shared" si="323"/>
        <v>34676</v>
      </c>
      <c r="BR164" s="406">
        <f t="shared" si="324"/>
        <v>0.44521307482283601</v>
      </c>
      <c r="BS164" s="512"/>
      <c r="BT164" s="409">
        <v>2547</v>
      </c>
      <c r="BU164" s="43"/>
      <c r="BV164" s="43">
        <f t="shared" si="350"/>
        <v>2547</v>
      </c>
      <c r="BW164" s="43">
        <f t="shared" si="351"/>
        <v>0</v>
      </c>
      <c r="BX164" s="42" t="e">
        <f t="shared" si="325"/>
        <v>#DIV/0!</v>
      </c>
      <c r="BY164" s="43">
        <f t="shared" si="352"/>
        <v>16890</v>
      </c>
      <c r="BZ164" s="42">
        <f t="shared" si="326"/>
        <v>0.21685456320676261</v>
      </c>
      <c r="CA164" s="514"/>
      <c r="CB164" s="392">
        <v>1984</v>
      </c>
      <c r="CC164" s="298"/>
      <c r="CD164" s="298">
        <f t="shared" si="282"/>
        <v>1984</v>
      </c>
      <c r="CE164" s="298">
        <f t="shared" si="264"/>
        <v>0</v>
      </c>
      <c r="CF164" s="297" t="e">
        <f t="shared" si="327"/>
        <v>#DIV/0!</v>
      </c>
      <c r="CG164" s="298">
        <f t="shared" si="328"/>
        <v>59366</v>
      </c>
      <c r="CH164" s="297">
        <f t="shared" si="329"/>
        <v>0.76221361748565231</v>
      </c>
      <c r="CI164" s="516"/>
      <c r="CJ164" s="659">
        <v>1900</v>
      </c>
      <c r="CK164" s="651"/>
      <c r="CL164" s="657">
        <f t="shared" si="357"/>
        <v>1900</v>
      </c>
      <c r="CM164" s="657">
        <f t="shared" si="358"/>
        <v>0</v>
      </c>
      <c r="CN164" s="659">
        <f t="shared" si="359"/>
        <v>21850</v>
      </c>
      <c r="CO164" s="464">
        <v>0</v>
      </c>
      <c r="CP164" s="465"/>
      <c r="CQ164" s="465">
        <f t="shared" si="283"/>
        <v>0</v>
      </c>
      <c r="CR164" s="465">
        <f t="shared" si="265"/>
        <v>0</v>
      </c>
      <c r="CS164" s="486" t="e">
        <f t="shared" si="330"/>
        <v>#DIV/0!</v>
      </c>
      <c r="CT164" s="465">
        <f t="shared" si="331"/>
        <v>1539</v>
      </c>
      <c r="CU164" s="486">
        <f t="shared" si="332"/>
        <v>1.9759572100367533E-2</v>
      </c>
      <c r="CV164" s="518"/>
      <c r="CW164" s="427">
        <v>0</v>
      </c>
      <c r="CX164" s="427"/>
      <c r="CY164" s="427">
        <f t="shared" si="333"/>
        <v>0</v>
      </c>
      <c r="CZ164" s="427">
        <f t="shared" si="334"/>
        <v>0</v>
      </c>
      <c r="DA164" s="607" t="e">
        <f t="shared" si="349"/>
        <v>#DIV/0!</v>
      </c>
      <c r="DB164" s="607">
        <f t="shared" si="335"/>
        <v>115</v>
      </c>
      <c r="DC164" s="607">
        <f t="shared" si="284"/>
        <v>1.4765112355700236E-3</v>
      </c>
      <c r="DD164" s="609"/>
      <c r="DE164" s="471">
        <v>13</v>
      </c>
      <c r="DF164" s="473"/>
      <c r="DG164" s="473">
        <f t="shared" si="285"/>
        <v>13</v>
      </c>
      <c r="DH164" s="473">
        <f t="shared" si="266"/>
        <v>0</v>
      </c>
      <c r="DI164" s="227" t="e">
        <f t="shared" si="336"/>
        <v>#DIV/0!</v>
      </c>
      <c r="DJ164" s="473">
        <f t="shared" si="337"/>
        <v>110.2</v>
      </c>
      <c r="DK164" s="227">
        <f t="shared" si="338"/>
        <v>1.4148829405201443E-3</v>
      </c>
      <c r="DL164" s="510"/>
      <c r="DM164" s="63">
        <v>290</v>
      </c>
      <c r="DN164" s="64"/>
      <c r="DO164" s="66">
        <f t="shared" si="339"/>
        <v>290</v>
      </c>
      <c r="DP164" s="66">
        <f t="shared" si="267"/>
        <v>0</v>
      </c>
      <c r="DQ164" s="412" t="e">
        <f t="shared" si="340"/>
        <v>#DIV/0!</v>
      </c>
      <c r="DR164" s="66">
        <f t="shared" si="341"/>
        <v>17710</v>
      </c>
      <c r="DS164" s="412">
        <f t="shared" si="342"/>
        <v>0.22738273027778363</v>
      </c>
      <c r="DT164" s="506"/>
      <c r="DU164" s="596">
        <v>0</v>
      </c>
      <c r="DV164" s="596"/>
      <c r="DW164" s="596">
        <f t="shared" si="286"/>
        <v>0</v>
      </c>
      <c r="DX164" s="596">
        <f t="shared" si="268"/>
        <v>0</v>
      </c>
      <c r="DY164" s="592" t="e">
        <f t="shared" si="287"/>
        <v>#DIV/0!</v>
      </c>
      <c r="DZ164" s="596">
        <f t="shared" si="343"/>
        <v>2800</v>
      </c>
      <c r="EA164" s="592">
        <f t="shared" si="288"/>
        <v>3.594983877909623E-2</v>
      </c>
      <c r="EB164" s="594"/>
      <c r="EC164" s="448">
        <v>50</v>
      </c>
      <c r="ED164" s="449"/>
      <c r="EE164" s="449">
        <f t="shared" si="289"/>
        <v>50</v>
      </c>
      <c r="EF164" s="449">
        <f t="shared" si="269"/>
        <v>0</v>
      </c>
      <c r="EG164" s="450" t="e">
        <f t="shared" si="347"/>
        <v>#DIV/0!</v>
      </c>
      <c r="EH164" s="449">
        <f t="shared" si="344"/>
        <v>1015</v>
      </c>
      <c r="EI164" s="450">
        <f t="shared" si="348"/>
        <v>1.3031816557422382E-2</v>
      </c>
      <c r="EJ164" s="520"/>
      <c r="EK164" s="426">
        <v>2463</v>
      </c>
      <c r="EL164" s="427"/>
      <c r="EM164" s="427">
        <f t="shared" si="290"/>
        <v>2463</v>
      </c>
      <c r="EN164" s="427">
        <f t="shared" si="270"/>
        <v>0</v>
      </c>
      <c r="EO164" s="427">
        <f t="shared" si="291"/>
        <v>72659</v>
      </c>
      <c r="EP164" s="456">
        <v>0</v>
      </c>
      <c r="EQ164" s="457"/>
      <c r="ER164" s="457">
        <f t="shared" si="292"/>
        <v>0</v>
      </c>
      <c r="ES164" s="457">
        <f t="shared" si="271"/>
        <v>0</v>
      </c>
      <c r="ET164" s="457">
        <f t="shared" si="293"/>
        <v>1808</v>
      </c>
      <c r="EU164" s="409">
        <v>11</v>
      </c>
      <c r="EV164" s="43"/>
      <c r="EW164" s="43">
        <f t="shared" si="294"/>
        <v>11</v>
      </c>
      <c r="EX164" s="43">
        <f t="shared" si="272"/>
        <v>0</v>
      </c>
      <c r="EY164" s="43">
        <f t="shared" si="295"/>
        <v>829</v>
      </c>
      <c r="EZ164" s="436">
        <v>0</v>
      </c>
      <c r="FA164" s="437"/>
      <c r="FB164" s="437">
        <f t="shared" si="296"/>
        <v>0</v>
      </c>
      <c r="FC164" s="437">
        <f t="shared" si="273"/>
        <v>0</v>
      </c>
      <c r="FD164" s="437">
        <f t="shared" si="297"/>
        <v>890</v>
      </c>
      <c r="FE164" s="442">
        <v>169</v>
      </c>
      <c r="FF164" s="443"/>
      <c r="FG164" s="443">
        <f t="shared" si="298"/>
        <v>169</v>
      </c>
      <c r="FH164" s="443">
        <f t="shared" si="274"/>
        <v>0</v>
      </c>
      <c r="FI164" s="443">
        <f t="shared" si="299"/>
        <v>1031</v>
      </c>
      <c r="FJ164" s="392">
        <v>665</v>
      </c>
      <c r="FK164" s="298"/>
      <c r="FL164" s="298">
        <f t="shared" si="300"/>
        <v>663</v>
      </c>
      <c r="FM164" s="298">
        <f t="shared" si="275"/>
        <v>2</v>
      </c>
      <c r="FN164" s="498">
        <f t="shared" si="301"/>
        <v>3137</v>
      </c>
      <c r="HC164" s="402">
        <v>2400</v>
      </c>
      <c r="HD164" s="52"/>
      <c r="HE164" s="52">
        <f t="shared" si="302"/>
        <v>2400</v>
      </c>
      <c r="HF164" s="52">
        <f t="shared" si="276"/>
        <v>0</v>
      </c>
      <c r="HG164" s="51"/>
      <c r="HH164" s="52">
        <f t="shared" si="345"/>
        <v>400</v>
      </c>
      <c r="HI164" s="51"/>
      <c r="HJ164" s="1047"/>
    </row>
    <row r="165" spans="1:218">
      <c r="A165" s="807">
        <v>44828</v>
      </c>
      <c r="B165" s="390">
        <v>230684</v>
      </c>
      <c r="C165" s="18">
        <f t="shared" si="256"/>
        <v>78116986</v>
      </c>
      <c r="D165" s="376">
        <v>6722.78</v>
      </c>
      <c r="E165" s="417">
        <f t="shared" si="360"/>
        <v>975490.33999999985</v>
      </c>
      <c r="F165" s="397">
        <v>39492</v>
      </c>
      <c r="G165" s="37"/>
      <c r="H165" s="37">
        <f t="shared" si="277"/>
        <v>39492</v>
      </c>
      <c r="I165" s="37">
        <f t="shared" si="257"/>
        <v>0</v>
      </c>
      <c r="J165" s="37">
        <f t="shared" si="258"/>
        <v>0</v>
      </c>
      <c r="K165" s="37">
        <f t="shared" si="303"/>
        <v>436915</v>
      </c>
      <c r="L165" s="37">
        <f t="shared" si="259"/>
        <v>447.89269773804227</v>
      </c>
      <c r="M165" s="648"/>
      <c r="N165" s="422">
        <v>150</v>
      </c>
      <c r="O165" s="423">
        <v>400</v>
      </c>
      <c r="P165" s="423">
        <f t="shared" si="304"/>
        <v>475</v>
      </c>
      <c r="Q165" s="423">
        <f t="shared" si="305"/>
        <v>75</v>
      </c>
      <c r="R165" s="423">
        <f t="shared" si="306"/>
        <v>12375</v>
      </c>
      <c r="S165" s="68">
        <v>8.75</v>
      </c>
      <c r="T165" s="67">
        <v>24</v>
      </c>
      <c r="U165" s="68">
        <f t="shared" si="307"/>
        <v>105</v>
      </c>
      <c r="V165" s="68">
        <f t="shared" si="260"/>
        <v>15.618538759263281</v>
      </c>
      <c r="W165" s="423">
        <f t="shared" si="308"/>
        <v>12049.584000000001</v>
      </c>
      <c r="X165" s="68">
        <f t="shared" si="261"/>
        <v>12.352335544399139</v>
      </c>
      <c r="Y165" s="500"/>
      <c r="Z165" s="424">
        <v>50</v>
      </c>
      <c r="AA165" s="425"/>
      <c r="AB165" s="425">
        <f t="shared" si="309"/>
        <v>25</v>
      </c>
      <c r="AC165" s="425">
        <f t="shared" si="310"/>
        <v>25</v>
      </c>
      <c r="AD165" s="425">
        <f t="shared" si="311"/>
        <v>2000</v>
      </c>
      <c r="AE165" s="72">
        <v>2.48</v>
      </c>
      <c r="AF165" s="71">
        <v>12</v>
      </c>
      <c r="AG165" s="72">
        <f t="shared" si="312"/>
        <v>14.879999999999999</v>
      </c>
      <c r="AH165" s="72">
        <f t="shared" si="278"/>
        <v>2.2133700641698821</v>
      </c>
      <c r="AI165" s="425">
        <f t="shared" si="313"/>
        <v>1842.612000000001</v>
      </c>
      <c r="AJ165" s="72">
        <f t="shared" si="346"/>
        <v>1.8889085052344048</v>
      </c>
      <c r="AK165" s="502"/>
      <c r="AL165" s="491">
        <v>23607</v>
      </c>
      <c r="AM165" s="491"/>
      <c r="AN165" s="492">
        <f t="shared" si="353"/>
        <v>23607</v>
      </c>
      <c r="AO165" s="492">
        <f t="shared" si="354"/>
        <v>0</v>
      </c>
      <c r="AP165" s="492">
        <f t="shared" si="355"/>
        <v>59966</v>
      </c>
      <c r="AQ165" s="493">
        <f t="shared" si="279"/>
        <v>61.472674347549159</v>
      </c>
      <c r="AR165" s="504"/>
      <c r="AS165" s="413">
        <v>54387</v>
      </c>
      <c r="AT165" s="64"/>
      <c r="AU165" s="66">
        <f t="shared" si="314"/>
        <v>54387</v>
      </c>
      <c r="AV165" s="66">
        <f t="shared" si="262"/>
        <v>0</v>
      </c>
      <c r="AW165" s="412">
        <f t="shared" si="315"/>
        <v>0</v>
      </c>
      <c r="AX165" s="66">
        <f t="shared" si="316"/>
        <v>243228</v>
      </c>
      <c r="AY165" s="412">
        <f t="shared" si="317"/>
        <v>3.1136377944740468</v>
      </c>
      <c r="AZ165" s="506"/>
      <c r="BA165" s="419">
        <v>1980</v>
      </c>
      <c r="BB165" s="419">
        <f>27380+18840</f>
        <v>46220</v>
      </c>
      <c r="BC165" s="407"/>
      <c r="BD165" s="419">
        <f t="shared" si="280"/>
        <v>35200</v>
      </c>
      <c r="BE165" s="419">
        <f t="shared" si="281"/>
        <v>13000</v>
      </c>
      <c r="BF165" s="407">
        <f t="shared" si="318"/>
        <v>56.354146798217478</v>
      </c>
      <c r="BG165" s="419">
        <f t="shared" si="356"/>
        <v>186480</v>
      </c>
      <c r="BH165" s="407">
        <f t="shared" si="319"/>
        <v>2.3871888759251414</v>
      </c>
      <c r="BI165" s="407">
        <f t="shared" si="320"/>
        <v>0.29230884195001733</v>
      </c>
      <c r="BJ165" s="508"/>
      <c r="BK165" s="510"/>
      <c r="BL165" s="49">
        <v>2124</v>
      </c>
      <c r="BM165" s="50"/>
      <c r="BN165" s="52">
        <f t="shared" si="321"/>
        <v>2043</v>
      </c>
      <c r="BO165" s="52">
        <f t="shared" si="263"/>
        <v>81</v>
      </c>
      <c r="BP165" s="406">
        <f t="shared" si="322"/>
        <v>0.35112968389658583</v>
      </c>
      <c r="BQ165" s="52">
        <f t="shared" si="323"/>
        <v>34757</v>
      </c>
      <c r="BR165" s="406">
        <f t="shared" si="324"/>
        <v>0.44493524110108396</v>
      </c>
      <c r="BS165" s="512"/>
      <c r="BT165" s="409">
        <v>2547</v>
      </c>
      <c r="BU165" s="43"/>
      <c r="BV165" s="43">
        <f t="shared" si="350"/>
        <v>2452</v>
      </c>
      <c r="BW165" s="43">
        <f t="shared" si="351"/>
        <v>95</v>
      </c>
      <c r="BX165" s="42">
        <f t="shared" si="325"/>
        <v>0.41181876506389692</v>
      </c>
      <c r="BY165" s="43">
        <f t="shared" si="352"/>
        <v>16985</v>
      </c>
      <c r="BZ165" s="42">
        <f t="shared" si="326"/>
        <v>0.21743030382662229</v>
      </c>
      <c r="CA165" s="514"/>
      <c r="CB165" s="392">
        <v>1984</v>
      </c>
      <c r="CC165" s="298"/>
      <c r="CD165" s="298">
        <f t="shared" si="282"/>
        <v>1984</v>
      </c>
      <c r="CE165" s="298">
        <f t="shared" si="264"/>
        <v>0</v>
      </c>
      <c r="CF165" s="297">
        <f t="shared" si="327"/>
        <v>0</v>
      </c>
      <c r="CG165" s="298">
        <f t="shared" si="328"/>
        <v>59366</v>
      </c>
      <c r="CH165" s="297">
        <f t="shared" si="329"/>
        <v>0.7599627563715784</v>
      </c>
      <c r="CI165" s="516"/>
      <c r="CJ165" s="659">
        <v>1900</v>
      </c>
      <c r="CK165" s="651"/>
      <c r="CL165" s="657">
        <f t="shared" si="357"/>
        <v>1875</v>
      </c>
      <c r="CM165" s="657">
        <f t="shared" si="358"/>
        <v>25</v>
      </c>
      <c r="CN165" s="659">
        <f t="shared" si="359"/>
        <v>21875</v>
      </c>
      <c r="CO165" s="464">
        <v>0</v>
      </c>
      <c r="CP165" s="465"/>
      <c r="CQ165" s="465">
        <f t="shared" si="283"/>
        <v>0</v>
      </c>
      <c r="CR165" s="465">
        <f t="shared" si="265"/>
        <v>0</v>
      </c>
      <c r="CS165" s="486">
        <f t="shared" si="330"/>
        <v>0</v>
      </c>
      <c r="CT165" s="465">
        <f t="shared" si="331"/>
        <v>1539</v>
      </c>
      <c r="CU165" s="486">
        <f t="shared" si="332"/>
        <v>1.9701220935482586E-2</v>
      </c>
      <c r="CV165" s="518"/>
      <c r="CW165" s="427">
        <v>0</v>
      </c>
      <c r="CX165" s="427"/>
      <c r="CY165" s="427">
        <f t="shared" si="333"/>
        <v>0</v>
      </c>
      <c r="CZ165" s="427">
        <f t="shared" si="334"/>
        <v>0</v>
      </c>
      <c r="DA165" s="607">
        <f t="shared" si="349"/>
        <v>0</v>
      </c>
      <c r="DB165" s="607">
        <f t="shared" si="335"/>
        <v>115</v>
      </c>
      <c r="DC165" s="607">
        <f t="shared" si="284"/>
        <v>1.4721510120730976E-3</v>
      </c>
      <c r="DD165" s="609"/>
      <c r="DE165" s="471">
        <v>13</v>
      </c>
      <c r="DF165" s="473"/>
      <c r="DG165" s="473">
        <f t="shared" si="285"/>
        <v>6</v>
      </c>
      <c r="DH165" s="473">
        <f t="shared" si="266"/>
        <v>7</v>
      </c>
      <c r="DI165" s="227">
        <f t="shared" si="336"/>
        <v>3.0344540583655565E-2</v>
      </c>
      <c r="DJ165" s="473">
        <f t="shared" si="337"/>
        <v>117.2</v>
      </c>
      <c r="DK165" s="227">
        <f t="shared" si="338"/>
        <v>1.5003139009997135E-3</v>
      </c>
      <c r="DL165" s="510"/>
      <c r="DM165" s="63">
        <v>290</v>
      </c>
      <c r="DN165" s="64"/>
      <c r="DO165" s="66">
        <f t="shared" si="339"/>
        <v>230</v>
      </c>
      <c r="DP165" s="66">
        <f t="shared" si="267"/>
        <v>60</v>
      </c>
      <c r="DQ165" s="412">
        <f t="shared" si="340"/>
        <v>0.26009606214561909</v>
      </c>
      <c r="DR165" s="66">
        <f t="shared" si="341"/>
        <v>17770</v>
      </c>
      <c r="DS165" s="412">
        <f t="shared" si="342"/>
        <v>0.22747933464816475</v>
      </c>
      <c r="DT165" s="506"/>
      <c r="DU165" s="596">
        <v>0</v>
      </c>
      <c r="DV165" s="596"/>
      <c r="DW165" s="596">
        <f t="shared" si="286"/>
        <v>0</v>
      </c>
      <c r="DX165" s="596">
        <f t="shared" si="268"/>
        <v>0</v>
      </c>
      <c r="DY165" s="592">
        <f t="shared" si="287"/>
        <v>0</v>
      </c>
      <c r="DZ165" s="596">
        <f t="shared" si="343"/>
        <v>2800</v>
      </c>
      <c r="EA165" s="592">
        <f t="shared" si="288"/>
        <v>3.584367681569281E-2</v>
      </c>
      <c r="EB165" s="594"/>
      <c r="EC165" s="448">
        <v>50</v>
      </c>
      <c r="ED165" s="449"/>
      <c r="EE165" s="449">
        <f t="shared" si="289"/>
        <v>50</v>
      </c>
      <c r="EF165" s="449">
        <f t="shared" si="269"/>
        <v>0</v>
      </c>
      <c r="EG165" s="450">
        <f t="shared" si="347"/>
        <v>0</v>
      </c>
      <c r="EH165" s="449">
        <f t="shared" si="344"/>
        <v>1015</v>
      </c>
      <c r="EI165" s="450">
        <f t="shared" si="348"/>
        <v>1.2993332845688644E-2</v>
      </c>
      <c r="EJ165" s="520"/>
      <c r="EK165" s="426">
        <v>2463</v>
      </c>
      <c r="EL165" s="427"/>
      <c r="EM165" s="427">
        <f t="shared" si="290"/>
        <v>2063</v>
      </c>
      <c r="EN165" s="427">
        <f t="shared" si="270"/>
        <v>400</v>
      </c>
      <c r="EO165" s="427">
        <f t="shared" si="291"/>
        <v>73059</v>
      </c>
      <c r="EP165" s="456">
        <v>0</v>
      </c>
      <c r="EQ165" s="457"/>
      <c r="ER165" s="457">
        <f t="shared" si="292"/>
        <v>0</v>
      </c>
      <c r="ES165" s="457">
        <f t="shared" si="271"/>
        <v>0</v>
      </c>
      <c r="ET165" s="457">
        <f t="shared" si="293"/>
        <v>1808</v>
      </c>
      <c r="EU165" s="409">
        <v>11</v>
      </c>
      <c r="EV165" s="43"/>
      <c r="EW165" s="43">
        <f t="shared" si="294"/>
        <v>11</v>
      </c>
      <c r="EX165" s="43">
        <f t="shared" si="272"/>
        <v>0</v>
      </c>
      <c r="EY165" s="43">
        <f t="shared" si="295"/>
        <v>829</v>
      </c>
      <c r="EZ165" s="436">
        <v>0</v>
      </c>
      <c r="FA165" s="437"/>
      <c r="FB165" s="437">
        <f t="shared" si="296"/>
        <v>0</v>
      </c>
      <c r="FC165" s="437">
        <f t="shared" si="273"/>
        <v>0</v>
      </c>
      <c r="FD165" s="437">
        <f t="shared" si="297"/>
        <v>890</v>
      </c>
      <c r="FE165" s="442">
        <v>169</v>
      </c>
      <c r="FF165" s="443"/>
      <c r="FG165" s="443">
        <f t="shared" si="298"/>
        <v>169</v>
      </c>
      <c r="FH165" s="443">
        <f t="shared" si="274"/>
        <v>0</v>
      </c>
      <c r="FI165" s="443">
        <f t="shared" si="299"/>
        <v>1031</v>
      </c>
      <c r="FJ165" s="392">
        <v>663</v>
      </c>
      <c r="FK165" s="298"/>
      <c r="FL165" s="298">
        <f t="shared" si="300"/>
        <v>650</v>
      </c>
      <c r="FM165" s="298">
        <f t="shared" si="275"/>
        <v>13</v>
      </c>
      <c r="FN165" s="498">
        <f t="shared" si="301"/>
        <v>3150</v>
      </c>
      <c r="HC165" s="402">
        <v>2400</v>
      </c>
      <c r="HD165" s="52"/>
      <c r="HE165" s="52">
        <f t="shared" si="302"/>
        <v>2400</v>
      </c>
      <c r="HF165" s="52">
        <f t="shared" si="276"/>
        <v>0</v>
      </c>
      <c r="HG165" s="51"/>
      <c r="HH165" s="52">
        <f t="shared" si="345"/>
        <v>400</v>
      </c>
      <c r="HI165" s="51"/>
      <c r="HJ165" s="1047"/>
    </row>
    <row r="166" spans="1:218">
      <c r="A166" s="807">
        <v>44829</v>
      </c>
      <c r="B166" s="390">
        <v>622339</v>
      </c>
      <c r="C166" s="18">
        <f t="shared" si="256"/>
        <v>78739325</v>
      </c>
      <c r="D166" s="376">
        <v>6943.4</v>
      </c>
      <c r="E166" s="417">
        <f t="shared" si="360"/>
        <v>982433.73999999987</v>
      </c>
      <c r="F166" s="397">
        <v>39492</v>
      </c>
      <c r="G166" s="37"/>
      <c r="H166" s="37">
        <f t="shared" si="277"/>
        <v>37644</v>
      </c>
      <c r="I166" s="37">
        <f t="shared" si="257"/>
        <v>1848</v>
      </c>
      <c r="J166" s="37">
        <f t="shared" si="258"/>
        <v>266.15202926520152</v>
      </c>
      <c r="K166" s="37">
        <f t="shared" si="303"/>
        <v>438763</v>
      </c>
      <c r="L166" s="37">
        <f t="shared" si="259"/>
        <v>446.60823639872149</v>
      </c>
      <c r="M166" s="648"/>
      <c r="N166" s="422">
        <v>475</v>
      </c>
      <c r="O166" s="423"/>
      <c r="P166" s="423">
        <f t="shared" si="304"/>
        <v>375</v>
      </c>
      <c r="Q166" s="423">
        <f t="shared" si="305"/>
        <v>100</v>
      </c>
      <c r="R166" s="423">
        <f t="shared" si="306"/>
        <v>12475</v>
      </c>
      <c r="S166" s="68">
        <v>8.25</v>
      </c>
      <c r="T166" s="67">
        <v>24</v>
      </c>
      <c r="U166" s="68">
        <f t="shared" si="307"/>
        <v>99</v>
      </c>
      <c r="V166" s="68">
        <f t="shared" si="260"/>
        <v>14.258144424921509</v>
      </c>
      <c r="W166" s="423">
        <f t="shared" si="308"/>
        <v>12148.584000000001</v>
      </c>
      <c r="X166" s="68">
        <f t="shared" si="261"/>
        <v>12.365804944769101</v>
      </c>
      <c r="Y166" s="500"/>
      <c r="Z166" s="424">
        <v>25</v>
      </c>
      <c r="AA166" s="425"/>
      <c r="AB166" s="425">
        <f t="shared" si="309"/>
        <v>0</v>
      </c>
      <c r="AC166" s="425">
        <f t="shared" si="310"/>
        <v>25</v>
      </c>
      <c r="AD166" s="425">
        <f t="shared" si="311"/>
        <v>2025</v>
      </c>
      <c r="AE166" s="72">
        <v>2.57</v>
      </c>
      <c r="AF166" s="71">
        <v>12</v>
      </c>
      <c r="AG166" s="72">
        <f t="shared" si="312"/>
        <v>15.419999999999998</v>
      </c>
      <c r="AH166" s="72">
        <f t="shared" si="278"/>
        <v>2.2208140104271683</v>
      </c>
      <c r="AI166" s="425">
        <f t="shared" si="313"/>
        <v>1858.0320000000011</v>
      </c>
      <c r="AJ166" s="72">
        <f t="shared" si="346"/>
        <v>1.8912542641298145</v>
      </c>
      <c r="AK166" s="502"/>
      <c r="AL166" s="491">
        <v>23607</v>
      </c>
      <c r="AM166" s="491"/>
      <c r="AN166" s="492">
        <f t="shared" si="353"/>
        <v>23607</v>
      </c>
      <c r="AO166" s="492">
        <f t="shared" si="354"/>
        <v>0</v>
      </c>
      <c r="AP166" s="492">
        <f t="shared" si="355"/>
        <v>59966</v>
      </c>
      <c r="AQ166" s="493">
        <f t="shared" si="279"/>
        <v>61.038213121629973</v>
      </c>
      <c r="AR166" s="504"/>
      <c r="AS166" s="413">
        <v>54387</v>
      </c>
      <c r="AT166" s="64"/>
      <c r="AU166" s="66">
        <f t="shared" si="314"/>
        <v>54387</v>
      </c>
      <c r="AV166" s="66">
        <f t="shared" si="262"/>
        <v>0</v>
      </c>
      <c r="AW166" s="412">
        <f t="shared" si="315"/>
        <v>0</v>
      </c>
      <c r="AX166" s="66">
        <f t="shared" si="316"/>
        <v>243228</v>
      </c>
      <c r="AY166" s="412">
        <f t="shared" si="317"/>
        <v>3.0890282587512656</v>
      </c>
      <c r="AZ166" s="506"/>
      <c r="BA166" s="419">
        <v>35200</v>
      </c>
      <c r="BB166" s="419">
        <v>31250</v>
      </c>
      <c r="BC166" s="407"/>
      <c r="BD166" s="419">
        <f t="shared" si="280"/>
        <v>6600</v>
      </c>
      <c r="BE166" s="419">
        <f t="shared" si="281"/>
        <v>59850</v>
      </c>
      <c r="BF166" s="407">
        <f t="shared" si="318"/>
        <v>96.169451054810963</v>
      </c>
      <c r="BG166" s="419">
        <f t="shared" si="356"/>
        <v>246330</v>
      </c>
      <c r="BH166" s="407">
        <f t="shared" si="319"/>
        <v>3.1284240752635357</v>
      </c>
      <c r="BI166" s="407">
        <f t="shared" si="320"/>
        <v>0.38307233574655541</v>
      </c>
      <c r="BJ166" s="508"/>
      <c r="BK166" s="510"/>
      <c r="BL166" s="49">
        <v>2043</v>
      </c>
      <c r="BM166" s="50"/>
      <c r="BN166" s="52">
        <f t="shared" si="321"/>
        <v>1966</v>
      </c>
      <c r="BO166" s="52">
        <f t="shared" si="263"/>
        <v>77</v>
      </c>
      <c r="BP166" s="406">
        <f t="shared" si="322"/>
        <v>0.12372677913484452</v>
      </c>
      <c r="BQ166" s="52">
        <f t="shared" si="323"/>
        <v>34834</v>
      </c>
      <c r="BR166" s="406">
        <f t="shared" si="324"/>
        <v>0.44239647723675557</v>
      </c>
      <c r="BS166" s="512"/>
      <c r="BT166" s="409">
        <v>2452</v>
      </c>
      <c r="BU166" s="43"/>
      <c r="BV166" s="43">
        <f t="shared" si="350"/>
        <v>2289</v>
      </c>
      <c r="BW166" s="43">
        <f t="shared" si="351"/>
        <v>163</v>
      </c>
      <c r="BX166" s="42">
        <f t="shared" si="325"/>
        <v>0.26191512985687865</v>
      </c>
      <c r="BY166" s="43">
        <f t="shared" si="352"/>
        <v>17148</v>
      </c>
      <c r="BZ166" s="42">
        <f t="shared" si="326"/>
        <v>0.21778190249916418</v>
      </c>
      <c r="CA166" s="514"/>
      <c r="CB166" s="392">
        <v>1984</v>
      </c>
      <c r="CC166" s="298"/>
      <c r="CD166" s="298">
        <f t="shared" si="282"/>
        <v>1984</v>
      </c>
      <c r="CE166" s="298">
        <f t="shared" si="264"/>
        <v>0</v>
      </c>
      <c r="CF166" s="297">
        <f t="shared" si="327"/>
        <v>0</v>
      </c>
      <c r="CG166" s="298">
        <f t="shared" si="328"/>
        <v>59366</v>
      </c>
      <c r="CH166" s="297">
        <f t="shared" si="329"/>
        <v>0.75395617120162006</v>
      </c>
      <c r="CI166" s="516"/>
      <c r="CJ166" s="659">
        <v>1875</v>
      </c>
      <c r="CK166" s="651"/>
      <c r="CL166" s="657">
        <f t="shared" si="357"/>
        <v>1350</v>
      </c>
      <c r="CM166" s="657">
        <f t="shared" si="358"/>
        <v>525</v>
      </c>
      <c r="CN166" s="659">
        <f t="shared" si="359"/>
        <v>22400</v>
      </c>
      <c r="CO166" s="464">
        <v>0</v>
      </c>
      <c r="CP166" s="465"/>
      <c r="CQ166" s="465">
        <f t="shared" si="283"/>
        <v>0</v>
      </c>
      <c r="CR166" s="465">
        <f t="shared" si="265"/>
        <v>0</v>
      </c>
      <c r="CS166" s="486">
        <f t="shared" si="330"/>
        <v>0</v>
      </c>
      <c r="CT166" s="465">
        <f t="shared" si="331"/>
        <v>1539</v>
      </c>
      <c r="CU166" s="486">
        <f t="shared" si="332"/>
        <v>1.9545506644869003E-2</v>
      </c>
      <c r="CV166" s="518"/>
      <c r="CW166" s="427">
        <v>0</v>
      </c>
      <c r="CX166" s="427"/>
      <c r="CY166" s="427">
        <f t="shared" si="333"/>
        <v>0</v>
      </c>
      <c r="CZ166" s="427">
        <f t="shared" si="334"/>
        <v>0</v>
      </c>
      <c r="DA166" s="607">
        <f t="shared" si="349"/>
        <v>0</v>
      </c>
      <c r="DB166" s="607">
        <f t="shared" si="335"/>
        <v>115</v>
      </c>
      <c r="DC166" s="607">
        <f t="shared" si="284"/>
        <v>1.4605154412995031E-3</v>
      </c>
      <c r="DD166" s="609"/>
      <c r="DE166" s="471">
        <v>6</v>
      </c>
      <c r="DF166" s="473">
        <v>8</v>
      </c>
      <c r="DG166" s="473">
        <f t="shared" si="285"/>
        <v>13</v>
      </c>
      <c r="DH166" s="473">
        <f t="shared" si="266"/>
        <v>1</v>
      </c>
      <c r="DI166" s="227">
        <f t="shared" si="336"/>
        <v>1.6068412874655131E-3</v>
      </c>
      <c r="DJ166" s="473">
        <f t="shared" si="337"/>
        <v>118.2</v>
      </c>
      <c r="DK166" s="227">
        <f t="shared" si="338"/>
        <v>1.5011558709704458E-3</v>
      </c>
      <c r="DL166" s="510"/>
      <c r="DM166" s="63">
        <v>230</v>
      </c>
      <c r="DN166" s="64"/>
      <c r="DO166" s="66">
        <f t="shared" si="339"/>
        <v>180</v>
      </c>
      <c r="DP166" s="66">
        <f t="shared" si="267"/>
        <v>50</v>
      </c>
      <c r="DQ166" s="412">
        <f t="shared" si="340"/>
        <v>8.0342064373275665E-2</v>
      </c>
      <c r="DR166" s="66">
        <f t="shared" si="341"/>
        <v>17820</v>
      </c>
      <c r="DS166" s="412">
        <f t="shared" si="342"/>
        <v>0.22631639273006213</v>
      </c>
      <c r="DT166" s="506"/>
      <c r="DU166" s="596">
        <v>0</v>
      </c>
      <c r="DV166" s="596"/>
      <c r="DW166" s="596">
        <f t="shared" si="286"/>
        <v>0</v>
      </c>
      <c r="DX166" s="596">
        <f t="shared" si="268"/>
        <v>0</v>
      </c>
      <c r="DY166" s="592">
        <f t="shared" si="287"/>
        <v>0</v>
      </c>
      <c r="DZ166" s="596">
        <f t="shared" si="343"/>
        <v>2800</v>
      </c>
      <c r="EA166" s="592">
        <f t="shared" si="288"/>
        <v>3.5560375962074862E-2</v>
      </c>
      <c r="EB166" s="594"/>
      <c r="EC166" s="448">
        <v>50</v>
      </c>
      <c r="ED166" s="449"/>
      <c r="EE166" s="449">
        <f t="shared" si="289"/>
        <v>50</v>
      </c>
      <c r="EF166" s="449">
        <f t="shared" si="269"/>
        <v>0</v>
      </c>
      <c r="EG166" s="450">
        <f t="shared" si="347"/>
        <v>0</v>
      </c>
      <c r="EH166" s="449">
        <f t="shared" si="344"/>
        <v>1015</v>
      </c>
      <c r="EI166" s="450">
        <f t="shared" si="348"/>
        <v>1.2890636286252137E-2</v>
      </c>
      <c r="EJ166" s="520"/>
      <c r="EK166" s="426">
        <v>2063</v>
      </c>
      <c r="EL166" s="427"/>
      <c r="EM166" s="427">
        <f t="shared" si="290"/>
        <v>1438</v>
      </c>
      <c r="EN166" s="427">
        <f t="shared" si="270"/>
        <v>625</v>
      </c>
      <c r="EO166" s="427">
        <f t="shared" si="291"/>
        <v>73684</v>
      </c>
      <c r="EP166" s="456">
        <v>0</v>
      </c>
      <c r="EQ166" s="457"/>
      <c r="ER166" s="457">
        <f t="shared" si="292"/>
        <v>0</v>
      </c>
      <c r="ES166" s="457">
        <f t="shared" si="271"/>
        <v>0</v>
      </c>
      <c r="ET166" s="457">
        <f t="shared" si="293"/>
        <v>1808</v>
      </c>
      <c r="EU166" s="409">
        <v>11</v>
      </c>
      <c r="EV166" s="43"/>
      <c r="EW166" s="43">
        <f t="shared" si="294"/>
        <v>11</v>
      </c>
      <c r="EX166" s="43">
        <f t="shared" si="272"/>
        <v>0</v>
      </c>
      <c r="EY166" s="43">
        <f t="shared" si="295"/>
        <v>829</v>
      </c>
      <c r="EZ166" s="436">
        <v>0</v>
      </c>
      <c r="FA166" s="437"/>
      <c r="FB166" s="437">
        <f t="shared" si="296"/>
        <v>0</v>
      </c>
      <c r="FC166" s="437">
        <f t="shared" si="273"/>
        <v>0</v>
      </c>
      <c r="FD166" s="437">
        <f t="shared" si="297"/>
        <v>890</v>
      </c>
      <c r="FE166" s="442">
        <v>169</v>
      </c>
      <c r="FF166" s="443"/>
      <c r="FG166" s="443">
        <f t="shared" si="298"/>
        <v>169</v>
      </c>
      <c r="FH166" s="443">
        <f t="shared" si="274"/>
        <v>0</v>
      </c>
      <c r="FI166" s="443">
        <f t="shared" si="299"/>
        <v>1031</v>
      </c>
      <c r="FJ166" s="392">
        <v>650</v>
      </c>
      <c r="FK166" s="298"/>
      <c r="FL166" s="298">
        <f t="shared" si="300"/>
        <v>635</v>
      </c>
      <c r="FM166" s="298">
        <f t="shared" si="275"/>
        <v>15</v>
      </c>
      <c r="FN166" s="498">
        <f t="shared" si="301"/>
        <v>3165</v>
      </c>
      <c r="HC166" s="402">
        <v>2400</v>
      </c>
      <c r="HD166" s="52"/>
      <c r="HE166" s="52">
        <f t="shared" si="302"/>
        <v>2400</v>
      </c>
      <c r="HF166" s="52">
        <f t="shared" si="276"/>
        <v>0</v>
      </c>
      <c r="HG166" s="51"/>
      <c r="HH166" s="52">
        <f t="shared" si="345"/>
        <v>400</v>
      </c>
      <c r="HI166" s="51"/>
      <c r="HJ166" s="1047"/>
    </row>
    <row r="167" spans="1:218">
      <c r="A167" s="807">
        <v>44830</v>
      </c>
      <c r="B167" s="390">
        <v>493667</v>
      </c>
      <c r="C167" s="18">
        <f t="shared" si="256"/>
        <v>79232992</v>
      </c>
      <c r="D167" s="376">
        <v>1896.4</v>
      </c>
      <c r="E167" s="417">
        <f t="shared" si="360"/>
        <v>984330.1399999999</v>
      </c>
      <c r="F167" s="397">
        <v>37644</v>
      </c>
      <c r="G167" s="37"/>
      <c r="H167" s="37">
        <f t="shared" si="277"/>
        <v>34871</v>
      </c>
      <c r="I167" s="37">
        <f t="shared" si="257"/>
        <v>2773</v>
      </c>
      <c r="J167" s="37">
        <f t="shared" si="258"/>
        <v>1462.2442522674542</v>
      </c>
      <c r="K167" s="37">
        <f t="shared" si="303"/>
        <v>441536</v>
      </c>
      <c r="L167" s="37">
        <f t="shared" si="259"/>
        <v>448.56494996688821</v>
      </c>
      <c r="M167" s="648"/>
      <c r="N167" s="422">
        <v>375</v>
      </c>
      <c r="O167" s="423"/>
      <c r="P167" s="423">
        <f t="shared" si="304"/>
        <v>350</v>
      </c>
      <c r="Q167" s="423">
        <f t="shared" si="305"/>
        <v>25</v>
      </c>
      <c r="R167" s="423">
        <f t="shared" si="306"/>
        <v>12500</v>
      </c>
      <c r="S167" s="68">
        <v>5.33</v>
      </c>
      <c r="T167" s="67">
        <v>24</v>
      </c>
      <c r="U167" s="68">
        <f t="shared" si="307"/>
        <v>63.96</v>
      </c>
      <c r="V167" s="68">
        <f t="shared" si="260"/>
        <v>33.727061801307741</v>
      </c>
      <c r="W167" s="423">
        <f t="shared" si="308"/>
        <v>12212.544</v>
      </c>
      <c r="X167" s="68">
        <f t="shared" si="261"/>
        <v>12.406959315499575</v>
      </c>
      <c r="Y167" s="500"/>
      <c r="Z167" s="424">
        <v>0</v>
      </c>
      <c r="AA167" s="425">
        <v>75</v>
      </c>
      <c r="AB167" s="425">
        <f t="shared" si="309"/>
        <v>75</v>
      </c>
      <c r="AC167" s="425">
        <f t="shared" si="310"/>
        <v>0</v>
      </c>
      <c r="AD167" s="425">
        <f t="shared" si="311"/>
        <v>2025</v>
      </c>
      <c r="AE167" s="72">
        <v>1.1499999999999999</v>
      </c>
      <c r="AF167" s="71">
        <v>12</v>
      </c>
      <c r="AG167" s="72">
        <f t="shared" si="312"/>
        <v>6.8999999999999995</v>
      </c>
      <c r="AH167" s="72">
        <f t="shared" si="278"/>
        <v>3.6384728960134987</v>
      </c>
      <c r="AI167" s="425">
        <f t="shared" si="313"/>
        <v>1864.9320000000012</v>
      </c>
      <c r="AJ167" s="72">
        <f t="shared" si="346"/>
        <v>1.894620437000945</v>
      </c>
      <c r="AK167" s="502"/>
      <c r="AL167" s="491">
        <v>23607</v>
      </c>
      <c r="AM167" s="491"/>
      <c r="AN167" s="492">
        <f t="shared" si="353"/>
        <v>23607</v>
      </c>
      <c r="AO167" s="492">
        <f t="shared" si="354"/>
        <v>0</v>
      </c>
      <c r="AP167" s="492">
        <f t="shared" si="355"/>
        <v>59966</v>
      </c>
      <c r="AQ167" s="493">
        <f t="shared" si="279"/>
        <v>60.920617548092153</v>
      </c>
      <c r="AR167" s="504"/>
      <c r="AS167" s="413">
        <v>54387</v>
      </c>
      <c r="AT167" s="64"/>
      <c r="AU167" s="66">
        <f t="shared" si="314"/>
        <v>52876</v>
      </c>
      <c r="AV167" s="66">
        <f t="shared" si="262"/>
        <v>1511</v>
      </c>
      <c r="AW167" s="412">
        <f t="shared" si="315"/>
        <v>3.0607676834789443</v>
      </c>
      <c r="AX167" s="66">
        <f t="shared" si="316"/>
        <v>244739</v>
      </c>
      <c r="AY167" s="412">
        <f t="shared" si="317"/>
        <v>3.088852179152846</v>
      </c>
      <c r="AZ167" s="506"/>
      <c r="BA167" s="419">
        <v>6600</v>
      </c>
      <c r="BB167" s="419"/>
      <c r="BC167" s="407"/>
      <c r="BD167" s="419">
        <f t="shared" si="280"/>
        <v>1980</v>
      </c>
      <c r="BE167" s="419">
        <f t="shared" si="281"/>
        <v>4620</v>
      </c>
      <c r="BF167" s="407">
        <f t="shared" si="318"/>
        <v>9.3585352069309877</v>
      </c>
      <c r="BG167" s="419">
        <f t="shared" si="356"/>
        <v>250950</v>
      </c>
      <c r="BH167" s="407">
        <f t="shared" si="319"/>
        <v>3.1672412421330751</v>
      </c>
      <c r="BI167" s="407">
        <f t="shared" si="320"/>
        <v>0.38782545822037656</v>
      </c>
      <c r="BJ167" s="508"/>
      <c r="BK167" s="510"/>
      <c r="BL167" s="49">
        <v>1966</v>
      </c>
      <c r="BM167" s="50"/>
      <c r="BN167" s="52">
        <f t="shared" si="321"/>
        <v>1915</v>
      </c>
      <c r="BO167" s="52">
        <f t="shared" si="263"/>
        <v>51</v>
      </c>
      <c r="BP167" s="406">
        <f t="shared" si="322"/>
        <v>0.10330850553105636</v>
      </c>
      <c r="BQ167" s="52">
        <f t="shared" si="323"/>
        <v>34885</v>
      </c>
      <c r="BR167" s="406">
        <f t="shared" si="324"/>
        <v>0.44028376462168689</v>
      </c>
      <c r="BS167" s="512"/>
      <c r="BT167" s="409">
        <v>2289</v>
      </c>
      <c r="BU167" s="43"/>
      <c r="BV167" s="43">
        <f t="shared" si="350"/>
        <v>2207</v>
      </c>
      <c r="BW167" s="43">
        <f t="shared" si="351"/>
        <v>82</v>
      </c>
      <c r="BX167" s="42">
        <f t="shared" si="325"/>
        <v>0.16610387163816906</v>
      </c>
      <c r="BY167" s="43">
        <f t="shared" si="352"/>
        <v>17230</v>
      </c>
      <c r="BZ167" s="42">
        <f t="shared" si="326"/>
        <v>0.21745991871668813</v>
      </c>
      <c r="CA167" s="514"/>
      <c r="CB167" s="392">
        <v>1984</v>
      </c>
      <c r="CC167" s="298"/>
      <c r="CD167" s="298">
        <f t="shared" si="282"/>
        <v>1984</v>
      </c>
      <c r="CE167" s="298">
        <f t="shared" si="264"/>
        <v>0</v>
      </c>
      <c r="CF167" s="297">
        <f t="shared" si="327"/>
        <v>0</v>
      </c>
      <c r="CG167" s="298">
        <f t="shared" si="328"/>
        <v>59366</v>
      </c>
      <c r="CH167" s="297">
        <f t="shared" si="329"/>
        <v>0.74925859167352915</v>
      </c>
      <c r="CI167" s="516"/>
      <c r="CJ167" s="659">
        <v>1350</v>
      </c>
      <c r="CK167" s="651"/>
      <c r="CL167" s="657">
        <f t="shared" si="357"/>
        <v>900</v>
      </c>
      <c r="CM167" s="657">
        <f t="shared" si="358"/>
        <v>450</v>
      </c>
      <c r="CN167" s="659">
        <f t="shared" si="359"/>
        <v>22850</v>
      </c>
      <c r="CO167" s="464">
        <v>0</v>
      </c>
      <c r="CP167" s="465">
        <v>60</v>
      </c>
      <c r="CQ167" s="465">
        <f t="shared" si="283"/>
        <v>0</v>
      </c>
      <c r="CR167" s="465">
        <f t="shared" si="265"/>
        <v>60</v>
      </c>
      <c r="CS167" s="486">
        <f t="shared" si="330"/>
        <v>0.12153941827183101</v>
      </c>
      <c r="CT167" s="465">
        <f t="shared" si="331"/>
        <v>1599</v>
      </c>
      <c r="CU167" s="486">
        <f t="shared" si="332"/>
        <v>2.0180987233197001E-2</v>
      </c>
      <c r="CV167" s="518"/>
      <c r="CW167" s="427">
        <v>0</v>
      </c>
      <c r="CX167" s="427"/>
      <c r="CY167" s="427">
        <f t="shared" si="333"/>
        <v>0</v>
      </c>
      <c r="CZ167" s="427">
        <f t="shared" si="334"/>
        <v>0</v>
      </c>
      <c r="DA167" s="607">
        <f t="shared" si="349"/>
        <v>0</v>
      </c>
      <c r="DB167" s="607">
        <f t="shared" si="335"/>
        <v>115</v>
      </c>
      <c r="DC167" s="607">
        <f t="shared" si="284"/>
        <v>1.4514155921311162E-3</v>
      </c>
      <c r="DD167" s="609"/>
      <c r="DE167" s="471">
        <v>13</v>
      </c>
      <c r="DF167" s="473"/>
      <c r="DG167" s="473">
        <f t="shared" si="285"/>
        <v>13</v>
      </c>
      <c r="DH167" s="473">
        <f t="shared" si="266"/>
        <v>0</v>
      </c>
      <c r="DI167" s="227">
        <f t="shared" si="336"/>
        <v>0</v>
      </c>
      <c r="DJ167" s="473">
        <f t="shared" si="337"/>
        <v>118.2</v>
      </c>
      <c r="DK167" s="227">
        <f t="shared" si="338"/>
        <v>1.4918028086078083E-3</v>
      </c>
      <c r="DL167" s="510"/>
      <c r="DM167" s="63">
        <v>180</v>
      </c>
      <c r="DN167" s="64"/>
      <c r="DO167" s="66">
        <f t="shared" si="339"/>
        <v>90</v>
      </c>
      <c r="DP167" s="66">
        <f t="shared" si="267"/>
        <v>90</v>
      </c>
      <c r="DQ167" s="412">
        <f t="shared" si="340"/>
        <v>0.18230912740774652</v>
      </c>
      <c r="DR167" s="66">
        <f t="shared" si="341"/>
        <v>17910</v>
      </c>
      <c r="DS167" s="412">
        <f t="shared" si="342"/>
        <v>0.22604220221798516</v>
      </c>
      <c r="DT167" s="506"/>
      <c r="DU167" s="596">
        <v>0</v>
      </c>
      <c r="DV167" s="596"/>
      <c r="DW167" s="596">
        <f t="shared" si="286"/>
        <v>0</v>
      </c>
      <c r="DX167" s="596">
        <f t="shared" si="268"/>
        <v>0</v>
      </c>
      <c r="DY167" s="592">
        <f t="shared" si="287"/>
        <v>0</v>
      </c>
      <c r="DZ167" s="596">
        <f t="shared" si="343"/>
        <v>2800</v>
      </c>
      <c r="EA167" s="592">
        <f t="shared" si="288"/>
        <v>3.5338814417105444E-2</v>
      </c>
      <c r="EB167" s="594"/>
      <c r="EC167" s="448">
        <v>50</v>
      </c>
      <c r="ED167" s="449"/>
      <c r="EE167" s="449">
        <f t="shared" si="289"/>
        <v>50</v>
      </c>
      <c r="EF167" s="449">
        <f t="shared" si="269"/>
        <v>0</v>
      </c>
      <c r="EG167" s="450">
        <f t="shared" si="347"/>
        <v>0</v>
      </c>
      <c r="EH167" s="449">
        <f t="shared" si="344"/>
        <v>1015</v>
      </c>
      <c r="EI167" s="450">
        <f t="shared" si="348"/>
        <v>1.2810320226200721E-2</v>
      </c>
      <c r="EJ167" s="520"/>
      <c r="EK167" s="426">
        <v>1438</v>
      </c>
      <c r="EL167" s="427">
        <v>2400</v>
      </c>
      <c r="EM167" s="427">
        <f t="shared" si="290"/>
        <v>3444</v>
      </c>
      <c r="EN167" s="427">
        <f t="shared" si="270"/>
        <v>394</v>
      </c>
      <c r="EO167" s="427">
        <f t="shared" si="291"/>
        <v>74078</v>
      </c>
      <c r="EP167" s="456">
        <v>0</v>
      </c>
      <c r="EQ167" s="457"/>
      <c r="ER167" s="457">
        <f t="shared" si="292"/>
        <v>0</v>
      </c>
      <c r="ES167" s="457">
        <f t="shared" si="271"/>
        <v>0</v>
      </c>
      <c r="ET167" s="457">
        <f t="shared" si="293"/>
        <v>1808</v>
      </c>
      <c r="EU167" s="409">
        <v>11</v>
      </c>
      <c r="EV167" s="43"/>
      <c r="EW167" s="43">
        <f t="shared" si="294"/>
        <v>11</v>
      </c>
      <c r="EX167" s="43">
        <f t="shared" si="272"/>
        <v>0</v>
      </c>
      <c r="EY167" s="43">
        <f t="shared" si="295"/>
        <v>829</v>
      </c>
      <c r="EZ167" s="436">
        <v>0</v>
      </c>
      <c r="FA167" s="437"/>
      <c r="FB167" s="437">
        <f t="shared" si="296"/>
        <v>0</v>
      </c>
      <c r="FC167" s="437">
        <f t="shared" si="273"/>
        <v>0</v>
      </c>
      <c r="FD167" s="437">
        <f t="shared" si="297"/>
        <v>890</v>
      </c>
      <c r="FE167" s="442">
        <v>169</v>
      </c>
      <c r="FF167" s="443"/>
      <c r="FG167" s="443">
        <f t="shared" si="298"/>
        <v>149</v>
      </c>
      <c r="FH167" s="443">
        <f t="shared" si="274"/>
        <v>20</v>
      </c>
      <c r="FI167" s="443">
        <f t="shared" si="299"/>
        <v>1051</v>
      </c>
      <c r="FJ167" s="392">
        <v>635</v>
      </c>
      <c r="FK167" s="298"/>
      <c r="FL167" s="298">
        <f t="shared" si="300"/>
        <v>590</v>
      </c>
      <c r="FM167" s="298">
        <f t="shared" si="275"/>
        <v>45</v>
      </c>
      <c r="FN167" s="498">
        <f t="shared" si="301"/>
        <v>3210</v>
      </c>
      <c r="HC167" s="402">
        <v>2400</v>
      </c>
      <c r="HD167" s="52"/>
      <c r="HE167" s="52">
        <f t="shared" si="302"/>
        <v>2400</v>
      </c>
      <c r="HF167" s="52">
        <f t="shared" si="276"/>
        <v>0</v>
      </c>
      <c r="HG167" s="51"/>
      <c r="HH167" s="52">
        <f t="shared" si="345"/>
        <v>400</v>
      </c>
      <c r="HI167" s="51"/>
      <c r="HJ167" s="1047"/>
    </row>
    <row r="168" spans="1:218">
      <c r="A168" s="807">
        <v>44831</v>
      </c>
      <c r="B168" s="390">
        <v>113641</v>
      </c>
      <c r="C168" s="18">
        <f t="shared" si="256"/>
        <v>79346633</v>
      </c>
      <c r="D168" s="376">
        <v>0</v>
      </c>
      <c r="E168" s="417">
        <f t="shared" si="360"/>
        <v>984330.1399999999</v>
      </c>
      <c r="F168" s="397">
        <v>34871</v>
      </c>
      <c r="G168" s="37"/>
      <c r="H168" s="37">
        <f t="shared" si="277"/>
        <v>34871</v>
      </c>
      <c r="I168" s="37">
        <f t="shared" si="257"/>
        <v>0</v>
      </c>
      <c r="J168" s="37" t="e">
        <f t="shared" si="258"/>
        <v>#DIV/0!</v>
      </c>
      <c r="K168" s="37">
        <f t="shared" si="303"/>
        <v>441536</v>
      </c>
      <c r="L168" s="37">
        <f t="shared" si="259"/>
        <v>448.56494996688821</v>
      </c>
      <c r="M168" s="648"/>
      <c r="N168" s="422">
        <v>350</v>
      </c>
      <c r="O168" s="423"/>
      <c r="P168" s="423">
        <f t="shared" si="304"/>
        <v>350</v>
      </c>
      <c r="Q168" s="423">
        <f t="shared" si="305"/>
        <v>0</v>
      </c>
      <c r="R168" s="423">
        <f t="shared" si="306"/>
        <v>12500</v>
      </c>
      <c r="S168" s="68">
        <v>0</v>
      </c>
      <c r="T168" s="67">
        <v>24</v>
      </c>
      <c r="U168" s="68">
        <f t="shared" si="307"/>
        <v>0</v>
      </c>
      <c r="V168" s="68" t="e">
        <f t="shared" si="260"/>
        <v>#DIV/0!</v>
      </c>
      <c r="W168" s="423">
        <f t="shared" si="308"/>
        <v>12212.544</v>
      </c>
      <c r="X168" s="68">
        <f t="shared" si="261"/>
        <v>12.406959315499575</v>
      </c>
      <c r="Y168" s="500"/>
      <c r="Z168" s="424">
        <v>75</v>
      </c>
      <c r="AA168" s="425"/>
      <c r="AB168" s="425">
        <f t="shared" si="309"/>
        <v>75</v>
      </c>
      <c r="AC168" s="425">
        <f t="shared" si="310"/>
        <v>0</v>
      </c>
      <c r="AD168" s="425">
        <f t="shared" si="311"/>
        <v>2025</v>
      </c>
      <c r="AE168" s="72">
        <v>0</v>
      </c>
      <c r="AF168" s="71">
        <v>12</v>
      </c>
      <c r="AG168" s="72">
        <f t="shared" si="312"/>
        <v>0</v>
      </c>
      <c r="AH168" s="72" t="e">
        <f t="shared" si="278"/>
        <v>#DIV/0!</v>
      </c>
      <c r="AI168" s="425">
        <f t="shared" si="313"/>
        <v>1864.9320000000012</v>
      </c>
      <c r="AJ168" s="72">
        <f t="shared" si="346"/>
        <v>1.894620437000945</v>
      </c>
      <c r="AK168" s="502"/>
      <c r="AL168" s="491">
        <v>23607</v>
      </c>
      <c r="AM168" s="491"/>
      <c r="AN168" s="492">
        <f t="shared" si="353"/>
        <v>23607</v>
      </c>
      <c r="AO168" s="492">
        <f t="shared" si="354"/>
        <v>0</v>
      </c>
      <c r="AP168" s="492">
        <f t="shared" si="355"/>
        <v>59966</v>
      </c>
      <c r="AQ168" s="493">
        <f t="shared" si="279"/>
        <v>60.920617548092153</v>
      </c>
      <c r="AR168" s="504"/>
      <c r="AS168" s="413">
        <v>52876</v>
      </c>
      <c r="AT168" s="64"/>
      <c r="AU168" s="66">
        <f t="shared" si="314"/>
        <v>52876</v>
      </c>
      <c r="AV168" s="66">
        <f t="shared" si="262"/>
        <v>0</v>
      </c>
      <c r="AW168" s="412">
        <f t="shared" si="315"/>
        <v>0</v>
      </c>
      <c r="AX168" s="66">
        <f t="shared" si="316"/>
        <v>244739</v>
      </c>
      <c r="AY168" s="412">
        <f t="shared" si="317"/>
        <v>3.0844282957791038</v>
      </c>
      <c r="AZ168" s="506"/>
      <c r="BA168" s="419">
        <v>1980</v>
      </c>
      <c r="BB168" s="419">
        <v>27500</v>
      </c>
      <c r="BC168" s="407"/>
      <c r="BD168" s="419">
        <f t="shared" si="280"/>
        <v>29480</v>
      </c>
      <c r="BE168" s="419">
        <f t="shared" si="281"/>
        <v>0</v>
      </c>
      <c r="BF168" s="407">
        <f t="shared" si="318"/>
        <v>0</v>
      </c>
      <c r="BG168" s="419">
        <f t="shared" si="356"/>
        <v>250950</v>
      </c>
      <c r="BH168" s="407">
        <f t="shared" si="319"/>
        <v>3.1627050892001933</v>
      </c>
      <c r="BI168" s="407">
        <f t="shared" si="320"/>
        <v>0.38727001092247271</v>
      </c>
      <c r="BJ168" s="508"/>
      <c r="BK168" s="510"/>
      <c r="BL168" s="49">
        <v>1915</v>
      </c>
      <c r="BM168" s="50"/>
      <c r="BN168" s="52">
        <f t="shared" si="321"/>
        <v>1915</v>
      </c>
      <c r="BO168" s="52">
        <f t="shared" si="263"/>
        <v>0</v>
      </c>
      <c r="BP168" s="406">
        <f t="shared" si="322"/>
        <v>0</v>
      </c>
      <c r="BQ168" s="52">
        <f t="shared" si="323"/>
        <v>34885</v>
      </c>
      <c r="BR168" s="406">
        <f t="shared" si="324"/>
        <v>0.43965318604004283</v>
      </c>
      <c r="BS168" s="512"/>
      <c r="BT168" s="409">
        <v>2207</v>
      </c>
      <c r="BU168" s="43"/>
      <c r="BV168" s="43">
        <f t="shared" si="350"/>
        <v>2207</v>
      </c>
      <c r="BW168" s="43">
        <f t="shared" si="351"/>
        <v>0</v>
      </c>
      <c r="BX168" s="42">
        <f t="shared" si="325"/>
        <v>0</v>
      </c>
      <c r="BY168" s="43">
        <f t="shared" si="352"/>
        <v>17230</v>
      </c>
      <c r="BZ168" s="42">
        <f t="shared" si="326"/>
        <v>0.21714847055955103</v>
      </c>
      <c r="CA168" s="514"/>
      <c r="CB168" s="392">
        <v>1984</v>
      </c>
      <c r="CC168" s="298"/>
      <c r="CD168" s="298">
        <f t="shared" si="282"/>
        <v>1984</v>
      </c>
      <c r="CE168" s="298">
        <f t="shared" si="264"/>
        <v>0</v>
      </c>
      <c r="CF168" s="297">
        <f t="shared" si="327"/>
        <v>0</v>
      </c>
      <c r="CG168" s="298">
        <f t="shared" si="328"/>
        <v>59366</v>
      </c>
      <c r="CH168" s="297">
        <f t="shared" si="329"/>
        <v>0.74818549641545595</v>
      </c>
      <c r="CI168" s="516"/>
      <c r="CJ168" s="659">
        <v>900</v>
      </c>
      <c r="CK168" s="651"/>
      <c r="CL168" s="657">
        <f t="shared" si="357"/>
        <v>875</v>
      </c>
      <c r="CM168" s="657">
        <f t="shared" si="358"/>
        <v>25</v>
      </c>
      <c r="CN168" s="659">
        <f t="shared" si="359"/>
        <v>22875</v>
      </c>
      <c r="CO168" s="464">
        <v>0</v>
      </c>
      <c r="CP168" s="465"/>
      <c r="CQ168" s="465">
        <f t="shared" si="283"/>
        <v>0</v>
      </c>
      <c r="CR168" s="465">
        <f t="shared" si="265"/>
        <v>0</v>
      </c>
      <c r="CS168" s="486">
        <f t="shared" si="330"/>
        <v>0</v>
      </c>
      <c r="CT168" s="465">
        <f t="shared" si="331"/>
        <v>1599</v>
      </c>
      <c r="CU168" s="486">
        <f t="shared" si="332"/>
        <v>2.0152083831962975E-2</v>
      </c>
      <c r="CV168" s="518"/>
      <c r="CW168" s="427">
        <v>0</v>
      </c>
      <c r="CX168" s="427"/>
      <c r="CY168" s="427">
        <f t="shared" si="333"/>
        <v>0</v>
      </c>
      <c r="CZ168" s="427">
        <f t="shared" si="334"/>
        <v>0</v>
      </c>
      <c r="DA168" s="607">
        <f t="shared" si="349"/>
        <v>0</v>
      </c>
      <c r="DB168" s="607">
        <f t="shared" si="335"/>
        <v>115</v>
      </c>
      <c r="DC168" s="607">
        <f t="shared" si="284"/>
        <v>1.4493368609604393E-3</v>
      </c>
      <c r="DD168" s="609"/>
      <c r="DE168" s="471">
        <v>13</v>
      </c>
      <c r="DF168" s="473"/>
      <c r="DG168" s="473">
        <f t="shared" si="285"/>
        <v>13</v>
      </c>
      <c r="DH168" s="473">
        <f t="shared" si="266"/>
        <v>0</v>
      </c>
      <c r="DI168" s="227">
        <f t="shared" si="336"/>
        <v>0</v>
      </c>
      <c r="DJ168" s="473">
        <f t="shared" si="337"/>
        <v>118.2</v>
      </c>
      <c r="DK168" s="227">
        <f t="shared" si="338"/>
        <v>1.4896662344828166E-3</v>
      </c>
      <c r="DL168" s="510"/>
      <c r="DM168" s="63">
        <v>90</v>
      </c>
      <c r="DN168" s="64"/>
      <c r="DO168" s="66">
        <f t="shared" si="339"/>
        <v>70</v>
      </c>
      <c r="DP168" s="66">
        <f t="shared" si="267"/>
        <v>20</v>
      </c>
      <c r="DQ168" s="412">
        <f t="shared" si="340"/>
        <v>0.17599281949296469</v>
      </c>
      <c r="DR168" s="66">
        <f t="shared" si="341"/>
        <v>17930</v>
      </c>
      <c r="DS168" s="412">
        <f t="shared" si="342"/>
        <v>0.22597052101757109</v>
      </c>
      <c r="DT168" s="506"/>
      <c r="DU168" s="596">
        <v>0</v>
      </c>
      <c r="DV168" s="596"/>
      <c r="DW168" s="596">
        <f t="shared" si="286"/>
        <v>0</v>
      </c>
      <c r="DX168" s="596">
        <f t="shared" si="268"/>
        <v>0</v>
      </c>
      <c r="DY168" s="592">
        <f t="shared" si="287"/>
        <v>0</v>
      </c>
      <c r="DZ168" s="596">
        <f t="shared" si="343"/>
        <v>2800</v>
      </c>
      <c r="EA168" s="592">
        <f t="shared" si="288"/>
        <v>3.5288201832080257E-2</v>
      </c>
      <c r="EB168" s="594"/>
      <c r="EC168" s="448">
        <v>50</v>
      </c>
      <c r="ED168" s="449"/>
      <c r="EE168" s="449">
        <f t="shared" si="289"/>
        <v>50</v>
      </c>
      <c r="EF168" s="449">
        <f t="shared" si="269"/>
        <v>0</v>
      </c>
      <c r="EG168" s="450">
        <f t="shared" si="347"/>
        <v>0</v>
      </c>
      <c r="EH168" s="449">
        <f t="shared" si="344"/>
        <v>1015</v>
      </c>
      <c r="EI168" s="450">
        <f t="shared" si="348"/>
        <v>1.2791973164129094E-2</v>
      </c>
      <c r="EJ168" s="520"/>
      <c r="EK168" s="426">
        <v>3444</v>
      </c>
      <c r="EL168" s="427"/>
      <c r="EM168" s="427">
        <f t="shared" si="290"/>
        <v>3213</v>
      </c>
      <c r="EN168" s="427">
        <f t="shared" si="270"/>
        <v>231</v>
      </c>
      <c r="EO168" s="427">
        <f t="shared" si="291"/>
        <v>74309</v>
      </c>
      <c r="EP168" s="456">
        <v>0</v>
      </c>
      <c r="EQ168" s="457"/>
      <c r="ER168" s="457">
        <f t="shared" si="292"/>
        <v>0</v>
      </c>
      <c r="ES168" s="457">
        <f t="shared" si="271"/>
        <v>0</v>
      </c>
      <c r="ET168" s="457">
        <f t="shared" si="293"/>
        <v>1808</v>
      </c>
      <c r="EU168" s="409">
        <v>11</v>
      </c>
      <c r="EV168" s="43"/>
      <c r="EW168" s="43">
        <f t="shared" si="294"/>
        <v>11</v>
      </c>
      <c r="EX168" s="43">
        <f t="shared" si="272"/>
        <v>0</v>
      </c>
      <c r="EY168" s="43">
        <f t="shared" si="295"/>
        <v>829</v>
      </c>
      <c r="EZ168" s="436">
        <v>0</v>
      </c>
      <c r="FA168" s="437"/>
      <c r="FB168" s="437">
        <f t="shared" si="296"/>
        <v>0</v>
      </c>
      <c r="FC168" s="437">
        <f t="shared" si="273"/>
        <v>0</v>
      </c>
      <c r="FD168" s="437">
        <f t="shared" si="297"/>
        <v>890</v>
      </c>
      <c r="FE168" s="442">
        <v>149</v>
      </c>
      <c r="FF168" s="443"/>
      <c r="FG168" s="443">
        <f t="shared" si="298"/>
        <v>149</v>
      </c>
      <c r="FH168" s="443">
        <f t="shared" si="274"/>
        <v>0</v>
      </c>
      <c r="FI168" s="443">
        <f t="shared" si="299"/>
        <v>1051</v>
      </c>
      <c r="FJ168" s="392">
        <v>590</v>
      </c>
      <c r="FK168" s="298"/>
      <c r="FL168" s="298">
        <f t="shared" si="300"/>
        <v>560</v>
      </c>
      <c r="FM168" s="298">
        <f t="shared" si="275"/>
        <v>30</v>
      </c>
      <c r="FN168" s="498">
        <f t="shared" si="301"/>
        <v>3240</v>
      </c>
      <c r="HC168" s="402">
        <v>2400</v>
      </c>
      <c r="HD168" s="52"/>
      <c r="HE168" s="52">
        <f t="shared" si="302"/>
        <v>2400</v>
      </c>
      <c r="HF168" s="52">
        <f t="shared" si="276"/>
        <v>0</v>
      </c>
      <c r="HG168" s="51"/>
      <c r="HH168" s="52">
        <f t="shared" si="345"/>
        <v>400</v>
      </c>
      <c r="HI168" s="51"/>
      <c r="HJ168" s="1047"/>
    </row>
    <row r="169" spans="1:218">
      <c r="A169" s="807">
        <v>44832</v>
      </c>
      <c r="B169" s="390">
        <v>0</v>
      </c>
      <c r="C169" s="18">
        <f t="shared" si="256"/>
        <v>79346633</v>
      </c>
      <c r="D169" s="376">
        <v>0</v>
      </c>
      <c r="E169" s="417">
        <f t="shared" si="360"/>
        <v>984330.1399999999</v>
      </c>
      <c r="F169" s="397">
        <v>34871</v>
      </c>
      <c r="G169" s="37"/>
      <c r="H169" s="37">
        <f t="shared" si="277"/>
        <v>34871</v>
      </c>
      <c r="I169" s="37">
        <f t="shared" si="257"/>
        <v>0</v>
      </c>
      <c r="J169" s="37" t="e">
        <f t="shared" si="258"/>
        <v>#DIV/0!</v>
      </c>
      <c r="K169" s="37">
        <f t="shared" si="303"/>
        <v>441536</v>
      </c>
      <c r="L169" s="37">
        <f t="shared" si="259"/>
        <v>448.56494996688821</v>
      </c>
      <c r="M169" s="648"/>
      <c r="N169" s="422">
        <v>350</v>
      </c>
      <c r="O169" s="423"/>
      <c r="P169" s="423">
        <f t="shared" si="304"/>
        <v>350</v>
      </c>
      <c r="Q169" s="423">
        <f t="shared" si="305"/>
        <v>0</v>
      </c>
      <c r="R169" s="423">
        <f t="shared" si="306"/>
        <v>12500</v>
      </c>
      <c r="S169" s="68">
        <v>0</v>
      </c>
      <c r="T169" s="67">
        <v>24</v>
      </c>
      <c r="U169" s="68">
        <f t="shared" si="307"/>
        <v>0</v>
      </c>
      <c r="V169" s="68" t="e">
        <f t="shared" si="260"/>
        <v>#DIV/0!</v>
      </c>
      <c r="W169" s="423">
        <f t="shared" si="308"/>
        <v>12212.544</v>
      </c>
      <c r="X169" s="68">
        <f t="shared" si="261"/>
        <v>12.406959315499575</v>
      </c>
      <c r="Y169" s="500"/>
      <c r="Z169" s="424">
        <v>75</v>
      </c>
      <c r="AA169" s="425"/>
      <c r="AB169" s="425">
        <f t="shared" si="309"/>
        <v>75</v>
      </c>
      <c r="AC169" s="425">
        <f t="shared" si="310"/>
        <v>0</v>
      </c>
      <c r="AD169" s="425">
        <f t="shared" si="311"/>
        <v>2025</v>
      </c>
      <c r="AE169" s="72">
        <v>0</v>
      </c>
      <c r="AF169" s="71">
        <v>12</v>
      </c>
      <c r="AG169" s="72">
        <f t="shared" si="312"/>
        <v>0</v>
      </c>
      <c r="AH169" s="72" t="e">
        <f t="shared" si="278"/>
        <v>#DIV/0!</v>
      </c>
      <c r="AI169" s="425">
        <f t="shared" si="313"/>
        <v>1864.9320000000012</v>
      </c>
      <c r="AJ169" s="72">
        <f t="shared" si="346"/>
        <v>1.894620437000945</v>
      </c>
      <c r="AK169" s="502"/>
      <c r="AL169" s="491">
        <v>23607</v>
      </c>
      <c r="AM169" s="491"/>
      <c r="AN169" s="492">
        <f t="shared" si="353"/>
        <v>23607</v>
      </c>
      <c r="AO169" s="492">
        <f t="shared" si="354"/>
        <v>0</v>
      </c>
      <c r="AP169" s="492">
        <f t="shared" si="355"/>
        <v>59966</v>
      </c>
      <c r="AQ169" s="493">
        <f t="shared" si="279"/>
        <v>60.920617548092153</v>
      </c>
      <c r="AR169" s="504"/>
      <c r="AS169" s="413">
        <v>52876</v>
      </c>
      <c r="AT169" s="64"/>
      <c r="AU169" s="66">
        <f t="shared" si="314"/>
        <v>52876</v>
      </c>
      <c r="AV169" s="66">
        <f t="shared" si="262"/>
        <v>0</v>
      </c>
      <c r="AW169" s="412" t="e">
        <f t="shared" si="315"/>
        <v>#DIV/0!</v>
      </c>
      <c r="AX169" s="66">
        <f t="shared" si="316"/>
        <v>244739</v>
      </c>
      <c r="AY169" s="412">
        <f t="shared" si="317"/>
        <v>3.0844282957791038</v>
      </c>
      <c r="AZ169" s="506"/>
      <c r="BA169" s="419">
        <v>29480</v>
      </c>
      <c r="BB169" s="419"/>
      <c r="BC169" s="407"/>
      <c r="BD169" s="419">
        <f t="shared" si="280"/>
        <v>29480</v>
      </c>
      <c r="BE169" s="419">
        <f t="shared" si="281"/>
        <v>0</v>
      </c>
      <c r="BF169" s="407" t="e">
        <f t="shared" si="318"/>
        <v>#DIV/0!</v>
      </c>
      <c r="BG169" s="419">
        <f t="shared" si="356"/>
        <v>250950</v>
      </c>
      <c r="BH169" s="407">
        <f t="shared" si="319"/>
        <v>3.1627050892001933</v>
      </c>
      <c r="BI169" s="407">
        <f t="shared" si="320"/>
        <v>0.38727001092247271</v>
      </c>
      <c r="BJ169" s="508"/>
      <c r="BK169" s="510"/>
      <c r="BL169" s="49">
        <v>1915</v>
      </c>
      <c r="BM169" s="50"/>
      <c r="BN169" s="52">
        <f t="shared" si="321"/>
        <v>1915</v>
      </c>
      <c r="BO169" s="52">
        <f t="shared" si="263"/>
        <v>0</v>
      </c>
      <c r="BP169" s="406" t="e">
        <f t="shared" si="322"/>
        <v>#DIV/0!</v>
      </c>
      <c r="BQ169" s="52">
        <f t="shared" si="323"/>
        <v>34885</v>
      </c>
      <c r="BR169" s="406">
        <f t="shared" si="324"/>
        <v>0.43965318604004283</v>
      </c>
      <c r="BS169" s="512"/>
      <c r="BT169" s="409">
        <v>2207</v>
      </c>
      <c r="BU169" s="43"/>
      <c r="BV169" s="43">
        <f t="shared" si="350"/>
        <v>2207</v>
      </c>
      <c r="BW169" s="43">
        <f t="shared" si="351"/>
        <v>0</v>
      </c>
      <c r="BX169" s="42" t="e">
        <f t="shared" si="325"/>
        <v>#DIV/0!</v>
      </c>
      <c r="BY169" s="43">
        <f t="shared" si="352"/>
        <v>17230</v>
      </c>
      <c r="BZ169" s="42">
        <f t="shared" si="326"/>
        <v>0.21714847055955103</v>
      </c>
      <c r="CA169" s="514"/>
      <c r="CB169" s="392">
        <v>1984</v>
      </c>
      <c r="CC169" s="298"/>
      <c r="CD169" s="298">
        <f t="shared" si="282"/>
        <v>1984</v>
      </c>
      <c r="CE169" s="298">
        <f t="shared" si="264"/>
        <v>0</v>
      </c>
      <c r="CF169" s="297" t="e">
        <f t="shared" si="327"/>
        <v>#DIV/0!</v>
      </c>
      <c r="CG169" s="298">
        <f t="shared" si="328"/>
        <v>59366</v>
      </c>
      <c r="CH169" s="297">
        <f t="shared" si="329"/>
        <v>0.74818549641545595</v>
      </c>
      <c r="CI169" s="516"/>
      <c r="CJ169" s="659">
        <v>875</v>
      </c>
      <c r="CK169" s="651"/>
      <c r="CL169" s="657">
        <f t="shared" si="357"/>
        <v>875</v>
      </c>
      <c r="CM169" s="657">
        <f t="shared" si="358"/>
        <v>0</v>
      </c>
      <c r="CN169" s="659">
        <f t="shared" si="359"/>
        <v>22875</v>
      </c>
      <c r="CO169" s="464">
        <v>0</v>
      </c>
      <c r="CP169" s="465"/>
      <c r="CQ169" s="465">
        <f t="shared" si="283"/>
        <v>0</v>
      </c>
      <c r="CR169" s="465">
        <f t="shared" si="265"/>
        <v>0</v>
      </c>
      <c r="CS169" s="486" t="e">
        <f t="shared" si="330"/>
        <v>#DIV/0!</v>
      </c>
      <c r="CT169" s="465">
        <f t="shared" si="331"/>
        <v>1599</v>
      </c>
      <c r="CU169" s="486">
        <f t="shared" si="332"/>
        <v>2.0152083831962975E-2</v>
      </c>
      <c r="CV169" s="518"/>
      <c r="CW169" s="427">
        <v>0</v>
      </c>
      <c r="CX169" s="427"/>
      <c r="CY169" s="427">
        <f t="shared" si="333"/>
        <v>0</v>
      </c>
      <c r="CZ169" s="427">
        <f t="shared" si="334"/>
        <v>0</v>
      </c>
      <c r="DA169" s="607" t="e">
        <f t="shared" si="349"/>
        <v>#DIV/0!</v>
      </c>
      <c r="DB169" s="607">
        <f t="shared" si="335"/>
        <v>115</v>
      </c>
      <c r="DC169" s="607">
        <f t="shared" si="284"/>
        <v>1.4493368609604393E-3</v>
      </c>
      <c r="DD169" s="609"/>
      <c r="DE169" s="471">
        <v>13</v>
      </c>
      <c r="DF169" s="473"/>
      <c r="DG169" s="473">
        <f t="shared" si="285"/>
        <v>13</v>
      </c>
      <c r="DH169" s="473">
        <f t="shared" si="266"/>
        <v>0</v>
      </c>
      <c r="DI169" s="227" t="e">
        <f t="shared" si="336"/>
        <v>#DIV/0!</v>
      </c>
      <c r="DJ169" s="473">
        <f t="shared" si="337"/>
        <v>118.2</v>
      </c>
      <c r="DK169" s="227">
        <f t="shared" si="338"/>
        <v>1.4896662344828166E-3</v>
      </c>
      <c r="DL169" s="510"/>
      <c r="DM169" s="63">
        <v>70</v>
      </c>
      <c r="DN169" s="64"/>
      <c r="DO169" s="66">
        <f t="shared" si="339"/>
        <v>70</v>
      </c>
      <c r="DP169" s="66">
        <f t="shared" si="267"/>
        <v>0</v>
      </c>
      <c r="DQ169" s="412" t="e">
        <f t="shared" si="340"/>
        <v>#DIV/0!</v>
      </c>
      <c r="DR169" s="66">
        <f t="shared" si="341"/>
        <v>17930</v>
      </c>
      <c r="DS169" s="412">
        <f t="shared" si="342"/>
        <v>0.22597052101757109</v>
      </c>
      <c r="DT169" s="506"/>
      <c r="DU169" s="596">
        <v>0</v>
      </c>
      <c r="DV169" s="596"/>
      <c r="DW169" s="596">
        <f t="shared" si="286"/>
        <v>0</v>
      </c>
      <c r="DX169" s="596">
        <f t="shared" si="268"/>
        <v>0</v>
      </c>
      <c r="DY169" s="592" t="e">
        <f t="shared" si="287"/>
        <v>#DIV/0!</v>
      </c>
      <c r="DZ169" s="596">
        <f t="shared" si="343"/>
        <v>2800</v>
      </c>
      <c r="EA169" s="592">
        <f t="shared" si="288"/>
        <v>3.5288201832080257E-2</v>
      </c>
      <c r="EB169" s="594"/>
      <c r="EC169" s="448">
        <v>50</v>
      </c>
      <c r="ED169" s="449"/>
      <c r="EE169" s="449">
        <f t="shared" si="289"/>
        <v>50</v>
      </c>
      <c r="EF169" s="449">
        <f t="shared" si="269"/>
        <v>0</v>
      </c>
      <c r="EG169" s="450" t="e">
        <f t="shared" si="347"/>
        <v>#DIV/0!</v>
      </c>
      <c r="EH169" s="449">
        <f t="shared" si="344"/>
        <v>1015</v>
      </c>
      <c r="EI169" s="450">
        <f t="shared" si="348"/>
        <v>1.2791973164129094E-2</v>
      </c>
      <c r="EJ169" s="520"/>
      <c r="EK169" s="426">
        <v>3213</v>
      </c>
      <c r="EL169" s="427"/>
      <c r="EM169" s="427">
        <f t="shared" si="290"/>
        <v>3088</v>
      </c>
      <c r="EN169" s="427">
        <f t="shared" si="270"/>
        <v>125</v>
      </c>
      <c r="EO169" s="427">
        <f t="shared" si="291"/>
        <v>74434</v>
      </c>
      <c r="EP169" s="456">
        <v>0</v>
      </c>
      <c r="EQ169" s="457"/>
      <c r="ER169" s="457">
        <f t="shared" si="292"/>
        <v>0</v>
      </c>
      <c r="ES169" s="457">
        <f t="shared" si="271"/>
        <v>0</v>
      </c>
      <c r="ET169" s="457">
        <f t="shared" si="293"/>
        <v>1808</v>
      </c>
      <c r="EU169" s="409">
        <v>11</v>
      </c>
      <c r="EV169" s="43"/>
      <c r="EW169" s="43">
        <f t="shared" si="294"/>
        <v>11</v>
      </c>
      <c r="EX169" s="43">
        <f t="shared" si="272"/>
        <v>0</v>
      </c>
      <c r="EY169" s="43">
        <f t="shared" si="295"/>
        <v>829</v>
      </c>
      <c r="EZ169" s="436">
        <v>0</v>
      </c>
      <c r="FA169" s="437"/>
      <c r="FB169" s="437">
        <f t="shared" si="296"/>
        <v>0</v>
      </c>
      <c r="FC169" s="437">
        <f t="shared" si="273"/>
        <v>0</v>
      </c>
      <c r="FD169" s="437">
        <f t="shared" si="297"/>
        <v>890</v>
      </c>
      <c r="FE169" s="442">
        <v>149</v>
      </c>
      <c r="FF169" s="443"/>
      <c r="FG169" s="443">
        <f t="shared" si="298"/>
        <v>124</v>
      </c>
      <c r="FH169" s="443">
        <f t="shared" si="274"/>
        <v>25</v>
      </c>
      <c r="FI169" s="443">
        <f t="shared" si="299"/>
        <v>1076</v>
      </c>
      <c r="FJ169" s="392">
        <v>560</v>
      </c>
      <c r="FK169" s="298"/>
      <c r="FL169" s="298">
        <f t="shared" si="300"/>
        <v>550</v>
      </c>
      <c r="FM169" s="298">
        <f t="shared" si="275"/>
        <v>10</v>
      </c>
      <c r="FN169" s="498">
        <f t="shared" si="301"/>
        <v>3250</v>
      </c>
      <c r="HC169" s="402">
        <v>2400</v>
      </c>
      <c r="HD169" s="52"/>
      <c r="HE169" s="52">
        <f t="shared" si="302"/>
        <v>2400</v>
      </c>
      <c r="HF169" s="52">
        <f t="shared" si="276"/>
        <v>0</v>
      </c>
      <c r="HG169" s="51"/>
      <c r="HH169" s="52">
        <f t="shared" si="345"/>
        <v>400</v>
      </c>
      <c r="HI169" s="51"/>
      <c r="HJ169" s="1047"/>
    </row>
    <row r="170" spans="1:218">
      <c r="A170" s="807">
        <v>44833</v>
      </c>
      <c r="B170" s="390">
        <v>0</v>
      </c>
      <c r="C170" s="18">
        <f t="shared" si="256"/>
        <v>79346633</v>
      </c>
      <c r="D170" s="376">
        <v>0</v>
      </c>
      <c r="E170" s="417">
        <f t="shared" si="360"/>
        <v>984330.1399999999</v>
      </c>
      <c r="F170" s="397">
        <v>34871</v>
      </c>
      <c r="G170" s="37"/>
      <c r="H170" s="37">
        <f t="shared" si="277"/>
        <v>34871</v>
      </c>
      <c r="I170" s="37">
        <f t="shared" si="257"/>
        <v>0</v>
      </c>
      <c r="J170" s="37" t="e">
        <f t="shared" si="258"/>
        <v>#DIV/0!</v>
      </c>
      <c r="K170" s="37">
        <f t="shared" si="303"/>
        <v>441536</v>
      </c>
      <c r="L170" s="37">
        <f t="shared" si="259"/>
        <v>448.56494996688821</v>
      </c>
      <c r="M170" s="648"/>
      <c r="N170" s="422">
        <v>350</v>
      </c>
      <c r="O170" s="423"/>
      <c r="P170" s="423">
        <f t="shared" si="304"/>
        <v>350</v>
      </c>
      <c r="Q170" s="423">
        <f t="shared" si="305"/>
        <v>0</v>
      </c>
      <c r="R170" s="423">
        <f t="shared" si="306"/>
        <v>12500</v>
      </c>
      <c r="S170" s="68">
        <v>0</v>
      </c>
      <c r="T170" s="67">
        <v>24</v>
      </c>
      <c r="U170" s="68">
        <f t="shared" si="307"/>
        <v>0</v>
      </c>
      <c r="V170" s="68" t="e">
        <f t="shared" si="260"/>
        <v>#DIV/0!</v>
      </c>
      <c r="W170" s="423">
        <f t="shared" si="308"/>
        <v>12212.544</v>
      </c>
      <c r="X170" s="68">
        <f t="shared" si="261"/>
        <v>12.406959315499575</v>
      </c>
      <c r="Y170" s="500"/>
      <c r="Z170" s="424">
        <v>75</v>
      </c>
      <c r="AA170" s="425"/>
      <c r="AB170" s="425">
        <f t="shared" si="309"/>
        <v>75</v>
      </c>
      <c r="AC170" s="425">
        <f t="shared" si="310"/>
        <v>0</v>
      </c>
      <c r="AD170" s="425">
        <f t="shared" si="311"/>
        <v>2025</v>
      </c>
      <c r="AE170" s="72">
        <v>0</v>
      </c>
      <c r="AF170" s="71">
        <v>12</v>
      </c>
      <c r="AG170" s="72">
        <f t="shared" si="312"/>
        <v>0</v>
      </c>
      <c r="AH170" s="72" t="e">
        <f t="shared" si="278"/>
        <v>#DIV/0!</v>
      </c>
      <c r="AI170" s="425">
        <f t="shared" si="313"/>
        <v>1864.9320000000012</v>
      </c>
      <c r="AJ170" s="72">
        <f t="shared" si="346"/>
        <v>1.894620437000945</v>
      </c>
      <c r="AK170" s="502"/>
      <c r="AL170" s="491">
        <v>23607</v>
      </c>
      <c r="AM170" s="491"/>
      <c r="AN170" s="492">
        <f t="shared" si="353"/>
        <v>23607</v>
      </c>
      <c r="AO170" s="492">
        <f t="shared" si="354"/>
        <v>0</v>
      </c>
      <c r="AP170" s="492">
        <f t="shared" si="355"/>
        <v>59966</v>
      </c>
      <c r="AQ170" s="493">
        <f t="shared" si="279"/>
        <v>60.920617548092153</v>
      </c>
      <c r="AR170" s="504"/>
      <c r="AS170" s="413">
        <v>52876</v>
      </c>
      <c r="AT170" s="64"/>
      <c r="AU170" s="66">
        <f t="shared" si="314"/>
        <v>52876</v>
      </c>
      <c r="AV170" s="66">
        <f t="shared" si="262"/>
        <v>0</v>
      </c>
      <c r="AW170" s="412" t="e">
        <f t="shared" si="315"/>
        <v>#DIV/0!</v>
      </c>
      <c r="AX170" s="66">
        <f t="shared" si="316"/>
        <v>244739</v>
      </c>
      <c r="AY170" s="412">
        <f t="shared" si="317"/>
        <v>3.0844282957791038</v>
      </c>
      <c r="AZ170" s="506"/>
      <c r="BA170" s="419">
        <v>29480</v>
      </c>
      <c r="BB170" s="419"/>
      <c r="BC170" s="407"/>
      <c r="BD170" s="419">
        <f t="shared" si="280"/>
        <v>29480</v>
      </c>
      <c r="BE170" s="419">
        <f t="shared" si="281"/>
        <v>0</v>
      </c>
      <c r="BF170" s="407" t="e">
        <f t="shared" si="318"/>
        <v>#DIV/0!</v>
      </c>
      <c r="BG170" s="419">
        <f t="shared" si="356"/>
        <v>250950</v>
      </c>
      <c r="BH170" s="407">
        <f t="shared" si="319"/>
        <v>3.1627050892001933</v>
      </c>
      <c r="BI170" s="407">
        <f t="shared" si="320"/>
        <v>0.38727001092247271</v>
      </c>
      <c r="BJ170" s="508"/>
      <c r="BK170" s="510"/>
      <c r="BL170" s="49">
        <v>1915</v>
      </c>
      <c r="BM170" s="50"/>
      <c r="BN170" s="52">
        <f t="shared" si="321"/>
        <v>1915</v>
      </c>
      <c r="BO170" s="52">
        <f t="shared" si="263"/>
        <v>0</v>
      </c>
      <c r="BP170" s="406" t="e">
        <f t="shared" si="322"/>
        <v>#DIV/0!</v>
      </c>
      <c r="BQ170" s="52">
        <f t="shared" si="323"/>
        <v>34885</v>
      </c>
      <c r="BR170" s="406">
        <f t="shared" si="324"/>
        <v>0.43965318604004283</v>
      </c>
      <c r="BS170" s="512"/>
      <c r="BT170" s="409">
        <v>2207</v>
      </c>
      <c r="BU170" s="43"/>
      <c r="BV170" s="43">
        <f t="shared" si="350"/>
        <v>2207</v>
      </c>
      <c r="BW170" s="43">
        <f t="shared" si="351"/>
        <v>0</v>
      </c>
      <c r="BX170" s="42" t="e">
        <f t="shared" si="325"/>
        <v>#DIV/0!</v>
      </c>
      <c r="BY170" s="43">
        <f t="shared" si="352"/>
        <v>17230</v>
      </c>
      <c r="BZ170" s="42">
        <f t="shared" si="326"/>
        <v>0.21714847055955103</v>
      </c>
      <c r="CA170" s="514"/>
      <c r="CB170" s="392">
        <v>1984</v>
      </c>
      <c r="CC170" s="298"/>
      <c r="CD170" s="298">
        <f t="shared" si="282"/>
        <v>1984</v>
      </c>
      <c r="CE170" s="298">
        <f t="shared" si="264"/>
        <v>0</v>
      </c>
      <c r="CF170" s="297" t="e">
        <f t="shared" si="327"/>
        <v>#DIV/0!</v>
      </c>
      <c r="CG170" s="298">
        <f t="shared" si="328"/>
        <v>59366</v>
      </c>
      <c r="CH170" s="297">
        <f t="shared" si="329"/>
        <v>0.74818549641545595</v>
      </c>
      <c r="CI170" s="516"/>
      <c r="CJ170" s="659">
        <v>875</v>
      </c>
      <c r="CK170" s="651"/>
      <c r="CL170" s="657">
        <f t="shared" si="357"/>
        <v>875</v>
      </c>
      <c r="CM170" s="657">
        <f t="shared" si="358"/>
        <v>0</v>
      </c>
      <c r="CN170" s="659">
        <f t="shared" si="359"/>
        <v>22875</v>
      </c>
      <c r="CO170" s="464">
        <v>0</v>
      </c>
      <c r="CP170" s="465"/>
      <c r="CQ170" s="465">
        <f t="shared" si="283"/>
        <v>0</v>
      </c>
      <c r="CR170" s="465">
        <f t="shared" si="265"/>
        <v>0</v>
      </c>
      <c r="CS170" s="486" t="e">
        <f t="shared" si="330"/>
        <v>#DIV/0!</v>
      </c>
      <c r="CT170" s="465">
        <f t="shared" si="331"/>
        <v>1599</v>
      </c>
      <c r="CU170" s="486">
        <f t="shared" si="332"/>
        <v>2.0152083831962975E-2</v>
      </c>
      <c r="CV170" s="518"/>
      <c r="CW170" s="427">
        <v>0</v>
      </c>
      <c r="CX170" s="427"/>
      <c r="CY170" s="427">
        <f t="shared" si="333"/>
        <v>0</v>
      </c>
      <c r="CZ170" s="427">
        <f t="shared" si="334"/>
        <v>0</v>
      </c>
      <c r="DA170" s="607" t="e">
        <f t="shared" si="349"/>
        <v>#DIV/0!</v>
      </c>
      <c r="DB170" s="607">
        <f t="shared" si="335"/>
        <v>115</v>
      </c>
      <c r="DC170" s="607">
        <f t="shared" si="284"/>
        <v>1.4493368609604393E-3</v>
      </c>
      <c r="DD170" s="609"/>
      <c r="DE170" s="471">
        <v>13</v>
      </c>
      <c r="DF170" s="473"/>
      <c r="DG170" s="473">
        <f t="shared" si="285"/>
        <v>13</v>
      </c>
      <c r="DH170" s="473">
        <f t="shared" si="266"/>
        <v>0</v>
      </c>
      <c r="DI170" s="227" t="e">
        <f t="shared" si="336"/>
        <v>#DIV/0!</v>
      </c>
      <c r="DJ170" s="473">
        <f t="shared" si="337"/>
        <v>118.2</v>
      </c>
      <c r="DK170" s="227">
        <f t="shared" si="338"/>
        <v>1.4896662344828166E-3</v>
      </c>
      <c r="DL170" s="510"/>
      <c r="DM170" s="63">
        <v>70</v>
      </c>
      <c r="DN170" s="64"/>
      <c r="DO170" s="66">
        <f t="shared" si="339"/>
        <v>70</v>
      </c>
      <c r="DP170" s="66">
        <f t="shared" si="267"/>
        <v>0</v>
      </c>
      <c r="DQ170" s="412" t="e">
        <f t="shared" si="340"/>
        <v>#DIV/0!</v>
      </c>
      <c r="DR170" s="66">
        <f t="shared" si="341"/>
        <v>17930</v>
      </c>
      <c r="DS170" s="412">
        <f t="shared" si="342"/>
        <v>0.22597052101757109</v>
      </c>
      <c r="DT170" s="506"/>
      <c r="DU170" s="596">
        <v>0</v>
      </c>
      <c r="DV170" s="596"/>
      <c r="DW170" s="596">
        <f t="shared" si="286"/>
        <v>0</v>
      </c>
      <c r="DX170" s="596">
        <f t="shared" si="268"/>
        <v>0</v>
      </c>
      <c r="DY170" s="592" t="e">
        <f t="shared" si="287"/>
        <v>#DIV/0!</v>
      </c>
      <c r="DZ170" s="596">
        <f t="shared" si="343"/>
        <v>2800</v>
      </c>
      <c r="EA170" s="592">
        <f t="shared" si="288"/>
        <v>3.5288201832080257E-2</v>
      </c>
      <c r="EB170" s="594"/>
      <c r="EC170" s="448">
        <v>50</v>
      </c>
      <c r="ED170" s="449"/>
      <c r="EE170" s="449">
        <f t="shared" si="289"/>
        <v>50</v>
      </c>
      <c r="EF170" s="449">
        <f t="shared" si="269"/>
        <v>0</v>
      </c>
      <c r="EG170" s="450" t="e">
        <f t="shared" si="347"/>
        <v>#DIV/0!</v>
      </c>
      <c r="EH170" s="449">
        <f t="shared" si="344"/>
        <v>1015</v>
      </c>
      <c r="EI170" s="450">
        <f t="shared" si="348"/>
        <v>1.2791973164129094E-2</v>
      </c>
      <c r="EJ170" s="520"/>
      <c r="EK170" s="426">
        <v>3088</v>
      </c>
      <c r="EL170" s="427"/>
      <c r="EM170" s="427">
        <f t="shared" si="290"/>
        <v>3088</v>
      </c>
      <c r="EN170" s="427">
        <f t="shared" si="270"/>
        <v>0</v>
      </c>
      <c r="EO170" s="427">
        <f t="shared" si="291"/>
        <v>74434</v>
      </c>
      <c r="EP170" s="456">
        <v>0</v>
      </c>
      <c r="EQ170" s="457"/>
      <c r="ER170" s="457">
        <f t="shared" si="292"/>
        <v>0</v>
      </c>
      <c r="ES170" s="457">
        <f t="shared" si="271"/>
        <v>0</v>
      </c>
      <c r="ET170" s="457">
        <f t="shared" si="293"/>
        <v>1808</v>
      </c>
      <c r="EU170" s="409">
        <v>11</v>
      </c>
      <c r="EV170" s="43"/>
      <c r="EW170" s="43">
        <f t="shared" si="294"/>
        <v>11</v>
      </c>
      <c r="EX170" s="43">
        <f t="shared" si="272"/>
        <v>0</v>
      </c>
      <c r="EY170" s="43">
        <f t="shared" si="295"/>
        <v>829</v>
      </c>
      <c r="EZ170" s="436">
        <v>0</v>
      </c>
      <c r="FA170" s="437"/>
      <c r="FB170" s="437">
        <f t="shared" si="296"/>
        <v>0</v>
      </c>
      <c r="FC170" s="437">
        <f t="shared" si="273"/>
        <v>0</v>
      </c>
      <c r="FD170" s="437">
        <f t="shared" si="297"/>
        <v>890</v>
      </c>
      <c r="FE170" s="442">
        <v>124</v>
      </c>
      <c r="FF170" s="443"/>
      <c r="FG170" s="443">
        <f t="shared" si="298"/>
        <v>124</v>
      </c>
      <c r="FH170" s="443">
        <f t="shared" si="274"/>
        <v>0</v>
      </c>
      <c r="FI170" s="443">
        <f t="shared" si="299"/>
        <v>1076</v>
      </c>
      <c r="FJ170" s="392">
        <v>550</v>
      </c>
      <c r="FK170" s="298"/>
      <c r="FL170" s="298">
        <f t="shared" si="300"/>
        <v>550</v>
      </c>
      <c r="FM170" s="298">
        <f t="shared" si="275"/>
        <v>0</v>
      </c>
      <c r="FN170" s="498">
        <f t="shared" si="301"/>
        <v>3250</v>
      </c>
      <c r="HC170" s="402">
        <v>2400</v>
      </c>
      <c r="HD170" s="52"/>
      <c r="HE170" s="52">
        <f t="shared" si="302"/>
        <v>2400</v>
      </c>
      <c r="HF170" s="52">
        <f t="shared" si="276"/>
        <v>0</v>
      </c>
      <c r="HG170" s="51"/>
      <c r="HH170" s="52">
        <f t="shared" si="345"/>
        <v>400</v>
      </c>
      <c r="HI170" s="51"/>
      <c r="HJ170" s="1047"/>
    </row>
    <row r="171" spans="1:218" ht="15.75" thickBot="1">
      <c r="A171" s="808">
        <v>44834</v>
      </c>
      <c r="B171" s="482">
        <v>0</v>
      </c>
      <c r="C171" s="483">
        <f t="shared" si="256"/>
        <v>79346633</v>
      </c>
      <c r="D171" s="377">
        <v>0</v>
      </c>
      <c r="E171" s="484">
        <f t="shared" si="360"/>
        <v>984330.1399999999</v>
      </c>
      <c r="F171" s="399">
        <v>34871</v>
      </c>
      <c r="G171" s="400"/>
      <c r="H171" s="400">
        <f t="shared" si="277"/>
        <v>34871</v>
      </c>
      <c r="I171" s="400">
        <f t="shared" si="257"/>
        <v>0</v>
      </c>
      <c r="J171" s="400" t="e">
        <f t="shared" si="258"/>
        <v>#DIV/0!</v>
      </c>
      <c r="K171" s="400">
        <f t="shared" si="303"/>
        <v>441536</v>
      </c>
      <c r="L171" s="400">
        <f t="shared" si="259"/>
        <v>448.56494996688821</v>
      </c>
      <c r="M171" s="649"/>
      <c r="N171" s="477">
        <v>350</v>
      </c>
      <c r="O171" s="478"/>
      <c r="P171" s="478">
        <f t="shared" si="304"/>
        <v>350</v>
      </c>
      <c r="Q171" s="478">
        <f t="shared" si="305"/>
        <v>0</v>
      </c>
      <c r="R171" s="478">
        <f t="shared" si="306"/>
        <v>12500</v>
      </c>
      <c r="S171" s="111">
        <v>0</v>
      </c>
      <c r="T171" s="101">
        <v>24</v>
      </c>
      <c r="U171" s="111">
        <f t="shared" si="307"/>
        <v>0</v>
      </c>
      <c r="V171" s="111" t="e">
        <f t="shared" si="260"/>
        <v>#DIV/0!</v>
      </c>
      <c r="W171" s="478">
        <f t="shared" si="308"/>
        <v>12212.544</v>
      </c>
      <c r="X171" s="111">
        <f t="shared" si="261"/>
        <v>12.406959315499575</v>
      </c>
      <c r="Y171" s="501"/>
      <c r="Z171" s="479">
        <v>75</v>
      </c>
      <c r="AA171" s="480"/>
      <c r="AB171" s="480">
        <f t="shared" si="309"/>
        <v>75</v>
      </c>
      <c r="AC171" s="480">
        <f t="shared" si="310"/>
        <v>0</v>
      </c>
      <c r="AD171" s="480">
        <f t="shared" si="311"/>
        <v>2025</v>
      </c>
      <c r="AE171" s="105">
        <v>0</v>
      </c>
      <c r="AF171" s="104">
        <v>12</v>
      </c>
      <c r="AG171" s="105">
        <f t="shared" si="312"/>
        <v>0</v>
      </c>
      <c r="AH171" s="105" t="e">
        <f t="shared" si="278"/>
        <v>#DIV/0!</v>
      </c>
      <c r="AI171" s="480">
        <f t="shared" si="313"/>
        <v>1864.9320000000012</v>
      </c>
      <c r="AJ171" s="105">
        <f t="shared" si="346"/>
        <v>1.894620437000945</v>
      </c>
      <c r="AK171" s="503"/>
      <c r="AL171" s="494">
        <v>23607</v>
      </c>
      <c r="AM171" s="494"/>
      <c r="AN171" s="495">
        <f t="shared" si="353"/>
        <v>23607</v>
      </c>
      <c r="AO171" s="495">
        <f t="shared" si="354"/>
        <v>0</v>
      </c>
      <c r="AP171" s="495">
        <f t="shared" si="355"/>
        <v>59966</v>
      </c>
      <c r="AQ171" s="496">
        <f t="shared" si="279"/>
        <v>60.920617548092153</v>
      </c>
      <c r="AR171" s="505"/>
      <c r="AS171" s="414">
        <v>52876</v>
      </c>
      <c r="AT171" s="85"/>
      <c r="AU171" s="415">
        <f t="shared" si="314"/>
        <v>52876</v>
      </c>
      <c r="AV171" s="415">
        <f t="shared" si="262"/>
        <v>0</v>
      </c>
      <c r="AW171" s="481" t="e">
        <f t="shared" si="315"/>
        <v>#DIV/0!</v>
      </c>
      <c r="AX171" s="415">
        <f t="shared" si="316"/>
        <v>244739</v>
      </c>
      <c r="AY171" s="481">
        <f t="shared" si="317"/>
        <v>3.0844282957791038</v>
      </c>
      <c r="AZ171" s="507"/>
      <c r="BA171" s="421">
        <v>29480</v>
      </c>
      <c r="BB171" s="421"/>
      <c r="BC171" s="408"/>
      <c r="BD171" s="421">
        <f t="shared" si="280"/>
        <v>29480</v>
      </c>
      <c r="BE171" s="421">
        <f t="shared" si="281"/>
        <v>0</v>
      </c>
      <c r="BF171" s="408" t="e">
        <f t="shared" si="318"/>
        <v>#DIV/0!</v>
      </c>
      <c r="BG171" s="421">
        <f t="shared" si="356"/>
        <v>250950</v>
      </c>
      <c r="BH171" s="408">
        <f t="shared" si="319"/>
        <v>3.1627050892001933</v>
      </c>
      <c r="BI171" s="408">
        <f t="shared" si="320"/>
        <v>0.38727001092247271</v>
      </c>
      <c r="BJ171" s="509"/>
      <c r="BK171" s="511"/>
      <c r="BL171" s="83">
        <v>1915</v>
      </c>
      <c r="BM171" s="82"/>
      <c r="BN171" s="405">
        <f t="shared" si="321"/>
        <v>1915</v>
      </c>
      <c r="BO171" s="405">
        <f t="shared" si="263"/>
        <v>0</v>
      </c>
      <c r="BP171" s="485" t="e">
        <f t="shared" si="322"/>
        <v>#DIV/0!</v>
      </c>
      <c r="BQ171" s="405">
        <f t="shared" si="323"/>
        <v>34885</v>
      </c>
      <c r="BR171" s="485">
        <f t="shared" si="324"/>
        <v>0.43965318604004283</v>
      </c>
      <c r="BS171" s="513"/>
      <c r="BT171" s="432">
        <v>2207</v>
      </c>
      <c r="BU171" s="433"/>
      <c r="BV171" s="433">
        <f t="shared" si="350"/>
        <v>2207</v>
      </c>
      <c r="BW171" s="433">
        <f t="shared" si="351"/>
        <v>0</v>
      </c>
      <c r="BX171" s="97" t="e">
        <f t="shared" si="325"/>
        <v>#DIV/0!</v>
      </c>
      <c r="BY171" s="433">
        <f t="shared" si="352"/>
        <v>17230</v>
      </c>
      <c r="BZ171" s="97">
        <f t="shared" si="326"/>
        <v>0.21714847055955103</v>
      </c>
      <c r="CA171" s="515"/>
      <c r="CB171" s="393">
        <v>1984</v>
      </c>
      <c r="CC171" s="394"/>
      <c r="CD171" s="394">
        <f t="shared" si="282"/>
        <v>1984</v>
      </c>
      <c r="CE171" s="394">
        <f t="shared" si="264"/>
        <v>0</v>
      </c>
      <c r="CF171" s="300" t="e">
        <f t="shared" si="327"/>
        <v>#DIV/0!</v>
      </c>
      <c r="CG171" s="394">
        <f t="shared" si="328"/>
        <v>59366</v>
      </c>
      <c r="CH171" s="300">
        <f t="shared" si="329"/>
        <v>0.74818549641545595</v>
      </c>
      <c r="CI171" s="517"/>
      <c r="CJ171" s="661">
        <v>875</v>
      </c>
      <c r="CK171" s="652"/>
      <c r="CL171" s="658">
        <f t="shared" si="357"/>
        <v>875</v>
      </c>
      <c r="CM171" s="658">
        <f t="shared" si="358"/>
        <v>0</v>
      </c>
      <c r="CN171" s="661">
        <f t="shared" si="359"/>
        <v>22875</v>
      </c>
      <c r="CO171" s="467">
        <v>0</v>
      </c>
      <c r="CP171" s="468"/>
      <c r="CQ171" s="468">
        <f t="shared" si="283"/>
        <v>0</v>
      </c>
      <c r="CR171" s="468">
        <f t="shared" si="265"/>
        <v>0</v>
      </c>
      <c r="CS171" s="487" t="e">
        <f t="shared" si="330"/>
        <v>#DIV/0!</v>
      </c>
      <c r="CT171" s="468">
        <f t="shared" si="331"/>
        <v>1599</v>
      </c>
      <c r="CU171" s="487">
        <f t="shared" si="332"/>
        <v>2.0152083831962975E-2</v>
      </c>
      <c r="CV171" s="519"/>
      <c r="CW171" s="429">
        <v>0</v>
      </c>
      <c r="CX171" s="429"/>
      <c r="CY171" s="429">
        <f t="shared" si="333"/>
        <v>0</v>
      </c>
      <c r="CZ171" s="429">
        <f t="shared" si="334"/>
        <v>0</v>
      </c>
      <c r="DA171" s="608" t="e">
        <f t="shared" si="349"/>
        <v>#DIV/0!</v>
      </c>
      <c r="DB171" s="608">
        <f t="shared" si="335"/>
        <v>115</v>
      </c>
      <c r="DC171" s="608">
        <f t="shared" si="284"/>
        <v>1.4493368609604393E-3</v>
      </c>
      <c r="DD171" s="610"/>
      <c r="DE171" s="472">
        <v>13</v>
      </c>
      <c r="DF171" s="474"/>
      <c r="DG171" s="474">
        <f t="shared" si="285"/>
        <v>13</v>
      </c>
      <c r="DH171" s="474">
        <f t="shared" si="266"/>
        <v>0</v>
      </c>
      <c r="DI171" s="228" t="e">
        <f t="shared" si="336"/>
        <v>#DIV/0!</v>
      </c>
      <c r="DJ171" s="474">
        <f t="shared" si="337"/>
        <v>118.2</v>
      </c>
      <c r="DK171" s="228">
        <f t="shared" si="338"/>
        <v>1.4896662344828166E-3</v>
      </c>
      <c r="DL171" s="511"/>
      <c r="DM171" s="207">
        <v>70</v>
      </c>
      <c r="DN171" s="85"/>
      <c r="DO171" s="415">
        <f t="shared" si="339"/>
        <v>70</v>
      </c>
      <c r="DP171" s="415">
        <f t="shared" si="267"/>
        <v>0</v>
      </c>
      <c r="DQ171" s="481" t="e">
        <f t="shared" si="340"/>
        <v>#DIV/0!</v>
      </c>
      <c r="DR171" s="415">
        <f t="shared" si="341"/>
        <v>17930</v>
      </c>
      <c r="DS171" s="481">
        <f t="shared" si="342"/>
        <v>0.22597052101757109</v>
      </c>
      <c r="DT171" s="507"/>
      <c r="DU171" s="597">
        <v>0</v>
      </c>
      <c r="DV171" s="597"/>
      <c r="DW171" s="597">
        <f t="shared" si="286"/>
        <v>0</v>
      </c>
      <c r="DX171" s="597">
        <f t="shared" si="268"/>
        <v>0</v>
      </c>
      <c r="DY171" s="593" t="e">
        <f t="shared" si="287"/>
        <v>#DIV/0!</v>
      </c>
      <c r="DZ171" s="597">
        <f t="shared" si="343"/>
        <v>2800</v>
      </c>
      <c r="EA171" s="593">
        <f t="shared" si="288"/>
        <v>3.5288201832080257E-2</v>
      </c>
      <c r="EB171" s="595"/>
      <c r="EC171" s="451">
        <v>50</v>
      </c>
      <c r="ED171" s="452"/>
      <c r="EE171" s="452">
        <f t="shared" si="289"/>
        <v>50</v>
      </c>
      <c r="EF171" s="452">
        <f t="shared" si="269"/>
        <v>0</v>
      </c>
      <c r="EG171" s="453" t="e">
        <f t="shared" si="347"/>
        <v>#DIV/0!</v>
      </c>
      <c r="EH171" s="452">
        <f t="shared" si="344"/>
        <v>1015</v>
      </c>
      <c r="EI171" s="453">
        <f t="shared" si="348"/>
        <v>1.2791973164129094E-2</v>
      </c>
      <c r="EJ171" s="521"/>
      <c r="EK171" s="428">
        <v>3088</v>
      </c>
      <c r="EL171" s="429"/>
      <c r="EM171" s="429">
        <f t="shared" si="290"/>
        <v>3088</v>
      </c>
      <c r="EN171" s="429">
        <f t="shared" si="270"/>
        <v>0</v>
      </c>
      <c r="EO171" s="429">
        <f t="shared" si="291"/>
        <v>74434</v>
      </c>
      <c r="EP171" s="458">
        <v>0</v>
      </c>
      <c r="EQ171" s="459"/>
      <c r="ER171" s="459">
        <f t="shared" si="292"/>
        <v>0</v>
      </c>
      <c r="ES171" s="459">
        <f t="shared" si="271"/>
        <v>0</v>
      </c>
      <c r="ET171" s="459">
        <f t="shared" si="293"/>
        <v>1808</v>
      </c>
      <c r="EU171" s="432">
        <v>11</v>
      </c>
      <c r="EV171" s="433"/>
      <c r="EW171" s="433">
        <f t="shared" si="294"/>
        <v>11</v>
      </c>
      <c r="EX171" s="433">
        <f t="shared" si="272"/>
        <v>0</v>
      </c>
      <c r="EY171" s="433">
        <f t="shared" si="295"/>
        <v>829</v>
      </c>
      <c r="EZ171" s="438">
        <v>0</v>
      </c>
      <c r="FA171" s="439"/>
      <c r="FB171" s="439">
        <f t="shared" si="296"/>
        <v>0</v>
      </c>
      <c r="FC171" s="439">
        <f t="shared" si="273"/>
        <v>0</v>
      </c>
      <c r="FD171" s="439">
        <f t="shared" si="297"/>
        <v>890</v>
      </c>
      <c r="FE171" s="444">
        <v>124</v>
      </c>
      <c r="FF171" s="445"/>
      <c r="FG171" s="445">
        <f t="shared" si="298"/>
        <v>124</v>
      </c>
      <c r="FH171" s="445">
        <f t="shared" si="274"/>
        <v>0</v>
      </c>
      <c r="FI171" s="445">
        <f t="shared" si="299"/>
        <v>1076</v>
      </c>
      <c r="FJ171" s="393">
        <v>550</v>
      </c>
      <c r="FK171" s="394"/>
      <c r="FL171" s="394">
        <f t="shared" si="300"/>
        <v>550</v>
      </c>
      <c r="FM171" s="394">
        <f t="shared" si="275"/>
        <v>0</v>
      </c>
      <c r="FN171" s="499">
        <f t="shared" si="301"/>
        <v>3250</v>
      </c>
      <c r="FO171" s="329"/>
      <c r="FP171" s="329"/>
      <c r="FQ171" s="329"/>
      <c r="FR171" s="329"/>
      <c r="FS171" s="329"/>
      <c r="FT171" s="329"/>
      <c r="FU171" s="329"/>
      <c r="FV171" s="329"/>
      <c r="FW171" s="329"/>
      <c r="FX171" s="329"/>
      <c r="FY171" s="329"/>
      <c r="FZ171" s="329"/>
      <c r="GA171" s="329"/>
      <c r="GB171" s="329"/>
      <c r="GC171" s="329"/>
      <c r="GD171" s="329"/>
      <c r="GE171" s="329"/>
      <c r="GF171" s="329"/>
      <c r="GG171" s="329"/>
      <c r="GH171" s="329"/>
      <c r="GI171" s="329"/>
      <c r="GJ171" s="329"/>
      <c r="GK171" s="329"/>
      <c r="GL171" s="329"/>
      <c r="GM171" s="329"/>
      <c r="GN171" s="329"/>
      <c r="GO171" s="329"/>
      <c r="GP171" s="329"/>
      <c r="GQ171" s="329"/>
      <c r="GR171" s="329"/>
      <c r="GS171" s="329"/>
      <c r="GT171" s="329"/>
      <c r="GU171" s="329"/>
      <c r="GV171" s="329"/>
      <c r="GW171" s="329"/>
      <c r="GX171" s="329"/>
      <c r="GY171" s="329"/>
      <c r="GZ171" s="329"/>
      <c r="HA171" s="329"/>
      <c r="HB171" s="329"/>
      <c r="HC171" s="403">
        <v>2400</v>
      </c>
      <c r="HD171" s="405"/>
      <c r="HE171" s="405">
        <f t="shared" si="302"/>
        <v>2400</v>
      </c>
      <c r="HF171" s="405">
        <f t="shared" si="276"/>
        <v>0</v>
      </c>
      <c r="HG171" s="84"/>
      <c r="HH171" s="405">
        <f t="shared" si="345"/>
        <v>400</v>
      </c>
      <c r="HI171" s="84"/>
      <c r="HJ171" s="1048"/>
    </row>
    <row r="172" spans="1:218">
      <c r="A172" s="810">
        <v>44835</v>
      </c>
      <c r="B172" s="390">
        <v>0</v>
      </c>
      <c r="C172" s="18">
        <f t="shared" si="256"/>
        <v>79346633</v>
      </c>
      <c r="D172" s="376">
        <v>0</v>
      </c>
      <c r="E172" s="417">
        <f t="shared" si="360"/>
        <v>984330.1399999999</v>
      </c>
      <c r="F172" s="397">
        <v>34871</v>
      </c>
      <c r="G172" s="37"/>
      <c r="H172" s="37">
        <f t="shared" si="277"/>
        <v>34871</v>
      </c>
      <c r="I172" s="37">
        <f t="shared" si="257"/>
        <v>0</v>
      </c>
      <c r="J172" s="37" t="e">
        <f t="shared" si="258"/>
        <v>#DIV/0!</v>
      </c>
      <c r="K172" s="37">
        <f t="shared" si="303"/>
        <v>441536</v>
      </c>
      <c r="L172" s="37">
        <f t="shared" si="259"/>
        <v>448.56494996688821</v>
      </c>
      <c r="M172" s="648"/>
      <c r="N172" s="422">
        <v>350</v>
      </c>
      <c r="O172" s="423"/>
      <c r="P172" s="423">
        <f t="shared" si="304"/>
        <v>350</v>
      </c>
      <c r="Q172" s="423">
        <f t="shared" si="305"/>
        <v>0</v>
      </c>
      <c r="R172" s="423">
        <f t="shared" si="306"/>
        <v>12500</v>
      </c>
      <c r="S172" s="68">
        <v>0</v>
      </c>
      <c r="T172" s="67">
        <v>24</v>
      </c>
      <c r="U172" s="68">
        <f t="shared" si="307"/>
        <v>0</v>
      </c>
      <c r="V172" s="68" t="e">
        <f t="shared" si="260"/>
        <v>#DIV/0!</v>
      </c>
      <c r="W172" s="423">
        <f t="shared" si="308"/>
        <v>12212.544</v>
      </c>
      <c r="X172" s="68">
        <f t="shared" si="261"/>
        <v>12.406959315499575</v>
      </c>
      <c r="Y172" s="500"/>
      <c r="Z172" s="424">
        <v>75</v>
      </c>
      <c r="AA172" s="425"/>
      <c r="AB172" s="425">
        <f t="shared" si="309"/>
        <v>75</v>
      </c>
      <c r="AC172" s="425">
        <f t="shared" si="310"/>
        <v>0</v>
      </c>
      <c r="AD172" s="425">
        <f t="shared" si="311"/>
        <v>2025</v>
      </c>
      <c r="AE172" s="72">
        <v>0</v>
      </c>
      <c r="AF172" s="71">
        <v>12</v>
      </c>
      <c r="AG172" s="72">
        <f t="shared" si="312"/>
        <v>0</v>
      </c>
      <c r="AH172" s="72" t="e">
        <f t="shared" si="278"/>
        <v>#DIV/0!</v>
      </c>
      <c r="AI172" s="425">
        <f t="shared" si="313"/>
        <v>1864.9320000000012</v>
      </c>
      <c r="AJ172" s="72">
        <f t="shared" si="346"/>
        <v>1.894620437000945</v>
      </c>
      <c r="AK172" s="502"/>
      <c r="AL172" s="491">
        <v>23607</v>
      </c>
      <c r="AM172" s="491"/>
      <c r="AN172" s="492">
        <f t="shared" si="353"/>
        <v>23607</v>
      </c>
      <c r="AO172" s="492">
        <f t="shared" si="354"/>
        <v>0</v>
      </c>
      <c r="AP172" s="492">
        <f t="shared" si="355"/>
        <v>59966</v>
      </c>
      <c r="AQ172" s="493">
        <f t="shared" si="279"/>
        <v>60.920617548092153</v>
      </c>
      <c r="AR172" s="504"/>
      <c r="AS172" s="413">
        <v>52876</v>
      </c>
      <c r="AT172" s="133"/>
      <c r="AU172" s="66">
        <f t="shared" si="314"/>
        <v>52876</v>
      </c>
      <c r="AV172" s="66">
        <f t="shared" si="262"/>
        <v>0</v>
      </c>
      <c r="AW172" s="412" t="e">
        <f t="shared" si="315"/>
        <v>#DIV/0!</v>
      </c>
      <c r="AX172" s="66">
        <f t="shared" si="316"/>
        <v>244739</v>
      </c>
      <c r="AY172" s="412">
        <f t="shared" si="317"/>
        <v>3.0844282957791038</v>
      </c>
      <c r="AZ172" s="506"/>
      <c r="BA172" s="419">
        <v>29480</v>
      </c>
      <c r="BB172" s="419"/>
      <c r="BC172" s="407"/>
      <c r="BD172" s="419">
        <f t="shared" si="280"/>
        <v>29480</v>
      </c>
      <c r="BE172" s="419">
        <f t="shared" si="281"/>
        <v>0</v>
      </c>
      <c r="BF172" s="407" t="e">
        <f t="shared" si="318"/>
        <v>#DIV/0!</v>
      </c>
      <c r="BG172" s="419">
        <f t="shared" si="356"/>
        <v>250950</v>
      </c>
      <c r="BH172" s="407">
        <f t="shared" si="319"/>
        <v>3.1627050892001933</v>
      </c>
      <c r="BI172" s="407">
        <f t="shared" si="320"/>
        <v>0.38727001092247271</v>
      </c>
      <c r="BJ172" s="508"/>
      <c r="BK172" s="510"/>
      <c r="BL172" s="49">
        <v>1915</v>
      </c>
      <c r="BM172" s="248"/>
      <c r="BN172" s="52">
        <f t="shared" si="321"/>
        <v>1915</v>
      </c>
      <c r="BO172" s="52">
        <f t="shared" si="263"/>
        <v>0</v>
      </c>
      <c r="BP172" s="406" t="e">
        <f t="shared" si="322"/>
        <v>#DIV/0!</v>
      </c>
      <c r="BQ172" s="52">
        <f t="shared" si="323"/>
        <v>34885</v>
      </c>
      <c r="BR172" s="406">
        <f t="shared" si="324"/>
        <v>0.43965318604004283</v>
      </c>
      <c r="BS172" s="512"/>
      <c r="BT172" s="409">
        <v>2207</v>
      </c>
      <c r="BU172" s="43"/>
      <c r="BV172" s="43">
        <f t="shared" si="350"/>
        <v>2207</v>
      </c>
      <c r="BW172" s="43">
        <f t="shared" si="351"/>
        <v>0</v>
      </c>
      <c r="BX172" s="42" t="e">
        <f t="shared" si="325"/>
        <v>#DIV/0!</v>
      </c>
      <c r="BY172" s="43">
        <f t="shared" si="352"/>
        <v>17230</v>
      </c>
      <c r="BZ172" s="42">
        <f t="shared" si="326"/>
        <v>0.21714847055955103</v>
      </c>
      <c r="CA172" s="514"/>
      <c r="CB172" s="392">
        <v>1984</v>
      </c>
      <c r="CC172" s="395"/>
      <c r="CD172" s="298">
        <f t="shared" si="282"/>
        <v>1984</v>
      </c>
      <c r="CE172" s="298">
        <f t="shared" si="264"/>
        <v>0</v>
      </c>
      <c r="CF172" s="297" t="e">
        <f t="shared" si="327"/>
        <v>#DIV/0!</v>
      </c>
      <c r="CG172" s="298">
        <f t="shared" si="328"/>
        <v>59366</v>
      </c>
      <c r="CH172" s="297">
        <f t="shared" si="329"/>
        <v>0.74818549641545595</v>
      </c>
      <c r="CI172" s="516"/>
      <c r="CJ172" s="659">
        <v>875</v>
      </c>
      <c r="CK172" s="651"/>
      <c r="CL172" s="657">
        <f t="shared" si="357"/>
        <v>875</v>
      </c>
      <c r="CM172" s="657">
        <f t="shared" si="358"/>
        <v>0</v>
      </c>
      <c r="CN172" s="659">
        <f t="shared" si="359"/>
        <v>22875</v>
      </c>
      <c r="CO172" s="464">
        <v>0</v>
      </c>
      <c r="CP172" s="469"/>
      <c r="CQ172" s="465">
        <f t="shared" si="283"/>
        <v>0</v>
      </c>
      <c r="CR172" s="465">
        <f t="shared" si="265"/>
        <v>0</v>
      </c>
      <c r="CS172" s="486" t="e">
        <f t="shared" si="330"/>
        <v>#DIV/0!</v>
      </c>
      <c r="CT172" s="465">
        <f t="shared" si="331"/>
        <v>1599</v>
      </c>
      <c r="CU172" s="486">
        <f t="shared" si="332"/>
        <v>2.0152083831962975E-2</v>
      </c>
      <c r="CV172" s="518"/>
      <c r="CW172" s="427">
        <v>0</v>
      </c>
      <c r="CX172" s="427"/>
      <c r="CY172" s="427">
        <f t="shared" si="333"/>
        <v>0</v>
      </c>
      <c r="CZ172" s="427">
        <f t="shared" si="334"/>
        <v>0</v>
      </c>
      <c r="DA172" s="607" t="e">
        <f t="shared" si="349"/>
        <v>#DIV/0!</v>
      </c>
      <c r="DB172" s="607">
        <f t="shared" si="335"/>
        <v>115</v>
      </c>
      <c r="DC172" s="607">
        <f t="shared" si="284"/>
        <v>1.4493368609604393E-3</v>
      </c>
      <c r="DD172" s="609"/>
      <c r="DE172" s="471">
        <v>13</v>
      </c>
      <c r="DF172" s="475"/>
      <c r="DG172" s="473">
        <f t="shared" si="285"/>
        <v>13</v>
      </c>
      <c r="DH172" s="473">
        <f t="shared" si="266"/>
        <v>0</v>
      </c>
      <c r="DI172" s="227" t="e">
        <f t="shared" si="336"/>
        <v>#DIV/0!</v>
      </c>
      <c r="DJ172" s="473">
        <f t="shared" si="337"/>
        <v>118.2</v>
      </c>
      <c r="DK172" s="227">
        <f t="shared" si="338"/>
        <v>1.4896662344828166E-3</v>
      </c>
      <c r="DL172" s="510"/>
      <c r="DM172" s="63">
        <v>70</v>
      </c>
      <c r="DN172" s="133"/>
      <c r="DO172" s="66">
        <f t="shared" si="339"/>
        <v>70</v>
      </c>
      <c r="DP172" s="66">
        <f t="shared" si="267"/>
        <v>0</v>
      </c>
      <c r="DQ172" s="412" t="e">
        <f t="shared" si="340"/>
        <v>#DIV/0!</v>
      </c>
      <c r="DR172" s="66">
        <f t="shared" si="341"/>
        <v>17930</v>
      </c>
      <c r="DS172" s="412">
        <f t="shared" si="342"/>
        <v>0.22597052101757109</v>
      </c>
      <c r="DT172" s="506"/>
      <c r="DU172" s="596">
        <v>0</v>
      </c>
      <c r="DV172" s="596"/>
      <c r="DW172" s="596">
        <f t="shared" si="286"/>
        <v>0</v>
      </c>
      <c r="DX172" s="596">
        <f t="shared" si="268"/>
        <v>0</v>
      </c>
      <c r="DY172" s="592" t="e">
        <f t="shared" si="287"/>
        <v>#DIV/0!</v>
      </c>
      <c r="DZ172" s="596">
        <f t="shared" si="343"/>
        <v>2800</v>
      </c>
      <c r="EA172" s="592">
        <f t="shared" si="288"/>
        <v>3.5288201832080257E-2</v>
      </c>
      <c r="EB172" s="594"/>
      <c r="EC172" s="448">
        <v>50</v>
      </c>
      <c r="ED172" s="454"/>
      <c r="EE172" s="449">
        <f t="shared" si="289"/>
        <v>50</v>
      </c>
      <c r="EF172" s="449">
        <f t="shared" si="269"/>
        <v>0</v>
      </c>
      <c r="EG172" s="450" t="e">
        <f t="shared" si="347"/>
        <v>#DIV/0!</v>
      </c>
      <c r="EH172" s="449">
        <f t="shared" si="344"/>
        <v>1015</v>
      </c>
      <c r="EI172" s="450">
        <f t="shared" si="348"/>
        <v>1.2791973164129094E-2</v>
      </c>
      <c r="EJ172" s="520"/>
      <c r="EK172" s="426">
        <v>3088</v>
      </c>
      <c r="EL172" s="430"/>
      <c r="EM172" s="427">
        <f t="shared" si="290"/>
        <v>3088</v>
      </c>
      <c r="EN172" s="427">
        <f t="shared" si="270"/>
        <v>0</v>
      </c>
      <c r="EO172" s="427">
        <f t="shared" si="291"/>
        <v>74434</v>
      </c>
      <c r="EP172" s="456">
        <v>0</v>
      </c>
      <c r="EQ172" s="460"/>
      <c r="ER172" s="457">
        <f t="shared" si="292"/>
        <v>0</v>
      </c>
      <c r="ES172" s="457">
        <f t="shared" si="271"/>
        <v>0</v>
      </c>
      <c r="ET172" s="457">
        <f t="shared" si="293"/>
        <v>1808</v>
      </c>
      <c r="EU172" s="409">
        <v>11</v>
      </c>
      <c r="EV172" s="434"/>
      <c r="EW172" s="43">
        <f t="shared" si="294"/>
        <v>11</v>
      </c>
      <c r="EX172" s="43">
        <f t="shared" si="272"/>
        <v>0</v>
      </c>
      <c r="EY172" s="43">
        <f t="shared" si="295"/>
        <v>829</v>
      </c>
      <c r="EZ172" s="436">
        <v>0</v>
      </c>
      <c r="FA172" s="440"/>
      <c r="FB172" s="437">
        <f t="shared" si="296"/>
        <v>0</v>
      </c>
      <c r="FC172" s="437">
        <f t="shared" si="273"/>
        <v>0</v>
      </c>
      <c r="FD172" s="437">
        <f t="shared" si="297"/>
        <v>890</v>
      </c>
      <c r="FE172" s="442">
        <v>124</v>
      </c>
      <c r="FF172" s="446"/>
      <c r="FG172" s="443">
        <f t="shared" si="298"/>
        <v>124</v>
      </c>
      <c r="FH172" s="443">
        <f t="shared" si="274"/>
        <v>0</v>
      </c>
      <c r="FI172" s="443">
        <f t="shared" si="299"/>
        <v>1076</v>
      </c>
      <c r="FJ172" s="392">
        <v>550</v>
      </c>
      <c r="FK172" s="395"/>
      <c r="FL172" s="298">
        <f t="shared" si="300"/>
        <v>550</v>
      </c>
      <c r="FM172" s="298">
        <f t="shared" si="275"/>
        <v>0</v>
      </c>
      <c r="FN172" s="498">
        <f t="shared" si="301"/>
        <v>3250</v>
      </c>
      <c r="HC172" s="402">
        <v>2400</v>
      </c>
      <c r="HD172" s="462"/>
      <c r="HE172" s="52">
        <f t="shared" si="302"/>
        <v>2400</v>
      </c>
      <c r="HF172" s="52">
        <f t="shared" si="276"/>
        <v>0</v>
      </c>
      <c r="HG172" s="51"/>
      <c r="HH172" s="52">
        <f t="shared" si="345"/>
        <v>400</v>
      </c>
      <c r="HI172" s="51"/>
      <c r="HJ172" s="1047"/>
    </row>
    <row r="173" spans="1:218">
      <c r="A173" s="810">
        <v>44836</v>
      </c>
      <c r="B173" s="390">
        <v>0</v>
      </c>
      <c r="C173" s="18">
        <f t="shared" si="256"/>
        <v>79346633</v>
      </c>
      <c r="D173" s="376">
        <v>0</v>
      </c>
      <c r="E173" s="417">
        <f t="shared" si="360"/>
        <v>984330.1399999999</v>
      </c>
      <c r="F173" s="397">
        <v>34871</v>
      </c>
      <c r="G173" s="37"/>
      <c r="H173" s="37">
        <f t="shared" si="277"/>
        <v>34871</v>
      </c>
      <c r="I173" s="37">
        <f t="shared" si="257"/>
        <v>0</v>
      </c>
      <c r="J173" s="37" t="e">
        <f t="shared" si="258"/>
        <v>#DIV/0!</v>
      </c>
      <c r="K173" s="37">
        <f t="shared" si="303"/>
        <v>441536</v>
      </c>
      <c r="L173" s="37">
        <f t="shared" si="259"/>
        <v>448.56494996688821</v>
      </c>
      <c r="M173" s="648"/>
      <c r="N173" s="422">
        <v>350</v>
      </c>
      <c r="O173" s="423"/>
      <c r="P173" s="423">
        <f t="shared" si="304"/>
        <v>350</v>
      </c>
      <c r="Q173" s="423">
        <f t="shared" si="305"/>
        <v>0</v>
      </c>
      <c r="R173" s="423">
        <f t="shared" si="306"/>
        <v>12500</v>
      </c>
      <c r="S173" s="68">
        <v>0</v>
      </c>
      <c r="T173" s="67">
        <v>24</v>
      </c>
      <c r="U173" s="68">
        <f t="shared" si="307"/>
        <v>0</v>
      </c>
      <c r="V173" s="68" t="e">
        <f t="shared" si="260"/>
        <v>#DIV/0!</v>
      </c>
      <c r="W173" s="423">
        <f t="shared" si="308"/>
        <v>12212.544</v>
      </c>
      <c r="X173" s="68">
        <f t="shared" si="261"/>
        <v>12.406959315499575</v>
      </c>
      <c r="Y173" s="500"/>
      <c r="Z173" s="424">
        <v>75</v>
      </c>
      <c r="AA173" s="425"/>
      <c r="AB173" s="425">
        <f t="shared" si="309"/>
        <v>75</v>
      </c>
      <c r="AC173" s="425">
        <f t="shared" si="310"/>
        <v>0</v>
      </c>
      <c r="AD173" s="425">
        <f t="shared" si="311"/>
        <v>2025</v>
      </c>
      <c r="AE173" s="72">
        <v>0</v>
      </c>
      <c r="AF173" s="71">
        <v>12</v>
      </c>
      <c r="AG173" s="72">
        <f t="shared" si="312"/>
        <v>0</v>
      </c>
      <c r="AH173" s="72" t="e">
        <f t="shared" si="278"/>
        <v>#DIV/0!</v>
      </c>
      <c r="AI173" s="425">
        <f t="shared" si="313"/>
        <v>1864.9320000000012</v>
      </c>
      <c r="AJ173" s="72">
        <f t="shared" si="346"/>
        <v>1.894620437000945</v>
      </c>
      <c r="AK173" s="502"/>
      <c r="AL173" s="491">
        <v>23607</v>
      </c>
      <c r="AM173" s="491"/>
      <c r="AN173" s="492">
        <f t="shared" si="353"/>
        <v>23607</v>
      </c>
      <c r="AO173" s="492">
        <f t="shared" si="354"/>
        <v>0</v>
      </c>
      <c r="AP173" s="492">
        <f t="shared" si="355"/>
        <v>59966</v>
      </c>
      <c r="AQ173" s="493">
        <f t="shared" si="279"/>
        <v>60.920617548092153</v>
      </c>
      <c r="AR173" s="504"/>
      <c r="AS173" s="413">
        <v>52876</v>
      </c>
      <c r="AT173" s="133"/>
      <c r="AU173" s="66">
        <f t="shared" si="314"/>
        <v>52876</v>
      </c>
      <c r="AV173" s="66">
        <f t="shared" si="262"/>
        <v>0</v>
      </c>
      <c r="AW173" s="412" t="e">
        <f t="shared" si="315"/>
        <v>#DIV/0!</v>
      </c>
      <c r="AX173" s="66">
        <f t="shared" si="316"/>
        <v>244739</v>
      </c>
      <c r="AY173" s="412">
        <f t="shared" si="317"/>
        <v>3.0844282957791038</v>
      </c>
      <c r="AZ173" s="506"/>
      <c r="BA173" s="419">
        <v>29480</v>
      </c>
      <c r="BB173" s="419"/>
      <c r="BC173" s="407"/>
      <c r="BD173" s="419">
        <f t="shared" si="280"/>
        <v>29480</v>
      </c>
      <c r="BE173" s="419">
        <f t="shared" si="281"/>
        <v>0</v>
      </c>
      <c r="BF173" s="407" t="e">
        <f t="shared" si="318"/>
        <v>#DIV/0!</v>
      </c>
      <c r="BG173" s="419">
        <f t="shared" si="356"/>
        <v>250950</v>
      </c>
      <c r="BH173" s="407">
        <f t="shared" si="319"/>
        <v>3.1627050892001933</v>
      </c>
      <c r="BI173" s="407">
        <f t="shared" si="320"/>
        <v>0.38727001092247271</v>
      </c>
      <c r="BJ173" s="508"/>
      <c r="BK173" s="510"/>
      <c r="BL173" s="49">
        <v>1915</v>
      </c>
      <c r="BM173" s="248"/>
      <c r="BN173" s="52">
        <f t="shared" si="321"/>
        <v>1915</v>
      </c>
      <c r="BO173" s="52">
        <f t="shared" si="263"/>
        <v>0</v>
      </c>
      <c r="BP173" s="406" t="e">
        <f t="shared" si="322"/>
        <v>#DIV/0!</v>
      </c>
      <c r="BQ173" s="52">
        <f t="shared" si="323"/>
        <v>34885</v>
      </c>
      <c r="BR173" s="406">
        <f t="shared" si="324"/>
        <v>0.43965318604004283</v>
      </c>
      <c r="BS173" s="512"/>
      <c r="BT173" s="409">
        <v>2207</v>
      </c>
      <c r="BU173" s="43"/>
      <c r="BV173" s="43">
        <f t="shared" si="350"/>
        <v>2207</v>
      </c>
      <c r="BW173" s="43">
        <f t="shared" si="351"/>
        <v>0</v>
      </c>
      <c r="BX173" s="42" t="e">
        <f t="shared" si="325"/>
        <v>#DIV/0!</v>
      </c>
      <c r="BY173" s="43">
        <f t="shared" si="352"/>
        <v>17230</v>
      </c>
      <c r="BZ173" s="42">
        <f t="shared" si="326"/>
        <v>0.21714847055955103</v>
      </c>
      <c r="CA173" s="514"/>
      <c r="CB173" s="392">
        <v>1984</v>
      </c>
      <c r="CC173" s="395"/>
      <c r="CD173" s="298">
        <f t="shared" si="282"/>
        <v>1984</v>
      </c>
      <c r="CE173" s="298">
        <f t="shared" si="264"/>
        <v>0</v>
      </c>
      <c r="CF173" s="297" t="e">
        <f t="shared" si="327"/>
        <v>#DIV/0!</v>
      </c>
      <c r="CG173" s="298">
        <f t="shared" si="328"/>
        <v>59366</v>
      </c>
      <c r="CH173" s="297">
        <f t="shared" si="329"/>
        <v>0.74818549641545595</v>
      </c>
      <c r="CI173" s="516"/>
      <c r="CJ173" s="659">
        <v>875</v>
      </c>
      <c r="CK173" s="651"/>
      <c r="CL173" s="657">
        <f t="shared" si="357"/>
        <v>875</v>
      </c>
      <c r="CM173" s="657">
        <f t="shared" si="358"/>
        <v>0</v>
      </c>
      <c r="CN173" s="659">
        <f t="shared" si="359"/>
        <v>22875</v>
      </c>
      <c r="CO173" s="464">
        <v>0</v>
      </c>
      <c r="CP173" s="469"/>
      <c r="CQ173" s="465">
        <f t="shared" si="283"/>
        <v>0</v>
      </c>
      <c r="CR173" s="465">
        <f t="shared" si="265"/>
        <v>0</v>
      </c>
      <c r="CS173" s="486" t="e">
        <f t="shared" si="330"/>
        <v>#DIV/0!</v>
      </c>
      <c r="CT173" s="465">
        <f t="shared" si="331"/>
        <v>1599</v>
      </c>
      <c r="CU173" s="486">
        <f t="shared" si="332"/>
        <v>2.0152083831962975E-2</v>
      </c>
      <c r="CV173" s="518"/>
      <c r="CW173" s="427">
        <v>0</v>
      </c>
      <c r="CX173" s="427"/>
      <c r="CY173" s="427">
        <f t="shared" si="333"/>
        <v>0</v>
      </c>
      <c r="CZ173" s="427">
        <f t="shared" si="334"/>
        <v>0</v>
      </c>
      <c r="DA173" s="607" t="e">
        <f t="shared" si="349"/>
        <v>#DIV/0!</v>
      </c>
      <c r="DB173" s="607">
        <f t="shared" si="335"/>
        <v>115</v>
      </c>
      <c r="DC173" s="607">
        <f t="shared" si="284"/>
        <v>1.4493368609604393E-3</v>
      </c>
      <c r="DD173" s="609"/>
      <c r="DE173" s="471">
        <v>13</v>
      </c>
      <c r="DF173" s="475"/>
      <c r="DG173" s="473">
        <f t="shared" si="285"/>
        <v>13</v>
      </c>
      <c r="DH173" s="473">
        <f t="shared" si="266"/>
        <v>0</v>
      </c>
      <c r="DI173" s="227" t="e">
        <f t="shared" si="336"/>
        <v>#DIV/0!</v>
      </c>
      <c r="DJ173" s="473">
        <f t="shared" si="337"/>
        <v>118.2</v>
      </c>
      <c r="DK173" s="227">
        <f t="shared" si="338"/>
        <v>1.4896662344828166E-3</v>
      </c>
      <c r="DL173" s="510"/>
      <c r="DM173" s="63">
        <v>70</v>
      </c>
      <c r="DN173" s="133"/>
      <c r="DO173" s="66">
        <f t="shared" si="339"/>
        <v>70</v>
      </c>
      <c r="DP173" s="66">
        <f t="shared" si="267"/>
        <v>0</v>
      </c>
      <c r="DQ173" s="412" t="e">
        <f t="shared" si="340"/>
        <v>#DIV/0!</v>
      </c>
      <c r="DR173" s="66">
        <f t="shared" si="341"/>
        <v>17930</v>
      </c>
      <c r="DS173" s="412">
        <f t="shared" si="342"/>
        <v>0.22597052101757109</v>
      </c>
      <c r="DT173" s="506"/>
      <c r="DU173" s="596">
        <v>0</v>
      </c>
      <c r="DV173" s="596"/>
      <c r="DW173" s="596">
        <f t="shared" si="286"/>
        <v>0</v>
      </c>
      <c r="DX173" s="596">
        <f t="shared" si="268"/>
        <v>0</v>
      </c>
      <c r="DY173" s="592" t="e">
        <f t="shared" si="287"/>
        <v>#DIV/0!</v>
      </c>
      <c r="DZ173" s="596">
        <f t="shared" si="343"/>
        <v>2800</v>
      </c>
      <c r="EA173" s="592">
        <f t="shared" si="288"/>
        <v>3.5288201832080257E-2</v>
      </c>
      <c r="EB173" s="594"/>
      <c r="EC173" s="448">
        <v>50</v>
      </c>
      <c r="ED173" s="454"/>
      <c r="EE173" s="449">
        <f t="shared" si="289"/>
        <v>50</v>
      </c>
      <c r="EF173" s="449">
        <f t="shared" si="269"/>
        <v>0</v>
      </c>
      <c r="EG173" s="450" t="e">
        <f t="shared" si="347"/>
        <v>#DIV/0!</v>
      </c>
      <c r="EH173" s="449">
        <f t="shared" si="344"/>
        <v>1015</v>
      </c>
      <c r="EI173" s="450">
        <f t="shared" si="348"/>
        <v>1.2791973164129094E-2</v>
      </c>
      <c r="EJ173" s="520"/>
      <c r="EK173" s="426">
        <v>3088</v>
      </c>
      <c r="EL173" s="430"/>
      <c r="EM173" s="427">
        <f t="shared" si="290"/>
        <v>3088</v>
      </c>
      <c r="EN173" s="427">
        <f t="shared" si="270"/>
        <v>0</v>
      </c>
      <c r="EO173" s="427">
        <f t="shared" si="291"/>
        <v>74434</v>
      </c>
      <c r="EP173" s="456">
        <v>0</v>
      </c>
      <c r="EQ173" s="460"/>
      <c r="ER173" s="457">
        <f t="shared" si="292"/>
        <v>0</v>
      </c>
      <c r="ES173" s="457">
        <f t="shared" si="271"/>
        <v>0</v>
      </c>
      <c r="ET173" s="457">
        <f t="shared" si="293"/>
        <v>1808</v>
      </c>
      <c r="EU173" s="409">
        <v>11</v>
      </c>
      <c r="EV173" s="434"/>
      <c r="EW173" s="43">
        <f t="shared" si="294"/>
        <v>11</v>
      </c>
      <c r="EX173" s="43">
        <f t="shared" si="272"/>
        <v>0</v>
      </c>
      <c r="EY173" s="43">
        <f t="shared" si="295"/>
        <v>829</v>
      </c>
      <c r="EZ173" s="436">
        <v>0</v>
      </c>
      <c r="FA173" s="440"/>
      <c r="FB173" s="437">
        <f t="shared" si="296"/>
        <v>0</v>
      </c>
      <c r="FC173" s="437">
        <f t="shared" si="273"/>
        <v>0</v>
      </c>
      <c r="FD173" s="437">
        <f t="shared" si="297"/>
        <v>890</v>
      </c>
      <c r="FE173" s="442">
        <v>124</v>
      </c>
      <c r="FF173" s="446"/>
      <c r="FG173" s="443">
        <f t="shared" si="298"/>
        <v>124</v>
      </c>
      <c r="FH173" s="443">
        <f t="shared" si="274"/>
        <v>0</v>
      </c>
      <c r="FI173" s="443">
        <f t="shared" si="299"/>
        <v>1076</v>
      </c>
      <c r="FJ173" s="392">
        <v>550</v>
      </c>
      <c r="FK173" s="395"/>
      <c r="FL173" s="298">
        <f t="shared" si="300"/>
        <v>550</v>
      </c>
      <c r="FM173" s="298">
        <f t="shared" si="275"/>
        <v>0</v>
      </c>
      <c r="FN173" s="498">
        <f t="shared" si="301"/>
        <v>3250</v>
      </c>
      <c r="HC173" s="402">
        <v>2400</v>
      </c>
      <c r="HD173" s="462"/>
      <c r="HE173" s="52">
        <f t="shared" si="302"/>
        <v>2400</v>
      </c>
      <c r="HF173" s="52">
        <f t="shared" si="276"/>
        <v>0</v>
      </c>
      <c r="HG173" s="51"/>
      <c r="HH173" s="52">
        <f t="shared" si="345"/>
        <v>400</v>
      </c>
      <c r="HI173" s="51"/>
      <c r="HJ173" s="1047"/>
    </row>
    <row r="174" spans="1:218">
      <c r="A174" s="810">
        <v>44837</v>
      </c>
      <c r="B174" s="390">
        <v>0</v>
      </c>
      <c r="C174" s="18">
        <f t="shared" si="256"/>
        <v>79346633</v>
      </c>
      <c r="D174" s="376">
        <v>1021.16</v>
      </c>
      <c r="E174" s="417">
        <f t="shared" si="360"/>
        <v>985351.29999999993</v>
      </c>
      <c r="F174" s="397">
        <v>34871</v>
      </c>
      <c r="G174" s="37"/>
      <c r="H174" s="37">
        <f t="shared" si="277"/>
        <v>34871</v>
      </c>
      <c r="I174" s="37">
        <f t="shared" si="257"/>
        <v>0</v>
      </c>
      <c r="J174" s="37">
        <f t="shared" si="258"/>
        <v>0</v>
      </c>
      <c r="K174" s="37">
        <f t="shared" si="303"/>
        <v>441536</v>
      </c>
      <c r="L174" s="37">
        <f t="shared" si="259"/>
        <v>448.10008369603821</v>
      </c>
      <c r="M174" s="648"/>
      <c r="N174" s="422">
        <v>350</v>
      </c>
      <c r="O174" s="423"/>
      <c r="P174" s="423">
        <f t="shared" si="304"/>
        <v>275</v>
      </c>
      <c r="Q174" s="423">
        <f t="shared" si="305"/>
        <v>75</v>
      </c>
      <c r="R174" s="423">
        <f t="shared" si="306"/>
        <v>12575</v>
      </c>
      <c r="S174" s="68">
        <v>2.2999999999999998</v>
      </c>
      <c r="T174" s="67">
        <v>24</v>
      </c>
      <c r="U174" s="68">
        <f t="shared" si="307"/>
        <v>27.599999999999998</v>
      </c>
      <c r="V174" s="68">
        <f t="shared" si="260"/>
        <v>27.028085706451485</v>
      </c>
      <c r="W174" s="423">
        <f t="shared" si="308"/>
        <v>12240.144</v>
      </c>
      <c r="X174" s="68">
        <f t="shared" si="261"/>
        <v>12.422111788962983</v>
      </c>
      <c r="Y174" s="500"/>
      <c r="Z174" s="424">
        <v>75</v>
      </c>
      <c r="AA174" s="425"/>
      <c r="AB174" s="425">
        <f t="shared" si="309"/>
        <v>75</v>
      </c>
      <c r="AC174" s="425">
        <f t="shared" si="310"/>
        <v>0</v>
      </c>
      <c r="AD174" s="425">
        <f t="shared" si="311"/>
        <v>2025</v>
      </c>
      <c r="AE174" s="72">
        <v>0.33</v>
      </c>
      <c r="AF174" s="71">
        <v>12</v>
      </c>
      <c r="AG174" s="72">
        <f t="shared" si="312"/>
        <v>1.98</v>
      </c>
      <c r="AH174" s="72">
        <f t="shared" si="278"/>
        <v>1.9389713658976067</v>
      </c>
      <c r="AI174" s="425">
        <f t="shared" si="313"/>
        <v>1866.9120000000012</v>
      </c>
      <c r="AJ174" s="72">
        <f t="shared" si="346"/>
        <v>1.8946663996891273</v>
      </c>
      <c r="AK174" s="502"/>
      <c r="AL174" s="491">
        <v>23607</v>
      </c>
      <c r="AM174" s="491"/>
      <c r="AN174" s="492">
        <f t="shared" si="353"/>
        <v>23607</v>
      </c>
      <c r="AO174" s="492">
        <f t="shared" si="354"/>
        <v>0</v>
      </c>
      <c r="AP174" s="492">
        <f t="shared" si="355"/>
        <v>59966</v>
      </c>
      <c r="AQ174" s="493">
        <f t="shared" si="279"/>
        <v>60.857483011388936</v>
      </c>
      <c r="AR174" s="504"/>
      <c r="AS174" s="413">
        <v>52876</v>
      </c>
      <c r="AT174" s="133"/>
      <c r="AU174" s="66">
        <f t="shared" si="314"/>
        <v>52876</v>
      </c>
      <c r="AV174" s="66">
        <f t="shared" si="262"/>
        <v>0</v>
      </c>
      <c r="AW174" s="412" t="e">
        <f t="shared" si="315"/>
        <v>#DIV/0!</v>
      </c>
      <c r="AX174" s="66">
        <f t="shared" si="316"/>
        <v>244739</v>
      </c>
      <c r="AY174" s="412">
        <f t="shared" si="317"/>
        <v>3.0844282957791038</v>
      </c>
      <c r="AZ174" s="506"/>
      <c r="BA174" s="419">
        <v>29480</v>
      </c>
      <c r="BB174" s="419"/>
      <c r="BC174" s="407"/>
      <c r="BD174" s="419">
        <f t="shared" si="280"/>
        <v>29480</v>
      </c>
      <c r="BE174" s="419">
        <f t="shared" si="281"/>
        <v>0</v>
      </c>
      <c r="BF174" s="407" t="e">
        <f t="shared" si="318"/>
        <v>#DIV/0!</v>
      </c>
      <c r="BG174" s="419">
        <f t="shared" si="356"/>
        <v>250950</v>
      </c>
      <c r="BH174" s="407">
        <f t="shared" si="319"/>
        <v>3.1627050892001933</v>
      </c>
      <c r="BI174" s="407">
        <f t="shared" si="320"/>
        <v>0.38727001092247271</v>
      </c>
      <c r="BJ174" s="508"/>
      <c r="BK174" s="510"/>
      <c r="BL174" s="49">
        <v>1915</v>
      </c>
      <c r="BM174" s="248"/>
      <c r="BN174" s="52">
        <f t="shared" si="321"/>
        <v>1915</v>
      </c>
      <c r="BO174" s="52">
        <f t="shared" si="263"/>
        <v>0</v>
      </c>
      <c r="BP174" s="406" t="e">
        <f t="shared" si="322"/>
        <v>#DIV/0!</v>
      </c>
      <c r="BQ174" s="52">
        <f t="shared" si="323"/>
        <v>34885</v>
      </c>
      <c r="BR174" s="406">
        <f t="shared" si="324"/>
        <v>0.43965318604004283</v>
      </c>
      <c r="BS174" s="512"/>
      <c r="BT174" s="409">
        <v>2207</v>
      </c>
      <c r="BU174" s="43"/>
      <c r="BV174" s="43">
        <f t="shared" si="350"/>
        <v>2177</v>
      </c>
      <c r="BW174" s="43">
        <f t="shared" si="351"/>
        <v>30</v>
      </c>
      <c r="BX174" s="42" t="e">
        <f t="shared" si="325"/>
        <v>#DIV/0!</v>
      </c>
      <c r="BY174" s="43">
        <f t="shared" si="352"/>
        <v>17260</v>
      </c>
      <c r="BZ174" s="42">
        <f t="shared" si="326"/>
        <v>0.21752655843632332</v>
      </c>
      <c r="CA174" s="514"/>
      <c r="CB174" s="392">
        <v>1984</v>
      </c>
      <c r="CC174" s="395"/>
      <c r="CD174" s="298">
        <f t="shared" si="282"/>
        <v>1984</v>
      </c>
      <c r="CE174" s="298">
        <f t="shared" si="264"/>
        <v>0</v>
      </c>
      <c r="CF174" s="297" t="e">
        <f t="shared" si="327"/>
        <v>#DIV/0!</v>
      </c>
      <c r="CG174" s="298">
        <f t="shared" si="328"/>
        <v>59366</v>
      </c>
      <c r="CH174" s="297">
        <f t="shared" si="329"/>
        <v>0.74818549641545595</v>
      </c>
      <c r="CI174" s="516"/>
      <c r="CJ174" s="659">
        <v>875</v>
      </c>
      <c r="CK174" s="651">
        <v>1250</v>
      </c>
      <c r="CL174" s="657">
        <f t="shared" si="357"/>
        <v>2125</v>
      </c>
      <c r="CM174" s="657">
        <f t="shared" si="358"/>
        <v>0</v>
      </c>
      <c r="CN174" s="659">
        <f t="shared" si="359"/>
        <v>22875</v>
      </c>
      <c r="CO174" s="464">
        <v>0</v>
      </c>
      <c r="CP174" s="469"/>
      <c r="CQ174" s="465">
        <f t="shared" si="283"/>
        <v>0</v>
      </c>
      <c r="CR174" s="465">
        <f t="shared" si="265"/>
        <v>0</v>
      </c>
      <c r="CS174" s="486" t="e">
        <f t="shared" si="330"/>
        <v>#DIV/0!</v>
      </c>
      <c r="CT174" s="465">
        <f t="shared" si="331"/>
        <v>1599</v>
      </c>
      <c r="CU174" s="486">
        <f t="shared" si="332"/>
        <v>2.0152083831962975E-2</v>
      </c>
      <c r="CV174" s="518"/>
      <c r="CW174" s="427">
        <v>0</v>
      </c>
      <c r="CX174" s="427"/>
      <c r="CY174" s="427">
        <f t="shared" si="333"/>
        <v>0</v>
      </c>
      <c r="CZ174" s="427">
        <f t="shared" si="334"/>
        <v>0</v>
      </c>
      <c r="DA174" s="607" t="e">
        <f t="shared" si="349"/>
        <v>#DIV/0!</v>
      </c>
      <c r="DB174" s="607">
        <f t="shared" si="335"/>
        <v>115</v>
      </c>
      <c r="DC174" s="607">
        <f t="shared" si="284"/>
        <v>1.4493368609604393E-3</v>
      </c>
      <c r="DD174" s="609"/>
      <c r="DE174" s="471">
        <v>13</v>
      </c>
      <c r="DF174" s="475"/>
      <c r="DG174" s="473">
        <f t="shared" si="285"/>
        <v>13</v>
      </c>
      <c r="DH174" s="473">
        <f t="shared" si="266"/>
        <v>0</v>
      </c>
      <c r="DI174" s="227" t="e">
        <f t="shared" si="336"/>
        <v>#DIV/0!</v>
      </c>
      <c r="DJ174" s="473">
        <f t="shared" si="337"/>
        <v>118.2</v>
      </c>
      <c r="DK174" s="227">
        <f t="shared" si="338"/>
        <v>1.4896662344828166E-3</v>
      </c>
      <c r="DL174" s="510"/>
      <c r="DM174" s="63">
        <v>70</v>
      </c>
      <c r="DN174" s="133"/>
      <c r="DO174" s="66">
        <f t="shared" si="339"/>
        <v>6</v>
      </c>
      <c r="DP174" s="66">
        <f t="shared" si="267"/>
        <v>64</v>
      </c>
      <c r="DQ174" s="412" t="e">
        <f t="shared" si="340"/>
        <v>#DIV/0!</v>
      </c>
      <c r="DR174" s="66">
        <f t="shared" si="341"/>
        <v>17994</v>
      </c>
      <c r="DS174" s="412">
        <f t="shared" si="342"/>
        <v>0.22677710848801863</v>
      </c>
      <c r="DT174" s="506"/>
      <c r="DU174" s="596">
        <v>0</v>
      </c>
      <c r="DV174" s="596"/>
      <c r="DW174" s="596">
        <f t="shared" si="286"/>
        <v>0</v>
      </c>
      <c r="DX174" s="596">
        <f t="shared" si="268"/>
        <v>0</v>
      </c>
      <c r="DY174" s="592" t="e">
        <f t="shared" si="287"/>
        <v>#DIV/0!</v>
      </c>
      <c r="DZ174" s="596">
        <f t="shared" si="343"/>
        <v>2800</v>
      </c>
      <c r="EA174" s="592">
        <f t="shared" si="288"/>
        <v>3.5288201832080257E-2</v>
      </c>
      <c r="EB174" s="594"/>
      <c r="EC174" s="448">
        <v>50</v>
      </c>
      <c r="ED174" s="454"/>
      <c r="EE174" s="449">
        <f t="shared" si="289"/>
        <v>50</v>
      </c>
      <c r="EF174" s="449">
        <f t="shared" si="269"/>
        <v>0</v>
      </c>
      <c r="EG174" s="450" t="e">
        <f t="shared" si="347"/>
        <v>#DIV/0!</v>
      </c>
      <c r="EH174" s="449">
        <f t="shared" si="344"/>
        <v>1015</v>
      </c>
      <c r="EI174" s="450">
        <f t="shared" si="348"/>
        <v>1.2791973164129094E-2</v>
      </c>
      <c r="EJ174" s="520"/>
      <c r="EK174" s="426">
        <v>3088</v>
      </c>
      <c r="EL174" s="430"/>
      <c r="EM174" s="427">
        <f t="shared" si="290"/>
        <v>3050</v>
      </c>
      <c r="EN174" s="427">
        <f t="shared" si="270"/>
        <v>38</v>
      </c>
      <c r="EO174" s="427">
        <f t="shared" si="291"/>
        <v>74472</v>
      </c>
      <c r="EP174" s="456">
        <v>0</v>
      </c>
      <c r="EQ174" s="457">
        <v>84</v>
      </c>
      <c r="ER174" s="457">
        <f t="shared" si="292"/>
        <v>84</v>
      </c>
      <c r="ES174" s="457">
        <f t="shared" si="271"/>
        <v>0</v>
      </c>
      <c r="ET174" s="457">
        <f t="shared" si="293"/>
        <v>1808</v>
      </c>
      <c r="EU174" s="409">
        <v>11</v>
      </c>
      <c r="EV174" s="434">
        <v>100</v>
      </c>
      <c r="EW174" s="43">
        <f t="shared" si="294"/>
        <v>97</v>
      </c>
      <c r="EX174" s="43">
        <f t="shared" si="272"/>
        <v>14</v>
      </c>
      <c r="EY174" s="43">
        <f t="shared" si="295"/>
        <v>843</v>
      </c>
      <c r="EZ174" s="436">
        <v>0</v>
      </c>
      <c r="FA174" s="440">
        <v>100</v>
      </c>
      <c r="FB174" s="437">
        <f t="shared" si="296"/>
        <v>100</v>
      </c>
      <c r="FC174" s="437">
        <f t="shared" si="273"/>
        <v>0</v>
      </c>
      <c r="FD174" s="437">
        <f t="shared" si="297"/>
        <v>890</v>
      </c>
      <c r="FE174" s="442">
        <v>124</v>
      </c>
      <c r="FF174" s="446"/>
      <c r="FG174" s="443">
        <f t="shared" si="298"/>
        <v>124</v>
      </c>
      <c r="FH174" s="443">
        <f t="shared" si="274"/>
        <v>0</v>
      </c>
      <c r="FI174" s="443">
        <f t="shared" si="299"/>
        <v>1076</v>
      </c>
      <c r="FJ174" s="392">
        <v>550</v>
      </c>
      <c r="FK174" s="395"/>
      <c r="FL174" s="298">
        <f t="shared" si="300"/>
        <v>525</v>
      </c>
      <c r="FM174" s="298">
        <f t="shared" si="275"/>
        <v>25</v>
      </c>
      <c r="FN174" s="498">
        <f t="shared" si="301"/>
        <v>3275</v>
      </c>
      <c r="HC174" s="402">
        <v>2400</v>
      </c>
      <c r="HD174" s="462"/>
      <c r="HE174" s="52">
        <f t="shared" si="302"/>
        <v>2400</v>
      </c>
      <c r="HF174" s="52">
        <f t="shared" si="276"/>
        <v>0</v>
      </c>
      <c r="HG174" s="51"/>
      <c r="HH174" s="52">
        <f t="shared" si="345"/>
        <v>400</v>
      </c>
      <c r="HI174" s="51"/>
      <c r="HJ174" s="1047"/>
    </row>
    <row r="175" spans="1:218">
      <c r="A175" s="810">
        <v>44838</v>
      </c>
      <c r="B175" s="390">
        <v>0</v>
      </c>
      <c r="C175" s="18">
        <f t="shared" si="256"/>
        <v>79346633</v>
      </c>
      <c r="D175" s="376">
        <v>1020.54</v>
      </c>
      <c r="E175" s="417">
        <f t="shared" si="360"/>
        <v>986371.84</v>
      </c>
      <c r="F175" s="397">
        <v>34871</v>
      </c>
      <c r="G175" s="37"/>
      <c r="H175" s="37">
        <f t="shared" si="277"/>
        <v>34871</v>
      </c>
      <c r="I175" s="37">
        <f t="shared" si="257"/>
        <v>0</v>
      </c>
      <c r="J175" s="37">
        <f t="shared" si="258"/>
        <v>0</v>
      </c>
      <c r="K175" s="37">
        <f t="shared" si="303"/>
        <v>441536</v>
      </c>
      <c r="L175" s="37">
        <f t="shared" si="259"/>
        <v>447.63646131665723</v>
      </c>
      <c r="M175" s="648"/>
      <c r="N175" s="422">
        <v>275</v>
      </c>
      <c r="O175" s="423"/>
      <c r="P175" s="423">
        <f t="shared" si="304"/>
        <v>250</v>
      </c>
      <c r="Q175" s="423">
        <f t="shared" si="305"/>
        <v>25</v>
      </c>
      <c r="R175" s="423">
        <f t="shared" si="306"/>
        <v>12600</v>
      </c>
      <c r="S175" s="68">
        <v>2.68</v>
      </c>
      <c r="T175" s="67">
        <v>24</v>
      </c>
      <c r="U175" s="68">
        <f t="shared" si="307"/>
        <v>32.160000000000004</v>
      </c>
      <c r="V175" s="68">
        <f t="shared" si="260"/>
        <v>31.512728555470638</v>
      </c>
      <c r="W175" s="423">
        <f t="shared" si="308"/>
        <v>12272.304</v>
      </c>
      <c r="X175" s="68">
        <f t="shared" si="261"/>
        <v>12.441863709328928</v>
      </c>
      <c r="Y175" s="500"/>
      <c r="Z175" s="424">
        <v>75</v>
      </c>
      <c r="AA175" s="425"/>
      <c r="AB175" s="425">
        <f t="shared" si="309"/>
        <v>75</v>
      </c>
      <c r="AC175" s="425">
        <f t="shared" si="310"/>
        <v>0</v>
      </c>
      <c r="AD175" s="425">
        <f t="shared" si="311"/>
        <v>2025</v>
      </c>
      <c r="AE175" s="72">
        <v>0.37</v>
      </c>
      <c r="AF175" s="71">
        <v>12</v>
      </c>
      <c r="AG175" s="72">
        <f t="shared" si="312"/>
        <v>2.2199999999999998</v>
      </c>
      <c r="AH175" s="72">
        <f t="shared" si="278"/>
        <v>2.1753189487918156</v>
      </c>
      <c r="AI175" s="425">
        <f t="shared" si="313"/>
        <v>1869.1320000000012</v>
      </c>
      <c r="AJ175" s="72">
        <f t="shared" si="346"/>
        <v>1.8949567741106652</v>
      </c>
      <c r="AK175" s="502"/>
      <c r="AL175" s="491">
        <v>23607</v>
      </c>
      <c r="AM175" s="491"/>
      <c r="AN175" s="492">
        <f t="shared" si="353"/>
        <v>23607</v>
      </c>
      <c r="AO175" s="492">
        <f t="shared" si="354"/>
        <v>0</v>
      </c>
      <c r="AP175" s="492">
        <f t="shared" si="355"/>
        <v>59966</v>
      </c>
      <c r="AQ175" s="493">
        <f t="shared" si="279"/>
        <v>60.794517410391606</v>
      </c>
      <c r="AR175" s="504"/>
      <c r="AS175" s="413">
        <v>52876</v>
      </c>
      <c r="AT175" s="133"/>
      <c r="AU175" s="66">
        <f t="shared" si="314"/>
        <v>52876</v>
      </c>
      <c r="AV175" s="66">
        <f t="shared" si="262"/>
        <v>0</v>
      </c>
      <c r="AW175" s="412" t="e">
        <f t="shared" si="315"/>
        <v>#DIV/0!</v>
      </c>
      <c r="AX175" s="66">
        <f t="shared" si="316"/>
        <v>244739</v>
      </c>
      <c r="AY175" s="412">
        <f t="shared" si="317"/>
        <v>3.0844282957791038</v>
      </c>
      <c r="AZ175" s="506"/>
      <c r="BA175" s="419">
        <v>29480</v>
      </c>
      <c r="BB175" s="419"/>
      <c r="BC175" s="407"/>
      <c r="BD175" s="419">
        <f t="shared" si="280"/>
        <v>29480</v>
      </c>
      <c r="BE175" s="419">
        <f t="shared" si="281"/>
        <v>0</v>
      </c>
      <c r="BF175" s="407" t="e">
        <f t="shared" si="318"/>
        <v>#DIV/0!</v>
      </c>
      <c r="BG175" s="419">
        <f t="shared" si="356"/>
        <v>250950</v>
      </c>
      <c r="BH175" s="407">
        <f t="shared" si="319"/>
        <v>3.1627050892001933</v>
      </c>
      <c r="BI175" s="407">
        <f t="shared" si="320"/>
        <v>0.38727001092247271</v>
      </c>
      <c r="BJ175" s="508"/>
      <c r="BK175" s="510"/>
      <c r="BL175" s="49">
        <v>1915</v>
      </c>
      <c r="BM175" s="248"/>
      <c r="BN175" s="52">
        <f t="shared" si="321"/>
        <v>1915</v>
      </c>
      <c r="BO175" s="52">
        <f t="shared" si="263"/>
        <v>0</v>
      </c>
      <c r="BP175" s="406" t="e">
        <f t="shared" si="322"/>
        <v>#DIV/0!</v>
      </c>
      <c r="BQ175" s="52">
        <f t="shared" si="323"/>
        <v>34885</v>
      </c>
      <c r="BR175" s="406">
        <f t="shared" si="324"/>
        <v>0.43965318604004283</v>
      </c>
      <c r="BS175" s="512"/>
      <c r="BT175" s="409">
        <v>2177</v>
      </c>
      <c r="BU175" s="43"/>
      <c r="BV175" s="43">
        <f t="shared" si="350"/>
        <v>2169</v>
      </c>
      <c r="BW175" s="43">
        <f t="shared" si="351"/>
        <v>8</v>
      </c>
      <c r="BX175" s="42" t="e">
        <f t="shared" si="325"/>
        <v>#DIV/0!</v>
      </c>
      <c r="BY175" s="43">
        <f t="shared" si="352"/>
        <v>17268</v>
      </c>
      <c r="BZ175" s="42">
        <f t="shared" si="326"/>
        <v>0.21762738187012926</v>
      </c>
      <c r="CA175" s="514"/>
      <c r="CB175" s="392">
        <v>1984</v>
      </c>
      <c r="CC175" s="395"/>
      <c r="CD175" s="298">
        <f t="shared" si="282"/>
        <v>1984</v>
      </c>
      <c r="CE175" s="298">
        <f t="shared" si="264"/>
        <v>0</v>
      </c>
      <c r="CF175" s="297" t="e">
        <f t="shared" si="327"/>
        <v>#DIV/0!</v>
      </c>
      <c r="CG175" s="298">
        <f t="shared" si="328"/>
        <v>59366</v>
      </c>
      <c r="CH175" s="297">
        <f t="shared" si="329"/>
        <v>0.74818549641545595</v>
      </c>
      <c r="CI175" s="516"/>
      <c r="CJ175" s="659">
        <v>2125</v>
      </c>
      <c r="CK175" s="651"/>
      <c r="CL175" s="657">
        <f t="shared" si="357"/>
        <v>2125</v>
      </c>
      <c r="CM175" s="657">
        <f t="shared" si="358"/>
        <v>0</v>
      </c>
      <c r="CN175" s="659">
        <f t="shared" si="359"/>
        <v>22875</v>
      </c>
      <c r="CO175" s="464">
        <v>0</v>
      </c>
      <c r="CP175" s="469"/>
      <c r="CQ175" s="465">
        <f t="shared" si="283"/>
        <v>0</v>
      </c>
      <c r="CR175" s="465">
        <f t="shared" si="265"/>
        <v>0</v>
      </c>
      <c r="CS175" s="486" t="e">
        <f t="shared" si="330"/>
        <v>#DIV/0!</v>
      </c>
      <c r="CT175" s="465">
        <f t="shared" si="331"/>
        <v>1599</v>
      </c>
      <c r="CU175" s="486">
        <f t="shared" si="332"/>
        <v>2.0152083831962975E-2</v>
      </c>
      <c r="CV175" s="518"/>
      <c r="CW175" s="427">
        <v>0</v>
      </c>
      <c r="CX175" s="427"/>
      <c r="CY175" s="427">
        <f t="shared" si="333"/>
        <v>0</v>
      </c>
      <c r="CZ175" s="427">
        <f t="shared" si="334"/>
        <v>0</v>
      </c>
      <c r="DA175" s="607" t="e">
        <f t="shared" si="349"/>
        <v>#DIV/0!</v>
      </c>
      <c r="DB175" s="607">
        <f t="shared" si="335"/>
        <v>115</v>
      </c>
      <c r="DC175" s="607">
        <f t="shared" si="284"/>
        <v>1.4493368609604393E-3</v>
      </c>
      <c r="DD175" s="609"/>
      <c r="DE175" s="471">
        <v>13</v>
      </c>
      <c r="DF175" s="475"/>
      <c r="DG175" s="473">
        <f t="shared" si="285"/>
        <v>13</v>
      </c>
      <c r="DH175" s="473">
        <f t="shared" si="266"/>
        <v>0</v>
      </c>
      <c r="DI175" s="227" t="e">
        <f t="shared" si="336"/>
        <v>#DIV/0!</v>
      </c>
      <c r="DJ175" s="473">
        <f t="shared" si="337"/>
        <v>118.2</v>
      </c>
      <c r="DK175" s="227">
        <f t="shared" si="338"/>
        <v>1.4896662344828166E-3</v>
      </c>
      <c r="DL175" s="510"/>
      <c r="DM175" s="63">
        <v>6</v>
      </c>
      <c r="DN175" s="133"/>
      <c r="DO175" s="66">
        <f t="shared" si="339"/>
        <v>0</v>
      </c>
      <c r="DP175" s="66">
        <f t="shared" si="267"/>
        <v>6</v>
      </c>
      <c r="DQ175" s="412" t="e">
        <f t="shared" si="340"/>
        <v>#DIV/0!</v>
      </c>
      <c r="DR175" s="66">
        <f t="shared" si="341"/>
        <v>18000</v>
      </c>
      <c r="DS175" s="412">
        <f t="shared" si="342"/>
        <v>0.22685272606337309</v>
      </c>
      <c r="DT175" s="506"/>
      <c r="DU175" s="596">
        <v>0</v>
      </c>
      <c r="DV175" s="596"/>
      <c r="DW175" s="596">
        <f t="shared" si="286"/>
        <v>0</v>
      </c>
      <c r="DX175" s="596">
        <f t="shared" si="268"/>
        <v>0</v>
      </c>
      <c r="DY175" s="592" t="e">
        <f t="shared" si="287"/>
        <v>#DIV/0!</v>
      </c>
      <c r="DZ175" s="596">
        <f t="shared" si="343"/>
        <v>2800</v>
      </c>
      <c r="EA175" s="592">
        <f t="shared" si="288"/>
        <v>3.5288201832080257E-2</v>
      </c>
      <c r="EB175" s="594"/>
      <c r="EC175" s="448">
        <v>50</v>
      </c>
      <c r="ED175" s="454"/>
      <c r="EE175" s="449">
        <f t="shared" si="289"/>
        <v>50</v>
      </c>
      <c r="EF175" s="449">
        <f t="shared" si="269"/>
        <v>0</v>
      </c>
      <c r="EG175" s="450" t="e">
        <f t="shared" si="347"/>
        <v>#DIV/0!</v>
      </c>
      <c r="EH175" s="449">
        <f t="shared" si="344"/>
        <v>1015</v>
      </c>
      <c r="EI175" s="450">
        <f t="shared" si="348"/>
        <v>1.2791973164129094E-2</v>
      </c>
      <c r="EJ175" s="520"/>
      <c r="EK175" s="426">
        <v>3050</v>
      </c>
      <c r="EL175" s="430"/>
      <c r="EM175" s="427">
        <f t="shared" si="290"/>
        <v>2825</v>
      </c>
      <c r="EN175" s="427">
        <f t="shared" si="270"/>
        <v>225</v>
      </c>
      <c r="EO175" s="427">
        <f t="shared" si="291"/>
        <v>74697</v>
      </c>
      <c r="EP175" s="456">
        <v>84</v>
      </c>
      <c r="EQ175" s="460"/>
      <c r="ER175" s="457">
        <f t="shared" si="292"/>
        <v>84</v>
      </c>
      <c r="ES175" s="457">
        <f t="shared" si="271"/>
        <v>0</v>
      </c>
      <c r="ET175" s="457">
        <f t="shared" si="293"/>
        <v>1808</v>
      </c>
      <c r="EU175" s="409">
        <v>97</v>
      </c>
      <c r="EV175" s="434"/>
      <c r="EW175" s="43">
        <f t="shared" si="294"/>
        <v>89</v>
      </c>
      <c r="EX175" s="43">
        <f t="shared" si="272"/>
        <v>8</v>
      </c>
      <c r="EY175" s="43">
        <f t="shared" si="295"/>
        <v>851</v>
      </c>
      <c r="EZ175" s="436">
        <v>100</v>
      </c>
      <c r="FA175" s="440"/>
      <c r="FB175" s="437">
        <f t="shared" si="296"/>
        <v>94</v>
      </c>
      <c r="FC175" s="437">
        <f t="shared" si="273"/>
        <v>6</v>
      </c>
      <c r="FD175" s="437">
        <f t="shared" si="297"/>
        <v>896</v>
      </c>
      <c r="FE175" s="442">
        <v>124</v>
      </c>
      <c r="FF175" s="446"/>
      <c r="FG175" s="443">
        <f t="shared" si="298"/>
        <v>124</v>
      </c>
      <c r="FH175" s="443">
        <f t="shared" si="274"/>
        <v>0</v>
      </c>
      <c r="FI175" s="443">
        <f t="shared" si="299"/>
        <v>1076</v>
      </c>
      <c r="FJ175" s="392">
        <v>525</v>
      </c>
      <c r="FK175" s="395"/>
      <c r="FL175" s="298">
        <f t="shared" si="300"/>
        <v>480</v>
      </c>
      <c r="FM175" s="298">
        <f t="shared" si="275"/>
        <v>45</v>
      </c>
      <c r="FN175" s="498">
        <f t="shared" si="301"/>
        <v>3320</v>
      </c>
      <c r="HC175" s="402">
        <v>2400</v>
      </c>
      <c r="HD175" s="462"/>
      <c r="HE175" s="52">
        <f t="shared" si="302"/>
        <v>2400</v>
      </c>
      <c r="HF175" s="52">
        <f t="shared" si="276"/>
        <v>0</v>
      </c>
      <c r="HG175" s="51"/>
      <c r="HH175" s="52">
        <f t="shared" si="345"/>
        <v>400</v>
      </c>
      <c r="HI175" s="51"/>
      <c r="HJ175" s="1047"/>
    </row>
    <row r="176" spans="1:218">
      <c r="A176" s="810">
        <v>44839</v>
      </c>
      <c r="B176" s="390">
        <v>307750</v>
      </c>
      <c r="C176" s="18">
        <f t="shared" si="256"/>
        <v>79654383</v>
      </c>
      <c r="D176" s="376">
        <v>5254.74</v>
      </c>
      <c r="E176" s="417">
        <f t="shared" si="360"/>
        <v>991626.58</v>
      </c>
      <c r="F176" s="397">
        <v>34871</v>
      </c>
      <c r="G176" s="37"/>
      <c r="H176" s="37">
        <f t="shared" si="277"/>
        <v>34871</v>
      </c>
      <c r="I176" s="37">
        <f t="shared" si="257"/>
        <v>0</v>
      </c>
      <c r="J176" s="37">
        <f t="shared" si="258"/>
        <v>0</v>
      </c>
      <c r="K176" s="37">
        <f t="shared" si="303"/>
        <v>441536</v>
      </c>
      <c r="L176" s="37">
        <f t="shared" si="259"/>
        <v>445.26438571261372</v>
      </c>
      <c r="M176" s="648"/>
      <c r="N176" s="422">
        <v>250</v>
      </c>
      <c r="O176" s="423"/>
      <c r="P176" s="423">
        <f t="shared" si="304"/>
        <v>150</v>
      </c>
      <c r="Q176" s="423">
        <f t="shared" si="305"/>
        <v>100</v>
      </c>
      <c r="R176" s="423">
        <f t="shared" si="306"/>
        <v>12700</v>
      </c>
      <c r="S176" s="68">
        <v>6.11</v>
      </c>
      <c r="T176" s="67">
        <v>24</v>
      </c>
      <c r="U176" s="68">
        <f t="shared" si="307"/>
        <v>73.320000000000007</v>
      </c>
      <c r="V176" s="68">
        <f t="shared" si="260"/>
        <v>13.953116614713576</v>
      </c>
      <c r="W176" s="423">
        <f t="shared" si="308"/>
        <v>12345.624</v>
      </c>
      <c r="X176" s="68">
        <f t="shared" si="261"/>
        <v>12.449872007263057</v>
      </c>
      <c r="Y176" s="500"/>
      <c r="Z176" s="424">
        <v>75</v>
      </c>
      <c r="AA176" s="425"/>
      <c r="AB176" s="425">
        <f t="shared" si="309"/>
        <v>75</v>
      </c>
      <c r="AC176" s="425">
        <f t="shared" si="310"/>
        <v>0</v>
      </c>
      <c r="AD176" s="425">
        <f t="shared" si="311"/>
        <v>2025</v>
      </c>
      <c r="AE176" s="72">
        <v>2.0499999999999998</v>
      </c>
      <c r="AF176" s="71">
        <v>12</v>
      </c>
      <c r="AG176" s="72">
        <f t="shared" si="312"/>
        <v>12.299999999999999</v>
      </c>
      <c r="AH176" s="72">
        <f t="shared" si="278"/>
        <v>2.3407437856107056</v>
      </c>
      <c r="AI176" s="425">
        <f t="shared" si="313"/>
        <v>1881.4320000000012</v>
      </c>
      <c r="AJ176" s="72">
        <f t="shared" si="346"/>
        <v>1.8973190492735696</v>
      </c>
      <c r="AK176" s="502"/>
      <c r="AL176" s="491">
        <v>23607</v>
      </c>
      <c r="AM176" s="491"/>
      <c r="AN176" s="492">
        <f t="shared" si="353"/>
        <v>23607</v>
      </c>
      <c r="AO176" s="492">
        <f t="shared" si="354"/>
        <v>0</v>
      </c>
      <c r="AP176" s="492">
        <f t="shared" si="355"/>
        <v>59966</v>
      </c>
      <c r="AQ176" s="493">
        <f t="shared" si="279"/>
        <v>60.472360472628722</v>
      </c>
      <c r="AR176" s="504"/>
      <c r="AS176" s="413">
        <v>52876</v>
      </c>
      <c r="AT176" s="133"/>
      <c r="AU176" s="66">
        <f t="shared" si="314"/>
        <v>51531</v>
      </c>
      <c r="AV176" s="66">
        <f t="shared" si="262"/>
        <v>1345</v>
      </c>
      <c r="AW176" s="412">
        <f t="shared" si="315"/>
        <v>4.3704305442729492</v>
      </c>
      <c r="AX176" s="66">
        <f t="shared" si="316"/>
        <v>246084</v>
      </c>
      <c r="AY176" s="412">
        <f t="shared" si="317"/>
        <v>3.0893968508926872</v>
      </c>
      <c r="AZ176" s="506"/>
      <c r="BA176" s="419">
        <v>29480</v>
      </c>
      <c r="BB176" s="419"/>
      <c r="BC176" s="407"/>
      <c r="BD176" s="419">
        <f t="shared" si="280"/>
        <v>0</v>
      </c>
      <c r="BE176" s="419">
        <f t="shared" si="281"/>
        <v>29480</v>
      </c>
      <c r="BF176" s="407">
        <f t="shared" si="318"/>
        <v>95.792038992688873</v>
      </c>
      <c r="BG176" s="419">
        <f t="shared" si="356"/>
        <v>280430</v>
      </c>
      <c r="BH176" s="407">
        <f t="shared" si="319"/>
        <v>3.5205846739155584</v>
      </c>
      <c r="BI176" s="407">
        <f t="shared" si="320"/>
        <v>0.43109200088761945</v>
      </c>
      <c r="BJ176" s="508"/>
      <c r="BK176" s="510"/>
      <c r="BL176" s="49">
        <v>1915</v>
      </c>
      <c r="BM176" s="248"/>
      <c r="BN176" s="52">
        <f t="shared" si="321"/>
        <v>1857</v>
      </c>
      <c r="BO176" s="52">
        <f t="shared" si="263"/>
        <v>58</v>
      </c>
      <c r="BP176" s="406">
        <f t="shared" si="322"/>
        <v>0.18846466287571081</v>
      </c>
      <c r="BQ176" s="52">
        <f t="shared" si="323"/>
        <v>34943</v>
      </c>
      <c r="BR176" s="406">
        <f t="shared" si="324"/>
        <v>0.43868270249485203</v>
      </c>
      <c r="BS176" s="512"/>
      <c r="BT176" s="409">
        <v>2169</v>
      </c>
      <c r="BU176" s="43"/>
      <c r="BV176" s="43">
        <f t="shared" si="350"/>
        <v>2133</v>
      </c>
      <c r="BW176" s="43">
        <f t="shared" si="351"/>
        <v>36</v>
      </c>
      <c r="BX176" s="42">
        <f t="shared" si="325"/>
        <v>0.11697806661251016</v>
      </c>
      <c r="BY176" s="43">
        <f t="shared" si="352"/>
        <v>17304</v>
      </c>
      <c r="BZ176" s="42">
        <f t="shared" si="326"/>
        <v>0.21723851655470108</v>
      </c>
      <c r="CA176" s="514"/>
      <c r="CB176" s="392">
        <v>1984</v>
      </c>
      <c r="CC176" s="298"/>
      <c r="CD176" s="298">
        <f t="shared" si="282"/>
        <v>1575</v>
      </c>
      <c r="CE176" s="298">
        <f t="shared" si="264"/>
        <v>409</v>
      </c>
      <c r="CF176" s="297">
        <f t="shared" si="327"/>
        <v>1.3290008123476849</v>
      </c>
      <c r="CG176" s="298">
        <f t="shared" si="328"/>
        <v>59775</v>
      </c>
      <c r="CH176" s="297">
        <f t="shared" si="329"/>
        <v>0.75042951497094645</v>
      </c>
      <c r="CI176" s="516"/>
      <c r="CJ176" s="659">
        <v>2125</v>
      </c>
      <c r="CK176" s="651"/>
      <c r="CL176" s="657">
        <f t="shared" si="357"/>
        <v>1575</v>
      </c>
      <c r="CM176" s="657">
        <f t="shared" si="358"/>
        <v>550</v>
      </c>
      <c r="CN176" s="659">
        <f t="shared" si="359"/>
        <v>23425</v>
      </c>
      <c r="CO176" s="464">
        <v>0</v>
      </c>
      <c r="CP176" s="465"/>
      <c r="CQ176" s="465">
        <f t="shared" si="283"/>
        <v>0</v>
      </c>
      <c r="CR176" s="465">
        <f t="shared" si="265"/>
        <v>0</v>
      </c>
      <c r="CS176" s="486">
        <f t="shared" si="330"/>
        <v>0</v>
      </c>
      <c r="CT176" s="465">
        <f t="shared" si="331"/>
        <v>1599</v>
      </c>
      <c r="CU176" s="486">
        <f t="shared" si="332"/>
        <v>2.0074224917416034E-2</v>
      </c>
      <c r="CV176" s="518"/>
      <c r="CW176" s="427">
        <v>0</v>
      </c>
      <c r="CX176" s="427"/>
      <c r="CY176" s="427">
        <f t="shared" si="333"/>
        <v>0</v>
      </c>
      <c r="CZ176" s="427">
        <f t="shared" si="334"/>
        <v>0</v>
      </c>
      <c r="DA176" s="607">
        <f t="shared" si="349"/>
        <v>0</v>
      </c>
      <c r="DB176" s="607">
        <f t="shared" si="335"/>
        <v>115</v>
      </c>
      <c r="DC176" s="607">
        <f t="shared" si="284"/>
        <v>1.4437372517216033E-3</v>
      </c>
      <c r="DD176" s="609"/>
      <c r="DE176" s="471">
        <v>13</v>
      </c>
      <c r="DF176" s="473">
        <v>8</v>
      </c>
      <c r="DG176" s="473">
        <f t="shared" si="285"/>
        <v>21</v>
      </c>
      <c r="DH176" s="473">
        <f t="shared" si="266"/>
        <v>0</v>
      </c>
      <c r="DI176" s="227">
        <f t="shared" si="336"/>
        <v>0</v>
      </c>
      <c r="DJ176" s="473">
        <f t="shared" si="337"/>
        <v>118.2</v>
      </c>
      <c r="DK176" s="227">
        <f t="shared" si="338"/>
        <v>1.4839108100303785E-3</v>
      </c>
      <c r="DL176" s="510"/>
      <c r="DM176" s="63">
        <v>0</v>
      </c>
      <c r="DN176" s="133"/>
      <c r="DO176" s="66">
        <f t="shared" si="339"/>
        <v>0</v>
      </c>
      <c r="DP176" s="66">
        <f t="shared" si="267"/>
        <v>0</v>
      </c>
      <c r="DQ176" s="412">
        <f t="shared" si="340"/>
        <v>0</v>
      </c>
      <c r="DR176" s="66">
        <f t="shared" si="341"/>
        <v>18000</v>
      </c>
      <c r="DS176" s="412">
        <f t="shared" si="342"/>
        <v>0.22597626548685965</v>
      </c>
      <c r="DT176" s="506"/>
      <c r="DU176" s="596">
        <v>0</v>
      </c>
      <c r="DV176" s="596"/>
      <c r="DW176" s="596">
        <f t="shared" si="286"/>
        <v>0</v>
      </c>
      <c r="DX176" s="596">
        <f t="shared" si="268"/>
        <v>0</v>
      </c>
      <c r="DY176" s="592">
        <f t="shared" si="287"/>
        <v>0</v>
      </c>
      <c r="DZ176" s="596">
        <f t="shared" si="343"/>
        <v>2800</v>
      </c>
      <c r="EA176" s="592">
        <f t="shared" si="288"/>
        <v>3.515186352017817E-2</v>
      </c>
      <c r="EB176" s="594"/>
      <c r="EC176" s="448">
        <v>50</v>
      </c>
      <c r="ED176" s="449"/>
      <c r="EE176" s="449">
        <f t="shared" si="289"/>
        <v>50</v>
      </c>
      <c r="EF176" s="449">
        <f t="shared" si="269"/>
        <v>0</v>
      </c>
      <c r="EG176" s="450">
        <f t="shared" si="347"/>
        <v>0</v>
      </c>
      <c r="EH176" s="449">
        <f t="shared" si="344"/>
        <v>1015</v>
      </c>
      <c r="EI176" s="450">
        <f t="shared" si="348"/>
        <v>1.2742550526064586E-2</v>
      </c>
      <c r="EJ176" s="520"/>
      <c r="EK176" s="426">
        <v>2825</v>
      </c>
      <c r="EL176" s="427"/>
      <c r="EM176" s="427">
        <f t="shared" si="290"/>
        <v>2688</v>
      </c>
      <c r="EN176" s="427">
        <f t="shared" si="270"/>
        <v>137</v>
      </c>
      <c r="EO176" s="427">
        <f t="shared" si="291"/>
        <v>74834</v>
      </c>
      <c r="EP176" s="456">
        <v>84</v>
      </c>
      <c r="EQ176" s="457"/>
      <c r="ER176" s="457">
        <f t="shared" si="292"/>
        <v>84</v>
      </c>
      <c r="ES176" s="457">
        <f t="shared" si="271"/>
        <v>0</v>
      </c>
      <c r="ET176" s="457">
        <f t="shared" si="293"/>
        <v>1808</v>
      </c>
      <c r="EU176" s="409">
        <v>89</v>
      </c>
      <c r="EV176" s="43"/>
      <c r="EW176" s="43">
        <f t="shared" si="294"/>
        <v>84</v>
      </c>
      <c r="EX176" s="43">
        <f t="shared" si="272"/>
        <v>5</v>
      </c>
      <c r="EY176" s="43">
        <f t="shared" si="295"/>
        <v>856</v>
      </c>
      <c r="EZ176" s="436">
        <v>94</v>
      </c>
      <c r="FA176" s="437"/>
      <c r="FB176" s="437">
        <f t="shared" si="296"/>
        <v>90</v>
      </c>
      <c r="FC176" s="437">
        <f t="shared" si="273"/>
        <v>4</v>
      </c>
      <c r="FD176" s="437">
        <f t="shared" si="297"/>
        <v>900</v>
      </c>
      <c r="FE176" s="442">
        <v>124</v>
      </c>
      <c r="FF176" s="443"/>
      <c r="FG176" s="443">
        <f t="shared" si="298"/>
        <v>124</v>
      </c>
      <c r="FH176" s="443">
        <f t="shared" si="274"/>
        <v>0</v>
      </c>
      <c r="FI176" s="443">
        <f t="shared" si="299"/>
        <v>1076</v>
      </c>
      <c r="FJ176" s="392">
        <v>480</v>
      </c>
      <c r="FK176" s="298"/>
      <c r="FL176" s="298">
        <f t="shared" si="300"/>
        <v>430</v>
      </c>
      <c r="FM176" s="298">
        <f t="shared" si="275"/>
        <v>50</v>
      </c>
      <c r="FN176" s="498">
        <f t="shared" si="301"/>
        <v>3370</v>
      </c>
      <c r="HC176" s="402">
        <v>2400</v>
      </c>
      <c r="HD176" s="52"/>
      <c r="HE176" s="52">
        <f t="shared" si="302"/>
        <v>2400</v>
      </c>
      <c r="HF176" s="52">
        <f t="shared" si="276"/>
        <v>0</v>
      </c>
      <c r="HG176" s="51"/>
      <c r="HH176" s="52">
        <f t="shared" si="345"/>
        <v>400</v>
      </c>
      <c r="HI176" s="51"/>
      <c r="HJ176" s="1047"/>
    </row>
    <row r="177" spans="1:218">
      <c r="A177" s="810">
        <v>44840</v>
      </c>
      <c r="B177" s="390">
        <v>601849</v>
      </c>
      <c r="C177" s="18">
        <f t="shared" si="256"/>
        <v>80256232</v>
      </c>
      <c r="D177" s="376">
        <v>4886.6000000000004</v>
      </c>
      <c r="E177" s="417">
        <f t="shared" si="360"/>
        <v>996513.17999999993</v>
      </c>
      <c r="F177" s="397">
        <v>34871</v>
      </c>
      <c r="G177" s="37"/>
      <c r="H177" s="37">
        <f t="shared" si="277"/>
        <v>32099</v>
      </c>
      <c r="I177" s="37">
        <f t="shared" si="257"/>
        <v>2772</v>
      </c>
      <c r="J177" s="37">
        <f t="shared" si="258"/>
        <v>567.26558343224326</v>
      </c>
      <c r="K177" s="37">
        <f t="shared" si="303"/>
        <v>444308</v>
      </c>
      <c r="L177" s="37">
        <f t="shared" si="259"/>
        <v>445.86264278009855</v>
      </c>
      <c r="M177" s="648"/>
      <c r="N177" s="422">
        <v>150</v>
      </c>
      <c r="O177" s="423"/>
      <c r="P177" s="423">
        <f t="shared" si="304"/>
        <v>100</v>
      </c>
      <c r="Q177" s="423">
        <f t="shared" si="305"/>
        <v>50</v>
      </c>
      <c r="R177" s="423">
        <f t="shared" si="306"/>
        <v>12750</v>
      </c>
      <c r="S177" s="68">
        <v>9.4499999999999993</v>
      </c>
      <c r="T177" s="67">
        <v>24</v>
      </c>
      <c r="U177" s="68">
        <f t="shared" si="307"/>
        <v>113.39999999999999</v>
      </c>
      <c r="V177" s="68">
        <f t="shared" si="260"/>
        <v>23.206319322228129</v>
      </c>
      <c r="W177" s="423">
        <f t="shared" si="308"/>
        <v>12459.023999999999</v>
      </c>
      <c r="X177" s="68">
        <f t="shared" si="261"/>
        <v>12.502618379819122</v>
      </c>
      <c r="Y177" s="500"/>
      <c r="Z177" s="424">
        <v>75</v>
      </c>
      <c r="AA177" s="425"/>
      <c r="AB177" s="425">
        <f t="shared" si="309"/>
        <v>50</v>
      </c>
      <c r="AC177" s="425">
        <f t="shared" si="310"/>
        <v>25</v>
      </c>
      <c r="AD177" s="425">
        <f t="shared" si="311"/>
        <v>2050</v>
      </c>
      <c r="AE177" s="72">
        <v>2.04</v>
      </c>
      <c r="AF177" s="71">
        <v>12</v>
      </c>
      <c r="AG177" s="72">
        <f t="shared" si="312"/>
        <v>12.24</v>
      </c>
      <c r="AH177" s="72">
        <f t="shared" si="278"/>
        <v>2.5048090697008143</v>
      </c>
      <c r="AI177" s="425">
        <f t="shared" si="313"/>
        <v>1893.6720000000012</v>
      </c>
      <c r="AJ177" s="72">
        <f t="shared" si="346"/>
        <v>1.9002979970621174</v>
      </c>
      <c r="AK177" s="502"/>
      <c r="AL177" s="491">
        <v>23607</v>
      </c>
      <c r="AM177" s="491"/>
      <c r="AN177" s="492">
        <f t="shared" si="353"/>
        <v>23607</v>
      </c>
      <c r="AO177" s="492">
        <f t="shared" si="354"/>
        <v>0</v>
      </c>
      <c r="AP177" s="492">
        <f t="shared" si="355"/>
        <v>59966</v>
      </c>
      <c r="AQ177" s="493">
        <f t="shared" si="279"/>
        <v>60.17582226057462</v>
      </c>
      <c r="AR177" s="504"/>
      <c r="AS177" s="413">
        <v>51531</v>
      </c>
      <c r="AT177" s="133"/>
      <c r="AU177" s="66">
        <f t="shared" si="314"/>
        <v>45023</v>
      </c>
      <c r="AV177" s="66">
        <f t="shared" si="262"/>
        <v>6508</v>
      </c>
      <c r="AW177" s="412">
        <f t="shared" si="315"/>
        <v>10.813343546304804</v>
      </c>
      <c r="AX177" s="66">
        <f t="shared" si="316"/>
        <v>252592</v>
      </c>
      <c r="AY177" s="412">
        <f t="shared" si="317"/>
        <v>3.1473194505318913</v>
      </c>
      <c r="AZ177" s="506"/>
      <c r="BA177" s="419">
        <v>0</v>
      </c>
      <c r="BB177" s="419"/>
      <c r="BC177" s="407"/>
      <c r="BD177" s="419">
        <f t="shared" si="280"/>
        <v>0</v>
      </c>
      <c r="BE177" s="419">
        <f t="shared" si="281"/>
        <v>0</v>
      </c>
      <c r="BF177" s="407">
        <f t="shared" si="318"/>
        <v>0</v>
      </c>
      <c r="BG177" s="419">
        <f t="shared" si="356"/>
        <v>280430</v>
      </c>
      <c r="BH177" s="407">
        <f t="shared" si="319"/>
        <v>3.4941834797327638</v>
      </c>
      <c r="BI177" s="407">
        <f t="shared" si="320"/>
        <v>0.42785920159993029</v>
      </c>
      <c r="BJ177" s="508"/>
      <c r="BK177" s="510"/>
      <c r="BL177" s="49">
        <v>1857</v>
      </c>
      <c r="BM177" s="248"/>
      <c r="BN177" s="52">
        <f t="shared" si="321"/>
        <v>1723</v>
      </c>
      <c r="BO177" s="52">
        <f t="shared" si="263"/>
        <v>134</v>
      </c>
      <c r="BP177" s="406">
        <f t="shared" si="322"/>
        <v>0.22264720885138964</v>
      </c>
      <c r="BQ177" s="52">
        <f t="shared" si="323"/>
        <v>35077</v>
      </c>
      <c r="BR177" s="406">
        <f t="shared" si="324"/>
        <v>0.43706263209566082</v>
      </c>
      <c r="BS177" s="512"/>
      <c r="BT177" s="409">
        <v>2133</v>
      </c>
      <c r="BU177" s="43"/>
      <c r="BV177" s="43">
        <f t="shared" si="350"/>
        <v>2081</v>
      </c>
      <c r="BW177" s="43">
        <f t="shared" si="351"/>
        <v>52</v>
      </c>
      <c r="BX177" s="42">
        <f t="shared" si="325"/>
        <v>8.6400409405016879E-2</v>
      </c>
      <c r="BY177" s="43">
        <f t="shared" si="352"/>
        <v>17356</v>
      </c>
      <c r="BZ177" s="42">
        <f t="shared" si="326"/>
        <v>0.21625734933581234</v>
      </c>
      <c r="CA177" s="514"/>
      <c r="CB177" s="392">
        <v>1575</v>
      </c>
      <c r="CC177" s="298"/>
      <c r="CD177" s="298">
        <f t="shared" si="282"/>
        <v>1150</v>
      </c>
      <c r="CE177" s="298">
        <f t="shared" si="264"/>
        <v>425</v>
      </c>
      <c r="CF177" s="297">
        <f t="shared" si="327"/>
        <v>0.7061571922525417</v>
      </c>
      <c r="CG177" s="298">
        <f t="shared" si="328"/>
        <v>60200</v>
      </c>
      <c r="CH177" s="297">
        <f t="shared" si="329"/>
        <v>0.75009751267664793</v>
      </c>
      <c r="CI177" s="516"/>
      <c r="CJ177" s="659">
        <v>1575</v>
      </c>
      <c r="CK177" s="651"/>
      <c r="CL177" s="657">
        <f t="shared" si="357"/>
        <v>1400</v>
      </c>
      <c r="CM177" s="657">
        <f t="shared" si="358"/>
        <v>175</v>
      </c>
      <c r="CN177" s="659">
        <f t="shared" si="359"/>
        <v>23600</v>
      </c>
      <c r="CO177" s="464">
        <v>0</v>
      </c>
      <c r="CP177" s="465"/>
      <c r="CQ177" s="465">
        <f t="shared" si="283"/>
        <v>0</v>
      </c>
      <c r="CR177" s="465">
        <f t="shared" si="265"/>
        <v>0</v>
      </c>
      <c r="CS177" s="486">
        <f t="shared" si="330"/>
        <v>0</v>
      </c>
      <c r="CT177" s="465">
        <f t="shared" si="331"/>
        <v>1599</v>
      </c>
      <c r="CU177" s="486">
        <f t="shared" si="332"/>
        <v>1.9923686424750169E-2</v>
      </c>
      <c r="CV177" s="518"/>
      <c r="CW177" s="427">
        <v>0</v>
      </c>
      <c r="CX177" s="427"/>
      <c r="CY177" s="427">
        <f t="shared" si="333"/>
        <v>0</v>
      </c>
      <c r="CZ177" s="427">
        <f t="shared" si="334"/>
        <v>0</v>
      </c>
      <c r="DA177" s="607">
        <f t="shared" si="349"/>
        <v>0</v>
      </c>
      <c r="DB177" s="607">
        <f t="shared" si="335"/>
        <v>115</v>
      </c>
      <c r="DC177" s="607">
        <f t="shared" si="284"/>
        <v>1.4329105308607062E-3</v>
      </c>
      <c r="DD177" s="609"/>
      <c r="DE177" s="471">
        <v>21</v>
      </c>
      <c r="DF177" s="473"/>
      <c r="DG177" s="473">
        <f t="shared" si="285"/>
        <v>6.5</v>
      </c>
      <c r="DH177" s="473">
        <f t="shared" si="266"/>
        <v>14.5</v>
      </c>
      <c r="DI177" s="227">
        <f t="shared" si="336"/>
        <v>2.4092421853322013E-2</v>
      </c>
      <c r="DJ177" s="473">
        <f t="shared" si="337"/>
        <v>132.69999999999999</v>
      </c>
      <c r="DK177" s="227">
        <f t="shared" si="338"/>
        <v>1.653454151697528E-3</v>
      </c>
      <c r="DL177" s="510"/>
      <c r="DM177" s="63">
        <v>0</v>
      </c>
      <c r="DN177" s="133"/>
      <c r="DO177" s="66">
        <f t="shared" si="339"/>
        <v>0</v>
      </c>
      <c r="DP177" s="66">
        <f t="shared" si="267"/>
        <v>0</v>
      </c>
      <c r="DQ177" s="412">
        <f t="shared" si="340"/>
        <v>0</v>
      </c>
      <c r="DR177" s="66">
        <f t="shared" si="341"/>
        <v>18000</v>
      </c>
      <c r="DS177" s="412">
        <f t="shared" si="342"/>
        <v>0.22428164830863229</v>
      </c>
      <c r="DT177" s="506"/>
      <c r="DU177" s="596">
        <v>0</v>
      </c>
      <c r="DV177" s="596"/>
      <c r="DW177" s="596">
        <f t="shared" si="286"/>
        <v>0</v>
      </c>
      <c r="DX177" s="596">
        <f t="shared" si="268"/>
        <v>0</v>
      </c>
      <c r="DY177" s="592">
        <f t="shared" si="287"/>
        <v>0</v>
      </c>
      <c r="DZ177" s="596">
        <f t="shared" si="343"/>
        <v>2800</v>
      </c>
      <c r="EA177" s="592">
        <f t="shared" si="288"/>
        <v>3.4888256403565021E-2</v>
      </c>
      <c r="EB177" s="594"/>
      <c r="EC177" s="448">
        <v>50</v>
      </c>
      <c r="ED177" s="449"/>
      <c r="EE177" s="449">
        <f t="shared" si="289"/>
        <v>100</v>
      </c>
      <c r="EF177" s="449">
        <f t="shared" si="269"/>
        <v>-50</v>
      </c>
      <c r="EG177" s="450">
        <f t="shared" si="347"/>
        <v>-8.307731673559314E-2</v>
      </c>
      <c r="EH177" s="449">
        <f t="shared" si="344"/>
        <v>965</v>
      </c>
      <c r="EI177" s="450">
        <f t="shared" si="348"/>
        <v>1.202398836765723E-2</v>
      </c>
      <c r="EJ177" s="520"/>
      <c r="EK177" s="426">
        <v>2688</v>
      </c>
      <c r="EL177" s="427"/>
      <c r="EM177" s="427">
        <f t="shared" si="290"/>
        <v>2563</v>
      </c>
      <c r="EN177" s="427">
        <f t="shared" si="270"/>
        <v>125</v>
      </c>
      <c r="EO177" s="427">
        <f t="shared" si="291"/>
        <v>74959</v>
      </c>
      <c r="EP177" s="456">
        <v>84</v>
      </c>
      <c r="EQ177" s="457"/>
      <c r="ER177" s="457">
        <f t="shared" si="292"/>
        <v>84</v>
      </c>
      <c r="ES177" s="457">
        <f t="shared" si="271"/>
        <v>0</v>
      </c>
      <c r="ET177" s="457">
        <f t="shared" si="293"/>
        <v>1808</v>
      </c>
      <c r="EU177" s="409">
        <v>84</v>
      </c>
      <c r="EV177" s="43"/>
      <c r="EW177" s="43">
        <f t="shared" si="294"/>
        <v>82</v>
      </c>
      <c r="EX177" s="43">
        <f t="shared" si="272"/>
        <v>2</v>
      </c>
      <c r="EY177" s="43">
        <f t="shared" si="295"/>
        <v>858</v>
      </c>
      <c r="EZ177" s="436">
        <v>90</v>
      </c>
      <c r="FA177" s="437"/>
      <c r="FB177" s="437">
        <f t="shared" si="296"/>
        <v>89</v>
      </c>
      <c r="FC177" s="437">
        <f t="shared" si="273"/>
        <v>1</v>
      </c>
      <c r="FD177" s="437">
        <f t="shared" si="297"/>
        <v>901</v>
      </c>
      <c r="FE177" s="442">
        <v>124</v>
      </c>
      <c r="FF177" s="443"/>
      <c r="FG177" s="443">
        <f t="shared" si="298"/>
        <v>100</v>
      </c>
      <c r="FH177" s="443">
        <f t="shared" si="274"/>
        <v>24</v>
      </c>
      <c r="FI177" s="443">
        <f t="shared" si="299"/>
        <v>1100</v>
      </c>
      <c r="FJ177" s="392">
        <v>430</v>
      </c>
      <c r="FK177" s="298"/>
      <c r="FL177" s="298">
        <f t="shared" si="300"/>
        <v>430</v>
      </c>
      <c r="FM177" s="298">
        <f t="shared" si="275"/>
        <v>0</v>
      </c>
      <c r="FN177" s="498">
        <f t="shared" si="301"/>
        <v>3370</v>
      </c>
      <c r="HC177" s="402">
        <v>2400</v>
      </c>
      <c r="HD177" s="52"/>
      <c r="HE177" s="52">
        <f t="shared" si="302"/>
        <v>2400</v>
      </c>
      <c r="HF177" s="52">
        <f t="shared" si="276"/>
        <v>0</v>
      </c>
      <c r="HG177" s="51"/>
      <c r="HH177" s="52">
        <f t="shared" si="345"/>
        <v>400</v>
      </c>
      <c r="HI177" s="51"/>
      <c r="HJ177" s="1047"/>
    </row>
    <row r="178" spans="1:218">
      <c r="A178" s="810">
        <v>44841</v>
      </c>
      <c r="B178" s="390">
        <v>155136</v>
      </c>
      <c r="C178" s="18">
        <f t="shared" si="256"/>
        <v>80411368</v>
      </c>
      <c r="D178" s="376">
        <v>0</v>
      </c>
      <c r="E178" s="417">
        <f t="shared" si="360"/>
        <v>996513.17999999993</v>
      </c>
      <c r="F178" s="397">
        <v>32099</v>
      </c>
      <c r="G178" s="37"/>
      <c r="H178" s="37">
        <f t="shared" si="277"/>
        <v>32099</v>
      </c>
      <c r="I178" s="37">
        <f t="shared" si="257"/>
        <v>0</v>
      </c>
      <c r="J178" s="37" t="e">
        <f t="shared" si="258"/>
        <v>#DIV/0!</v>
      </c>
      <c r="K178" s="37">
        <f t="shared" si="303"/>
        <v>444308</v>
      </c>
      <c r="L178" s="37">
        <f t="shared" si="259"/>
        <v>445.86264278009855</v>
      </c>
      <c r="M178" s="648"/>
      <c r="N178" s="422">
        <v>100</v>
      </c>
      <c r="O178" s="423"/>
      <c r="P178" s="423">
        <f t="shared" si="304"/>
        <v>100</v>
      </c>
      <c r="Q178" s="423">
        <f t="shared" si="305"/>
        <v>0</v>
      </c>
      <c r="R178" s="423">
        <f t="shared" si="306"/>
        <v>12750</v>
      </c>
      <c r="S178" s="68">
        <v>0</v>
      </c>
      <c r="T178" s="67">
        <v>24</v>
      </c>
      <c r="U178" s="68">
        <f t="shared" si="307"/>
        <v>0</v>
      </c>
      <c r="V178" s="68" t="e">
        <f t="shared" si="260"/>
        <v>#DIV/0!</v>
      </c>
      <c r="W178" s="423">
        <f t="shared" si="308"/>
        <v>12459.023999999999</v>
      </c>
      <c r="X178" s="68">
        <f t="shared" si="261"/>
        <v>12.502618379819122</v>
      </c>
      <c r="Y178" s="500"/>
      <c r="Z178" s="424">
        <v>50</v>
      </c>
      <c r="AA178" s="425"/>
      <c r="AB178" s="425">
        <f t="shared" si="309"/>
        <v>50</v>
      </c>
      <c r="AC178" s="425">
        <f t="shared" si="310"/>
        <v>0</v>
      </c>
      <c r="AD178" s="425">
        <f t="shared" si="311"/>
        <v>2050</v>
      </c>
      <c r="AE178" s="72">
        <v>0</v>
      </c>
      <c r="AF178" s="71">
        <v>12</v>
      </c>
      <c r="AG178" s="72">
        <f t="shared" si="312"/>
        <v>0</v>
      </c>
      <c r="AH178" s="72" t="e">
        <f t="shared" si="278"/>
        <v>#DIV/0!</v>
      </c>
      <c r="AI178" s="425">
        <f t="shared" si="313"/>
        <v>1893.6720000000012</v>
      </c>
      <c r="AJ178" s="72">
        <f t="shared" si="346"/>
        <v>1.9002979970621174</v>
      </c>
      <c r="AK178" s="502"/>
      <c r="AL178" s="491">
        <v>23607</v>
      </c>
      <c r="AM178" s="491"/>
      <c r="AN178" s="492">
        <f t="shared" si="353"/>
        <v>23607</v>
      </c>
      <c r="AO178" s="492">
        <f t="shared" si="354"/>
        <v>0</v>
      </c>
      <c r="AP178" s="492">
        <f t="shared" si="355"/>
        <v>59966</v>
      </c>
      <c r="AQ178" s="493">
        <f t="shared" si="279"/>
        <v>60.17582226057462</v>
      </c>
      <c r="AR178" s="504"/>
      <c r="AS178" s="413">
        <v>45023</v>
      </c>
      <c r="AT178" s="133"/>
      <c r="AU178" s="66">
        <f t="shared" si="314"/>
        <v>45023</v>
      </c>
      <c r="AV178" s="66">
        <f t="shared" si="262"/>
        <v>0</v>
      </c>
      <c r="AW178" s="412">
        <f t="shared" si="315"/>
        <v>0</v>
      </c>
      <c r="AX178" s="66">
        <f t="shared" si="316"/>
        <v>252592</v>
      </c>
      <c r="AY178" s="412">
        <f t="shared" si="317"/>
        <v>3.1412473917866937</v>
      </c>
      <c r="AZ178" s="506"/>
      <c r="BA178" s="419">
        <v>0</v>
      </c>
      <c r="BB178" s="419"/>
      <c r="BC178" s="407"/>
      <c r="BD178" s="419">
        <f t="shared" si="280"/>
        <v>0</v>
      </c>
      <c r="BE178" s="419">
        <f t="shared" si="281"/>
        <v>0</v>
      </c>
      <c r="BF178" s="407">
        <f t="shared" si="318"/>
        <v>0</v>
      </c>
      <c r="BG178" s="419">
        <f t="shared" si="356"/>
        <v>280430</v>
      </c>
      <c r="BH178" s="407">
        <f t="shared" si="319"/>
        <v>3.4874422233433462</v>
      </c>
      <c r="BI178" s="407">
        <f t="shared" si="320"/>
        <v>0.42703374163387914</v>
      </c>
      <c r="BJ178" s="508"/>
      <c r="BK178" s="510"/>
      <c r="BL178" s="49">
        <v>1723</v>
      </c>
      <c r="BM178" s="248"/>
      <c r="BN178" s="52">
        <f t="shared" si="321"/>
        <v>1723</v>
      </c>
      <c r="BO178" s="52">
        <f t="shared" si="263"/>
        <v>0</v>
      </c>
      <c r="BP178" s="406">
        <f t="shared" si="322"/>
        <v>0</v>
      </c>
      <c r="BQ178" s="52">
        <f t="shared" si="323"/>
        <v>35077</v>
      </c>
      <c r="BR178" s="406">
        <f t="shared" si="324"/>
        <v>0.43621941614026516</v>
      </c>
      <c r="BS178" s="512"/>
      <c r="BT178" s="409">
        <v>2081</v>
      </c>
      <c r="BU178" s="43"/>
      <c r="BV178" s="43">
        <f t="shared" si="350"/>
        <v>2081</v>
      </c>
      <c r="BW178" s="43">
        <f t="shared" si="351"/>
        <v>0</v>
      </c>
      <c r="BX178" s="42">
        <f t="shared" si="325"/>
        <v>0</v>
      </c>
      <c r="BY178" s="43">
        <f t="shared" si="352"/>
        <v>17356</v>
      </c>
      <c r="BZ178" s="42">
        <f t="shared" si="326"/>
        <v>0.21584012847536682</v>
      </c>
      <c r="CA178" s="514"/>
      <c r="CB178" s="392">
        <v>1150</v>
      </c>
      <c r="CC178" s="298"/>
      <c r="CD178" s="298">
        <f t="shared" si="282"/>
        <v>1150</v>
      </c>
      <c r="CE178" s="298">
        <f t="shared" si="264"/>
        <v>0</v>
      </c>
      <c r="CF178" s="297">
        <f t="shared" si="327"/>
        <v>0</v>
      </c>
      <c r="CG178" s="298">
        <f t="shared" si="328"/>
        <v>60200</v>
      </c>
      <c r="CH178" s="297">
        <f t="shared" si="329"/>
        <v>0.74865036495834769</v>
      </c>
      <c r="CI178" s="516"/>
      <c r="CJ178" s="659">
        <v>1400</v>
      </c>
      <c r="CK178" s="651"/>
      <c r="CL178" s="657">
        <f t="shared" ref="CL178:CL209" si="361">CJ179</f>
        <v>1400</v>
      </c>
      <c r="CM178" s="657">
        <f t="shared" ref="CM178:CM209" si="362">CJ178+CK178-CL178</f>
        <v>0</v>
      </c>
      <c r="CN178" s="659">
        <f t="shared" si="359"/>
        <v>23600</v>
      </c>
      <c r="CO178" s="464">
        <v>0</v>
      </c>
      <c r="CP178" s="465"/>
      <c r="CQ178" s="465">
        <f t="shared" si="283"/>
        <v>0</v>
      </c>
      <c r="CR178" s="465">
        <f t="shared" si="265"/>
        <v>0</v>
      </c>
      <c r="CS178" s="486">
        <f t="shared" si="330"/>
        <v>0</v>
      </c>
      <c r="CT178" s="465">
        <f t="shared" si="331"/>
        <v>1599</v>
      </c>
      <c r="CU178" s="486">
        <f t="shared" si="332"/>
        <v>1.9885248065920232E-2</v>
      </c>
      <c r="CV178" s="518"/>
      <c r="CW178" s="427">
        <v>0</v>
      </c>
      <c r="CX178" s="427"/>
      <c r="CY178" s="427">
        <f t="shared" si="333"/>
        <v>0</v>
      </c>
      <c r="CZ178" s="427">
        <f t="shared" si="334"/>
        <v>0</v>
      </c>
      <c r="DA178" s="607">
        <f t="shared" si="349"/>
        <v>0</v>
      </c>
      <c r="DB178" s="607">
        <f t="shared" si="335"/>
        <v>115</v>
      </c>
      <c r="DC178" s="607">
        <f t="shared" si="284"/>
        <v>1.4301460460167772E-3</v>
      </c>
      <c r="DD178" s="609"/>
      <c r="DE178" s="471">
        <v>6.5</v>
      </c>
      <c r="DF178" s="473"/>
      <c r="DG178" s="473">
        <f t="shared" si="285"/>
        <v>6.5</v>
      </c>
      <c r="DH178" s="473">
        <f t="shared" si="266"/>
        <v>0</v>
      </c>
      <c r="DI178" s="227">
        <f t="shared" si="336"/>
        <v>0</v>
      </c>
      <c r="DJ178" s="473">
        <f t="shared" si="337"/>
        <v>132.69999999999999</v>
      </c>
      <c r="DK178" s="227">
        <f t="shared" si="338"/>
        <v>1.6502641765776202E-3</v>
      </c>
      <c r="DL178" s="510"/>
      <c r="DM178" s="63">
        <v>0</v>
      </c>
      <c r="DN178" s="133"/>
      <c r="DO178" s="66">
        <f t="shared" si="339"/>
        <v>0</v>
      </c>
      <c r="DP178" s="66">
        <f t="shared" si="267"/>
        <v>0</v>
      </c>
      <c r="DQ178" s="412">
        <f t="shared" si="340"/>
        <v>0</v>
      </c>
      <c r="DR178" s="66">
        <f t="shared" si="341"/>
        <v>18000</v>
      </c>
      <c r="DS178" s="412">
        <f t="shared" si="342"/>
        <v>0.22384894633306077</v>
      </c>
      <c r="DT178" s="506"/>
      <c r="DU178" s="596">
        <v>0</v>
      </c>
      <c r="DV178" s="596"/>
      <c r="DW178" s="596">
        <f t="shared" si="286"/>
        <v>0</v>
      </c>
      <c r="DX178" s="596">
        <f t="shared" si="268"/>
        <v>0</v>
      </c>
      <c r="DY178" s="592">
        <f t="shared" si="287"/>
        <v>0</v>
      </c>
      <c r="DZ178" s="596">
        <f t="shared" si="343"/>
        <v>2800</v>
      </c>
      <c r="EA178" s="592">
        <f t="shared" si="288"/>
        <v>3.4820947207365005E-2</v>
      </c>
      <c r="EB178" s="594"/>
      <c r="EC178" s="448">
        <v>100</v>
      </c>
      <c r="ED178" s="449">
        <v>100</v>
      </c>
      <c r="EE178" s="449">
        <f t="shared" si="289"/>
        <v>100</v>
      </c>
      <c r="EF178" s="449">
        <f t="shared" si="269"/>
        <v>100</v>
      </c>
      <c r="EG178" s="450">
        <f t="shared" si="347"/>
        <v>0.64459570957095713</v>
      </c>
      <c r="EH178" s="449">
        <f t="shared" si="344"/>
        <v>1065</v>
      </c>
      <c r="EI178" s="450">
        <f t="shared" si="348"/>
        <v>1.3244395991372762E-2</v>
      </c>
      <c r="EJ178" s="520"/>
      <c r="EK178" s="426">
        <v>2563</v>
      </c>
      <c r="EL178" s="427"/>
      <c r="EM178" s="427">
        <f t="shared" si="290"/>
        <v>2563</v>
      </c>
      <c r="EN178" s="427">
        <f t="shared" si="270"/>
        <v>0</v>
      </c>
      <c r="EO178" s="427">
        <f t="shared" si="291"/>
        <v>74959</v>
      </c>
      <c r="EP178" s="456">
        <v>84</v>
      </c>
      <c r="EQ178" s="457"/>
      <c r="ER178" s="457">
        <f t="shared" si="292"/>
        <v>84</v>
      </c>
      <c r="ES178" s="457">
        <f t="shared" si="271"/>
        <v>0</v>
      </c>
      <c r="ET178" s="457">
        <f t="shared" si="293"/>
        <v>1808</v>
      </c>
      <c r="EU178" s="409">
        <v>82</v>
      </c>
      <c r="EV178" s="43"/>
      <c r="EW178" s="43">
        <f t="shared" si="294"/>
        <v>82</v>
      </c>
      <c r="EX178" s="43">
        <f t="shared" si="272"/>
        <v>0</v>
      </c>
      <c r="EY178" s="43">
        <f t="shared" si="295"/>
        <v>858</v>
      </c>
      <c r="EZ178" s="436">
        <v>89</v>
      </c>
      <c r="FA178" s="437"/>
      <c r="FB178" s="437">
        <f t="shared" si="296"/>
        <v>89</v>
      </c>
      <c r="FC178" s="437">
        <f t="shared" si="273"/>
        <v>0</v>
      </c>
      <c r="FD178" s="437">
        <f t="shared" si="297"/>
        <v>901</v>
      </c>
      <c r="FE178" s="442">
        <v>100</v>
      </c>
      <c r="FF178" s="443"/>
      <c r="FG178" s="443">
        <f t="shared" si="298"/>
        <v>100</v>
      </c>
      <c r="FH178" s="443">
        <f t="shared" si="274"/>
        <v>0</v>
      </c>
      <c r="FI178" s="443">
        <f t="shared" si="299"/>
        <v>1100</v>
      </c>
      <c r="FJ178" s="392">
        <v>430</v>
      </c>
      <c r="FK178" s="298"/>
      <c r="FL178" s="298">
        <f t="shared" si="300"/>
        <v>430</v>
      </c>
      <c r="FM178" s="298">
        <f t="shared" si="275"/>
        <v>0</v>
      </c>
      <c r="FN178" s="498">
        <f t="shared" si="301"/>
        <v>3370</v>
      </c>
      <c r="HC178" s="402">
        <v>2400</v>
      </c>
      <c r="HD178" s="52"/>
      <c r="HE178" s="52">
        <f t="shared" si="302"/>
        <v>2400</v>
      </c>
      <c r="HF178" s="52">
        <f t="shared" si="276"/>
        <v>0</v>
      </c>
      <c r="HG178" s="51"/>
      <c r="HH178" s="52">
        <f t="shared" si="345"/>
        <v>400</v>
      </c>
      <c r="HI178" s="51"/>
      <c r="HJ178" s="1047"/>
    </row>
    <row r="179" spans="1:218">
      <c r="A179" s="810">
        <v>44842</v>
      </c>
      <c r="B179" s="390">
        <v>0</v>
      </c>
      <c r="C179" s="18">
        <f t="shared" si="256"/>
        <v>80411368</v>
      </c>
      <c r="D179" s="376">
        <v>0</v>
      </c>
      <c r="E179" s="417">
        <f t="shared" si="360"/>
        <v>996513.17999999993</v>
      </c>
      <c r="F179" s="397">
        <v>32099</v>
      </c>
      <c r="G179" s="37"/>
      <c r="H179" s="37">
        <f t="shared" si="277"/>
        <v>32099</v>
      </c>
      <c r="I179" s="37">
        <f t="shared" si="257"/>
        <v>0</v>
      </c>
      <c r="J179" s="37" t="e">
        <f t="shared" si="258"/>
        <v>#DIV/0!</v>
      </c>
      <c r="K179" s="37">
        <f t="shared" si="303"/>
        <v>444308</v>
      </c>
      <c r="L179" s="37">
        <f t="shared" si="259"/>
        <v>445.86264278009855</v>
      </c>
      <c r="M179" s="648"/>
      <c r="N179" s="422">
        <v>100</v>
      </c>
      <c r="O179" s="423"/>
      <c r="P179" s="423">
        <f t="shared" si="304"/>
        <v>100</v>
      </c>
      <c r="Q179" s="423">
        <f t="shared" si="305"/>
        <v>0</v>
      </c>
      <c r="R179" s="423">
        <f t="shared" si="306"/>
        <v>12750</v>
      </c>
      <c r="S179" s="68">
        <v>0</v>
      </c>
      <c r="T179" s="67">
        <v>24</v>
      </c>
      <c r="U179" s="68">
        <f t="shared" si="307"/>
        <v>0</v>
      </c>
      <c r="V179" s="68" t="e">
        <f t="shared" si="260"/>
        <v>#DIV/0!</v>
      </c>
      <c r="W179" s="423">
        <f t="shared" si="308"/>
        <v>12459.023999999999</v>
      </c>
      <c r="X179" s="68">
        <f t="shared" si="261"/>
        <v>12.502618379819122</v>
      </c>
      <c r="Y179" s="500"/>
      <c r="Z179" s="424">
        <v>50</v>
      </c>
      <c r="AA179" s="425"/>
      <c r="AB179" s="425">
        <f t="shared" si="309"/>
        <v>50</v>
      </c>
      <c r="AC179" s="425">
        <f t="shared" si="310"/>
        <v>0</v>
      </c>
      <c r="AD179" s="425">
        <f t="shared" si="311"/>
        <v>2050</v>
      </c>
      <c r="AE179" s="72">
        <v>0</v>
      </c>
      <c r="AF179" s="71">
        <v>12</v>
      </c>
      <c r="AG179" s="72">
        <f t="shared" si="312"/>
        <v>0</v>
      </c>
      <c r="AH179" s="72" t="e">
        <f t="shared" si="278"/>
        <v>#DIV/0!</v>
      </c>
      <c r="AI179" s="425">
        <f t="shared" si="313"/>
        <v>1893.6720000000012</v>
      </c>
      <c r="AJ179" s="72">
        <f t="shared" si="346"/>
        <v>1.9002979970621174</v>
      </c>
      <c r="AK179" s="502"/>
      <c r="AL179" s="491">
        <v>23607</v>
      </c>
      <c r="AM179" s="491"/>
      <c r="AN179" s="492">
        <f t="shared" si="353"/>
        <v>23607</v>
      </c>
      <c r="AO179" s="492">
        <f t="shared" si="354"/>
        <v>0</v>
      </c>
      <c r="AP179" s="492">
        <f t="shared" si="355"/>
        <v>59966</v>
      </c>
      <c r="AQ179" s="493">
        <f t="shared" si="279"/>
        <v>60.17582226057462</v>
      </c>
      <c r="AR179" s="504"/>
      <c r="AS179" s="413">
        <v>45023</v>
      </c>
      <c r="AT179" s="133"/>
      <c r="AU179" s="66">
        <f t="shared" si="314"/>
        <v>45023</v>
      </c>
      <c r="AV179" s="66">
        <f t="shared" si="262"/>
        <v>0</v>
      </c>
      <c r="AW179" s="412" t="e">
        <f t="shared" si="315"/>
        <v>#DIV/0!</v>
      </c>
      <c r="AX179" s="66">
        <f t="shared" si="316"/>
        <v>252592</v>
      </c>
      <c r="AY179" s="412">
        <f t="shared" si="317"/>
        <v>3.1412473917866937</v>
      </c>
      <c r="AZ179" s="506"/>
      <c r="BA179" s="419">
        <v>0</v>
      </c>
      <c r="BB179" s="419">
        <v>27440</v>
      </c>
      <c r="BC179" s="407"/>
      <c r="BD179" s="419">
        <f t="shared" si="280"/>
        <v>27440</v>
      </c>
      <c r="BE179" s="419">
        <f t="shared" si="281"/>
        <v>0</v>
      </c>
      <c r="BF179" s="407" t="e">
        <f t="shared" si="318"/>
        <v>#DIV/0!</v>
      </c>
      <c r="BG179" s="419">
        <f t="shared" si="356"/>
        <v>280430</v>
      </c>
      <c r="BH179" s="407">
        <f t="shared" si="319"/>
        <v>3.4874422233433462</v>
      </c>
      <c r="BI179" s="407">
        <f t="shared" si="320"/>
        <v>0.42703374163387914</v>
      </c>
      <c r="BJ179" s="508"/>
      <c r="BK179" s="510"/>
      <c r="BL179" s="49">
        <v>1723</v>
      </c>
      <c r="BM179" s="248"/>
      <c r="BN179" s="52">
        <f t="shared" si="321"/>
        <v>1723</v>
      </c>
      <c r="BO179" s="52">
        <f t="shared" si="263"/>
        <v>0</v>
      </c>
      <c r="BP179" s="406" t="e">
        <f t="shared" si="322"/>
        <v>#DIV/0!</v>
      </c>
      <c r="BQ179" s="52">
        <f t="shared" si="323"/>
        <v>35077</v>
      </c>
      <c r="BR179" s="406">
        <f t="shared" si="324"/>
        <v>0.43621941614026516</v>
      </c>
      <c r="BS179" s="512"/>
      <c r="BT179" s="409">
        <v>2081</v>
      </c>
      <c r="BU179" s="43"/>
      <c r="BV179" s="43">
        <f t="shared" si="350"/>
        <v>2081</v>
      </c>
      <c r="BW179" s="43">
        <f t="shared" si="351"/>
        <v>0</v>
      </c>
      <c r="BX179" s="42" t="e">
        <f t="shared" si="325"/>
        <v>#DIV/0!</v>
      </c>
      <c r="BY179" s="43">
        <f t="shared" si="352"/>
        <v>17356</v>
      </c>
      <c r="BZ179" s="42">
        <f t="shared" si="326"/>
        <v>0.21584012847536682</v>
      </c>
      <c r="CA179" s="514"/>
      <c r="CB179" s="392">
        <v>1150</v>
      </c>
      <c r="CC179" s="298"/>
      <c r="CD179" s="298">
        <f t="shared" si="282"/>
        <v>1150</v>
      </c>
      <c r="CE179" s="298">
        <f t="shared" si="264"/>
        <v>0</v>
      </c>
      <c r="CF179" s="297" t="e">
        <f t="shared" si="327"/>
        <v>#DIV/0!</v>
      </c>
      <c r="CG179" s="298">
        <f t="shared" si="328"/>
        <v>60200</v>
      </c>
      <c r="CH179" s="297">
        <f t="shared" si="329"/>
        <v>0.74865036495834769</v>
      </c>
      <c r="CI179" s="516"/>
      <c r="CJ179" s="659">
        <v>1400</v>
      </c>
      <c r="CK179" s="651"/>
      <c r="CL179" s="657">
        <f t="shared" si="361"/>
        <v>1400</v>
      </c>
      <c r="CM179" s="657">
        <f t="shared" si="362"/>
        <v>0</v>
      </c>
      <c r="CN179" s="659">
        <f t="shared" si="359"/>
        <v>23600</v>
      </c>
      <c r="CO179" s="464">
        <v>0</v>
      </c>
      <c r="CP179" s="465"/>
      <c r="CQ179" s="465">
        <f t="shared" si="283"/>
        <v>0</v>
      </c>
      <c r="CR179" s="465">
        <f t="shared" si="265"/>
        <v>0</v>
      </c>
      <c r="CS179" s="486" t="e">
        <f t="shared" si="330"/>
        <v>#DIV/0!</v>
      </c>
      <c r="CT179" s="465">
        <f t="shared" si="331"/>
        <v>1599</v>
      </c>
      <c r="CU179" s="486">
        <f t="shared" si="332"/>
        <v>1.9885248065920232E-2</v>
      </c>
      <c r="CV179" s="518"/>
      <c r="CW179" s="427">
        <v>0</v>
      </c>
      <c r="CX179" s="427"/>
      <c r="CY179" s="427">
        <f t="shared" si="333"/>
        <v>0</v>
      </c>
      <c r="CZ179" s="427">
        <f t="shared" si="334"/>
        <v>0</v>
      </c>
      <c r="DA179" s="607" t="e">
        <f t="shared" si="349"/>
        <v>#DIV/0!</v>
      </c>
      <c r="DB179" s="607">
        <f t="shared" si="335"/>
        <v>115</v>
      </c>
      <c r="DC179" s="607">
        <f t="shared" si="284"/>
        <v>1.4301460460167772E-3</v>
      </c>
      <c r="DD179" s="609"/>
      <c r="DE179" s="471">
        <v>6.5</v>
      </c>
      <c r="DF179" s="473"/>
      <c r="DG179" s="473">
        <f t="shared" si="285"/>
        <v>6.5</v>
      </c>
      <c r="DH179" s="473">
        <f t="shared" si="266"/>
        <v>0</v>
      </c>
      <c r="DI179" s="227" t="e">
        <f t="shared" si="336"/>
        <v>#DIV/0!</v>
      </c>
      <c r="DJ179" s="473">
        <f t="shared" si="337"/>
        <v>132.69999999999999</v>
      </c>
      <c r="DK179" s="227">
        <f t="shared" si="338"/>
        <v>1.6502641765776202E-3</v>
      </c>
      <c r="DL179" s="510"/>
      <c r="DM179" s="63">
        <v>0</v>
      </c>
      <c r="DN179" s="133"/>
      <c r="DO179" s="66">
        <f t="shared" si="339"/>
        <v>0</v>
      </c>
      <c r="DP179" s="66">
        <f t="shared" si="267"/>
        <v>0</v>
      </c>
      <c r="DQ179" s="412" t="e">
        <f t="shared" si="340"/>
        <v>#DIV/0!</v>
      </c>
      <c r="DR179" s="66">
        <f t="shared" si="341"/>
        <v>18000</v>
      </c>
      <c r="DS179" s="412">
        <f t="shared" si="342"/>
        <v>0.22384894633306077</v>
      </c>
      <c r="DT179" s="506"/>
      <c r="DU179" s="596">
        <v>0</v>
      </c>
      <c r="DV179" s="596"/>
      <c r="DW179" s="596">
        <f t="shared" si="286"/>
        <v>0</v>
      </c>
      <c r="DX179" s="596">
        <f t="shared" si="268"/>
        <v>0</v>
      </c>
      <c r="DY179" s="592" t="e">
        <f t="shared" si="287"/>
        <v>#DIV/0!</v>
      </c>
      <c r="DZ179" s="596">
        <f t="shared" si="343"/>
        <v>2800</v>
      </c>
      <c r="EA179" s="592">
        <f t="shared" si="288"/>
        <v>3.4820947207365005E-2</v>
      </c>
      <c r="EB179" s="594"/>
      <c r="EC179" s="448">
        <v>100</v>
      </c>
      <c r="ED179" s="449"/>
      <c r="EE179" s="449">
        <f t="shared" si="289"/>
        <v>100</v>
      </c>
      <c r="EF179" s="449">
        <f t="shared" si="269"/>
        <v>0</v>
      </c>
      <c r="EG179" s="450" t="e">
        <f t="shared" si="347"/>
        <v>#DIV/0!</v>
      </c>
      <c r="EH179" s="449">
        <f t="shared" si="344"/>
        <v>1065</v>
      </c>
      <c r="EI179" s="450">
        <f t="shared" si="348"/>
        <v>1.3244395991372762E-2</v>
      </c>
      <c r="EJ179" s="520"/>
      <c r="EK179" s="426">
        <v>2563</v>
      </c>
      <c r="EL179" s="427"/>
      <c r="EM179" s="427">
        <f t="shared" si="290"/>
        <v>2563</v>
      </c>
      <c r="EN179" s="427">
        <f t="shared" si="270"/>
        <v>0</v>
      </c>
      <c r="EO179" s="427">
        <f t="shared" si="291"/>
        <v>74959</v>
      </c>
      <c r="EP179" s="456">
        <v>84</v>
      </c>
      <c r="EQ179" s="457"/>
      <c r="ER179" s="457">
        <f t="shared" si="292"/>
        <v>84</v>
      </c>
      <c r="ES179" s="457">
        <f t="shared" si="271"/>
        <v>0</v>
      </c>
      <c r="ET179" s="457">
        <f t="shared" si="293"/>
        <v>1808</v>
      </c>
      <c r="EU179" s="409">
        <v>82</v>
      </c>
      <c r="EV179" s="43"/>
      <c r="EW179" s="43">
        <f t="shared" si="294"/>
        <v>82</v>
      </c>
      <c r="EX179" s="43">
        <f t="shared" si="272"/>
        <v>0</v>
      </c>
      <c r="EY179" s="43">
        <f t="shared" si="295"/>
        <v>858</v>
      </c>
      <c r="EZ179" s="436">
        <v>89</v>
      </c>
      <c r="FA179" s="437"/>
      <c r="FB179" s="437">
        <f t="shared" si="296"/>
        <v>89</v>
      </c>
      <c r="FC179" s="437">
        <f t="shared" si="273"/>
        <v>0</v>
      </c>
      <c r="FD179" s="437">
        <f t="shared" si="297"/>
        <v>901</v>
      </c>
      <c r="FE179" s="442">
        <v>100</v>
      </c>
      <c r="FF179" s="443"/>
      <c r="FG179" s="443">
        <f t="shared" si="298"/>
        <v>100</v>
      </c>
      <c r="FH179" s="443">
        <f t="shared" si="274"/>
        <v>0</v>
      </c>
      <c r="FI179" s="443">
        <f t="shared" si="299"/>
        <v>1100</v>
      </c>
      <c r="FJ179" s="392">
        <v>430</v>
      </c>
      <c r="FK179" s="298"/>
      <c r="FL179" s="298">
        <f t="shared" si="300"/>
        <v>430</v>
      </c>
      <c r="FM179" s="298">
        <f t="shared" si="275"/>
        <v>0</v>
      </c>
      <c r="FN179" s="498">
        <f t="shared" si="301"/>
        <v>3370</v>
      </c>
      <c r="HC179" s="402">
        <v>2400</v>
      </c>
      <c r="HD179" s="52"/>
      <c r="HE179" s="52">
        <f t="shared" si="302"/>
        <v>2400</v>
      </c>
      <c r="HF179" s="52">
        <f t="shared" si="276"/>
        <v>0</v>
      </c>
      <c r="HG179" s="51"/>
      <c r="HH179" s="52">
        <f t="shared" si="345"/>
        <v>400</v>
      </c>
      <c r="HI179" s="51"/>
      <c r="HJ179" s="1047"/>
    </row>
    <row r="180" spans="1:218">
      <c r="A180" s="810">
        <v>44843</v>
      </c>
      <c r="B180" s="390">
        <v>0</v>
      </c>
      <c r="C180" s="18">
        <f t="shared" si="256"/>
        <v>80411368</v>
      </c>
      <c r="D180" s="376">
        <v>913.9</v>
      </c>
      <c r="E180" s="417">
        <f t="shared" si="360"/>
        <v>997427.08</v>
      </c>
      <c r="F180" s="397">
        <v>32099</v>
      </c>
      <c r="G180" s="37"/>
      <c r="H180" s="37">
        <f t="shared" si="277"/>
        <v>32099</v>
      </c>
      <c r="I180" s="37">
        <f t="shared" si="257"/>
        <v>0</v>
      </c>
      <c r="J180" s="37">
        <f t="shared" si="258"/>
        <v>0</v>
      </c>
      <c r="K180" s="37">
        <f t="shared" si="303"/>
        <v>444308</v>
      </c>
      <c r="L180" s="37">
        <f t="shared" si="259"/>
        <v>445.4541178087926</v>
      </c>
      <c r="M180" s="648"/>
      <c r="N180" s="422">
        <v>100</v>
      </c>
      <c r="O180" s="423">
        <v>125</v>
      </c>
      <c r="P180" s="423">
        <f t="shared" si="304"/>
        <v>150</v>
      </c>
      <c r="Q180" s="423">
        <f t="shared" si="305"/>
        <v>75</v>
      </c>
      <c r="R180" s="423">
        <f t="shared" si="306"/>
        <v>12825</v>
      </c>
      <c r="S180" s="68">
        <v>0.38</v>
      </c>
      <c r="T180" s="67">
        <v>24</v>
      </c>
      <c r="U180" s="68">
        <f t="shared" si="307"/>
        <v>4.5600000000000005</v>
      </c>
      <c r="V180" s="68">
        <f t="shared" si="260"/>
        <v>4.9896049896049908</v>
      </c>
      <c r="W180" s="423">
        <f t="shared" si="308"/>
        <v>12463.583999999999</v>
      </c>
      <c r="X180" s="68">
        <f t="shared" si="261"/>
        <v>12.495734525274768</v>
      </c>
      <c r="Y180" s="500"/>
      <c r="Z180" s="424">
        <v>50</v>
      </c>
      <c r="AA180" s="425"/>
      <c r="AB180" s="425">
        <f t="shared" si="309"/>
        <v>50</v>
      </c>
      <c r="AC180" s="425">
        <f t="shared" si="310"/>
        <v>0</v>
      </c>
      <c r="AD180" s="425">
        <f t="shared" si="311"/>
        <v>2050</v>
      </c>
      <c r="AE180" s="72">
        <v>0.36</v>
      </c>
      <c r="AF180" s="71">
        <v>12</v>
      </c>
      <c r="AG180" s="72">
        <f t="shared" si="312"/>
        <v>2.16</v>
      </c>
      <c r="AH180" s="72">
        <f t="shared" si="278"/>
        <v>2.3634971003392056</v>
      </c>
      <c r="AI180" s="425">
        <f t="shared" si="313"/>
        <v>1895.8320000000012</v>
      </c>
      <c r="AJ180" s="72">
        <f t="shared" si="346"/>
        <v>1.900722406694634</v>
      </c>
      <c r="AK180" s="502"/>
      <c r="AL180" s="491">
        <v>23607</v>
      </c>
      <c r="AM180" s="491"/>
      <c r="AN180" s="492">
        <f t="shared" si="353"/>
        <v>23607</v>
      </c>
      <c r="AO180" s="492">
        <f t="shared" si="354"/>
        <v>0</v>
      </c>
      <c r="AP180" s="492">
        <f t="shared" si="355"/>
        <v>59966</v>
      </c>
      <c r="AQ180" s="493">
        <f t="shared" si="279"/>
        <v>60.120685714689039</v>
      </c>
      <c r="AR180" s="504"/>
      <c r="AS180" s="413">
        <v>45023</v>
      </c>
      <c r="AT180" s="133"/>
      <c r="AU180" s="66">
        <f t="shared" si="314"/>
        <v>45023</v>
      </c>
      <c r="AV180" s="66">
        <f t="shared" si="262"/>
        <v>0</v>
      </c>
      <c r="AW180" s="412" t="e">
        <f t="shared" si="315"/>
        <v>#DIV/0!</v>
      </c>
      <c r="AX180" s="66">
        <f t="shared" si="316"/>
        <v>252592</v>
      </c>
      <c r="AY180" s="412">
        <f t="shared" si="317"/>
        <v>3.1412473917866937</v>
      </c>
      <c r="AZ180" s="506"/>
      <c r="BA180" s="419">
        <v>27440</v>
      </c>
      <c r="BB180" s="419"/>
      <c r="BC180" s="407"/>
      <c r="BD180" s="419">
        <f t="shared" si="280"/>
        <v>27440</v>
      </c>
      <c r="BE180" s="419">
        <f t="shared" si="281"/>
        <v>0</v>
      </c>
      <c r="BF180" s="407" t="e">
        <f t="shared" si="318"/>
        <v>#DIV/0!</v>
      </c>
      <c r="BG180" s="419">
        <f t="shared" si="356"/>
        <v>280430</v>
      </c>
      <c r="BH180" s="407">
        <f t="shared" si="319"/>
        <v>3.4874422233433462</v>
      </c>
      <c r="BI180" s="407">
        <f t="shared" si="320"/>
        <v>0.42703374163387914</v>
      </c>
      <c r="BJ180" s="508"/>
      <c r="BK180" s="510"/>
      <c r="BL180" s="49">
        <v>1723</v>
      </c>
      <c r="BM180" s="248"/>
      <c r="BN180" s="52">
        <f t="shared" si="321"/>
        <v>1722</v>
      </c>
      <c r="BO180" s="52">
        <f t="shared" si="263"/>
        <v>1</v>
      </c>
      <c r="BP180" s="406" t="e">
        <f t="shared" si="322"/>
        <v>#DIV/0!</v>
      </c>
      <c r="BQ180" s="52">
        <f t="shared" si="323"/>
        <v>35078</v>
      </c>
      <c r="BR180" s="406">
        <f t="shared" si="324"/>
        <v>0.43623185219283922</v>
      </c>
      <c r="BS180" s="512"/>
      <c r="BT180" s="409">
        <v>2081</v>
      </c>
      <c r="BU180" s="43"/>
      <c r="BV180" s="43">
        <f t="shared" si="350"/>
        <v>2013</v>
      </c>
      <c r="BW180" s="43">
        <f t="shared" si="351"/>
        <v>68</v>
      </c>
      <c r="BX180" s="42" t="e">
        <f t="shared" si="325"/>
        <v>#DIV/0!</v>
      </c>
      <c r="BY180" s="43">
        <f t="shared" si="352"/>
        <v>17424</v>
      </c>
      <c r="BZ180" s="42">
        <f t="shared" si="326"/>
        <v>0.21668578005040282</v>
      </c>
      <c r="CA180" s="514"/>
      <c r="CB180" s="392">
        <v>1150</v>
      </c>
      <c r="CC180" s="298"/>
      <c r="CD180" s="298">
        <f t="shared" si="282"/>
        <v>1150</v>
      </c>
      <c r="CE180" s="298">
        <f t="shared" si="264"/>
        <v>0</v>
      </c>
      <c r="CF180" s="297" t="e">
        <f t="shared" si="327"/>
        <v>#DIV/0!</v>
      </c>
      <c r="CG180" s="298">
        <f t="shared" si="328"/>
        <v>60200</v>
      </c>
      <c r="CH180" s="297">
        <f t="shared" si="329"/>
        <v>0.74865036495834769</v>
      </c>
      <c r="CI180" s="516"/>
      <c r="CJ180" s="659">
        <v>1400</v>
      </c>
      <c r="CK180" s="651"/>
      <c r="CL180" s="657">
        <f t="shared" si="361"/>
        <v>1400</v>
      </c>
      <c r="CM180" s="657">
        <f t="shared" si="362"/>
        <v>0</v>
      </c>
      <c r="CN180" s="659">
        <f t="shared" si="359"/>
        <v>23600</v>
      </c>
      <c r="CO180" s="464">
        <v>0</v>
      </c>
      <c r="CP180" s="465"/>
      <c r="CQ180" s="465">
        <f t="shared" si="283"/>
        <v>0</v>
      </c>
      <c r="CR180" s="465">
        <f t="shared" si="265"/>
        <v>0</v>
      </c>
      <c r="CS180" s="486" t="e">
        <f t="shared" si="330"/>
        <v>#DIV/0!</v>
      </c>
      <c r="CT180" s="465">
        <f t="shared" si="331"/>
        <v>1599</v>
      </c>
      <c r="CU180" s="486">
        <f t="shared" si="332"/>
        <v>1.9885248065920232E-2</v>
      </c>
      <c r="CV180" s="518"/>
      <c r="CW180" s="427">
        <v>0</v>
      </c>
      <c r="CX180" s="427"/>
      <c r="CY180" s="427">
        <f t="shared" si="333"/>
        <v>0</v>
      </c>
      <c r="CZ180" s="427">
        <f t="shared" si="334"/>
        <v>0</v>
      </c>
      <c r="DA180" s="607" t="e">
        <f t="shared" si="349"/>
        <v>#DIV/0!</v>
      </c>
      <c r="DB180" s="607">
        <f t="shared" si="335"/>
        <v>115</v>
      </c>
      <c r="DC180" s="607">
        <f t="shared" si="284"/>
        <v>1.4301460460167772E-3</v>
      </c>
      <c r="DD180" s="609"/>
      <c r="DE180" s="471">
        <v>6.5</v>
      </c>
      <c r="DF180" s="473"/>
      <c r="DG180" s="473">
        <f t="shared" si="285"/>
        <v>6.5</v>
      </c>
      <c r="DH180" s="473">
        <f t="shared" si="266"/>
        <v>0</v>
      </c>
      <c r="DI180" s="227" t="e">
        <f t="shared" si="336"/>
        <v>#DIV/0!</v>
      </c>
      <c r="DJ180" s="473">
        <f t="shared" si="337"/>
        <v>132.69999999999999</v>
      </c>
      <c r="DK180" s="227">
        <f t="shared" si="338"/>
        <v>1.6502641765776202E-3</v>
      </c>
      <c r="DL180" s="510"/>
      <c r="DM180" s="63">
        <v>0</v>
      </c>
      <c r="DN180" s="133"/>
      <c r="DO180" s="66">
        <f t="shared" si="339"/>
        <v>0</v>
      </c>
      <c r="DP180" s="66">
        <f t="shared" si="267"/>
        <v>0</v>
      </c>
      <c r="DQ180" s="412" t="e">
        <f t="shared" si="340"/>
        <v>#DIV/0!</v>
      </c>
      <c r="DR180" s="66">
        <f t="shared" si="341"/>
        <v>18000</v>
      </c>
      <c r="DS180" s="412">
        <f t="shared" si="342"/>
        <v>0.22384894633306077</v>
      </c>
      <c r="DT180" s="506"/>
      <c r="DU180" s="596">
        <v>0</v>
      </c>
      <c r="DV180" s="596"/>
      <c r="DW180" s="596">
        <f t="shared" si="286"/>
        <v>0</v>
      </c>
      <c r="DX180" s="596">
        <f t="shared" si="268"/>
        <v>0</v>
      </c>
      <c r="DY180" s="592" t="e">
        <f t="shared" si="287"/>
        <v>#DIV/0!</v>
      </c>
      <c r="DZ180" s="596">
        <f t="shared" si="343"/>
        <v>2800</v>
      </c>
      <c r="EA180" s="592">
        <f t="shared" si="288"/>
        <v>3.4820947207365005E-2</v>
      </c>
      <c r="EB180" s="594"/>
      <c r="EC180" s="448">
        <v>100</v>
      </c>
      <c r="ED180" s="449"/>
      <c r="EE180" s="449">
        <f t="shared" si="289"/>
        <v>100</v>
      </c>
      <c r="EF180" s="449">
        <f t="shared" si="269"/>
        <v>0</v>
      </c>
      <c r="EG180" s="450" t="e">
        <f t="shared" si="347"/>
        <v>#DIV/0!</v>
      </c>
      <c r="EH180" s="449">
        <f t="shared" si="344"/>
        <v>1065</v>
      </c>
      <c r="EI180" s="450">
        <f t="shared" si="348"/>
        <v>1.3244395991372762E-2</v>
      </c>
      <c r="EJ180" s="520"/>
      <c r="EK180" s="426">
        <v>2563</v>
      </c>
      <c r="EL180" s="427"/>
      <c r="EM180" s="427">
        <f t="shared" si="290"/>
        <v>2556</v>
      </c>
      <c r="EN180" s="427">
        <f t="shared" si="270"/>
        <v>7</v>
      </c>
      <c r="EO180" s="427">
        <f t="shared" si="291"/>
        <v>74966</v>
      </c>
      <c r="EP180" s="456">
        <v>84</v>
      </c>
      <c r="EQ180" s="457"/>
      <c r="ER180" s="457">
        <f t="shared" si="292"/>
        <v>84</v>
      </c>
      <c r="ES180" s="457">
        <f t="shared" si="271"/>
        <v>0</v>
      </c>
      <c r="ET180" s="457">
        <f t="shared" si="293"/>
        <v>1808</v>
      </c>
      <c r="EU180" s="409">
        <v>82</v>
      </c>
      <c r="EV180" s="43"/>
      <c r="EW180" s="43">
        <f t="shared" si="294"/>
        <v>82</v>
      </c>
      <c r="EX180" s="43">
        <f t="shared" si="272"/>
        <v>0</v>
      </c>
      <c r="EY180" s="43">
        <f t="shared" si="295"/>
        <v>858</v>
      </c>
      <c r="EZ180" s="436">
        <v>89</v>
      </c>
      <c r="FA180" s="437"/>
      <c r="FB180" s="437">
        <f t="shared" si="296"/>
        <v>86</v>
      </c>
      <c r="FC180" s="437">
        <f t="shared" si="273"/>
        <v>3</v>
      </c>
      <c r="FD180" s="437">
        <f t="shared" si="297"/>
        <v>904</v>
      </c>
      <c r="FE180" s="442">
        <v>100</v>
      </c>
      <c r="FF180" s="443"/>
      <c r="FG180" s="443">
        <f t="shared" si="298"/>
        <v>100</v>
      </c>
      <c r="FH180" s="443">
        <f t="shared" si="274"/>
        <v>0</v>
      </c>
      <c r="FI180" s="443">
        <f t="shared" si="299"/>
        <v>1100</v>
      </c>
      <c r="FJ180" s="392">
        <v>430</v>
      </c>
      <c r="FK180" s="298"/>
      <c r="FL180" s="298">
        <f t="shared" si="300"/>
        <v>427</v>
      </c>
      <c r="FM180" s="298">
        <f t="shared" si="275"/>
        <v>3</v>
      </c>
      <c r="FN180" s="498">
        <f t="shared" si="301"/>
        <v>3373</v>
      </c>
      <c r="HC180" s="402">
        <v>2400</v>
      </c>
      <c r="HD180" s="52"/>
      <c r="HE180" s="52">
        <f t="shared" si="302"/>
        <v>2400</v>
      </c>
      <c r="HF180" s="52">
        <f t="shared" si="276"/>
        <v>0</v>
      </c>
      <c r="HG180" s="51"/>
      <c r="HH180" s="52">
        <f t="shared" si="345"/>
        <v>400</v>
      </c>
      <c r="HI180" s="51"/>
      <c r="HJ180" s="1047"/>
    </row>
    <row r="181" spans="1:218">
      <c r="A181" s="810">
        <v>44844</v>
      </c>
      <c r="B181" s="390">
        <v>377933</v>
      </c>
      <c r="C181" s="18">
        <f t="shared" si="256"/>
        <v>80789301</v>
      </c>
      <c r="D181" s="376">
        <v>6119.14</v>
      </c>
      <c r="E181" s="417">
        <f t="shared" si="360"/>
        <v>1003546.22</v>
      </c>
      <c r="F181" s="397">
        <v>32099</v>
      </c>
      <c r="G181" s="37"/>
      <c r="H181" s="37">
        <f t="shared" si="277"/>
        <v>32099</v>
      </c>
      <c r="I181" s="37">
        <f t="shared" si="257"/>
        <v>0</v>
      </c>
      <c r="J181" s="37">
        <f t="shared" si="258"/>
        <v>0</v>
      </c>
      <c r="K181" s="37">
        <f t="shared" si="303"/>
        <v>444308</v>
      </c>
      <c r="L181" s="37">
        <f t="shared" si="259"/>
        <v>442.73795381342774</v>
      </c>
      <c r="M181" s="648"/>
      <c r="N181" s="422">
        <v>150</v>
      </c>
      <c r="O181" s="423"/>
      <c r="P181" s="423">
        <f t="shared" si="304"/>
        <v>75</v>
      </c>
      <c r="Q181" s="423">
        <f t="shared" si="305"/>
        <v>75</v>
      </c>
      <c r="R181" s="423">
        <f t="shared" si="306"/>
        <v>12900</v>
      </c>
      <c r="S181" s="68">
        <v>7.62</v>
      </c>
      <c r="T181" s="67">
        <v>24</v>
      </c>
      <c r="U181" s="68">
        <f t="shared" si="307"/>
        <v>91.44</v>
      </c>
      <c r="V181" s="68">
        <f t="shared" si="260"/>
        <v>14.943276342754046</v>
      </c>
      <c r="W181" s="423">
        <f t="shared" si="308"/>
        <v>12555.023999999999</v>
      </c>
      <c r="X181" s="68">
        <f t="shared" si="261"/>
        <v>12.510658452781577</v>
      </c>
      <c r="Y181" s="500"/>
      <c r="Z181" s="424">
        <v>50</v>
      </c>
      <c r="AA181" s="425"/>
      <c r="AB181" s="425">
        <f t="shared" si="309"/>
        <v>25</v>
      </c>
      <c r="AC181" s="425">
        <f t="shared" si="310"/>
        <v>25</v>
      </c>
      <c r="AD181" s="425">
        <f t="shared" si="311"/>
        <v>2075</v>
      </c>
      <c r="AE181" s="72">
        <v>2.2400000000000002</v>
      </c>
      <c r="AF181" s="71">
        <v>12</v>
      </c>
      <c r="AG181" s="72">
        <f t="shared" si="312"/>
        <v>13.440000000000001</v>
      </c>
      <c r="AH181" s="72">
        <f t="shared" si="278"/>
        <v>2.1963870740005951</v>
      </c>
      <c r="AI181" s="425">
        <f t="shared" si="313"/>
        <v>1909.2720000000013</v>
      </c>
      <c r="AJ181" s="72">
        <f t="shared" si="346"/>
        <v>1.9025252269895465</v>
      </c>
      <c r="AK181" s="502"/>
      <c r="AL181" s="491">
        <v>23607</v>
      </c>
      <c r="AM181" s="491"/>
      <c r="AN181" s="492">
        <f t="shared" si="353"/>
        <v>23607</v>
      </c>
      <c r="AO181" s="492">
        <f t="shared" si="354"/>
        <v>0</v>
      </c>
      <c r="AP181" s="492">
        <f t="shared" si="355"/>
        <v>59966</v>
      </c>
      <c r="AQ181" s="493">
        <f t="shared" si="279"/>
        <v>59.754098819683662</v>
      </c>
      <c r="AR181" s="504"/>
      <c r="AS181" s="413">
        <v>45023</v>
      </c>
      <c r="AT181" s="64"/>
      <c r="AU181" s="66">
        <f t="shared" si="314"/>
        <v>42985</v>
      </c>
      <c r="AV181" s="66">
        <f t="shared" si="262"/>
        <v>2038</v>
      </c>
      <c r="AW181" s="412">
        <f t="shared" si="315"/>
        <v>5.3924902032900013</v>
      </c>
      <c r="AX181" s="66">
        <f t="shared" si="316"/>
        <v>254630</v>
      </c>
      <c r="AY181" s="412">
        <f t="shared" si="317"/>
        <v>3.1517787237693762</v>
      </c>
      <c r="AZ181" s="506"/>
      <c r="BA181" s="419">
        <v>27440</v>
      </c>
      <c r="BB181" s="419"/>
      <c r="BC181" s="407"/>
      <c r="BD181" s="419">
        <f t="shared" si="280"/>
        <v>1980</v>
      </c>
      <c r="BE181" s="419">
        <f t="shared" si="281"/>
        <v>25460</v>
      </c>
      <c r="BF181" s="407">
        <f t="shared" si="318"/>
        <v>67.366437966517879</v>
      </c>
      <c r="BG181" s="419">
        <f t="shared" si="356"/>
        <v>305890</v>
      </c>
      <c r="BH181" s="407">
        <f t="shared" si="319"/>
        <v>3.7862686793143561</v>
      </c>
      <c r="BI181" s="407">
        <f t="shared" si="320"/>
        <v>0.46362473624257422</v>
      </c>
      <c r="BJ181" s="508"/>
      <c r="BK181" s="510"/>
      <c r="BL181" s="49">
        <v>1722</v>
      </c>
      <c r="BM181" s="50"/>
      <c r="BN181" s="52">
        <f t="shared" si="321"/>
        <v>1572</v>
      </c>
      <c r="BO181" s="52">
        <f t="shared" si="263"/>
        <v>150</v>
      </c>
      <c r="BP181" s="406">
        <f t="shared" si="322"/>
        <v>0.39689574607139361</v>
      </c>
      <c r="BQ181" s="52">
        <f t="shared" si="323"/>
        <v>35228</v>
      </c>
      <c r="BR181" s="406">
        <f t="shared" si="324"/>
        <v>0.4360478375719577</v>
      </c>
      <c r="BS181" s="512"/>
      <c r="BT181" s="409">
        <v>2013</v>
      </c>
      <c r="BU181" s="43"/>
      <c r="BV181" s="43">
        <f t="shared" si="350"/>
        <v>1954</v>
      </c>
      <c r="BW181" s="43">
        <f t="shared" si="351"/>
        <v>59</v>
      </c>
      <c r="BX181" s="42">
        <f t="shared" si="325"/>
        <v>0.15611232678808148</v>
      </c>
      <c r="BY181" s="43">
        <f t="shared" si="352"/>
        <v>17483</v>
      </c>
      <c r="BZ181" s="42">
        <f t="shared" si="326"/>
        <v>0.2164024169487492</v>
      </c>
      <c r="CA181" s="514"/>
      <c r="CB181" s="392">
        <v>1150</v>
      </c>
      <c r="CC181" s="395"/>
      <c r="CD181" s="298">
        <f t="shared" si="282"/>
        <v>1150</v>
      </c>
      <c r="CE181" s="298">
        <f t="shared" si="264"/>
        <v>0</v>
      </c>
      <c r="CF181" s="297">
        <f t="shared" si="327"/>
        <v>0</v>
      </c>
      <c r="CG181" s="298">
        <f t="shared" si="328"/>
        <v>60200</v>
      </c>
      <c r="CH181" s="297">
        <f t="shared" si="329"/>
        <v>0.74514817252843912</v>
      </c>
      <c r="CI181" s="516"/>
      <c r="CJ181" s="659">
        <v>1400</v>
      </c>
      <c r="CK181" s="651"/>
      <c r="CL181" s="657">
        <f t="shared" si="361"/>
        <v>1100</v>
      </c>
      <c r="CM181" s="657">
        <f t="shared" si="362"/>
        <v>300</v>
      </c>
      <c r="CN181" s="659">
        <f t="shared" si="359"/>
        <v>23900</v>
      </c>
      <c r="CO181" s="464">
        <v>0</v>
      </c>
      <c r="CP181" s="469"/>
      <c r="CQ181" s="465">
        <f t="shared" si="283"/>
        <v>0</v>
      </c>
      <c r="CR181" s="465">
        <f t="shared" si="265"/>
        <v>0</v>
      </c>
      <c r="CS181" s="486">
        <f t="shared" si="330"/>
        <v>0</v>
      </c>
      <c r="CT181" s="465">
        <f t="shared" si="331"/>
        <v>1599</v>
      </c>
      <c r="CU181" s="486">
        <f t="shared" si="332"/>
        <v>1.9792224715497908E-2</v>
      </c>
      <c r="CV181" s="518"/>
      <c r="CW181" s="427">
        <v>0</v>
      </c>
      <c r="CX181" s="427"/>
      <c r="CY181" s="427">
        <f t="shared" si="333"/>
        <v>0</v>
      </c>
      <c r="CZ181" s="427">
        <f t="shared" si="334"/>
        <v>0</v>
      </c>
      <c r="DA181" s="607">
        <f t="shared" si="349"/>
        <v>0</v>
      </c>
      <c r="DB181" s="607">
        <f t="shared" si="335"/>
        <v>115</v>
      </c>
      <c r="DC181" s="607">
        <f t="shared" si="284"/>
        <v>1.4234558113084802E-3</v>
      </c>
      <c r="DD181" s="609"/>
      <c r="DE181" s="471">
        <v>6.5</v>
      </c>
      <c r="DF181" s="475"/>
      <c r="DG181" s="473">
        <f t="shared" si="285"/>
        <v>6.5</v>
      </c>
      <c r="DH181" s="473">
        <f t="shared" si="266"/>
        <v>0</v>
      </c>
      <c r="DI181" s="227">
        <f t="shared" si="336"/>
        <v>0</v>
      </c>
      <c r="DJ181" s="473">
        <f t="shared" si="337"/>
        <v>132.69999999999999</v>
      </c>
      <c r="DK181" s="227">
        <f t="shared" si="338"/>
        <v>1.6425442274837852E-3</v>
      </c>
      <c r="DL181" s="510"/>
      <c r="DM181" s="63">
        <v>0</v>
      </c>
      <c r="DN181" s="64"/>
      <c r="DO181" s="66">
        <f t="shared" si="339"/>
        <v>0</v>
      </c>
      <c r="DP181" s="66">
        <f t="shared" si="267"/>
        <v>0</v>
      </c>
      <c r="DQ181" s="412">
        <f t="shared" si="340"/>
        <v>0</v>
      </c>
      <c r="DR181" s="66">
        <f t="shared" si="341"/>
        <v>18000</v>
      </c>
      <c r="DS181" s="412">
        <f t="shared" si="342"/>
        <v>0.22280177916132732</v>
      </c>
      <c r="DT181" s="506"/>
      <c r="DU181" s="596">
        <v>0</v>
      </c>
      <c r="DV181" s="596"/>
      <c r="DW181" s="596">
        <f t="shared" si="286"/>
        <v>0</v>
      </c>
      <c r="DX181" s="596">
        <f t="shared" si="268"/>
        <v>0</v>
      </c>
      <c r="DY181" s="592">
        <f t="shared" si="287"/>
        <v>0</v>
      </c>
      <c r="DZ181" s="596">
        <f t="shared" si="343"/>
        <v>2800</v>
      </c>
      <c r="EA181" s="592">
        <f t="shared" si="288"/>
        <v>3.4658054536206469E-2</v>
      </c>
      <c r="EB181" s="594"/>
      <c r="EC181" s="448">
        <v>100</v>
      </c>
      <c r="ED181" s="454"/>
      <c r="EE181" s="449">
        <f t="shared" si="289"/>
        <v>100</v>
      </c>
      <c r="EF181" s="449">
        <f t="shared" si="269"/>
        <v>0</v>
      </c>
      <c r="EG181" s="450">
        <f t="shared" si="347"/>
        <v>0</v>
      </c>
      <c r="EH181" s="449">
        <f t="shared" si="344"/>
        <v>1065</v>
      </c>
      <c r="EI181" s="450">
        <f t="shared" si="348"/>
        <v>1.3182438600378533E-2</v>
      </c>
      <c r="EJ181" s="520"/>
      <c r="EK181" s="426">
        <v>2556</v>
      </c>
      <c r="EL181" s="430"/>
      <c r="EM181" s="427">
        <f t="shared" si="290"/>
        <v>2213</v>
      </c>
      <c r="EN181" s="427">
        <f t="shared" si="270"/>
        <v>343</v>
      </c>
      <c r="EO181" s="427">
        <f t="shared" si="291"/>
        <v>75309</v>
      </c>
      <c r="EP181" s="456">
        <v>84</v>
      </c>
      <c r="EQ181" s="460"/>
      <c r="ER181" s="457">
        <f t="shared" si="292"/>
        <v>56</v>
      </c>
      <c r="ES181" s="457">
        <f t="shared" si="271"/>
        <v>28</v>
      </c>
      <c r="ET181" s="457">
        <f t="shared" si="293"/>
        <v>1836</v>
      </c>
      <c r="EU181" s="409">
        <v>82</v>
      </c>
      <c r="EV181" s="434"/>
      <c r="EW181" s="43">
        <f t="shared" si="294"/>
        <v>82</v>
      </c>
      <c r="EX181" s="43">
        <f t="shared" si="272"/>
        <v>0</v>
      </c>
      <c r="EY181" s="43">
        <f t="shared" si="295"/>
        <v>858</v>
      </c>
      <c r="EZ181" s="436">
        <v>86</v>
      </c>
      <c r="FA181" s="440"/>
      <c r="FB181" s="437">
        <f t="shared" si="296"/>
        <v>80</v>
      </c>
      <c r="FC181" s="437">
        <f t="shared" si="273"/>
        <v>6</v>
      </c>
      <c r="FD181" s="437">
        <f t="shared" si="297"/>
        <v>910</v>
      </c>
      <c r="FE181" s="442">
        <v>100</v>
      </c>
      <c r="FF181" s="446"/>
      <c r="FG181" s="443">
        <f t="shared" si="298"/>
        <v>80</v>
      </c>
      <c r="FH181" s="443">
        <f t="shared" si="274"/>
        <v>20</v>
      </c>
      <c r="FI181" s="443">
        <f t="shared" si="299"/>
        <v>1120</v>
      </c>
      <c r="FJ181" s="392">
        <v>427</v>
      </c>
      <c r="FK181" s="395"/>
      <c r="FL181" s="298">
        <f t="shared" si="300"/>
        <v>415</v>
      </c>
      <c r="FM181" s="298">
        <f t="shared" si="275"/>
        <v>12</v>
      </c>
      <c r="FN181" s="498">
        <f t="shared" si="301"/>
        <v>3385</v>
      </c>
      <c r="HC181" s="402">
        <v>2400</v>
      </c>
      <c r="HD181" s="462"/>
      <c r="HE181" s="52">
        <f t="shared" si="302"/>
        <v>2334</v>
      </c>
      <c r="HF181" s="52">
        <f t="shared" si="276"/>
        <v>66</v>
      </c>
      <c r="HG181" s="51"/>
      <c r="HH181" s="52">
        <f t="shared" si="345"/>
        <v>466</v>
      </c>
      <c r="HI181" s="51"/>
      <c r="HJ181" s="1047"/>
    </row>
    <row r="182" spans="1:218">
      <c r="A182" s="810">
        <v>44845</v>
      </c>
      <c r="B182" s="390">
        <v>459639</v>
      </c>
      <c r="C182" s="18">
        <f t="shared" si="256"/>
        <v>81248940</v>
      </c>
      <c r="D182" s="376">
        <v>4705.22</v>
      </c>
      <c r="E182" s="417">
        <f t="shared" si="360"/>
        <v>1008251.44</v>
      </c>
      <c r="F182" s="397">
        <v>32099</v>
      </c>
      <c r="G182" s="37"/>
      <c r="H182" s="37">
        <f t="shared" si="277"/>
        <v>26553</v>
      </c>
      <c r="I182" s="37">
        <f t="shared" si="257"/>
        <v>5546</v>
      </c>
      <c r="J182" s="37">
        <f t="shared" si="258"/>
        <v>1178.6909007442796</v>
      </c>
      <c r="K182" s="37">
        <f t="shared" si="303"/>
        <v>449854</v>
      </c>
      <c r="L182" s="37">
        <f t="shared" si="259"/>
        <v>446.17243492357426</v>
      </c>
      <c r="M182" s="648"/>
      <c r="N182" s="422">
        <v>75</v>
      </c>
      <c r="O182" s="423">
        <v>400</v>
      </c>
      <c r="P182" s="423">
        <f t="shared" si="304"/>
        <v>325</v>
      </c>
      <c r="Q182" s="423">
        <f t="shared" si="305"/>
        <v>150</v>
      </c>
      <c r="R182" s="423">
        <f t="shared" si="306"/>
        <v>13050</v>
      </c>
      <c r="S182" s="68">
        <v>9.5299999999999994</v>
      </c>
      <c r="T182" s="67">
        <v>24</v>
      </c>
      <c r="U182" s="68">
        <f t="shared" si="307"/>
        <v>114.35999999999999</v>
      </c>
      <c r="V182" s="68">
        <f t="shared" si="260"/>
        <v>24.30492091761915</v>
      </c>
      <c r="W182" s="423">
        <f t="shared" si="308"/>
        <v>12669.384</v>
      </c>
      <c r="X182" s="68">
        <f t="shared" si="261"/>
        <v>12.565698889554772</v>
      </c>
      <c r="Y182" s="500"/>
      <c r="Z182" s="424">
        <v>25</v>
      </c>
      <c r="AA182" s="425">
        <v>75</v>
      </c>
      <c r="AB182" s="425">
        <f t="shared" si="309"/>
        <v>100</v>
      </c>
      <c r="AC182" s="425">
        <f t="shared" si="310"/>
        <v>0</v>
      </c>
      <c r="AD182" s="425">
        <f t="shared" si="311"/>
        <v>2075</v>
      </c>
      <c r="AE182" s="72">
        <v>2.14</v>
      </c>
      <c r="AF182" s="71">
        <v>12</v>
      </c>
      <c r="AG182" s="72">
        <f t="shared" si="312"/>
        <v>12.84</v>
      </c>
      <c r="AH182" s="72">
        <f t="shared" si="278"/>
        <v>2.7288840904357285</v>
      </c>
      <c r="AI182" s="425">
        <f t="shared" si="313"/>
        <v>1922.1120000000012</v>
      </c>
      <c r="AJ182" s="72">
        <f t="shared" si="346"/>
        <v>1.9063816065563977</v>
      </c>
      <c r="AK182" s="502"/>
      <c r="AL182" s="491">
        <v>23607</v>
      </c>
      <c r="AM182" s="491"/>
      <c r="AN182" s="492">
        <f t="shared" si="353"/>
        <v>23607</v>
      </c>
      <c r="AO182" s="492">
        <f t="shared" si="354"/>
        <v>0</v>
      </c>
      <c r="AP182" s="492">
        <f t="shared" si="355"/>
        <v>59966</v>
      </c>
      <c r="AQ182" s="493">
        <f t="shared" si="279"/>
        <v>59.47524359598237</v>
      </c>
      <c r="AR182" s="504"/>
      <c r="AS182" s="413">
        <v>42985</v>
      </c>
      <c r="AT182" s="133"/>
      <c r="AU182" s="66">
        <f t="shared" si="314"/>
        <v>38012</v>
      </c>
      <c r="AV182" s="66">
        <f t="shared" si="262"/>
        <v>4973</v>
      </c>
      <c r="AW182" s="412">
        <f t="shared" si="315"/>
        <v>10.819360411105237</v>
      </c>
      <c r="AX182" s="66">
        <f t="shared" si="316"/>
        <v>259603</v>
      </c>
      <c r="AY182" s="412">
        <f t="shared" si="317"/>
        <v>3.1951555306444615</v>
      </c>
      <c r="AZ182" s="506"/>
      <c r="BA182" s="419">
        <v>1980</v>
      </c>
      <c r="BB182" s="419"/>
      <c r="BC182" s="407"/>
      <c r="BD182" s="419">
        <f t="shared" si="280"/>
        <v>1980</v>
      </c>
      <c r="BE182" s="419">
        <f t="shared" si="281"/>
        <v>0</v>
      </c>
      <c r="BF182" s="407">
        <f t="shared" si="318"/>
        <v>0</v>
      </c>
      <c r="BG182" s="419">
        <f t="shared" si="356"/>
        <v>305890</v>
      </c>
      <c r="BH182" s="407">
        <f t="shared" si="319"/>
        <v>3.7648491168007854</v>
      </c>
      <c r="BI182" s="407">
        <f t="shared" si="320"/>
        <v>0.46100193266948397</v>
      </c>
      <c r="BJ182" s="508"/>
      <c r="BK182" s="510"/>
      <c r="BL182" s="49">
        <v>1572</v>
      </c>
      <c r="BM182" s="248">
        <v>900</v>
      </c>
      <c r="BN182" s="52">
        <f t="shared" si="321"/>
        <v>2269</v>
      </c>
      <c r="BO182" s="52">
        <f t="shared" si="263"/>
        <v>203</v>
      </c>
      <c r="BP182" s="406">
        <f t="shared" si="322"/>
        <v>0.44165094780904146</v>
      </c>
      <c r="BQ182" s="52">
        <f t="shared" si="323"/>
        <v>35431</v>
      </c>
      <c r="BR182" s="406">
        <f t="shared" si="324"/>
        <v>0.43607953531455301</v>
      </c>
      <c r="BS182" s="512"/>
      <c r="BT182" s="409">
        <v>1954</v>
      </c>
      <c r="BU182" s="43"/>
      <c r="BV182" s="43">
        <f t="shared" si="350"/>
        <v>1924</v>
      </c>
      <c r="BW182" s="43">
        <f t="shared" si="351"/>
        <v>30</v>
      </c>
      <c r="BX182" s="42">
        <f t="shared" si="325"/>
        <v>6.5268612976705637E-2</v>
      </c>
      <c r="BY182" s="43">
        <f t="shared" si="352"/>
        <v>17513</v>
      </c>
      <c r="BZ182" s="42">
        <f t="shared" si="326"/>
        <v>0.21554742744951502</v>
      </c>
      <c r="CA182" s="514"/>
      <c r="CB182" s="392">
        <v>1150</v>
      </c>
      <c r="CC182" s="395"/>
      <c r="CD182" s="298">
        <f t="shared" si="282"/>
        <v>1150</v>
      </c>
      <c r="CE182" s="298">
        <f t="shared" si="264"/>
        <v>0</v>
      </c>
      <c r="CF182" s="297">
        <f t="shared" si="327"/>
        <v>0</v>
      </c>
      <c r="CG182" s="298">
        <f t="shared" si="328"/>
        <v>60200</v>
      </c>
      <c r="CH182" s="297">
        <f t="shared" si="329"/>
        <v>0.74093274324563496</v>
      </c>
      <c r="CI182" s="516"/>
      <c r="CJ182" s="659">
        <v>1100</v>
      </c>
      <c r="CK182" s="651"/>
      <c r="CL182" s="657">
        <f t="shared" si="361"/>
        <v>488</v>
      </c>
      <c r="CM182" s="657">
        <f t="shared" si="362"/>
        <v>612</v>
      </c>
      <c r="CN182" s="659">
        <f t="shared" si="359"/>
        <v>24512</v>
      </c>
      <c r="CO182" s="464">
        <v>0</v>
      </c>
      <c r="CP182" s="469"/>
      <c r="CQ182" s="465">
        <f t="shared" si="283"/>
        <v>0</v>
      </c>
      <c r="CR182" s="465">
        <f t="shared" si="265"/>
        <v>0</v>
      </c>
      <c r="CS182" s="486">
        <f t="shared" si="330"/>
        <v>0</v>
      </c>
      <c r="CT182" s="465">
        <f t="shared" si="331"/>
        <v>1599</v>
      </c>
      <c r="CU182" s="486">
        <f t="shared" si="332"/>
        <v>1.9680256751657313E-2</v>
      </c>
      <c r="CV182" s="518"/>
      <c r="CW182" s="427">
        <v>0</v>
      </c>
      <c r="CX182" s="427"/>
      <c r="CY182" s="427">
        <f t="shared" si="333"/>
        <v>0</v>
      </c>
      <c r="CZ182" s="427">
        <f t="shared" si="334"/>
        <v>0</v>
      </c>
      <c r="DA182" s="607">
        <f t="shared" si="349"/>
        <v>0</v>
      </c>
      <c r="DB182" s="607">
        <f t="shared" si="335"/>
        <v>115</v>
      </c>
      <c r="DC182" s="607">
        <f t="shared" si="284"/>
        <v>1.4154030809509638E-3</v>
      </c>
      <c r="DD182" s="609"/>
      <c r="DE182" s="471">
        <v>6.5</v>
      </c>
      <c r="DF182" s="475"/>
      <c r="DG182" s="473">
        <f t="shared" si="285"/>
        <v>6.5</v>
      </c>
      <c r="DH182" s="473">
        <f t="shared" si="266"/>
        <v>0</v>
      </c>
      <c r="DI182" s="227">
        <f t="shared" si="336"/>
        <v>0</v>
      </c>
      <c r="DJ182" s="473">
        <f t="shared" si="337"/>
        <v>132.69999999999999</v>
      </c>
      <c r="DK182" s="227">
        <f t="shared" si="338"/>
        <v>1.6332520768886339E-3</v>
      </c>
      <c r="DL182" s="510"/>
      <c r="DM182" s="63">
        <v>0</v>
      </c>
      <c r="DN182" s="133"/>
      <c r="DO182" s="66">
        <f t="shared" si="339"/>
        <v>0</v>
      </c>
      <c r="DP182" s="66">
        <f t="shared" si="267"/>
        <v>0</v>
      </c>
      <c r="DQ182" s="412">
        <f t="shared" si="340"/>
        <v>0</v>
      </c>
      <c r="DR182" s="66">
        <f t="shared" si="341"/>
        <v>18000</v>
      </c>
      <c r="DS182" s="412">
        <f t="shared" si="342"/>
        <v>0.22154135180102041</v>
      </c>
      <c r="DT182" s="506"/>
      <c r="DU182" s="596">
        <v>0</v>
      </c>
      <c r="DV182" s="596"/>
      <c r="DW182" s="596">
        <f t="shared" si="286"/>
        <v>0</v>
      </c>
      <c r="DX182" s="596">
        <f t="shared" si="268"/>
        <v>0</v>
      </c>
      <c r="DY182" s="592">
        <f t="shared" si="287"/>
        <v>0</v>
      </c>
      <c r="DZ182" s="596">
        <f t="shared" si="343"/>
        <v>2800</v>
      </c>
      <c r="EA182" s="592">
        <f t="shared" si="288"/>
        <v>3.4461988057936509E-2</v>
      </c>
      <c r="EB182" s="594"/>
      <c r="EC182" s="448">
        <v>100</v>
      </c>
      <c r="ED182" s="454"/>
      <c r="EE182" s="449">
        <f t="shared" si="289"/>
        <v>100</v>
      </c>
      <c r="EF182" s="449">
        <f t="shared" si="269"/>
        <v>0</v>
      </c>
      <c r="EG182" s="450">
        <f t="shared" si="347"/>
        <v>0</v>
      </c>
      <c r="EH182" s="449">
        <f t="shared" si="344"/>
        <v>1065</v>
      </c>
      <c r="EI182" s="450">
        <f t="shared" si="348"/>
        <v>1.3107863314893707E-2</v>
      </c>
      <c r="EJ182" s="520"/>
      <c r="EK182" s="426">
        <v>2213</v>
      </c>
      <c r="EL182" s="430">
        <v>2400</v>
      </c>
      <c r="EM182" s="427">
        <f t="shared" si="290"/>
        <v>4325</v>
      </c>
      <c r="EN182" s="427">
        <f t="shared" si="270"/>
        <v>288</v>
      </c>
      <c r="EO182" s="427">
        <f t="shared" si="291"/>
        <v>75597</v>
      </c>
      <c r="EP182" s="456">
        <v>56</v>
      </c>
      <c r="EQ182" s="460"/>
      <c r="ER182" s="457">
        <f t="shared" si="292"/>
        <v>28</v>
      </c>
      <c r="ES182" s="457">
        <f t="shared" si="271"/>
        <v>28</v>
      </c>
      <c r="ET182" s="457">
        <f t="shared" si="293"/>
        <v>1864</v>
      </c>
      <c r="EU182" s="409">
        <v>82</v>
      </c>
      <c r="EV182" s="434"/>
      <c r="EW182" s="43">
        <f t="shared" si="294"/>
        <v>82</v>
      </c>
      <c r="EX182" s="43">
        <f t="shared" si="272"/>
        <v>0</v>
      </c>
      <c r="EY182" s="43">
        <f t="shared" si="295"/>
        <v>858</v>
      </c>
      <c r="EZ182" s="436">
        <v>80</v>
      </c>
      <c r="FA182" s="440"/>
      <c r="FB182" s="437">
        <f t="shared" si="296"/>
        <v>74</v>
      </c>
      <c r="FC182" s="437">
        <f t="shared" si="273"/>
        <v>6</v>
      </c>
      <c r="FD182" s="437">
        <f t="shared" si="297"/>
        <v>916</v>
      </c>
      <c r="FE182" s="442">
        <v>80</v>
      </c>
      <c r="FF182" s="446"/>
      <c r="FG182" s="443">
        <f t="shared" si="298"/>
        <v>80</v>
      </c>
      <c r="FH182" s="443">
        <f t="shared" si="274"/>
        <v>0</v>
      </c>
      <c r="FI182" s="443">
        <f t="shared" si="299"/>
        <v>1120</v>
      </c>
      <c r="FJ182" s="392">
        <v>415</v>
      </c>
      <c r="FK182" s="395"/>
      <c r="FL182" s="298">
        <f t="shared" si="300"/>
        <v>400</v>
      </c>
      <c r="FM182" s="298">
        <f t="shared" si="275"/>
        <v>15</v>
      </c>
      <c r="FN182" s="498">
        <f t="shared" si="301"/>
        <v>3400</v>
      </c>
      <c r="HC182" s="402">
        <v>2334</v>
      </c>
      <c r="HD182" s="462"/>
      <c r="HE182" s="52">
        <f t="shared" si="302"/>
        <v>2160</v>
      </c>
      <c r="HF182" s="52">
        <f t="shared" si="276"/>
        <v>174</v>
      </c>
      <c r="HG182" s="51"/>
      <c r="HH182" s="52">
        <f t="shared" si="345"/>
        <v>640</v>
      </c>
      <c r="HI182" s="51"/>
      <c r="HJ182" s="1047"/>
    </row>
    <row r="183" spans="1:218">
      <c r="A183" s="810">
        <v>44846</v>
      </c>
      <c r="B183" s="390">
        <v>257433</v>
      </c>
      <c r="C183" s="18">
        <f t="shared" si="256"/>
        <v>81506373</v>
      </c>
      <c r="D183" s="376">
        <v>1159.8399999999999</v>
      </c>
      <c r="E183" s="417">
        <f t="shared" si="360"/>
        <v>1009411.2799999999</v>
      </c>
      <c r="F183" s="397">
        <v>26553</v>
      </c>
      <c r="G183" s="37"/>
      <c r="H183" s="37">
        <f t="shared" si="277"/>
        <v>24705</v>
      </c>
      <c r="I183" s="37">
        <f t="shared" si="257"/>
        <v>1848</v>
      </c>
      <c r="J183" s="37">
        <f t="shared" si="258"/>
        <v>1593.3232169954479</v>
      </c>
      <c r="K183" s="37">
        <f t="shared" si="303"/>
        <v>451702</v>
      </c>
      <c r="L183" s="37">
        <f t="shared" si="259"/>
        <v>447.49054121923427</v>
      </c>
      <c r="M183" s="648"/>
      <c r="N183" s="422">
        <v>325</v>
      </c>
      <c r="O183" s="423"/>
      <c r="P183" s="423">
        <f t="shared" si="304"/>
        <v>325</v>
      </c>
      <c r="Q183" s="423">
        <f t="shared" si="305"/>
        <v>0</v>
      </c>
      <c r="R183" s="423">
        <f t="shared" si="306"/>
        <v>13050</v>
      </c>
      <c r="S183" s="68">
        <v>2.87</v>
      </c>
      <c r="T183" s="67">
        <v>24</v>
      </c>
      <c r="U183" s="68">
        <f t="shared" si="307"/>
        <v>34.44</v>
      </c>
      <c r="V183" s="68">
        <f t="shared" si="260"/>
        <v>29.693750862187891</v>
      </c>
      <c r="W183" s="423">
        <f t="shared" si="308"/>
        <v>12703.824000000001</v>
      </c>
      <c r="X183" s="68">
        <f t="shared" si="261"/>
        <v>12.585379469902497</v>
      </c>
      <c r="Y183" s="500"/>
      <c r="Z183" s="424">
        <v>100</v>
      </c>
      <c r="AA183" s="425"/>
      <c r="AB183" s="425">
        <f t="shared" si="309"/>
        <v>100</v>
      </c>
      <c r="AC183" s="425">
        <f t="shared" si="310"/>
        <v>0</v>
      </c>
      <c r="AD183" s="425">
        <f t="shared" si="311"/>
        <v>2075</v>
      </c>
      <c r="AE183" s="72">
        <v>0.57999999999999996</v>
      </c>
      <c r="AF183" s="71">
        <v>12</v>
      </c>
      <c r="AG183" s="72">
        <f t="shared" si="312"/>
        <v>3.4799999999999995</v>
      </c>
      <c r="AH183" s="72">
        <f t="shared" si="278"/>
        <v>3.0004138501862325</v>
      </c>
      <c r="AI183" s="425">
        <f t="shared" si="313"/>
        <v>1925.5920000000012</v>
      </c>
      <c r="AJ183" s="72">
        <f t="shared" si="346"/>
        <v>1.9076386782600658</v>
      </c>
      <c r="AK183" s="502"/>
      <c r="AL183" s="491">
        <v>23607</v>
      </c>
      <c r="AM183" s="491"/>
      <c r="AN183" s="492">
        <f t="shared" si="353"/>
        <v>22480</v>
      </c>
      <c r="AO183" s="492">
        <f t="shared" si="354"/>
        <v>1127</v>
      </c>
      <c r="AP183" s="492">
        <f t="shared" si="355"/>
        <v>61093</v>
      </c>
      <c r="AQ183" s="493">
        <f t="shared" si="279"/>
        <v>60.523397360885454</v>
      </c>
      <c r="AR183" s="504"/>
      <c r="AS183" s="413">
        <v>38012</v>
      </c>
      <c r="AT183" s="133"/>
      <c r="AU183" s="66">
        <f t="shared" si="314"/>
        <v>38012</v>
      </c>
      <c r="AV183" s="66">
        <f t="shared" si="262"/>
        <v>0</v>
      </c>
      <c r="AW183" s="412">
        <f t="shared" si="315"/>
        <v>0</v>
      </c>
      <c r="AX183" s="66">
        <f t="shared" si="316"/>
        <v>259603</v>
      </c>
      <c r="AY183" s="412">
        <f t="shared" si="317"/>
        <v>3.1850638231687722</v>
      </c>
      <c r="AZ183" s="506"/>
      <c r="BA183" s="419">
        <v>1980</v>
      </c>
      <c r="BB183" s="419"/>
      <c r="BC183" s="407"/>
      <c r="BD183" s="419">
        <f t="shared" si="280"/>
        <v>1980</v>
      </c>
      <c r="BE183" s="419">
        <f t="shared" si="281"/>
        <v>0</v>
      </c>
      <c r="BF183" s="407">
        <f t="shared" si="318"/>
        <v>0</v>
      </c>
      <c r="BG183" s="419">
        <f t="shared" si="356"/>
        <v>305890</v>
      </c>
      <c r="BH183" s="407">
        <f t="shared" si="319"/>
        <v>3.752958066236121</v>
      </c>
      <c r="BI183" s="407">
        <f t="shared" si="320"/>
        <v>0.4595458856615659</v>
      </c>
      <c r="BJ183" s="508"/>
      <c r="BK183" s="510"/>
      <c r="BL183" s="49">
        <v>2269</v>
      </c>
      <c r="BM183" s="248"/>
      <c r="BN183" s="52">
        <f t="shared" si="321"/>
        <v>2244</v>
      </c>
      <c r="BO183" s="52">
        <f t="shared" si="263"/>
        <v>25</v>
      </c>
      <c r="BP183" s="406">
        <f t="shared" si="322"/>
        <v>9.7112646785765616E-2</v>
      </c>
      <c r="BQ183" s="52">
        <f t="shared" si="323"/>
        <v>35456</v>
      </c>
      <c r="BR183" s="406">
        <f t="shared" si="324"/>
        <v>0.43500892868831254</v>
      </c>
      <c r="BS183" s="512"/>
      <c r="BT183" s="409">
        <v>1924</v>
      </c>
      <c r="BU183" s="43"/>
      <c r="BV183" s="43">
        <f t="shared" si="350"/>
        <v>1905</v>
      </c>
      <c r="BW183" s="43">
        <f t="shared" si="351"/>
        <v>19</v>
      </c>
      <c r="BX183" s="42">
        <f t="shared" si="325"/>
        <v>7.3805611557181863E-2</v>
      </c>
      <c r="BY183" s="43">
        <f t="shared" si="352"/>
        <v>17532</v>
      </c>
      <c r="BZ183" s="42">
        <f t="shared" si="326"/>
        <v>0.21509974440894333</v>
      </c>
      <c r="CA183" s="514"/>
      <c r="CB183" s="392">
        <v>1150</v>
      </c>
      <c r="CC183" s="395"/>
      <c r="CD183" s="298">
        <f t="shared" si="282"/>
        <v>1150</v>
      </c>
      <c r="CE183" s="298">
        <f t="shared" si="264"/>
        <v>0</v>
      </c>
      <c r="CF183" s="297">
        <f t="shared" si="327"/>
        <v>0</v>
      </c>
      <c r="CG183" s="298">
        <f t="shared" si="328"/>
        <v>60200</v>
      </c>
      <c r="CH183" s="297">
        <f t="shared" si="329"/>
        <v>0.73859255152968217</v>
      </c>
      <c r="CI183" s="516"/>
      <c r="CJ183" s="659">
        <v>488</v>
      </c>
      <c r="CK183" s="651"/>
      <c r="CL183" s="657">
        <f t="shared" si="361"/>
        <v>338</v>
      </c>
      <c r="CM183" s="657">
        <f t="shared" si="362"/>
        <v>150</v>
      </c>
      <c r="CN183" s="659">
        <f t="shared" si="359"/>
        <v>24662</v>
      </c>
      <c r="CO183" s="464">
        <v>0</v>
      </c>
      <c r="CP183" s="469"/>
      <c r="CQ183" s="465">
        <f t="shared" si="283"/>
        <v>0</v>
      </c>
      <c r="CR183" s="465">
        <f t="shared" si="265"/>
        <v>0</v>
      </c>
      <c r="CS183" s="486">
        <f t="shared" si="330"/>
        <v>0</v>
      </c>
      <c r="CT183" s="465">
        <f t="shared" si="331"/>
        <v>1599</v>
      </c>
      <c r="CU183" s="486">
        <f t="shared" si="332"/>
        <v>1.9618097838803354E-2</v>
      </c>
      <c r="CV183" s="518"/>
      <c r="CW183" s="427">
        <v>0</v>
      </c>
      <c r="CX183" s="427"/>
      <c r="CY183" s="427">
        <f t="shared" si="333"/>
        <v>0</v>
      </c>
      <c r="CZ183" s="427">
        <f t="shared" si="334"/>
        <v>0</v>
      </c>
      <c r="DA183" s="607">
        <f t="shared" si="349"/>
        <v>0</v>
      </c>
      <c r="DB183" s="607">
        <f t="shared" si="335"/>
        <v>115</v>
      </c>
      <c r="DC183" s="607">
        <f t="shared" si="284"/>
        <v>1.4109326150483963E-3</v>
      </c>
      <c r="DD183" s="609"/>
      <c r="DE183" s="471">
        <v>6.5</v>
      </c>
      <c r="DF183" s="475"/>
      <c r="DG183" s="473">
        <f t="shared" si="285"/>
        <v>6.5</v>
      </c>
      <c r="DH183" s="473">
        <f t="shared" si="266"/>
        <v>0</v>
      </c>
      <c r="DI183" s="227">
        <f t="shared" si="336"/>
        <v>0</v>
      </c>
      <c r="DJ183" s="473">
        <f t="shared" si="337"/>
        <v>132.69999999999999</v>
      </c>
      <c r="DK183" s="227">
        <f t="shared" si="338"/>
        <v>1.6280935479732364E-3</v>
      </c>
      <c r="DL183" s="510"/>
      <c r="DM183" s="63">
        <v>0</v>
      </c>
      <c r="DN183" s="133"/>
      <c r="DO183" s="66">
        <f t="shared" si="339"/>
        <v>0</v>
      </c>
      <c r="DP183" s="66">
        <f t="shared" si="267"/>
        <v>0</v>
      </c>
      <c r="DQ183" s="412">
        <f t="shared" si="340"/>
        <v>0</v>
      </c>
      <c r="DR183" s="66">
        <f t="shared" si="341"/>
        <v>18000</v>
      </c>
      <c r="DS183" s="412">
        <f t="shared" si="342"/>
        <v>0.22084162670322724</v>
      </c>
      <c r="DT183" s="506"/>
      <c r="DU183" s="596">
        <v>0</v>
      </c>
      <c r="DV183" s="596"/>
      <c r="DW183" s="596">
        <f t="shared" si="286"/>
        <v>0</v>
      </c>
      <c r="DX183" s="596">
        <f t="shared" si="268"/>
        <v>0</v>
      </c>
      <c r="DY183" s="592">
        <f t="shared" si="287"/>
        <v>0</v>
      </c>
      <c r="DZ183" s="596">
        <f t="shared" si="343"/>
        <v>2800</v>
      </c>
      <c r="EA183" s="592">
        <f t="shared" si="288"/>
        <v>3.4353141931613124E-2</v>
      </c>
      <c r="EB183" s="594"/>
      <c r="EC183" s="448">
        <v>100</v>
      </c>
      <c r="ED183" s="454"/>
      <c r="EE183" s="449">
        <f t="shared" si="289"/>
        <v>100</v>
      </c>
      <c r="EF183" s="449">
        <f t="shared" si="269"/>
        <v>0</v>
      </c>
      <c r="EG183" s="450">
        <f t="shared" si="347"/>
        <v>0</v>
      </c>
      <c r="EH183" s="449">
        <f t="shared" si="344"/>
        <v>1065</v>
      </c>
      <c r="EI183" s="450">
        <f t="shared" si="348"/>
        <v>1.3066462913274278E-2</v>
      </c>
      <c r="EJ183" s="520"/>
      <c r="EK183" s="426">
        <v>4325</v>
      </c>
      <c r="EL183" s="430"/>
      <c r="EM183" s="427">
        <f t="shared" si="290"/>
        <v>3638</v>
      </c>
      <c r="EN183" s="427">
        <f t="shared" si="270"/>
        <v>687</v>
      </c>
      <c r="EO183" s="427">
        <f t="shared" si="291"/>
        <v>76284</v>
      </c>
      <c r="EP183" s="456">
        <v>28</v>
      </c>
      <c r="EQ183" s="460"/>
      <c r="ER183" s="457">
        <f t="shared" si="292"/>
        <v>14</v>
      </c>
      <c r="ES183" s="457">
        <f t="shared" si="271"/>
        <v>14</v>
      </c>
      <c r="ET183" s="457">
        <f t="shared" si="293"/>
        <v>1878</v>
      </c>
      <c r="EU183" s="409">
        <v>82</v>
      </c>
      <c r="EV183" s="434"/>
      <c r="EW183" s="43">
        <f t="shared" si="294"/>
        <v>78</v>
      </c>
      <c r="EX183" s="43">
        <f t="shared" si="272"/>
        <v>4</v>
      </c>
      <c r="EY183" s="43">
        <f t="shared" si="295"/>
        <v>862</v>
      </c>
      <c r="EZ183" s="436">
        <v>74</v>
      </c>
      <c r="FA183" s="440"/>
      <c r="FB183" s="437">
        <f t="shared" si="296"/>
        <v>72</v>
      </c>
      <c r="FC183" s="437">
        <f t="shared" si="273"/>
        <v>2</v>
      </c>
      <c r="FD183" s="437">
        <f t="shared" si="297"/>
        <v>918</v>
      </c>
      <c r="FE183" s="442">
        <v>80</v>
      </c>
      <c r="FF183" s="446"/>
      <c r="FG183" s="443">
        <f t="shared" si="298"/>
        <v>58</v>
      </c>
      <c r="FH183" s="443">
        <f t="shared" si="274"/>
        <v>22</v>
      </c>
      <c r="FI183" s="443">
        <f t="shared" si="299"/>
        <v>1142</v>
      </c>
      <c r="FJ183" s="392">
        <v>400</v>
      </c>
      <c r="FK183" s="395"/>
      <c r="FL183" s="298">
        <f t="shared" si="300"/>
        <v>375</v>
      </c>
      <c r="FM183" s="298">
        <f t="shared" si="275"/>
        <v>25</v>
      </c>
      <c r="FN183" s="498">
        <f t="shared" si="301"/>
        <v>3425</v>
      </c>
      <c r="HC183" s="402">
        <v>2160</v>
      </c>
      <c r="HD183" s="462"/>
      <c r="HE183" s="52">
        <f t="shared" si="302"/>
        <v>2076</v>
      </c>
      <c r="HF183" s="52">
        <f t="shared" si="276"/>
        <v>84</v>
      </c>
      <c r="HG183" s="51"/>
      <c r="HH183" s="52">
        <f t="shared" si="345"/>
        <v>724</v>
      </c>
      <c r="HI183" s="51"/>
      <c r="HJ183" s="1047"/>
    </row>
    <row r="184" spans="1:218">
      <c r="A184" s="810">
        <v>44847</v>
      </c>
      <c r="B184" s="390">
        <v>0</v>
      </c>
      <c r="C184" s="18">
        <f t="shared" si="256"/>
        <v>81506373</v>
      </c>
      <c r="D184" s="376">
        <v>0</v>
      </c>
      <c r="E184" s="417">
        <f t="shared" si="360"/>
        <v>1009411.2799999999</v>
      </c>
      <c r="F184" s="397">
        <v>24705</v>
      </c>
      <c r="G184" s="37"/>
      <c r="H184" s="37">
        <f t="shared" si="277"/>
        <v>24705</v>
      </c>
      <c r="I184" s="37">
        <f t="shared" si="257"/>
        <v>0</v>
      </c>
      <c r="J184" s="37" t="e">
        <f t="shared" si="258"/>
        <v>#DIV/0!</v>
      </c>
      <c r="K184" s="37">
        <f t="shared" si="303"/>
        <v>451702</v>
      </c>
      <c r="L184" s="37">
        <f t="shared" si="259"/>
        <v>447.49054121923427</v>
      </c>
      <c r="M184" s="648"/>
      <c r="N184" s="422">
        <v>325</v>
      </c>
      <c r="O184" s="423"/>
      <c r="P184" s="423">
        <f t="shared" si="304"/>
        <v>325</v>
      </c>
      <c r="Q184" s="423">
        <f t="shared" si="305"/>
        <v>0</v>
      </c>
      <c r="R184" s="423">
        <f t="shared" si="306"/>
        <v>13050</v>
      </c>
      <c r="S184" s="68">
        <v>0</v>
      </c>
      <c r="T184" s="67">
        <v>24</v>
      </c>
      <c r="U184" s="68">
        <f t="shared" si="307"/>
        <v>0</v>
      </c>
      <c r="V184" s="68" t="e">
        <f t="shared" si="260"/>
        <v>#DIV/0!</v>
      </c>
      <c r="W184" s="423">
        <f t="shared" si="308"/>
        <v>12703.824000000001</v>
      </c>
      <c r="X184" s="68">
        <f t="shared" si="261"/>
        <v>12.585379469902497</v>
      </c>
      <c r="Y184" s="500"/>
      <c r="Z184" s="424">
        <v>100</v>
      </c>
      <c r="AA184" s="425"/>
      <c r="AB184" s="425">
        <f t="shared" si="309"/>
        <v>100</v>
      </c>
      <c r="AC184" s="425">
        <f t="shared" si="310"/>
        <v>0</v>
      </c>
      <c r="AD184" s="425">
        <f t="shared" si="311"/>
        <v>2075</v>
      </c>
      <c r="AE184" s="72">
        <v>0</v>
      </c>
      <c r="AF184" s="71">
        <v>12</v>
      </c>
      <c r="AG184" s="72">
        <f t="shared" si="312"/>
        <v>0</v>
      </c>
      <c r="AH184" s="72" t="e">
        <f t="shared" si="278"/>
        <v>#DIV/0!</v>
      </c>
      <c r="AI184" s="425">
        <f t="shared" si="313"/>
        <v>1925.5920000000012</v>
      </c>
      <c r="AJ184" s="72">
        <f t="shared" si="346"/>
        <v>1.9076386782600658</v>
      </c>
      <c r="AK184" s="502"/>
      <c r="AL184" s="491">
        <v>22480</v>
      </c>
      <c r="AM184" s="491"/>
      <c r="AN184" s="492">
        <f t="shared" si="353"/>
        <v>22480</v>
      </c>
      <c r="AO184" s="492">
        <f t="shared" si="354"/>
        <v>0</v>
      </c>
      <c r="AP184" s="492">
        <f t="shared" si="355"/>
        <v>61093</v>
      </c>
      <c r="AQ184" s="493">
        <f t="shared" si="279"/>
        <v>60.523397360885454</v>
      </c>
      <c r="AR184" s="504"/>
      <c r="AS184" s="413">
        <v>38012</v>
      </c>
      <c r="AT184" s="133"/>
      <c r="AU184" s="66">
        <f t="shared" si="314"/>
        <v>36681</v>
      </c>
      <c r="AV184" s="66">
        <f t="shared" si="262"/>
        <v>1331</v>
      </c>
      <c r="AW184" s="412" t="e">
        <f t="shared" si="315"/>
        <v>#DIV/0!</v>
      </c>
      <c r="AX184" s="66">
        <f t="shared" si="316"/>
        <v>260934</v>
      </c>
      <c r="AY184" s="412">
        <f t="shared" si="317"/>
        <v>3.2013938345655499</v>
      </c>
      <c r="AZ184" s="506"/>
      <c r="BA184" s="419">
        <v>1980</v>
      </c>
      <c r="BB184" s="419"/>
      <c r="BC184" s="407"/>
      <c r="BD184" s="419">
        <f t="shared" si="280"/>
        <v>1980</v>
      </c>
      <c r="BE184" s="419">
        <f t="shared" si="281"/>
        <v>0</v>
      </c>
      <c r="BF184" s="407" t="e">
        <f t="shared" si="318"/>
        <v>#DIV/0!</v>
      </c>
      <c r="BG184" s="419">
        <f t="shared" si="356"/>
        <v>305890</v>
      </c>
      <c r="BH184" s="407">
        <f t="shared" si="319"/>
        <v>3.752958066236121</v>
      </c>
      <c r="BI184" s="407">
        <f t="shared" si="320"/>
        <v>0.4595458856615659</v>
      </c>
      <c r="BJ184" s="508"/>
      <c r="BK184" s="510"/>
      <c r="BL184" s="49">
        <v>2244</v>
      </c>
      <c r="BM184" s="248"/>
      <c r="BN184" s="52">
        <f t="shared" si="321"/>
        <v>2224</v>
      </c>
      <c r="BO184" s="52">
        <f t="shared" si="263"/>
        <v>20</v>
      </c>
      <c r="BP184" s="406" t="e">
        <f t="shared" si="322"/>
        <v>#DIV/0!</v>
      </c>
      <c r="BQ184" s="52">
        <f t="shared" si="323"/>
        <v>35476</v>
      </c>
      <c r="BR184" s="406">
        <f t="shared" si="324"/>
        <v>0.43525430827353834</v>
      </c>
      <c r="BS184" s="512"/>
      <c r="BT184" s="409">
        <v>1905</v>
      </c>
      <c r="BU184" s="43"/>
      <c r="BV184" s="43">
        <f t="shared" si="350"/>
        <v>1905</v>
      </c>
      <c r="BW184" s="43">
        <f t="shared" si="351"/>
        <v>0</v>
      </c>
      <c r="BX184" s="42" t="e">
        <f t="shared" si="325"/>
        <v>#DIV/0!</v>
      </c>
      <c r="BY184" s="43">
        <f t="shared" si="352"/>
        <v>17532</v>
      </c>
      <c r="BZ184" s="42">
        <f t="shared" si="326"/>
        <v>0.21509974440894333</v>
      </c>
      <c r="CA184" s="514"/>
      <c r="CB184" s="392">
        <v>1150</v>
      </c>
      <c r="CC184" s="298"/>
      <c r="CD184" s="298">
        <f t="shared" si="282"/>
        <v>1150</v>
      </c>
      <c r="CE184" s="298">
        <f t="shared" si="264"/>
        <v>0</v>
      </c>
      <c r="CF184" s="297" t="e">
        <f t="shared" si="327"/>
        <v>#DIV/0!</v>
      </c>
      <c r="CG184" s="298">
        <f t="shared" si="328"/>
        <v>60200</v>
      </c>
      <c r="CH184" s="297">
        <f t="shared" si="329"/>
        <v>0.73859255152968217</v>
      </c>
      <c r="CI184" s="516"/>
      <c r="CJ184" s="659">
        <v>338</v>
      </c>
      <c r="CK184" s="651"/>
      <c r="CL184" s="657">
        <f t="shared" si="361"/>
        <v>338</v>
      </c>
      <c r="CM184" s="657">
        <f t="shared" si="362"/>
        <v>0</v>
      </c>
      <c r="CN184" s="659">
        <f t="shared" si="359"/>
        <v>24662</v>
      </c>
      <c r="CO184" s="464">
        <v>0</v>
      </c>
      <c r="CP184" s="465"/>
      <c r="CQ184" s="465">
        <f t="shared" si="283"/>
        <v>0</v>
      </c>
      <c r="CR184" s="465">
        <f t="shared" si="265"/>
        <v>0</v>
      </c>
      <c r="CS184" s="486" t="e">
        <f t="shared" si="330"/>
        <v>#DIV/0!</v>
      </c>
      <c r="CT184" s="465">
        <f t="shared" si="331"/>
        <v>1599</v>
      </c>
      <c r="CU184" s="486">
        <f t="shared" si="332"/>
        <v>1.9618097838803354E-2</v>
      </c>
      <c r="CV184" s="518"/>
      <c r="CW184" s="427">
        <v>0</v>
      </c>
      <c r="CX184" s="427"/>
      <c r="CY184" s="427">
        <f t="shared" si="333"/>
        <v>0</v>
      </c>
      <c r="CZ184" s="427">
        <f t="shared" si="334"/>
        <v>0</v>
      </c>
      <c r="DA184" s="607" t="e">
        <f t="shared" si="349"/>
        <v>#DIV/0!</v>
      </c>
      <c r="DB184" s="607">
        <f t="shared" si="335"/>
        <v>115</v>
      </c>
      <c r="DC184" s="607">
        <f t="shared" si="284"/>
        <v>1.4109326150483963E-3</v>
      </c>
      <c r="DD184" s="609"/>
      <c r="DE184" s="471">
        <v>6.5</v>
      </c>
      <c r="DF184" s="473"/>
      <c r="DG184" s="473">
        <f t="shared" si="285"/>
        <v>6.5</v>
      </c>
      <c r="DH184" s="473">
        <f t="shared" si="266"/>
        <v>0</v>
      </c>
      <c r="DI184" s="227" t="e">
        <f t="shared" si="336"/>
        <v>#DIV/0!</v>
      </c>
      <c r="DJ184" s="473">
        <f t="shared" si="337"/>
        <v>132.69999999999999</v>
      </c>
      <c r="DK184" s="227">
        <f t="shared" si="338"/>
        <v>1.6280935479732364E-3</v>
      </c>
      <c r="DL184" s="510"/>
      <c r="DM184" s="63">
        <v>0</v>
      </c>
      <c r="DN184" s="133"/>
      <c r="DO184" s="66">
        <f t="shared" si="339"/>
        <v>0</v>
      </c>
      <c r="DP184" s="66">
        <f t="shared" si="267"/>
        <v>0</v>
      </c>
      <c r="DQ184" s="412" t="e">
        <f t="shared" si="340"/>
        <v>#DIV/0!</v>
      </c>
      <c r="DR184" s="66">
        <f t="shared" si="341"/>
        <v>18000</v>
      </c>
      <c r="DS184" s="412">
        <f t="shared" si="342"/>
        <v>0.22084162670322724</v>
      </c>
      <c r="DT184" s="506"/>
      <c r="DU184" s="596">
        <v>0</v>
      </c>
      <c r="DV184" s="596"/>
      <c r="DW184" s="596">
        <f t="shared" si="286"/>
        <v>0</v>
      </c>
      <c r="DX184" s="596">
        <f t="shared" si="268"/>
        <v>0</v>
      </c>
      <c r="DY184" s="592" t="e">
        <f t="shared" si="287"/>
        <v>#DIV/0!</v>
      </c>
      <c r="DZ184" s="596">
        <f t="shared" si="343"/>
        <v>2800</v>
      </c>
      <c r="EA184" s="592">
        <f t="shared" si="288"/>
        <v>3.4353141931613124E-2</v>
      </c>
      <c r="EB184" s="594"/>
      <c r="EC184" s="448">
        <v>100</v>
      </c>
      <c r="ED184" s="449"/>
      <c r="EE184" s="449">
        <f t="shared" si="289"/>
        <v>100</v>
      </c>
      <c r="EF184" s="449">
        <f t="shared" si="269"/>
        <v>0</v>
      </c>
      <c r="EG184" s="450" t="e">
        <f t="shared" si="347"/>
        <v>#DIV/0!</v>
      </c>
      <c r="EH184" s="449">
        <f t="shared" si="344"/>
        <v>1065</v>
      </c>
      <c r="EI184" s="450">
        <f t="shared" si="348"/>
        <v>1.3066462913274278E-2</v>
      </c>
      <c r="EJ184" s="520"/>
      <c r="EK184" s="426">
        <v>3638</v>
      </c>
      <c r="EL184" s="427"/>
      <c r="EM184" s="427">
        <f t="shared" si="290"/>
        <v>3425</v>
      </c>
      <c r="EN184" s="427">
        <f t="shared" si="270"/>
        <v>213</v>
      </c>
      <c r="EO184" s="427">
        <f t="shared" si="291"/>
        <v>76497</v>
      </c>
      <c r="EP184" s="456">
        <v>14</v>
      </c>
      <c r="EQ184" s="457"/>
      <c r="ER184" s="457">
        <f t="shared" si="292"/>
        <v>14</v>
      </c>
      <c r="ES184" s="457">
        <f t="shared" si="271"/>
        <v>0</v>
      </c>
      <c r="ET184" s="457">
        <f t="shared" si="293"/>
        <v>1878</v>
      </c>
      <c r="EU184" s="409">
        <v>78</v>
      </c>
      <c r="EV184" s="43"/>
      <c r="EW184" s="43">
        <f t="shared" si="294"/>
        <v>78</v>
      </c>
      <c r="EX184" s="43">
        <f t="shared" si="272"/>
        <v>0</v>
      </c>
      <c r="EY184" s="43">
        <f t="shared" si="295"/>
        <v>862</v>
      </c>
      <c r="EZ184" s="436">
        <v>72</v>
      </c>
      <c r="FA184" s="437"/>
      <c r="FB184" s="437">
        <f t="shared" si="296"/>
        <v>55</v>
      </c>
      <c r="FC184" s="437">
        <f t="shared" si="273"/>
        <v>17</v>
      </c>
      <c r="FD184" s="437">
        <f t="shared" si="297"/>
        <v>935</v>
      </c>
      <c r="FE184" s="442">
        <v>58</v>
      </c>
      <c r="FF184" s="443"/>
      <c r="FG184" s="443">
        <f t="shared" si="298"/>
        <v>58</v>
      </c>
      <c r="FH184" s="443">
        <f t="shared" si="274"/>
        <v>0</v>
      </c>
      <c r="FI184" s="443">
        <f t="shared" si="299"/>
        <v>1142</v>
      </c>
      <c r="FJ184" s="392">
        <v>375</v>
      </c>
      <c r="FK184" s="298"/>
      <c r="FL184" s="298">
        <f t="shared" si="300"/>
        <v>320</v>
      </c>
      <c r="FM184" s="298">
        <f t="shared" si="275"/>
        <v>55</v>
      </c>
      <c r="FN184" s="498">
        <f t="shared" si="301"/>
        <v>3480</v>
      </c>
      <c r="HC184" s="402">
        <v>2076</v>
      </c>
      <c r="HD184" s="52"/>
      <c r="HE184" s="52">
        <f t="shared" si="302"/>
        <v>2076</v>
      </c>
      <c r="HF184" s="52">
        <f t="shared" si="276"/>
        <v>0</v>
      </c>
      <c r="HG184" s="51"/>
      <c r="HH184" s="52">
        <f t="shared" si="345"/>
        <v>724</v>
      </c>
      <c r="HI184" s="51"/>
      <c r="HJ184" s="1047"/>
    </row>
    <row r="185" spans="1:218">
      <c r="A185" s="810">
        <v>44848</v>
      </c>
      <c r="B185" s="390">
        <v>170277</v>
      </c>
      <c r="C185" s="18">
        <f t="shared" si="256"/>
        <v>81676650</v>
      </c>
      <c r="D185" s="376">
        <v>4166.24</v>
      </c>
      <c r="E185" s="417">
        <f t="shared" si="360"/>
        <v>1013577.5199999999</v>
      </c>
      <c r="F185" s="397">
        <v>24705</v>
      </c>
      <c r="G185" s="37">
        <v>4800</v>
      </c>
      <c r="H185" s="37">
        <f t="shared" si="277"/>
        <v>29505</v>
      </c>
      <c r="I185" s="37">
        <f t="shared" si="257"/>
        <v>0</v>
      </c>
      <c r="J185" s="37">
        <f t="shared" si="258"/>
        <v>0</v>
      </c>
      <c r="K185" s="37">
        <f t="shared" si="303"/>
        <v>451702</v>
      </c>
      <c r="L185" s="37">
        <f t="shared" si="259"/>
        <v>445.65116242909573</v>
      </c>
      <c r="M185" s="648"/>
      <c r="N185" s="422">
        <v>325</v>
      </c>
      <c r="O185" s="423"/>
      <c r="P185" s="423">
        <f t="shared" si="304"/>
        <v>225</v>
      </c>
      <c r="Q185" s="423">
        <f t="shared" si="305"/>
        <v>100</v>
      </c>
      <c r="R185" s="423">
        <f t="shared" si="306"/>
        <v>13150</v>
      </c>
      <c r="S185" s="68">
        <v>6.19</v>
      </c>
      <c r="T185" s="67">
        <v>24</v>
      </c>
      <c r="U185" s="68">
        <f t="shared" si="307"/>
        <v>74.28</v>
      </c>
      <c r="V185" s="68">
        <f t="shared" si="260"/>
        <v>17.829025692230886</v>
      </c>
      <c r="W185" s="423">
        <f t="shared" si="308"/>
        <v>12778.104000000001</v>
      </c>
      <c r="X185" s="68">
        <f t="shared" si="261"/>
        <v>12.606933113512623</v>
      </c>
      <c r="Y185" s="500"/>
      <c r="Z185" s="424">
        <v>100</v>
      </c>
      <c r="AA185" s="425"/>
      <c r="AB185" s="425">
        <f t="shared" si="309"/>
        <v>75</v>
      </c>
      <c r="AC185" s="425">
        <f t="shared" si="310"/>
        <v>25</v>
      </c>
      <c r="AD185" s="425">
        <f t="shared" si="311"/>
        <v>2100</v>
      </c>
      <c r="AE185" s="72">
        <v>1.66</v>
      </c>
      <c r="AF185" s="71">
        <v>12</v>
      </c>
      <c r="AG185" s="72">
        <f t="shared" si="312"/>
        <v>9.9599999999999991</v>
      </c>
      <c r="AH185" s="72">
        <f t="shared" si="278"/>
        <v>2.3906448020277273</v>
      </c>
      <c r="AI185" s="425">
        <f t="shared" si="313"/>
        <v>1935.5520000000013</v>
      </c>
      <c r="AJ185" s="72">
        <f t="shared" si="346"/>
        <v>1.9096240413856074</v>
      </c>
      <c r="AK185" s="502"/>
      <c r="AL185" s="491">
        <v>22480</v>
      </c>
      <c r="AM185" s="491"/>
      <c r="AN185" s="492">
        <f t="shared" si="353"/>
        <v>22480</v>
      </c>
      <c r="AO185" s="492">
        <f t="shared" si="354"/>
        <v>0</v>
      </c>
      <c r="AP185" s="492">
        <f t="shared" si="355"/>
        <v>61093</v>
      </c>
      <c r="AQ185" s="493">
        <f t="shared" si="279"/>
        <v>60.274620139562693</v>
      </c>
      <c r="AR185" s="504"/>
      <c r="AS185" s="413">
        <v>36681</v>
      </c>
      <c r="AT185" s="133"/>
      <c r="AU185" s="66">
        <f t="shared" si="314"/>
        <v>34002</v>
      </c>
      <c r="AV185" s="66">
        <f t="shared" si="262"/>
        <v>2679</v>
      </c>
      <c r="AW185" s="412">
        <f t="shared" si="315"/>
        <v>15.733187688296129</v>
      </c>
      <c r="AX185" s="66">
        <f t="shared" si="316"/>
        <v>263613</v>
      </c>
      <c r="AY185" s="412">
        <f t="shared" si="317"/>
        <v>3.2275197378932656</v>
      </c>
      <c r="AZ185" s="506"/>
      <c r="BA185" s="419">
        <v>1980</v>
      </c>
      <c r="BB185" s="419"/>
      <c r="BC185" s="407"/>
      <c r="BD185" s="419">
        <f t="shared" si="280"/>
        <v>1980</v>
      </c>
      <c r="BE185" s="419">
        <f t="shared" si="281"/>
        <v>0</v>
      </c>
      <c r="BF185" s="407">
        <f t="shared" si="318"/>
        <v>0</v>
      </c>
      <c r="BG185" s="419">
        <f t="shared" si="356"/>
        <v>305890</v>
      </c>
      <c r="BH185" s="407">
        <f t="shared" si="319"/>
        <v>3.7451340132094058</v>
      </c>
      <c r="BI185" s="407">
        <f t="shared" si="320"/>
        <v>0.45858783835217215</v>
      </c>
      <c r="BJ185" s="508"/>
      <c r="BK185" s="510"/>
      <c r="BL185" s="49">
        <v>2224</v>
      </c>
      <c r="BM185" s="248"/>
      <c r="BN185" s="52">
        <f t="shared" si="321"/>
        <v>2187</v>
      </c>
      <c r="BO185" s="52">
        <f t="shared" si="263"/>
        <v>37</v>
      </c>
      <c r="BP185" s="406">
        <f t="shared" si="322"/>
        <v>0.21729299905448182</v>
      </c>
      <c r="BQ185" s="52">
        <f t="shared" si="323"/>
        <v>35513</v>
      </c>
      <c r="BR185" s="406">
        <f t="shared" si="324"/>
        <v>0.4347999091539626</v>
      </c>
      <c r="BS185" s="512"/>
      <c r="BT185" s="409">
        <v>1905</v>
      </c>
      <c r="BU185" s="43"/>
      <c r="BV185" s="43">
        <f t="shared" si="350"/>
        <v>1865</v>
      </c>
      <c r="BW185" s="43">
        <f t="shared" si="351"/>
        <v>40</v>
      </c>
      <c r="BX185" s="42">
        <f t="shared" si="325"/>
        <v>0.23491135032916952</v>
      </c>
      <c r="BY185" s="43">
        <f t="shared" si="352"/>
        <v>17572</v>
      </c>
      <c r="BZ185" s="42">
        <f t="shared" si="326"/>
        <v>0.21514104704343284</v>
      </c>
      <c r="CA185" s="514"/>
      <c r="CB185" s="392">
        <v>1150</v>
      </c>
      <c r="CC185" s="395"/>
      <c r="CD185" s="298">
        <f t="shared" si="282"/>
        <v>1150</v>
      </c>
      <c r="CE185" s="298">
        <f t="shared" si="264"/>
        <v>0</v>
      </c>
      <c r="CF185" s="297">
        <f t="shared" si="327"/>
        <v>0</v>
      </c>
      <c r="CG185" s="298">
        <f t="shared" si="328"/>
        <v>60200</v>
      </c>
      <c r="CH185" s="297">
        <f t="shared" si="329"/>
        <v>0.73705275620388444</v>
      </c>
      <c r="CI185" s="516"/>
      <c r="CJ185" s="659">
        <v>338</v>
      </c>
      <c r="CK185" s="651">
        <v>1250</v>
      </c>
      <c r="CL185" s="657">
        <f t="shared" si="361"/>
        <v>1438</v>
      </c>
      <c r="CM185" s="657">
        <f t="shared" si="362"/>
        <v>150</v>
      </c>
      <c r="CN185" s="659">
        <f t="shared" si="359"/>
        <v>24812</v>
      </c>
      <c r="CO185" s="464">
        <v>0</v>
      </c>
      <c r="CP185" s="469">
        <v>20</v>
      </c>
      <c r="CQ185" s="465">
        <f t="shared" si="283"/>
        <v>11.6</v>
      </c>
      <c r="CR185" s="465">
        <f t="shared" si="265"/>
        <v>8.4</v>
      </c>
      <c r="CS185" s="486">
        <f t="shared" si="330"/>
        <v>4.93313835691256E-2</v>
      </c>
      <c r="CT185" s="465">
        <f t="shared" si="331"/>
        <v>1607.4</v>
      </c>
      <c r="CU185" s="486">
        <f t="shared" si="332"/>
        <v>1.9680043194719665E-2</v>
      </c>
      <c r="CV185" s="518"/>
      <c r="CW185" s="427">
        <v>0</v>
      </c>
      <c r="CX185" s="427"/>
      <c r="CY185" s="427">
        <f t="shared" si="333"/>
        <v>0</v>
      </c>
      <c r="CZ185" s="427">
        <f t="shared" si="334"/>
        <v>0</v>
      </c>
      <c r="DA185" s="607">
        <f t="shared" si="349"/>
        <v>0</v>
      </c>
      <c r="DB185" s="607">
        <f t="shared" si="335"/>
        <v>115</v>
      </c>
      <c r="DC185" s="607">
        <f t="shared" si="284"/>
        <v>1.4079911455722046E-3</v>
      </c>
      <c r="DD185" s="609"/>
      <c r="DE185" s="471">
        <v>6.5</v>
      </c>
      <c r="DF185" s="475"/>
      <c r="DG185" s="473">
        <f t="shared" si="285"/>
        <v>6.5</v>
      </c>
      <c r="DH185" s="473">
        <f t="shared" si="266"/>
        <v>0</v>
      </c>
      <c r="DI185" s="227">
        <f t="shared" si="336"/>
        <v>0</v>
      </c>
      <c r="DJ185" s="473">
        <f t="shared" si="337"/>
        <v>132.69999999999999</v>
      </c>
      <c r="DK185" s="227">
        <f t="shared" si="338"/>
        <v>1.6246993479776656E-3</v>
      </c>
      <c r="DL185" s="510"/>
      <c r="DM185" s="63">
        <v>0</v>
      </c>
      <c r="DN185" s="133"/>
      <c r="DO185" s="66">
        <f t="shared" si="339"/>
        <v>0</v>
      </c>
      <c r="DP185" s="66">
        <f t="shared" si="267"/>
        <v>0</v>
      </c>
      <c r="DQ185" s="412">
        <f t="shared" si="340"/>
        <v>0</v>
      </c>
      <c r="DR185" s="66">
        <f t="shared" si="341"/>
        <v>18000</v>
      </c>
      <c r="DS185" s="412">
        <f t="shared" si="342"/>
        <v>0.22038122278521463</v>
      </c>
      <c r="DT185" s="506"/>
      <c r="DU185" s="596">
        <v>0</v>
      </c>
      <c r="DV185" s="596"/>
      <c r="DW185" s="596">
        <f t="shared" si="286"/>
        <v>0</v>
      </c>
      <c r="DX185" s="596">
        <f t="shared" si="268"/>
        <v>0</v>
      </c>
      <c r="DY185" s="592">
        <f t="shared" si="287"/>
        <v>0</v>
      </c>
      <c r="DZ185" s="596">
        <f t="shared" si="343"/>
        <v>2800</v>
      </c>
      <c r="EA185" s="592">
        <f t="shared" si="288"/>
        <v>3.428152354436672E-2</v>
      </c>
      <c r="EB185" s="594"/>
      <c r="EC185" s="448">
        <v>100</v>
      </c>
      <c r="ED185" s="454"/>
      <c r="EE185" s="449">
        <f t="shared" si="289"/>
        <v>100</v>
      </c>
      <c r="EF185" s="449">
        <f t="shared" si="269"/>
        <v>0</v>
      </c>
      <c r="EG185" s="450">
        <f t="shared" si="347"/>
        <v>0</v>
      </c>
      <c r="EH185" s="449">
        <f t="shared" si="344"/>
        <v>1065</v>
      </c>
      <c r="EI185" s="450">
        <f t="shared" si="348"/>
        <v>1.3039222348125198E-2</v>
      </c>
      <c r="EJ185" s="520"/>
      <c r="EK185" s="426">
        <v>3425</v>
      </c>
      <c r="EL185" s="430">
        <v>1200</v>
      </c>
      <c r="EM185" s="427">
        <f t="shared" si="290"/>
        <v>4163</v>
      </c>
      <c r="EN185" s="427">
        <f t="shared" si="270"/>
        <v>462</v>
      </c>
      <c r="EO185" s="427">
        <f t="shared" si="291"/>
        <v>76959</v>
      </c>
      <c r="EP185" s="456">
        <v>14</v>
      </c>
      <c r="EQ185" s="460">
        <v>140</v>
      </c>
      <c r="ER185" s="457">
        <f t="shared" si="292"/>
        <v>126</v>
      </c>
      <c r="ES185" s="457">
        <f t="shared" si="271"/>
        <v>28</v>
      </c>
      <c r="ET185" s="457">
        <f t="shared" si="293"/>
        <v>1906</v>
      </c>
      <c r="EU185" s="409">
        <v>78</v>
      </c>
      <c r="EV185" s="434"/>
      <c r="EW185" s="43">
        <f t="shared" si="294"/>
        <v>71</v>
      </c>
      <c r="EX185" s="43">
        <f t="shared" si="272"/>
        <v>7</v>
      </c>
      <c r="EY185" s="43">
        <f t="shared" si="295"/>
        <v>869</v>
      </c>
      <c r="EZ185" s="436">
        <v>55</v>
      </c>
      <c r="FA185" s="440">
        <v>100</v>
      </c>
      <c r="FB185" s="437">
        <f t="shared" si="296"/>
        <v>137</v>
      </c>
      <c r="FC185" s="437">
        <f t="shared" si="273"/>
        <v>18</v>
      </c>
      <c r="FD185" s="437">
        <f t="shared" si="297"/>
        <v>953</v>
      </c>
      <c r="FE185" s="442">
        <v>58</v>
      </c>
      <c r="FF185" s="446"/>
      <c r="FG185" s="443">
        <f t="shared" si="298"/>
        <v>58</v>
      </c>
      <c r="FH185" s="443">
        <f t="shared" si="274"/>
        <v>0</v>
      </c>
      <c r="FI185" s="443">
        <f t="shared" si="299"/>
        <v>1142</v>
      </c>
      <c r="FJ185" s="392">
        <v>320</v>
      </c>
      <c r="FK185" s="395"/>
      <c r="FL185" s="298">
        <f t="shared" si="300"/>
        <v>300</v>
      </c>
      <c r="FM185" s="298">
        <f t="shared" si="275"/>
        <v>20</v>
      </c>
      <c r="FN185" s="498">
        <f t="shared" si="301"/>
        <v>3500</v>
      </c>
      <c r="HC185" s="402">
        <v>2076</v>
      </c>
      <c r="HD185" s="462"/>
      <c r="HE185" s="52">
        <f t="shared" si="302"/>
        <v>2016</v>
      </c>
      <c r="HF185" s="52">
        <f t="shared" si="276"/>
        <v>60</v>
      </c>
      <c r="HG185" s="51"/>
      <c r="HH185" s="52">
        <f t="shared" si="345"/>
        <v>784</v>
      </c>
      <c r="HI185" s="51"/>
      <c r="HJ185" s="1047"/>
    </row>
    <row r="186" spans="1:218">
      <c r="A186" s="810">
        <v>44849</v>
      </c>
      <c r="B186" s="390">
        <v>576325</v>
      </c>
      <c r="C186" s="18">
        <f t="shared" si="256"/>
        <v>82252975</v>
      </c>
      <c r="D186" s="376">
        <v>7342.84</v>
      </c>
      <c r="E186" s="417">
        <f t="shared" si="360"/>
        <v>1020920.3599999999</v>
      </c>
      <c r="F186" s="397">
        <v>29505</v>
      </c>
      <c r="G186" s="37"/>
      <c r="H186" s="37">
        <f t="shared" si="277"/>
        <v>29326</v>
      </c>
      <c r="I186" s="37">
        <f t="shared" si="257"/>
        <v>179</v>
      </c>
      <c r="J186" s="37">
        <f t="shared" si="258"/>
        <v>24.377488819040043</v>
      </c>
      <c r="K186" s="37">
        <f t="shared" si="303"/>
        <v>451881</v>
      </c>
      <c r="L186" s="37">
        <f t="shared" si="259"/>
        <v>442.62120504678745</v>
      </c>
      <c r="M186" s="648"/>
      <c r="N186" s="422">
        <v>225</v>
      </c>
      <c r="O186" s="423"/>
      <c r="P186" s="423">
        <f t="shared" si="304"/>
        <v>150</v>
      </c>
      <c r="Q186" s="423">
        <f t="shared" si="305"/>
        <v>75</v>
      </c>
      <c r="R186" s="423">
        <f t="shared" si="306"/>
        <v>13225</v>
      </c>
      <c r="S186" s="68">
        <v>10.27</v>
      </c>
      <c r="T186" s="67">
        <v>24</v>
      </c>
      <c r="U186" s="68">
        <f t="shared" si="307"/>
        <v>123.24</v>
      </c>
      <c r="V186" s="68">
        <f t="shared" si="260"/>
        <v>16.78369677127651</v>
      </c>
      <c r="W186" s="423">
        <f t="shared" si="308"/>
        <v>12901.344000000001</v>
      </c>
      <c r="X186" s="68">
        <f t="shared" si="261"/>
        <v>12.636973955539494</v>
      </c>
      <c r="Y186" s="500"/>
      <c r="Z186" s="424">
        <v>75</v>
      </c>
      <c r="AA186" s="425"/>
      <c r="AB186" s="425">
        <f t="shared" si="309"/>
        <v>75</v>
      </c>
      <c r="AC186" s="425">
        <f t="shared" si="310"/>
        <v>0</v>
      </c>
      <c r="AD186" s="425">
        <f t="shared" si="311"/>
        <v>2100</v>
      </c>
      <c r="AE186" s="72">
        <v>2.56</v>
      </c>
      <c r="AF186" s="71">
        <v>12</v>
      </c>
      <c r="AG186" s="72">
        <f t="shared" si="312"/>
        <v>15.36</v>
      </c>
      <c r="AH186" s="72">
        <f t="shared" si="278"/>
        <v>2.0918336774327098</v>
      </c>
      <c r="AI186" s="425">
        <f t="shared" si="313"/>
        <v>1950.9120000000012</v>
      </c>
      <c r="AJ186" s="72">
        <f t="shared" si="346"/>
        <v>1.9109345610464674</v>
      </c>
      <c r="AK186" s="502"/>
      <c r="AL186" s="491">
        <v>22480</v>
      </c>
      <c r="AM186" s="491"/>
      <c r="AN186" s="492">
        <f t="shared" si="353"/>
        <v>22480</v>
      </c>
      <c r="AO186" s="492">
        <f t="shared" si="354"/>
        <v>0</v>
      </c>
      <c r="AP186" s="492">
        <f t="shared" si="355"/>
        <v>61093</v>
      </c>
      <c r="AQ186" s="493">
        <f t="shared" si="279"/>
        <v>59.84110259099937</v>
      </c>
      <c r="AR186" s="504"/>
      <c r="AS186" s="413">
        <v>34002</v>
      </c>
      <c r="AT186" s="133"/>
      <c r="AU186" s="66">
        <f t="shared" si="314"/>
        <v>28081</v>
      </c>
      <c r="AV186" s="66">
        <f t="shared" si="262"/>
        <v>5921</v>
      </c>
      <c r="AW186" s="412">
        <f t="shared" si="315"/>
        <v>10.273717086713226</v>
      </c>
      <c r="AX186" s="66">
        <f t="shared" si="316"/>
        <v>269534</v>
      </c>
      <c r="AY186" s="412">
        <f t="shared" si="317"/>
        <v>3.2768905927110845</v>
      </c>
      <c r="AZ186" s="506"/>
      <c r="BA186" s="419">
        <v>1980</v>
      </c>
      <c r="BB186" s="419"/>
      <c r="BC186" s="407"/>
      <c r="BD186" s="419">
        <f t="shared" si="280"/>
        <v>1980</v>
      </c>
      <c r="BE186" s="419">
        <f t="shared" si="281"/>
        <v>0</v>
      </c>
      <c r="BF186" s="407">
        <f t="shared" si="318"/>
        <v>0</v>
      </c>
      <c r="BG186" s="419">
        <f t="shared" si="356"/>
        <v>305890</v>
      </c>
      <c r="BH186" s="407">
        <f t="shared" si="319"/>
        <v>3.7188928424777341</v>
      </c>
      <c r="BI186" s="407">
        <f t="shared" si="320"/>
        <v>0.45537463377278381</v>
      </c>
      <c r="BJ186" s="508"/>
      <c r="BK186" s="510"/>
      <c r="BL186" s="49">
        <v>2187</v>
      </c>
      <c r="BM186" s="248"/>
      <c r="BN186" s="52">
        <f t="shared" si="321"/>
        <v>1997</v>
      </c>
      <c r="BO186" s="52">
        <f t="shared" si="263"/>
        <v>190</v>
      </c>
      <c r="BP186" s="406">
        <f t="shared" si="322"/>
        <v>0.32967509651672233</v>
      </c>
      <c r="BQ186" s="52">
        <f t="shared" si="323"/>
        <v>35703</v>
      </c>
      <c r="BR186" s="406">
        <f t="shared" si="324"/>
        <v>0.43406332719272461</v>
      </c>
      <c r="BS186" s="512"/>
      <c r="BT186" s="409">
        <v>1865</v>
      </c>
      <c r="BU186" s="43"/>
      <c r="BV186" s="43">
        <f t="shared" si="350"/>
        <v>1805</v>
      </c>
      <c r="BW186" s="43">
        <f t="shared" si="351"/>
        <v>60</v>
      </c>
      <c r="BX186" s="42">
        <f t="shared" si="325"/>
        <v>0.10410792521580706</v>
      </c>
      <c r="BY186" s="43">
        <f t="shared" si="352"/>
        <v>17632</v>
      </c>
      <c r="BZ186" s="42">
        <f t="shared" si="326"/>
        <v>0.21436306711094644</v>
      </c>
      <c r="CA186" s="514"/>
      <c r="CB186" s="392">
        <v>1150</v>
      </c>
      <c r="CC186" s="395"/>
      <c r="CD186" s="298">
        <f t="shared" si="282"/>
        <v>1150</v>
      </c>
      <c r="CE186" s="298">
        <f t="shared" si="264"/>
        <v>0</v>
      </c>
      <c r="CF186" s="297">
        <f t="shared" si="327"/>
        <v>0</v>
      </c>
      <c r="CG186" s="298">
        <f t="shared" si="328"/>
        <v>60200</v>
      </c>
      <c r="CH186" s="297">
        <f t="shared" si="329"/>
        <v>0.73188842105711072</v>
      </c>
      <c r="CI186" s="516"/>
      <c r="CJ186" s="659">
        <v>1438</v>
      </c>
      <c r="CK186" s="651"/>
      <c r="CL186" s="657">
        <f t="shared" si="361"/>
        <v>1138</v>
      </c>
      <c r="CM186" s="657">
        <f t="shared" si="362"/>
        <v>300</v>
      </c>
      <c r="CN186" s="659">
        <f t="shared" si="359"/>
        <v>25112</v>
      </c>
      <c r="CO186" s="811">
        <v>11.6</v>
      </c>
      <c r="CP186" s="469"/>
      <c r="CQ186" s="465">
        <f t="shared" si="283"/>
        <v>11.6</v>
      </c>
      <c r="CR186" s="465">
        <f t="shared" si="265"/>
        <v>0</v>
      </c>
      <c r="CS186" s="486">
        <f t="shared" si="330"/>
        <v>0</v>
      </c>
      <c r="CT186" s="465">
        <f t="shared" si="331"/>
        <v>1607.4</v>
      </c>
      <c r="CU186" s="486">
        <f t="shared" si="332"/>
        <v>1.9542150299122919E-2</v>
      </c>
      <c r="CV186" s="518"/>
      <c r="CW186" s="427">
        <v>0</v>
      </c>
      <c r="CX186" s="427"/>
      <c r="CY186" s="427">
        <f t="shared" si="333"/>
        <v>0</v>
      </c>
      <c r="CZ186" s="427">
        <f t="shared" si="334"/>
        <v>0</v>
      </c>
      <c r="DA186" s="607">
        <f t="shared" si="349"/>
        <v>0</v>
      </c>
      <c r="DB186" s="607">
        <f t="shared" si="335"/>
        <v>115</v>
      </c>
      <c r="DC186" s="607">
        <f t="shared" si="284"/>
        <v>1.3981257212885006E-3</v>
      </c>
      <c r="DD186" s="609"/>
      <c r="DE186" s="471">
        <v>6.5</v>
      </c>
      <c r="DF186" s="475"/>
      <c r="DG186" s="473">
        <f t="shared" si="285"/>
        <v>6.5</v>
      </c>
      <c r="DH186" s="473">
        <f t="shared" si="266"/>
        <v>0</v>
      </c>
      <c r="DI186" s="227">
        <f t="shared" si="336"/>
        <v>0</v>
      </c>
      <c r="DJ186" s="473">
        <f t="shared" si="337"/>
        <v>132.69999999999999</v>
      </c>
      <c r="DK186" s="227">
        <f t="shared" si="338"/>
        <v>1.6133155062172523E-3</v>
      </c>
      <c r="DL186" s="510"/>
      <c r="DM186" s="63">
        <v>0</v>
      </c>
      <c r="DN186" s="133"/>
      <c r="DO186" s="66">
        <f t="shared" si="339"/>
        <v>0</v>
      </c>
      <c r="DP186" s="66">
        <f t="shared" si="267"/>
        <v>0</v>
      </c>
      <c r="DQ186" s="412">
        <f t="shared" si="340"/>
        <v>0</v>
      </c>
      <c r="DR186" s="66">
        <f t="shared" si="341"/>
        <v>18000</v>
      </c>
      <c r="DS186" s="412">
        <f t="shared" si="342"/>
        <v>0.21883706941906964</v>
      </c>
      <c r="DT186" s="506"/>
      <c r="DU186" s="596">
        <v>0</v>
      </c>
      <c r="DV186" s="596"/>
      <c r="DW186" s="596">
        <f t="shared" si="286"/>
        <v>0</v>
      </c>
      <c r="DX186" s="596">
        <f t="shared" si="268"/>
        <v>0</v>
      </c>
      <c r="DY186" s="592">
        <f t="shared" si="287"/>
        <v>0</v>
      </c>
      <c r="DZ186" s="596">
        <f t="shared" si="343"/>
        <v>2800</v>
      </c>
      <c r="EA186" s="592">
        <f t="shared" si="288"/>
        <v>3.4041321909633056E-2</v>
      </c>
      <c r="EB186" s="594"/>
      <c r="EC186" s="448">
        <v>100</v>
      </c>
      <c r="ED186" s="454"/>
      <c r="EE186" s="449">
        <f t="shared" si="289"/>
        <v>100</v>
      </c>
      <c r="EF186" s="449">
        <f t="shared" si="269"/>
        <v>0</v>
      </c>
      <c r="EG186" s="450">
        <f t="shared" si="347"/>
        <v>0</v>
      </c>
      <c r="EH186" s="449">
        <f t="shared" si="344"/>
        <v>1065</v>
      </c>
      <c r="EI186" s="450">
        <f t="shared" si="348"/>
        <v>1.2947859940628288E-2</v>
      </c>
      <c r="EJ186" s="520"/>
      <c r="EK186" s="426">
        <v>4163</v>
      </c>
      <c r="EL186" s="430"/>
      <c r="EM186" s="427">
        <f t="shared" si="290"/>
        <v>3375</v>
      </c>
      <c r="EN186" s="427">
        <f t="shared" si="270"/>
        <v>788</v>
      </c>
      <c r="EO186" s="427">
        <f t="shared" si="291"/>
        <v>77747</v>
      </c>
      <c r="EP186" s="456">
        <v>126</v>
      </c>
      <c r="EQ186" s="460"/>
      <c r="ER186" s="457">
        <f t="shared" si="292"/>
        <v>112</v>
      </c>
      <c r="ES186" s="457">
        <f t="shared" si="271"/>
        <v>14</v>
      </c>
      <c r="ET186" s="457">
        <f t="shared" si="293"/>
        <v>1920</v>
      </c>
      <c r="EU186" s="409">
        <v>71</v>
      </c>
      <c r="EV186" s="434"/>
      <c r="EW186" s="43">
        <f t="shared" si="294"/>
        <v>60</v>
      </c>
      <c r="EX186" s="43">
        <f t="shared" si="272"/>
        <v>11</v>
      </c>
      <c r="EY186" s="43">
        <f t="shared" si="295"/>
        <v>880</v>
      </c>
      <c r="EZ186" s="436">
        <v>137</v>
      </c>
      <c r="FA186" s="440"/>
      <c r="FB186" s="437">
        <f t="shared" si="296"/>
        <v>128</v>
      </c>
      <c r="FC186" s="437">
        <f t="shared" si="273"/>
        <v>9</v>
      </c>
      <c r="FD186" s="437">
        <f t="shared" si="297"/>
        <v>962</v>
      </c>
      <c r="FE186" s="442">
        <v>58</v>
      </c>
      <c r="FF186" s="446"/>
      <c r="FG186" s="443">
        <f t="shared" si="298"/>
        <v>58</v>
      </c>
      <c r="FH186" s="443">
        <f t="shared" si="274"/>
        <v>0</v>
      </c>
      <c r="FI186" s="443">
        <f t="shared" si="299"/>
        <v>1142</v>
      </c>
      <c r="FJ186" s="392">
        <v>300</v>
      </c>
      <c r="FK186" s="395"/>
      <c r="FL186" s="298">
        <f t="shared" si="300"/>
        <v>280</v>
      </c>
      <c r="FM186" s="298">
        <f t="shared" si="275"/>
        <v>20</v>
      </c>
      <c r="FN186" s="498">
        <f t="shared" si="301"/>
        <v>3520</v>
      </c>
      <c r="HC186" s="402">
        <v>2016</v>
      </c>
      <c r="HD186" s="462"/>
      <c r="HE186" s="52">
        <f t="shared" si="302"/>
        <v>1776</v>
      </c>
      <c r="HF186" s="52">
        <f t="shared" si="276"/>
        <v>240</v>
      </c>
      <c r="HG186" s="51"/>
      <c r="HH186" s="52">
        <f t="shared" si="345"/>
        <v>1024</v>
      </c>
      <c r="HI186" s="51"/>
      <c r="HJ186" s="1047"/>
    </row>
    <row r="187" spans="1:218">
      <c r="A187" s="810">
        <v>44850</v>
      </c>
      <c r="B187" s="390">
        <v>584660</v>
      </c>
      <c r="C187" s="18">
        <f t="shared" si="256"/>
        <v>82837635</v>
      </c>
      <c r="D187" s="376">
        <v>5258.02</v>
      </c>
      <c r="E187" s="417">
        <f t="shared" si="360"/>
        <v>1026178.3799999999</v>
      </c>
      <c r="F187" s="397">
        <v>29326</v>
      </c>
      <c r="G187" s="37"/>
      <c r="H187" s="37">
        <f t="shared" si="277"/>
        <v>26553</v>
      </c>
      <c r="I187" s="37">
        <f t="shared" si="257"/>
        <v>2773</v>
      </c>
      <c r="J187" s="37">
        <f t="shared" si="258"/>
        <v>527.38483307404681</v>
      </c>
      <c r="K187" s="37">
        <f t="shared" si="303"/>
        <v>454654</v>
      </c>
      <c r="L187" s="37">
        <f t="shared" si="259"/>
        <v>443.05552412827097</v>
      </c>
      <c r="M187" s="648"/>
      <c r="N187" s="422">
        <v>150</v>
      </c>
      <c r="O187" s="423">
        <v>250</v>
      </c>
      <c r="P187" s="423">
        <f t="shared" si="304"/>
        <v>250</v>
      </c>
      <c r="Q187" s="423">
        <f t="shared" si="305"/>
        <v>150</v>
      </c>
      <c r="R187" s="423">
        <f t="shared" si="306"/>
        <v>13375</v>
      </c>
      <c r="S187" s="68">
        <v>10.43</v>
      </c>
      <c r="T187" s="67">
        <v>24</v>
      </c>
      <c r="U187" s="68">
        <f t="shared" si="307"/>
        <v>125.16</v>
      </c>
      <c r="V187" s="68">
        <f t="shared" si="260"/>
        <v>23.803637110547314</v>
      </c>
      <c r="W187" s="423">
        <f t="shared" si="308"/>
        <v>13026.504000000001</v>
      </c>
      <c r="X187" s="68">
        <f t="shared" si="261"/>
        <v>12.694190653285837</v>
      </c>
      <c r="Y187" s="500"/>
      <c r="Z187" s="424">
        <v>75</v>
      </c>
      <c r="AA187" s="425"/>
      <c r="AB187" s="425">
        <f t="shared" si="309"/>
        <v>50</v>
      </c>
      <c r="AC187" s="425">
        <f t="shared" si="310"/>
        <v>25</v>
      </c>
      <c r="AD187" s="425">
        <f t="shared" si="311"/>
        <v>2125</v>
      </c>
      <c r="AE187" s="72">
        <v>2.12</v>
      </c>
      <c r="AF187" s="71">
        <v>12</v>
      </c>
      <c r="AG187" s="72">
        <f t="shared" si="312"/>
        <v>12.72</v>
      </c>
      <c r="AH187" s="72">
        <f t="shared" si="278"/>
        <v>2.4191615855398036</v>
      </c>
      <c r="AI187" s="425">
        <f t="shared" si="313"/>
        <v>1963.6320000000012</v>
      </c>
      <c r="AJ187" s="72">
        <f t="shared" si="346"/>
        <v>1.913538657869601</v>
      </c>
      <c r="AK187" s="502"/>
      <c r="AL187" s="491">
        <v>22480</v>
      </c>
      <c r="AM187" s="491"/>
      <c r="AN187" s="492">
        <f t="shared" si="353"/>
        <v>22480</v>
      </c>
      <c r="AO187" s="492">
        <f t="shared" si="354"/>
        <v>0</v>
      </c>
      <c r="AP187" s="492">
        <f t="shared" si="355"/>
        <v>61093</v>
      </c>
      <c r="AQ187" s="493">
        <f t="shared" si="279"/>
        <v>59.534483663551754</v>
      </c>
      <c r="AR187" s="504"/>
      <c r="AS187" s="413">
        <v>28081</v>
      </c>
      <c r="AT187" s="133"/>
      <c r="AU187" s="66">
        <f t="shared" si="314"/>
        <v>22758</v>
      </c>
      <c r="AV187" s="66">
        <f t="shared" si="262"/>
        <v>5323</v>
      </c>
      <c r="AW187" s="412">
        <f t="shared" si="315"/>
        <v>9.1044367666678063</v>
      </c>
      <c r="AX187" s="66">
        <f t="shared" si="316"/>
        <v>274857</v>
      </c>
      <c r="AY187" s="412">
        <f t="shared" si="317"/>
        <v>3.3180208488569236</v>
      </c>
      <c r="AZ187" s="506"/>
      <c r="BA187" s="419">
        <v>1980</v>
      </c>
      <c r="BB187" s="419"/>
      <c r="BC187" s="407"/>
      <c r="BD187" s="419">
        <f t="shared" si="280"/>
        <v>1980</v>
      </c>
      <c r="BE187" s="419">
        <f t="shared" si="281"/>
        <v>0</v>
      </c>
      <c r="BF187" s="407">
        <f t="shared" si="318"/>
        <v>0</v>
      </c>
      <c r="BG187" s="419">
        <f t="shared" si="356"/>
        <v>305890</v>
      </c>
      <c r="BH187" s="407">
        <f t="shared" si="319"/>
        <v>3.6926452571949935</v>
      </c>
      <c r="BI187" s="407">
        <f t="shared" si="320"/>
        <v>0.4521606437381625</v>
      </c>
      <c r="BJ187" s="508"/>
      <c r="BK187" s="510"/>
      <c r="BL187" s="49">
        <v>1997</v>
      </c>
      <c r="BM187" s="248"/>
      <c r="BN187" s="52">
        <f t="shared" si="321"/>
        <v>1872</v>
      </c>
      <c r="BO187" s="52">
        <f t="shared" si="263"/>
        <v>125</v>
      </c>
      <c r="BP187" s="406">
        <f t="shared" si="322"/>
        <v>0.21379947319809803</v>
      </c>
      <c r="BQ187" s="52">
        <f t="shared" si="323"/>
        <v>35828</v>
      </c>
      <c r="BR187" s="406">
        <f t="shared" si="324"/>
        <v>0.43250872625709319</v>
      </c>
      <c r="BS187" s="512"/>
      <c r="BT187" s="409">
        <v>1805</v>
      </c>
      <c r="BU187" s="43"/>
      <c r="BV187" s="43">
        <f t="shared" si="350"/>
        <v>1725</v>
      </c>
      <c r="BW187" s="43">
        <f t="shared" si="351"/>
        <v>80</v>
      </c>
      <c r="BX187" s="42">
        <f t="shared" si="325"/>
        <v>0.13683166284678275</v>
      </c>
      <c r="BY187" s="43">
        <f t="shared" si="352"/>
        <v>17712</v>
      </c>
      <c r="BZ187" s="42">
        <f t="shared" si="326"/>
        <v>0.21381585797325092</v>
      </c>
      <c r="CA187" s="514"/>
      <c r="CB187" s="392">
        <v>1150</v>
      </c>
      <c r="CC187" s="395"/>
      <c r="CD187" s="298">
        <f t="shared" si="282"/>
        <v>1150</v>
      </c>
      <c r="CE187" s="298">
        <f t="shared" si="264"/>
        <v>0</v>
      </c>
      <c r="CF187" s="297">
        <f t="shared" si="327"/>
        <v>0</v>
      </c>
      <c r="CG187" s="298">
        <f t="shared" si="328"/>
        <v>60200</v>
      </c>
      <c r="CH187" s="297">
        <f t="shared" si="329"/>
        <v>0.72672282350890394</v>
      </c>
      <c r="CI187" s="516"/>
      <c r="CJ187" s="659">
        <v>1138</v>
      </c>
      <c r="CK187" s="651"/>
      <c r="CL187" s="657">
        <f t="shared" si="361"/>
        <v>975</v>
      </c>
      <c r="CM187" s="657">
        <f t="shared" si="362"/>
        <v>163</v>
      </c>
      <c r="CN187" s="659">
        <f t="shared" si="359"/>
        <v>25275</v>
      </c>
      <c r="CO187" s="811">
        <v>11.6</v>
      </c>
      <c r="CP187" s="469"/>
      <c r="CQ187" s="465">
        <f t="shared" si="283"/>
        <v>11.6</v>
      </c>
      <c r="CR187" s="465">
        <f t="shared" si="265"/>
        <v>0</v>
      </c>
      <c r="CS187" s="486">
        <f t="shared" si="330"/>
        <v>0</v>
      </c>
      <c r="CT187" s="465">
        <f t="shared" si="331"/>
        <v>1607.4</v>
      </c>
      <c r="CU187" s="486">
        <f t="shared" si="332"/>
        <v>1.9404223696149702E-2</v>
      </c>
      <c r="CV187" s="518"/>
      <c r="CW187" s="427">
        <v>0</v>
      </c>
      <c r="CX187" s="427"/>
      <c r="CY187" s="427">
        <f t="shared" si="333"/>
        <v>0</v>
      </c>
      <c r="CZ187" s="427">
        <f t="shared" si="334"/>
        <v>0</v>
      </c>
      <c r="DA187" s="607">
        <f t="shared" si="349"/>
        <v>0</v>
      </c>
      <c r="DB187" s="607">
        <f t="shared" si="335"/>
        <v>115</v>
      </c>
      <c r="DC187" s="607">
        <f t="shared" si="284"/>
        <v>1.3882578854405971E-3</v>
      </c>
      <c r="DD187" s="609"/>
      <c r="DE187" s="471">
        <v>6.5</v>
      </c>
      <c r="DF187" s="475"/>
      <c r="DG187" s="473">
        <f t="shared" si="285"/>
        <v>6.5</v>
      </c>
      <c r="DH187" s="473">
        <f t="shared" si="266"/>
        <v>0</v>
      </c>
      <c r="DI187" s="227">
        <f t="shared" si="336"/>
        <v>0</v>
      </c>
      <c r="DJ187" s="473">
        <f t="shared" si="337"/>
        <v>132.69999999999999</v>
      </c>
      <c r="DK187" s="227">
        <f t="shared" si="338"/>
        <v>1.6019288817214542E-3</v>
      </c>
      <c r="DL187" s="510"/>
      <c r="DM187" s="63">
        <v>0</v>
      </c>
      <c r="DN187" s="133"/>
      <c r="DO187" s="66">
        <f t="shared" si="339"/>
        <v>0</v>
      </c>
      <c r="DP187" s="66">
        <f t="shared" si="267"/>
        <v>0</v>
      </c>
      <c r="DQ187" s="412">
        <f t="shared" si="340"/>
        <v>0</v>
      </c>
      <c r="DR187" s="66">
        <f t="shared" si="341"/>
        <v>18000</v>
      </c>
      <c r="DS187" s="412">
        <f t="shared" si="342"/>
        <v>0.21729253859070216</v>
      </c>
      <c r="DT187" s="506"/>
      <c r="DU187" s="596">
        <v>0</v>
      </c>
      <c r="DV187" s="596"/>
      <c r="DW187" s="596">
        <f t="shared" si="286"/>
        <v>0</v>
      </c>
      <c r="DX187" s="596">
        <f t="shared" si="268"/>
        <v>0</v>
      </c>
      <c r="DY187" s="592">
        <f t="shared" si="287"/>
        <v>0</v>
      </c>
      <c r="DZ187" s="596">
        <f t="shared" si="343"/>
        <v>2800</v>
      </c>
      <c r="EA187" s="592">
        <f t="shared" si="288"/>
        <v>3.3801061558553669E-2</v>
      </c>
      <c r="EB187" s="594"/>
      <c r="EC187" s="448">
        <v>100</v>
      </c>
      <c r="ED187" s="454"/>
      <c r="EE187" s="449">
        <f t="shared" si="289"/>
        <v>100</v>
      </c>
      <c r="EF187" s="449">
        <f t="shared" si="269"/>
        <v>0</v>
      </c>
      <c r="EG187" s="450">
        <f t="shared" si="347"/>
        <v>0</v>
      </c>
      <c r="EH187" s="449">
        <f t="shared" si="344"/>
        <v>1065</v>
      </c>
      <c r="EI187" s="450">
        <f t="shared" si="348"/>
        <v>1.2856475199949877E-2</v>
      </c>
      <c r="EJ187" s="520"/>
      <c r="EK187" s="426">
        <v>3375</v>
      </c>
      <c r="EL187" s="430"/>
      <c r="EM187" s="427">
        <f t="shared" si="290"/>
        <v>2875</v>
      </c>
      <c r="EN187" s="427">
        <f t="shared" si="270"/>
        <v>500</v>
      </c>
      <c r="EO187" s="427">
        <f t="shared" si="291"/>
        <v>78247</v>
      </c>
      <c r="EP187" s="456">
        <v>112</v>
      </c>
      <c r="EQ187" s="460"/>
      <c r="ER187" s="457">
        <f t="shared" si="292"/>
        <v>84</v>
      </c>
      <c r="ES187" s="457">
        <f t="shared" si="271"/>
        <v>28</v>
      </c>
      <c r="ET187" s="457">
        <f t="shared" si="293"/>
        <v>1948</v>
      </c>
      <c r="EU187" s="409">
        <v>60</v>
      </c>
      <c r="EV187" s="434"/>
      <c r="EW187" s="43">
        <f t="shared" si="294"/>
        <v>53</v>
      </c>
      <c r="EX187" s="43">
        <f t="shared" si="272"/>
        <v>7</v>
      </c>
      <c r="EY187" s="43">
        <f t="shared" si="295"/>
        <v>887</v>
      </c>
      <c r="EZ187" s="436">
        <v>128</v>
      </c>
      <c r="FA187" s="440"/>
      <c r="FB187" s="437">
        <f t="shared" si="296"/>
        <v>124</v>
      </c>
      <c r="FC187" s="437">
        <f t="shared" si="273"/>
        <v>4</v>
      </c>
      <c r="FD187" s="437">
        <f t="shared" si="297"/>
        <v>966</v>
      </c>
      <c r="FE187" s="442">
        <v>58</v>
      </c>
      <c r="FF187" s="446"/>
      <c r="FG187" s="443">
        <f t="shared" si="298"/>
        <v>58</v>
      </c>
      <c r="FH187" s="443">
        <f t="shared" si="274"/>
        <v>0</v>
      </c>
      <c r="FI187" s="443">
        <f t="shared" si="299"/>
        <v>1142</v>
      </c>
      <c r="FJ187" s="392">
        <v>280</v>
      </c>
      <c r="FK187" s="395"/>
      <c r="FL187" s="298">
        <f t="shared" si="300"/>
        <v>225</v>
      </c>
      <c r="FM187" s="298">
        <f t="shared" si="275"/>
        <v>55</v>
      </c>
      <c r="FN187" s="498">
        <f t="shared" si="301"/>
        <v>3575</v>
      </c>
      <c r="HC187" s="402">
        <v>1776</v>
      </c>
      <c r="HD187" s="462"/>
      <c r="HE187" s="52">
        <f t="shared" si="302"/>
        <v>1548</v>
      </c>
      <c r="HF187" s="52">
        <f t="shared" si="276"/>
        <v>228</v>
      </c>
      <c r="HG187" s="51"/>
      <c r="HH187" s="52">
        <f t="shared" si="345"/>
        <v>1252</v>
      </c>
      <c r="HI187" s="51"/>
      <c r="HJ187" s="1047"/>
    </row>
    <row r="188" spans="1:218">
      <c r="A188" s="810">
        <v>44851</v>
      </c>
      <c r="B188" s="390">
        <v>506390</v>
      </c>
      <c r="C188" s="18">
        <f t="shared" si="256"/>
        <v>83344025</v>
      </c>
      <c r="D188" s="376">
        <v>6681.6</v>
      </c>
      <c r="E188" s="417">
        <f t="shared" si="360"/>
        <v>1032859.9799999999</v>
      </c>
      <c r="F188" s="397">
        <v>26553</v>
      </c>
      <c r="G188" s="37"/>
      <c r="H188" s="37">
        <f t="shared" si="277"/>
        <v>23781</v>
      </c>
      <c r="I188" s="37">
        <f t="shared" si="257"/>
        <v>2772</v>
      </c>
      <c r="J188" s="37">
        <f t="shared" si="258"/>
        <v>414.87068965517238</v>
      </c>
      <c r="K188" s="37">
        <f t="shared" si="303"/>
        <v>457426</v>
      </c>
      <c r="L188" s="37">
        <f t="shared" si="259"/>
        <v>442.87319564845569</v>
      </c>
      <c r="M188" s="648"/>
      <c r="N188" s="422">
        <v>250</v>
      </c>
      <c r="O188" s="423"/>
      <c r="P188" s="423">
        <f t="shared" si="304"/>
        <v>150</v>
      </c>
      <c r="Q188" s="423">
        <f t="shared" si="305"/>
        <v>100</v>
      </c>
      <c r="R188" s="423">
        <f t="shared" si="306"/>
        <v>13475</v>
      </c>
      <c r="S188" s="68">
        <v>8.4</v>
      </c>
      <c r="T188" s="67">
        <v>24</v>
      </c>
      <c r="U188" s="68">
        <f t="shared" si="307"/>
        <v>100.80000000000001</v>
      </c>
      <c r="V188" s="68">
        <f t="shared" si="260"/>
        <v>15.086206896551726</v>
      </c>
      <c r="W188" s="423">
        <f t="shared" si="308"/>
        <v>13127.304</v>
      </c>
      <c r="X188" s="68">
        <f t="shared" si="261"/>
        <v>12.70966467303729</v>
      </c>
      <c r="Y188" s="500"/>
      <c r="Z188" s="424">
        <v>50</v>
      </c>
      <c r="AA188" s="425"/>
      <c r="AB188" s="425">
        <f t="shared" si="309"/>
        <v>50</v>
      </c>
      <c r="AC188" s="425">
        <f t="shared" si="310"/>
        <v>0</v>
      </c>
      <c r="AD188" s="425">
        <f t="shared" si="311"/>
        <v>2125</v>
      </c>
      <c r="AE188" s="72">
        <v>2.48</v>
      </c>
      <c r="AF188" s="71">
        <v>12</v>
      </c>
      <c r="AG188" s="72">
        <f t="shared" si="312"/>
        <v>14.879999999999999</v>
      </c>
      <c r="AH188" s="72">
        <f t="shared" si="278"/>
        <v>2.2270114942528734</v>
      </c>
      <c r="AI188" s="425">
        <f t="shared" si="313"/>
        <v>1978.5120000000013</v>
      </c>
      <c r="AJ188" s="72">
        <f t="shared" si="346"/>
        <v>1.9155665223857368</v>
      </c>
      <c r="AK188" s="502"/>
      <c r="AL188" s="491">
        <v>22480</v>
      </c>
      <c r="AM188" s="491"/>
      <c r="AN188" s="492">
        <f t="shared" si="353"/>
        <v>22480</v>
      </c>
      <c r="AO188" s="492">
        <f t="shared" si="354"/>
        <v>0</v>
      </c>
      <c r="AP188" s="492">
        <f t="shared" si="355"/>
        <v>61093</v>
      </c>
      <c r="AQ188" s="493">
        <f t="shared" si="279"/>
        <v>59.14935342930027</v>
      </c>
      <c r="AR188" s="504"/>
      <c r="AS188" s="413">
        <v>22758</v>
      </c>
      <c r="AT188" s="133"/>
      <c r="AU188" s="66">
        <f t="shared" si="314"/>
        <v>16844</v>
      </c>
      <c r="AV188" s="66">
        <f t="shared" si="262"/>
        <v>5914</v>
      </c>
      <c r="AW188" s="412">
        <f t="shared" si="315"/>
        <v>11.678745630837891</v>
      </c>
      <c r="AX188" s="66">
        <f t="shared" si="316"/>
        <v>280771</v>
      </c>
      <c r="AY188" s="412">
        <f t="shared" si="317"/>
        <v>3.368819780422172</v>
      </c>
      <c r="AZ188" s="506"/>
      <c r="BA188" s="419">
        <v>1980</v>
      </c>
      <c r="BB188" s="419"/>
      <c r="BC188" s="407"/>
      <c r="BD188" s="419">
        <f t="shared" si="280"/>
        <v>1980</v>
      </c>
      <c r="BE188" s="419">
        <f t="shared" si="281"/>
        <v>0</v>
      </c>
      <c r="BF188" s="407">
        <f t="shared" si="318"/>
        <v>0</v>
      </c>
      <c r="BG188" s="419">
        <f t="shared" si="356"/>
        <v>305890</v>
      </c>
      <c r="BH188" s="407">
        <f t="shared" si="319"/>
        <v>3.6702091121709084</v>
      </c>
      <c r="BI188" s="407">
        <f t="shared" si="320"/>
        <v>0.44941336067398879</v>
      </c>
      <c r="BJ188" s="508"/>
      <c r="BK188" s="510"/>
      <c r="BL188" s="49">
        <v>1872</v>
      </c>
      <c r="BM188" s="248"/>
      <c r="BN188" s="52">
        <f t="shared" si="321"/>
        <v>1736</v>
      </c>
      <c r="BO188" s="52">
        <f t="shared" si="263"/>
        <v>136</v>
      </c>
      <c r="BP188" s="406">
        <f t="shared" si="322"/>
        <v>0.26856770473350577</v>
      </c>
      <c r="BQ188" s="52">
        <f t="shared" si="323"/>
        <v>35964</v>
      </c>
      <c r="BR188" s="406">
        <f t="shared" si="324"/>
        <v>0.43151263692868203</v>
      </c>
      <c r="BS188" s="512"/>
      <c r="BT188" s="409">
        <v>1725</v>
      </c>
      <c r="BU188" s="43"/>
      <c r="BV188" s="43">
        <f t="shared" si="350"/>
        <v>1685</v>
      </c>
      <c r="BW188" s="43">
        <f t="shared" si="351"/>
        <v>40</v>
      </c>
      <c r="BX188" s="42">
        <f t="shared" si="325"/>
        <v>7.899050139220759E-2</v>
      </c>
      <c r="BY188" s="43">
        <f t="shared" si="352"/>
        <v>17752</v>
      </c>
      <c r="BZ188" s="42">
        <f t="shared" si="326"/>
        <v>0.21299667252691479</v>
      </c>
      <c r="CA188" s="514"/>
      <c r="CB188" s="392">
        <v>1150</v>
      </c>
      <c r="CC188" s="395"/>
      <c r="CD188" s="298">
        <f t="shared" si="282"/>
        <v>1150</v>
      </c>
      <c r="CE188" s="298">
        <f t="shared" si="264"/>
        <v>0</v>
      </c>
      <c r="CF188" s="297">
        <f t="shared" si="327"/>
        <v>0</v>
      </c>
      <c r="CG188" s="298">
        <f t="shared" si="328"/>
        <v>60200</v>
      </c>
      <c r="CH188" s="297">
        <f t="shared" si="329"/>
        <v>0.72230732796982144</v>
      </c>
      <c r="CI188" s="516"/>
      <c r="CJ188" s="659">
        <v>975</v>
      </c>
      <c r="CK188" s="651"/>
      <c r="CL188" s="657">
        <f t="shared" si="361"/>
        <v>975</v>
      </c>
      <c r="CM188" s="657">
        <f t="shared" si="362"/>
        <v>0</v>
      </c>
      <c r="CN188" s="659">
        <f t="shared" si="359"/>
        <v>25275</v>
      </c>
      <c r="CO188" s="811">
        <v>11.6</v>
      </c>
      <c r="CP188" s="469"/>
      <c r="CQ188" s="465">
        <f t="shared" si="283"/>
        <v>11.6</v>
      </c>
      <c r="CR188" s="465">
        <f t="shared" si="265"/>
        <v>0</v>
      </c>
      <c r="CS188" s="486">
        <f t="shared" si="330"/>
        <v>0</v>
      </c>
      <c r="CT188" s="465">
        <f t="shared" si="331"/>
        <v>1607.4</v>
      </c>
      <c r="CU188" s="486">
        <f t="shared" si="332"/>
        <v>1.9286325564430083E-2</v>
      </c>
      <c r="CV188" s="518"/>
      <c r="CW188" s="427">
        <v>0</v>
      </c>
      <c r="CX188" s="427"/>
      <c r="CY188" s="427">
        <f t="shared" si="333"/>
        <v>0</v>
      </c>
      <c r="CZ188" s="427">
        <f t="shared" si="334"/>
        <v>0</v>
      </c>
      <c r="DA188" s="607">
        <f t="shared" si="349"/>
        <v>0</v>
      </c>
      <c r="DB188" s="607">
        <f t="shared" si="335"/>
        <v>115</v>
      </c>
      <c r="DC188" s="607">
        <f t="shared" si="284"/>
        <v>1.379822968713114E-3</v>
      </c>
      <c r="DD188" s="609"/>
      <c r="DE188" s="471">
        <v>6.5</v>
      </c>
      <c r="DF188" s="475"/>
      <c r="DG188" s="473">
        <f t="shared" si="285"/>
        <v>6.5</v>
      </c>
      <c r="DH188" s="473">
        <f t="shared" si="266"/>
        <v>0</v>
      </c>
      <c r="DI188" s="227">
        <f t="shared" si="336"/>
        <v>0</v>
      </c>
      <c r="DJ188" s="473">
        <f t="shared" si="337"/>
        <v>132.69999999999999</v>
      </c>
      <c r="DK188" s="227">
        <f t="shared" si="338"/>
        <v>1.5921957212889587E-3</v>
      </c>
      <c r="DL188" s="510"/>
      <c r="DM188" s="63">
        <v>0</v>
      </c>
      <c r="DN188" s="133"/>
      <c r="DO188" s="66">
        <f t="shared" si="339"/>
        <v>0</v>
      </c>
      <c r="DP188" s="66">
        <f t="shared" si="267"/>
        <v>0</v>
      </c>
      <c r="DQ188" s="412">
        <f t="shared" si="340"/>
        <v>0</v>
      </c>
      <c r="DR188" s="66">
        <f t="shared" si="341"/>
        <v>18000</v>
      </c>
      <c r="DS188" s="412">
        <f t="shared" si="342"/>
        <v>0.21597229075509611</v>
      </c>
      <c r="DT188" s="506"/>
      <c r="DU188" s="596">
        <v>0</v>
      </c>
      <c r="DV188" s="596"/>
      <c r="DW188" s="596">
        <f t="shared" si="286"/>
        <v>0</v>
      </c>
      <c r="DX188" s="596">
        <f t="shared" si="268"/>
        <v>0</v>
      </c>
      <c r="DY188" s="592">
        <f t="shared" si="287"/>
        <v>0</v>
      </c>
      <c r="DZ188" s="596">
        <f t="shared" si="343"/>
        <v>2800</v>
      </c>
      <c r="EA188" s="592">
        <f t="shared" si="288"/>
        <v>3.3595689673014954E-2</v>
      </c>
      <c r="EB188" s="594"/>
      <c r="EC188" s="448">
        <v>100</v>
      </c>
      <c r="ED188" s="454"/>
      <c r="EE188" s="449">
        <f t="shared" si="289"/>
        <v>100</v>
      </c>
      <c r="EF188" s="449">
        <f t="shared" si="269"/>
        <v>0</v>
      </c>
      <c r="EG188" s="450">
        <f t="shared" si="347"/>
        <v>0</v>
      </c>
      <c r="EH188" s="449">
        <f t="shared" si="344"/>
        <v>1065</v>
      </c>
      <c r="EI188" s="450">
        <f t="shared" si="348"/>
        <v>1.2778360536343188E-2</v>
      </c>
      <c r="EJ188" s="520"/>
      <c r="EK188" s="426">
        <v>2875</v>
      </c>
      <c r="EL188" s="430"/>
      <c r="EM188" s="427">
        <f t="shared" si="290"/>
        <v>2063</v>
      </c>
      <c r="EN188" s="427">
        <f t="shared" si="270"/>
        <v>812</v>
      </c>
      <c r="EO188" s="427">
        <f t="shared" si="291"/>
        <v>79059</v>
      </c>
      <c r="EP188" s="456">
        <v>84</v>
      </c>
      <c r="EQ188" s="460"/>
      <c r="ER188" s="457">
        <f t="shared" si="292"/>
        <v>70</v>
      </c>
      <c r="ES188" s="457">
        <f t="shared" si="271"/>
        <v>14</v>
      </c>
      <c r="ET188" s="457">
        <f t="shared" si="293"/>
        <v>1962</v>
      </c>
      <c r="EU188" s="409">
        <v>53</v>
      </c>
      <c r="EV188" s="434"/>
      <c r="EW188" s="43">
        <f t="shared" si="294"/>
        <v>49</v>
      </c>
      <c r="EX188" s="43">
        <f t="shared" si="272"/>
        <v>4</v>
      </c>
      <c r="EY188" s="43">
        <f t="shared" si="295"/>
        <v>891</v>
      </c>
      <c r="EZ188" s="436">
        <v>124</v>
      </c>
      <c r="FA188" s="440"/>
      <c r="FB188" s="437">
        <f t="shared" si="296"/>
        <v>108</v>
      </c>
      <c r="FC188" s="437">
        <f t="shared" si="273"/>
        <v>16</v>
      </c>
      <c r="FD188" s="437">
        <f t="shared" si="297"/>
        <v>982</v>
      </c>
      <c r="FE188" s="442">
        <v>58</v>
      </c>
      <c r="FF188" s="446"/>
      <c r="FG188" s="443">
        <f t="shared" si="298"/>
        <v>33</v>
      </c>
      <c r="FH188" s="443">
        <f t="shared" si="274"/>
        <v>25</v>
      </c>
      <c r="FI188" s="443">
        <f t="shared" si="299"/>
        <v>1167</v>
      </c>
      <c r="FJ188" s="392">
        <v>225</v>
      </c>
      <c r="FK188" s="395"/>
      <c r="FL188" s="298">
        <f t="shared" si="300"/>
        <v>200</v>
      </c>
      <c r="FM188" s="298">
        <f t="shared" si="275"/>
        <v>25</v>
      </c>
      <c r="FN188" s="498">
        <f t="shared" si="301"/>
        <v>3600</v>
      </c>
      <c r="HC188" s="402">
        <v>1548</v>
      </c>
      <c r="HD188" s="462"/>
      <c r="HE188" s="52">
        <f t="shared" si="302"/>
        <v>1290</v>
      </c>
      <c r="HF188" s="52">
        <f t="shared" si="276"/>
        <v>258</v>
      </c>
      <c r="HG188" s="51"/>
      <c r="HH188" s="52">
        <f t="shared" si="345"/>
        <v>1510</v>
      </c>
      <c r="HI188" s="51"/>
      <c r="HJ188" s="1047"/>
    </row>
    <row r="189" spans="1:218">
      <c r="A189" s="810">
        <v>44852</v>
      </c>
      <c r="B189" s="390">
        <v>280888</v>
      </c>
      <c r="C189" s="18">
        <f t="shared" si="256"/>
        <v>83624913</v>
      </c>
      <c r="D189" s="376">
        <v>211.36</v>
      </c>
      <c r="E189" s="417">
        <f t="shared" si="360"/>
        <v>1033071.3399999999</v>
      </c>
      <c r="F189" s="397">
        <v>23781</v>
      </c>
      <c r="G189" s="37"/>
      <c r="H189" s="37">
        <f t="shared" si="277"/>
        <v>21933</v>
      </c>
      <c r="I189" s="37">
        <f t="shared" si="257"/>
        <v>1848</v>
      </c>
      <c r="J189" s="37">
        <f t="shared" si="258"/>
        <v>8743.3762301286897</v>
      </c>
      <c r="K189" s="37">
        <f t="shared" si="303"/>
        <v>459274</v>
      </c>
      <c r="L189" s="37">
        <f t="shared" si="259"/>
        <v>444.57142717752686</v>
      </c>
      <c r="M189" s="648"/>
      <c r="N189" s="422">
        <v>150</v>
      </c>
      <c r="O189" s="423"/>
      <c r="P189" s="423">
        <f t="shared" si="304"/>
        <v>125</v>
      </c>
      <c r="Q189" s="423">
        <f t="shared" si="305"/>
        <v>25</v>
      </c>
      <c r="R189" s="423">
        <f t="shared" si="306"/>
        <v>13500</v>
      </c>
      <c r="S189" s="68">
        <v>1.74</v>
      </c>
      <c r="T189" s="67">
        <v>24</v>
      </c>
      <c r="U189" s="68">
        <f t="shared" si="307"/>
        <v>20.88</v>
      </c>
      <c r="V189" s="68">
        <f t="shared" si="260"/>
        <v>98.788796366389093</v>
      </c>
      <c r="W189" s="423">
        <f t="shared" si="308"/>
        <v>13148.183999999999</v>
      </c>
      <c r="X189" s="68">
        <f t="shared" si="261"/>
        <v>12.727275930430904</v>
      </c>
      <c r="Y189" s="500"/>
      <c r="Z189" s="424">
        <v>50</v>
      </c>
      <c r="AA189" s="425"/>
      <c r="AB189" s="425">
        <f t="shared" si="309"/>
        <v>50</v>
      </c>
      <c r="AC189" s="425">
        <f t="shared" si="310"/>
        <v>0</v>
      </c>
      <c r="AD189" s="425">
        <f t="shared" si="311"/>
        <v>2125</v>
      </c>
      <c r="AE189" s="72">
        <v>0.25</v>
      </c>
      <c r="AF189" s="71">
        <v>12</v>
      </c>
      <c r="AG189" s="72">
        <f t="shared" si="312"/>
        <v>1.5</v>
      </c>
      <c r="AH189" s="72">
        <f t="shared" si="278"/>
        <v>7.0968962906888713</v>
      </c>
      <c r="AI189" s="425">
        <f t="shared" si="313"/>
        <v>1980.0120000000013</v>
      </c>
      <c r="AJ189" s="72">
        <f t="shared" si="346"/>
        <v>1.916626590376616</v>
      </c>
      <c r="AK189" s="502"/>
      <c r="AL189" s="491">
        <v>22480</v>
      </c>
      <c r="AM189" s="491"/>
      <c r="AN189" s="492">
        <f t="shared" si="353"/>
        <v>22480</v>
      </c>
      <c r="AO189" s="492">
        <f t="shared" si="354"/>
        <v>0</v>
      </c>
      <c r="AP189" s="492">
        <f t="shared" si="355"/>
        <v>61093</v>
      </c>
      <c r="AQ189" s="493">
        <f t="shared" si="279"/>
        <v>59.137251837806289</v>
      </c>
      <c r="AR189" s="504"/>
      <c r="AS189" s="413">
        <v>16844</v>
      </c>
      <c r="AT189" s="133"/>
      <c r="AU189" s="66">
        <f t="shared" si="314"/>
        <v>16221</v>
      </c>
      <c r="AV189" s="66">
        <f t="shared" si="262"/>
        <v>623</v>
      </c>
      <c r="AW189" s="412">
        <f t="shared" si="315"/>
        <v>2.2179658796388595</v>
      </c>
      <c r="AX189" s="66">
        <f t="shared" si="316"/>
        <v>281394</v>
      </c>
      <c r="AY189" s="412">
        <f t="shared" si="317"/>
        <v>3.3649541734052386</v>
      </c>
      <c r="AZ189" s="506"/>
      <c r="BA189" s="419">
        <v>1980</v>
      </c>
      <c r="BB189" s="419"/>
      <c r="BC189" s="407"/>
      <c r="BD189" s="419">
        <f t="shared" si="280"/>
        <v>1980</v>
      </c>
      <c r="BE189" s="419">
        <f t="shared" si="281"/>
        <v>0</v>
      </c>
      <c r="BF189" s="407">
        <f t="shared" si="318"/>
        <v>0</v>
      </c>
      <c r="BG189" s="419">
        <f t="shared" si="356"/>
        <v>305890</v>
      </c>
      <c r="BH189" s="407">
        <f t="shared" si="319"/>
        <v>3.6578812345072333</v>
      </c>
      <c r="BI189" s="407">
        <f t="shared" si="320"/>
        <v>0.44790382463353878</v>
      </c>
      <c r="BJ189" s="508"/>
      <c r="BK189" s="510"/>
      <c r="BL189" s="49">
        <v>1736</v>
      </c>
      <c r="BM189" s="248"/>
      <c r="BN189" s="52">
        <f t="shared" si="321"/>
        <v>1684</v>
      </c>
      <c r="BO189" s="52">
        <f t="shared" si="263"/>
        <v>52</v>
      </c>
      <c r="BP189" s="406">
        <f t="shared" si="322"/>
        <v>0.18512716812394975</v>
      </c>
      <c r="BQ189" s="52">
        <f t="shared" si="323"/>
        <v>36016</v>
      </c>
      <c r="BR189" s="406">
        <f t="shared" si="324"/>
        <v>0.43068505195335749</v>
      </c>
      <c r="BS189" s="512"/>
      <c r="BT189" s="409">
        <v>1685</v>
      </c>
      <c r="BU189" s="43"/>
      <c r="BV189" s="43">
        <f t="shared" si="350"/>
        <v>1645</v>
      </c>
      <c r="BW189" s="43">
        <f t="shared" si="351"/>
        <v>40</v>
      </c>
      <c r="BX189" s="42">
        <f t="shared" si="325"/>
        <v>0.14240551394149981</v>
      </c>
      <c r="BY189" s="43">
        <f t="shared" si="352"/>
        <v>17792</v>
      </c>
      <c r="BZ189" s="42">
        <f t="shared" si="326"/>
        <v>0.21275956364821569</v>
      </c>
      <c r="CA189" s="514"/>
      <c r="CB189" s="392">
        <v>1150</v>
      </c>
      <c r="CC189" s="395"/>
      <c r="CD189" s="298">
        <f t="shared" si="282"/>
        <v>1150</v>
      </c>
      <c r="CE189" s="298">
        <f t="shared" si="264"/>
        <v>0</v>
      </c>
      <c r="CF189" s="297">
        <f t="shared" si="327"/>
        <v>0</v>
      </c>
      <c r="CG189" s="298">
        <f t="shared" si="328"/>
        <v>60200</v>
      </c>
      <c r="CH189" s="297">
        <f t="shared" si="329"/>
        <v>0.71988116746979458</v>
      </c>
      <c r="CI189" s="516"/>
      <c r="CJ189" s="659">
        <v>975</v>
      </c>
      <c r="CK189" s="651"/>
      <c r="CL189" s="657">
        <f t="shared" si="361"/>
        <v>975</v>
      </c>
      <c r="CM189" s="657">
        <f t="shared" si="362"/>
        <v>0</v>
      </c>
      <c r="CN189" s="659">
        <f t="shared" si="359"/>
        <v>25275</v>
      </c>
      <c r="CO189" s="811">
        <v>11.6</v>
      </c>
      <c r="CP189" s="469"/>
      <c r="CQ189" s="465">
        <f t="shared" si="283"/>
        <v>11.6</v>
      </c>
      <c r="CR189" s="465">
        <f t="shared" si="265"/>
        <v>0</v>
      </c>
      <c r="CS189" s="486">
        <f t="shared" si="330"/>
        <v>0</v>
      </c>
      <c r="CT189" s="465">
        <f t="shared" si="331"/>
        <v>1607.4</v>
      </c>
      <c r="CU189" s="486">
        <f t="shared" si="332"/>
        <v>1.9221544660979199E-2</v>
      </c>
      <c r="CV189" s="518"/>
      <c r="CW189" s="427">
        <v>0</v>
      </c>
      <c r="CX189" s="427"/>
      <c r="CY189" s="427">
        <f t="shared" si="333"/>
        <v>0</v>
      </c>
      <c r="CZ189" s="427">
        <f t="shared" si="334"/>
        <v>0</v>
      </c>
      <c r="DA189" s="607">
        <f t="shared" si="349"/>
        <v>0</v>
      </c>
      <c r="DB189" s="607">
        <f t="shared" si="335"/>
        <v>115</v>
      </c>
      <c r="DC189" s="607">
        <f t="shared" si="284"/>
        <v>1.375188276728013E-3</v>
      </c>
      <c r="DD189" s="609"/>
      <c r="DE189" s="471">
        <v>6.5</v>
      </c>
      <c r="DF189" s="475"/>
      <c r="DG189" s="473">
        <f t="shared" si="285"/>
        <v>6.5</v>
      </c>
      <c r="DH189" s="473">
        <f t="shared" si="266"/>
        <v>0</v>
      </c>
      <c r="DI189" s="227">
        <f t="shared" si="336"/>
        <v>0</v>
      </c>
      <c r="DJ189" s="473">
        <f t="shared" si="337"/>
        <v>132.69999999999999</v>
      </c>
      <c r="DK189" s="227">
        <f t="shared" si="338"/>
        <v>1.5868476897548461E-3</v>
      </c>
      <c r="DL189" s="510"/>
      <c r="DM189" s="63">
        <v>0</v>
      </c>
      <c r="DN189" s="133"/>
      <c r="DO189" s="66">
        <f t="shared" si="339"/>
        <v>0</v>
      </c>
      <c r="DP189" s="66">
        <f t="shared" si="267"/>
        <v>0</v>
      </c>
      <c r="DQ189" s="412">
        <f t="shared" si="340"/>
        <v>0</v>
      </c>
      <c r="DR189" s="66">
        <f t="shared" si="341"/>
        <v>18000</v>
      </c>
      <c r="DS189" s="412">
        <f t="shared" si="342"/>
        <v>0.2152468607052542</v>
      </c>
      <c r="DT189" s="506"/>
      <c r="DU189" s="596">
        <v>0</v>
      </c>
      <c r="DV189" s="596"/>
      <c r="DW189" s="596">
        <f t="shared" si="286"/>
        <v>0</v>
      </c>
      <c r="DX189" s="596">
        <f t="shared" si="268"/>
        <v>0</v>
      </c>
      <c r="DY189" s="592">
        <f t="shared" si="287"/>
        <v>0</v>
      </c>
      <c r="DZ189" s="596">
        <f t="shared" si="343"/>
        <v>2800</v>
      </c>
      <c r="EA189" s="592">
        <f t="shared" si="288"/>
        <v>3.3482844998595093E-2</v>
      </c>
      <c r="EB189" s="594"/>
      <c r="EC189" s="448">
        <v>100</v>
      </c>
      <c r="ED189" s="454"/>
      <c r="EE189" s="449">
        <f t="shared" si="289"/>
        <v>100</v>
      </c>
      <c r="EF189" s="449">
        <f t="shared" si="269"/>
        <v>0</v>
      </c>
      <c r="EG189" s="450">
        <f t="shared" si="347"/>
        <v>0</v>
      </c>
      <c r="EH189" s="449">
        <f t="shared" si="344"/>
        <v>1065</v>
      </c>
      <c r="EI189" s="450">
        <f t="shared" si="348"/>
        <v>1.2735439258394207E-2</v>
      </c>
      <c r="EJ189" s="520"/>
      <c r="EK189" s="426">
        <v>2063</v>
      </c>
      <c r="EL189" s="430"/>
      <c r="EM189" s="427">
        <f t="shared" si="290"/>
        <v>1313</v>
      </c>
      <c r="EN189" s="427">
        <f t="shared" si="270"/>
        <v>750</v>
      </c>
      <c r="EO189" s="427">
        <f t="shared" si="291"/>
        <v>79809</v>
      </c>
      <c r="EP189" s="456">
        <v>70</v>
      </c>
      <c r="EQ189" s="460"/>
      <c r="ER189" s="457">
        <f t="shared" si="292"/>
        <v>56</v>
      </c>
      <c r="ES189" s="457">
        <f t="shared" si="271"/>
        <v>14</v>
      </c>
      <c r="ET189" s="457">
        <f t="shared" si="293"/>
        <v>1976</v>
      </c>
      <c r="EU189" s="409">
        <v>49</v>
      </c>
      <c r="EV189" s="434"/>
      <c r="EW189" s="43">
        <f t="shared" si="294"/>
        <v>44</v>
      </c>
      <c r="EX189" s="43">
        <f t="shared" si="272"/>
        <v>5</v>
      </c>
      <c r="EY189" s="43">
        <f t="shared" si="295"/>
        <v>896</v>
      </c>
      <c r="EZ189" s="436">
        <v>108</v>
      </c>
      <c r="FA189" s="440"/>
      <c r="FB189" s="437">
        <f t="shared" si="296"/>
        <v>106</v>
      </c>
      <c r="FC189" s="437">
        <f t="shared" si="273"/>
        <v>2</v>
      </c>
      <c r="FD189" s="437">
        <f t="shared" si="297"/>
        <v>984</v>
      </c>
      <c r="FE189" s="442">
        <v>33</v>
      </c>
      <c r="FF189" s="446"/>
      <c r="FG189" s="443">
        <f t="shared" si="298"/>
        <v>33</v>
      </c>
      <c r="FH189" s="443">
        <f t="shared" si="274"/>
        <v>0</v>
      </c>
      <c r="FI189" s="443">
        <f t="shared" si="299"/>
        <v>1167</v>
      </c>
      <c r="FJ189" s="392">
        <v>200</v>
      </c>
      <c r="FK189" s="395"/>
      <c r="FL189" s="298">
        <f t="shared" si="300"/>
        <v>195</v>
      </c>
      <c r="FM189" s="298">
        <f t="shared" si="275"/>
        <v>5</v>
      </c>
      <c r="FN189" s="498">
        <f t="shared" si="301"/>
        <v>3605</v>
      </c>
      <c r="HC189" s="402">
        <v>1290</v>
      </c>
      <c r="HD189" s="462"/>
      <c r="HE189" s="52">
        <f t="shared" si="302"/>
        <v>1260</v>
      </c>
      <c r="HF189" s="52">
        <f t="shared" si="276"/>
        <v>30</v>
      </c>
      <c r="HG189" s="51"/>
      <c r="HH189" s="52">
        <f t="shared" si="345"/>
        <v>1540</v>
      </c>
      <c r="HI189" s="51"/>
      <c r="HJ189" s="1047"/>
    </row>
    <row r="190" spans="1:218">
      <c r="A190" s="810">
        <v>44853</v>
      </c>
      <c r="B190" s="390">
        <v>0</v>
      </c>
      <c r="C190" s="18">
        <f t="shared" si="256"/>
        <v>83624913</v>
      </c>
      <c r="D190" s="376">
        <v>0</v>
      </c>
      <c r="E190" s="417">
        <f t="shared" si="360"/>
        <v>1033071.3399999999</v>
      </c>
      <c r="F190" s="397">
        <v>21933</v>
      </c>
      <c r="G190" s="37"/>
      <c r="H190" s="37">
        <f t="shared" si="277"/>
        <v>21933</v>
      </c>
      <c r="I190" s="37">
        <f t="shared" si="257"/>
        <v>0</v>
      </c>
      <c r="J190" s="37" t="e">
        <f t="shared" si="258"/>
        <v>#DIV/0!</v>
      </c>
      <c r="K190" s="37">
        <f t="shared" si="303"/>
        <v>459274</v>
      </c>
      <c r="L190" s="37">
        <f t="shared" si="259"/>
        <v>444.57142717752686</v>
      </c>
      <c r="M190" s="648"/>
      <c r="N190" s="422">
        <v>125</v>
      </c>
      <c r="O190" s="423"/>
      <c r="P190" s="423">
        <f t="shared" si="304"/>
        <v>125</v>
      </c>
      <c r="Q190" s="423">
        <f t="shared" si="305"/>
        <v>0</v>
      </c>
      <c r="R190" s="423">
        <f t="shared" si="306"/>
        <v>13500</v>
      </c>
      <c r="S190" s="68">
        <v>0</v>
      </c>
      <c r="T190" s="67">
        <v>24</v>
      </c>
      <c r="U190" s="68">
        <f t="shared" si="307"/>
        <v>0</v>
      </c>
      <c r="V190" s="68" t="e">
        <f t="shared" si="260"/>
        <v>#DIV/0!</v>
      </c>
      <c r="W190" s="423">
        <f t="shared" si="308"/>
        <v>13148.183999999999</v>
      </c>
      <c r="X190" s="68">
        <f t="shared" si="261"/>
        <v>12.727275930430904</v>
      </c>
      <c r="Y190" s="500"/>
      <c r="Z190" s="424">
        <v>50</v>
      </c>
      <c r="AA190" s="425"/>
      <c r="AB190" s="425">
        <f t="shared" si="309"/>
        <v>50</v>
      </c>
      <c r="AC190" s="425">
        <f t="shared" si="310"/>
        <v>0</v>
      </c>
      <c r="AD190" s="425">
        <f t="shared" si="311"/>
        <v>2125</v>
      </c>
      <c r="AE190" s="72">
        <v>0</v>
      </c>
      <c r="AF190" s="71">
        <v>12</v>
      </c>
      <c r="AG190" s="72">
        <f t="shared" si="312"/>
        <v>0</v>
      </c>
      <c r="AH190" s="72" t="e">
        <f t="shared" si="278"/>
        <v>#DIV/0!</v>
      </c>
      <c r="AI190" s="425">
        <f t="shared" si="313"/>
        <v>1980.0120000000013</v>
      </c>
      <c r="AJ190" s="72">
        <f t="shared" si="346"/>
        <v>1.916626590376616</v>
      </c>
      <c r="AK190" s="502"/>
      <c r="AL190" s="491">
        <v>22480</v>
      </c>
      <c r="AM190" s="491"/>
      <c r="AN190" s="492">
        <f t="shared" si="353"/>
        <v>22480</v>
      </c>
      <c r="AO190" s="492">
        <f t="shared" si="354"/>
        <v>0</v>
      </c>
      <c r="AP190" s="492">
        <f t="shared" si="355"/>
        <v>61093</v>
      </c>
      <c r="AQ190" s="493">
        <f t="shared" si="279"/>
        <v>59.137251837806289</v>
      </c>
      <c r="AR190" s="504"/>
      <c r="AS190" s="413">
        <v>16221</v>
      </c>
      <c r="AT190" s="133"/>
      <c r="AU190" s="66">
        <f t="shared" si="314"/>
        <v>16221</v>
      </c>
      <c r="AV190" s="66">
        <f t="shared" si="262"/>
        <v>0</v>
      </c>
      <c r="AW190" s="412" t="e">
        <f t="shared" si="315"/>
        <v>#DIV/0!</v>
      </c>
      <c r="AX190" s="66">
        <f t="shared" si="316"/>
        <v>281394</v>
      </c>
      <c r="AY190" s="412">
        <f t="shared" si="317"/>
        <v>3.3649541734052386</v>
      </c>
      <c r="AZ190" s="506"/>
      <c r="BA190" s="419">
        <v>1980</v>
      </c>
      <c r="BB190" s="419"/>
      <c r="BC190" s="407"/>
      <c r="BD190" s="419">
        <f t="shared" si="280"/>
        <v>1980</v>
      </c>
      <c r="BE190" s="419">
        <f t="shared" si="281"/>
        <v>0</v>
      </c>
      <c r="BF190" s="407" t="e">
        <f t="shared" si="318"/>
        <v>#DIV/0!</v>
      </c>
      <c r="BG190" s="419">
        <f t="shared" si="356"/>
        <v>305890</v>
      </c>
      <c r="BH190" s="407">
        <f t="shared" si="319"/>
        <v>3.6578812345072333</v>
      </c>
      <c r="BI190" s="407">
        <f t="shared" si="320"/>
        <v>0.44790382463353878</v>
      </c>
      <c r="BJ190" s="508"/>
      <c r="BK190" s="510"/>
      <c r="BL190" s="49">
        <v>1684</v>
      </c>
      <c r="BM190" s="248"/>
      <c r="BN190" s="52">
        <f t="shared" si="321"/>
        <v>1684</v>
      </c>
      <c r="BO190" s="52">
        <f t="shared" si="263"/>
        <v>0</v>
      </c>
      <c r="BP190" s="406" t="e">
        <f t="shared" si="322"/>
        <v>#DIV/0!</v>
      </c>
      <c r="BQ190" s="52">
        <f t="shared" si="323"/>
        <v>36016</v>
      </c>
      <c r="BR190" s="406">
        <f t="shared" si="324"/>
        <v>0.43068505195335749</v>
      </c>
      <c r="BS190" s="512"/>
      <c r="BT190" s="409">
        <v>1645</v>
      </c>
      <c r="BU190" s="43"/>
      <c r="BV190" s="43">
        <f t="shared" si="350"/>
        <v>1645</v>
      </c>
      <c r="BW190" s="43">
        <f t="shared" si="351"/>
        <v>0</v>
      </c>
      <c r="BX190" s="42" t="e">
        <f t="shared" si="325"/>
        <v>#DIV/0!</v>
      </c>
      <c r="BY190" s="43">
        <f t="shared" si="352"/>
        <v>17792</v>
      </c>
      <c r="BZ190" s="42">
        <f t="shared" si="326"/>
        <v>0.21275956364821569</v>
      </c>
      <c r="CA190" s="514"/>
      <c r="CB190" s="392">
        <v>1150</v>
      </c>
      <c r="CC190" s="395"/>
      <c r="CD190" s="298">
        <f t="shared" si="282"/>
        <v>1150</v>
      </c>
      <c r="CE190" s="298">
        <f t="shared" si="264"/>
        <v>0</v>
      </c>
      <c r="CF190" s="297" t="e">
        <f t="shared" si="327"/>
        <v>#DIV/0!</v>
      </c>
      <c r="CG190" s="298">
        <f t="shared" si="328"/>
        <v>60200</v>
      </c>
      <c r="CH190" s="297">
        <f t="shared" si="329"/>
        <v>0.71988116746979458</v>
      </c>
      <c r="CI190" s="516"/>
      <c r="CJ190" s="659">
        <v>975</v>
      </c>
      <c r="CK190" s="651"/>
      <c r="CL190" s="657">
        <f t="shared" si="361"/>
        <v>975</v>
      </c>
      <c r="CM190" s="657">
        <f t="shared" si="362"/>
        <v>0</v>
      </c>
      <c r="CN190" s="659">
        <f t="shared" si="359"/>
        <v>25275</v>
      </c>
      <c r="CO190" s="811">
        <v>11.6</v>
      </c>
      <c r="CP190" s="469"/>
      <c r="CQ190" s="465">
        <f t="shared" si="283"/>
        <v>11.6</v>
      </c>
      <c r="CR190" s="465">
        <f t="shared" si="265"/>
        <v>0</v>
      </c>
      <c r="CS190" s="486" t="e">
        <f t="shared" si="330"/>
        <v>#DIV/0!</v>
      </c>
      <c r="CT190" s="465">
        <f t="shared" si="331"/>
        <v>1607.4</v>
      </c>
      <c r="CU190" s="486">
        <f t="shared" si="332"/>
        <v>1.9221544660979199E-2</v>
      </c>
      <c r="CV190" s="518"/>
      <c r="CW190" s="427">
        <v>0</v>
      </c>
      <c r="CX190" s="427"/>
      <c r="CY190" s="427">
        <f t="shared" si="333"/>
        <v>0</v>
      </c>
      <c r="CZ190" s="427">
        <f t="shared" si="334"/>
        <v>0</v>
      </c>
      <c r="DA190" s="607" t="e">
        <f t="shared" si="349"/>
        <v>#DIV/0!</v>
      </c>
      <c r="DB190" s="607">
        <f t="shared" si="335"/>
        <v>115</v>
      </c>
      <c r="DC190" s="607">
        <f t="shared" si="284"/>
        <v>1.375188276728013E-3</v>
      </c>
      <c r="DD190" s="609"/>
      <c r="DE190" s="471">
        <v>6.5</v>
      </c>
      <c r="DF190" s="475"/>
      <c r="DG190" s="473">
        <f t="shared" si="285"/>
        <v>6.5</v>
      </c>
      <c r="DH190" s="473">
        <f t="shared" si="266"/>
        <v>0</v>
      </c>
      <c r="DI190" s="227" t="e">
        <f t="shared" si="336"/>
        <v>#DIV/0!</v>
      </c>
      <c r="DJ190" s="473">
        <f t="shared" si="337"/>
        <v>132.69999999999999</v>
      </c>
      <c r="DK190" s="227">
        <f t="shared" si="338"/>
        <v>1.5868476897548461E-3</v>
      </c>
      <c r="DL190" s="510"/>
      <c r="DM190" s="63">
        <v>0</v>
      </c>
      <c r="DN190" s="133"/>
      <c r="DO190" s="66">
        <f t="shared" si="339"/>
        <v>0</v>
      </c>
      <c r="DP190" s="66">
        <f t="shared" si="267"/>
        <v>0</v>
      </c>
      <c r="DQ190" s="412" t="e">
        <f t="shared" si="340"/>
        <v>#DIV/0!</v>
      </c>
      <c r="DR190" s="66">
        <f t="shared" si="341"/>
        <v>18000</v>
      </c>
      <c r="DS190" s="412">
        <f t="shared" si="342"/>
        <v>0.2152468607052542</v>
      </c>
      <c r="DT190" s="506"/>
      <c r="DU190" s="596">
        <v>0</v>
      </c>
      <c r="DV190" s="596"/>
      <c r="DW190" s="596">
        <f t="shared" si="286"/>
        <v>0</v>
      </c>
      <c r="DX190" s="596">
        <f t="shared" si="268"/>
        <v>0</v>
      </c>
      <c r="DY190" s="592" t="e">
        <f t="shared" si="287"/>
        <v>#DIV/0!</v>
      </c>
      <c r="DZ190" s="596">
        <f t="shared" si="343"/>
        <v>2800</v>
      </c>
      <c r="EA190" s="592">
        <f t="shared" si="288"/>
        <v>3.3482844998595093E-2</v>
      </c>
      <c r="EB190" s="594"/>
      <c r="EC190" s="448">
        <v>100</v>
      </c>
      <c r="ED190" s="454"/>
      <c r="EE190" s="449">
        <f t="shared" si="289"/>
        <v>100</v>
      </c>
      <c r="EF190" s="449">
        <f t="shared" si="269"/>
        <v>0</v>
      </c>
      <c r="EG190" s="450" t="e">
        <f t="shared" si="347"/>
        <v>#DIV/0!</v>
      </c>
      <c r="EH190" s="449">
        <f t="shared" si="344"/>
        <v>1065</v>
      </c>
      <c r="EI190" s="450">
        <f t="shared" si="348"/>
        <v>1.2735439258394207E-2</v>
      </c>
      <c r="EJ190" s="520"/>
      <c r="EK190" s="426">
        <v>1313</v>
      </c>
      <c r="EL190" s="430"/>
      <c r="EM190" s="427">
        <f t="shared" si="290"/>
        <v>1125</v>
      </c>
      <c r="EN190" s="427">
        <f t="shared" si="270"/>
        <v>188</v>
      </c>
      <c r="EO190" s="427">
        <f t="shared" si="291"/>
        <v>79997</v>
      </c>
      <c r="EP190" s="456">
        <v>56</v>
      </c>
      <c r="EQ190" s="460"/>
      <c r="ER190" s="457">
        <f t="shared" si="292"/>
        <v>56</v>
      </c>
      <c r="ES190" s="457">
        <f t="shared" si="271"/>
        <v>0</v>
      </c>
      <c r="ET190" s="457">
        <f t="shared" si="293"/>
        <v>1976</v>
      </c>
      <c r="EU190" s="409">
        <v>44</v>
      </c>
      <c r="EV190" s="434"/>
      <c r="EW190" s="43">
        <f t="shared" si="294"/>
        <v>34</v>
      </c>
      <c r="EX190" s="43">
        <f t="shared" si="272"/>
        <v>10</v>
      </c>
      <c r="EY190" s="43">
        <f t="shared" si="295"/>
        <v>906</v>
      </c>
      <c r="EZ190" s="436">
        <v>106</v>
      </c>
      <c r="FA190" s="440"/>
      <c r="FB190" s="437">
        <f t="shared" si="296"/>
        <v>105</v>
      </c>
      <c r="FC190" s="437">
        <f t="shared" si="273"/>
        <v>1</v>
      </c>
      <c r="FD190" s="437">
        <f t="shared" si="297"/>
        <v>985</v>
      </c>
      <c r="FE190" s="442">
        <v>33</v>
      </c>
      <c r="FF190" s="446"/>
      <c r="FG190" s="443">
        <f t="shared" si="298"/>
        <v>33</v>
      </c>
      <c r="FH190" s="443">
        <f t="shared" si="274"/>
        <v>0</v>
      </c>
      <c r="FI190" s="443">
        <f t="shared" si="299"/>
        <v>1167</v>
      </c>
      <c r="FJ190" s="392">
        <v>195</v>
      </c>
      <c r="FK190" s="395"/>
      <c r="FL190" s="298">
        <f t="shared" si="300"/>
        <v>105</v>
      </c>
      <c r="FM190" s="298">
        <f t="shared" si="275"/>
        <v>90</v>
      </c>
      <c r="FN190" s="498">
        <f t="shared" si="301"/>
        <v>3695</v>
      </c>
      <c r="HC190" s="402">
        <v>1260</v>
      </c>
      <c r="HD190" s="462"/>
      <c r="HE190" s="52">
        <f t="shared" si="302"/>
        <v>1200</v>
      </c>
      <c r="HF190" s="52">
        <f t="shared" si="276"/>
        <v>60</v>
      </c>
      <c r="HG190" s="51"/>
      <c r="HH190" s="52">
        <f t="shared" si="345"/>
        <v>1600</v>
      </c>
      <c r="HI190" s="51"/>
      <c r="HJ190" s="1047"/>
    </row>
    <row r="191" spans="1:218">
      <c r="A191" s="810">
        <v>44854</v>
      </c>
      <c r="B191" s="390">
        <v>0</v>
      </c>
      <c r="C191" s="18">
        <f t="shared" si="256"/>
        <v>83624913</v>
      </c>
      <c r="D191" s="376">
        <v>1106.6600000000001</v>
      </c>
      <c r="E191" s="417">
        <f t="shared" si="360"/>
        <v>1034177.9999999999</v>
      </c>
      <c r="F191" s="397">
        <v>21933</v>
      </c>
      <c r="G191" s="37"/>
      <c r="H191" s="37">
        <f t="shared" si="277"/>
        <v>21933</v>
      </c>
      <c r="I191" s="37">
        <f t="shared" si="257"/>
        <v>0</v>
      </c>
      <c r="J191" s="37">
        <f t="shared" si="258"/>
        <v>0</v>
      </c>
      <c r="K191" s="37">
        <f t="shared" si="303"/>
        <v>459274</v>
      </c>
      <c r="L191" s="37">
        <f t="shared" si="259"/>
        <v>444.09569725907926</v>
      </c>
      <c r="M191" s="648"/>
      <c r="N191" s="422">
        <v>125</v>
      </c>
      <c r="O191" s="423">
        <v>250</v>
      </c>
      <c r="P191" s="423">
        <f t="shared" si="304"/>
        <v>300</v>
      </c>
      <c r="Q191" s="423">
        <f t="shared" si="305"/>
        <v>75</v>
      </c>
      <c r="R191" s="423">
        <f t="shared" si="306"/>
        <v>13575</v>
      </c>
      <c r="S191" s="68">
        <v>1.93</v>
      </c>
      <c r="T191" s="67">
        <v>24</v>
      </c>
      <c r="U191" s="68">
        <f t="shared" si="307"/>
        <v>23.16</v>
      </c>
      <c r="V191" s="68">
        <f t="shared" si="260"/>
        <v>20.927836914680206</v>
      </c>
      <c r="W191" s="423">
        <f t="shared" si="308"/>
        <v>13171.343999999999</v>
      </c>
      <c r="X191" s="68">
        <f t="shared" si="261"/>
        <v>12.73605124069551</v>
      </c>
      <c r="Y191" s="500"/>
      <c r="Z191" s="424">
        <v>50</v>
      </c>
      <c r="AA191" s="425"/>
      <c r="AB191" s="425">
        <f t="shared" si="309"/>
        <v>50</v>
      </c>
      <c r="AC191" s="425">
        <f t="shared" si="310"/>
        <v>0</v>
      </c>
      <c r="AD191" s="425">
        <f t="shared" si="311"/>
        <v>2125</v>
      </c>
      <c r="AE191" s="72">
        <v>0.51</v>
      </c>
      <c r="AF191" s="71">
        <v>12</v>
      </c>
      <c r="AG191" s="72">
        <f t="shared" si="312"/>
        <v>3.06</v>
      </c>
      <c r="AH191" s="72">
        <f t="shared" si="278"/>
        <v>2.7650768980536027</v>
      </c>
      <c r="AI191" s="425">
        <f t="shared" si="313"/>
        <v>1983.0720000000013</v>
      </c>
      <c r="AJ191" s="72">
        <f t="shared" si="346"/>
        <v>1.9175345056653703</v>
      </c>
      <c r="AK191" s="502"/>
      <c r="AL191" s="491">
        <v>22480</v>
      </c>
      <c r="AM191" s="491"/>
      <c r="AN191" s="492">
        <f t="shared" si="353"/>
        <v>22480</v>
      </c>
      <c r="AO191" s="492">
        <f t="shared" si="354"/>
        <v>0</v>
      </c>
      <c r="AP191" s="492">
        <f t="shared" si="355"/>
        <v>61093</v>
      </c>
      <c r="AQ191" s="493">
        <f t="shared" si="279"/>
        <v>59.073969858186892</v>
      </c>
      <c r="AR191" s="504"/>
      <c r="AS191" s="413">
        <v>16221</v>
      </c>
      <c r="AT191" s="64"/>
      <c r="AU191" s="66">
        <f t="shared" si="314"/>
        <v>16221</v>
      </c>
      <c r="AV191" s="66">
        <f t="shared" si="262"/>
        <v>0</v>
      </c>
      <c r="AW191" s="412" t="e">
        <f t="shared" si="315"/>
        <v>#DIV/0!</v>
      </c>
      <c r="AX191" s="66">
        <f t="shared" si="316"/>
        <v>281394</v>
      </c>
      <c r="AY191" s="412">
        <f t="shared" si="317"/>
        <v>3.3649541734052386</v>
      </c>
      <c r="AZ191" s="506"/>
      <c r="BA191" s="419">
        <v>1980</v>
      </c>
      <c r="BB191" s="419">
        <v>31500</v>
      </c>
      <c r="BC191" s="407"/>
      <c r="BD191" s="419">
        <f t="shared" si="280"/>
        <v>33480</v>
      </c>
      <c r="BE191" s="419">
        <f t="shared" si="281"/>
        <v>0</v>
      </c>
      <c r="BF191" s="407" t="e">
        <f t="shared" si="318"/>
        <v>#DIV/0!</v>
      </c>
      <c r="BG191" s="419">
        <f t="shared" si="356"/>
        <v>305890</v>
      </c>
      <c r="BH191" s="407">
        <f t="shared" si="319"/>
        <v>3.6578812345072333</v>
      </c>
      <c r="BI191" s="407">
        <f t="shared" si="320"/>
        <v>0.44790382463353878</v>
      </c>
      <c r="BJ191" s="508"/>
      <c r="BK191" s="510"/>
      <c r="BL191" s="49">
        <v>1684</v>
      </c>
      <c r="BM191" s="50"/>
      <c r="BN191" s="52">
        <f t="shared" si="321"/>
        <v>1684</v>
      </c>
      <c r="BO191" s="52">
        <f t="shared" si="263"/>
        <v>0</v>
      </c>
      <c r="BP191" s="406" t="e">
        <f t="shared" si="322"/>
        <v>#DIV/0!</v>
      </c>
      <c r="BQ191" s="52">
        <f t="shared" si="323"/>
        <v>36016</v>
      </c>
      <c r="BR191" s="406">
        <f t="shared" si="324"/>
        <v>0.43068505195335749</v>
      </c>
      <c r="BS191" s="512"/>
      <c r="BT191" s="409">
        <v>1645</v>
      </c>
      <c r="BU191" s="43"/>
      <c r="BV191" s="43">
        <f t="shared" si="350"/>
        <v>1639</v>
      </c>
      <c r="BW191" s="43">
        <f t="shared" si="351"/>
        <v>6</v>
      </c>
      <c r="BX191" s="42" t="e">
        <f t="shared" si="325"/>
        <v>#DIV/0!</v>
      </c>
      <c r="BY191" s="43">
        <f t="shared" si="352"/>
        <v>17798</v>
      </c>
      <c r="BZ191" s="42">
        <f t="shared" si="326"/>
        <v>0.21283131260178412</v>
      </c>
      <c r="CA191" s="514"/>
      <c r="CB191" s="392">
        <v>1150</v>
      </c>
      <c r="CC191" s="395"/>
      <c r="CD191" s="298">
        <f t="shared" si="282"/>
        <v>1150</v>
      </c>
      <c r="CE191" s="298">
        <f t="shared" si="264"/>
        <v>0</v>
      </c>
      <c r="CF191" s="297" t="e">
        <f t="shared" si="327"/>
        <v>#DIV/0!</v>
      </c>
      <c r="CG191" s="298">
        <f t="shared" si="328"/>
        <v>60200</v>
      </c>
      <c r="CH191" s="297">
        <f t="shared" si="329"/>
        <v>0.71988116746979458</v>
      </c>
      <c r="CI191" s="516"/>
      <c r="CJ191" s="659">
        <v>975</v>
      </c>
      <c r="CK191" s="651"/>
      <c r="CL191" s="657">
        <f t="shared" si="361"/>
        <v>975</v>
      </c>
      <c r="CM191" s="657">
        <f t="shared" si="362"/>
        <v>0</v>
      </c>
      <c r="CN191" s="659">
        <f t="shared" si="359"/>
        <v>25275</v>
      </c>
      <c r="CO191" s="811">
        <v>11.6</v>
      </c>
      <c r="CP191" s="469"/>
      <c r="CQ191" s="465">
        <f t="shared" si="283"/>
        <v>0</v>
      </c>
      <c r="CR191" s="465">
        <f t="shared" si="265"/>
        <v>11.6</v>
      </c>
      <c r="CS191" s="486" t="e">
        <f t="shared" si="330"/>
        <v>#DIV/0!</v>
      </c>
      <c r="CT191" s="465">
        <f t="shared" si="331"/>
        <v>1619</v>
      </c>
      <c r="CU191" s="486">
        <f t="shared" si="332"/>
        <v>1.9360259304544807E-2</v>
      </c>
      <c r="CV191" s="518"/>
      <c r="CW191" s="427">
        <v>0</v>
      </c>
      <c r="CX191" s="427"/>
      <c r="CY191" s="427">
        <f t="shared" si="333"/>
        <v>0</v>
      </c>
      <c r="CZ191" s="427">
        <f t="shared" si="334"/>
        <v>0</v>
      </c>
      <c r="DA191" s="607" t="e">
        <f t="shared" si="349"/>
        <v>#DIV/0!</v>
      </c>
      <c r="DB191" s="607">
        <f t="shared" si="335"/>
        <v>115</v>
      </c>
      <c r="DC191" s="607">
        <f t="shared" si="284"/>
        <v>1.375188276728013E-3</v>
      </c>
      <c r="DD191" s="609"/>
      <c r="DE191" s="471">
        <v>6.5</v>
      </c>
      <c r="DF191" s="475"/>
      <c r="DG191" s="473">
        <f t="shared" si="285"/>
        <v>4.4000000000000004</v>
      </c>
      <c r="DH191" s="473">
        <f t="shared" si="266"/>
        <v>2.0999999999999996</v>
      </c>
      <c r="DI191" s="227" t="e">
        <f t="shared" si="336"/>
        <v>#DIV/0!</v>
      </c>
      <c r="DJ191" s="473">
        <f t="shared" si="337"/>
        <v>134.79999999999998</v>
      </c>
      <c r="DK191" s="227">
        <f t="shared" si="338"/>
        <v>1.6119598235037921E-3</v>
      </c>
      <c r="DL191" s="510"/>
      <c r="DM191" s="63">
        <v>0</v>
      </c>
      <c r="DN191" s="64"/>
      <c r="DO191" s="66">
        <f t="shared" si="339"/>
        <v>0</v>
      </c>
      <c r="DP191" s="66">
        <f t="shared" si="267"/>
        <v>0</v>
      </c>
      <c r="DQ191" s="412" t="e">
        <f t="shared" si="340"/>
        <v>#DIV/0!</v>
      </c>
      <c r="DR191" s="66">
        <f t="shared" si="341"/>
        <v>18000</v>
      </c>
      <c r="DS191" s="412">
        <f t="shared" si="342"/>
        <v>0.2152468607052542</v>
      </c>
      <c r="DT191" s="506"/>
      <c r="DU191" s="596">
        <v>0</v>
      </c>
      <c r="DV191" s="596"/>
      <c r="DW191" s="596">
        <f t="shared" si="286"/>
        <v>0</v>
      </c>
      <c r="DX191" s="596">
        <f t="shared" si="268"/>
        <v>0</v>
      </c>
      <c r="DY191" s="592" t="e">
        <f t="shared" si="287"/>
        <v>#DIV/0!</v>
      </c>
      <c r="DZ191" s="596">
        <f t="shared" si="343"/>
        <v>2800</v>
      </c>
      <c r="EA191" s="592">
        <f t="shared" si="288"/>
        <v>3.3482844998595093E-2</v>
      </c>
      <c r="EB191" s="594"/>
      <c r="EC191" s="448">
        <v>100</v>
      </c>
      <c r="ED191" s="454"/>
      <c r="EE191" s="449">
        <f t="shared" si="289"/>
        <v>100</v>
      </c>
      <c r="EF191" s="449">
        <f t="shared" si="269"/>
        <v>0</v>
      </c>
      <c r="EG191" s="450" t="e">
        <f t="shared" si="347"/>
        <v>#DIV/0!</v>
      </c>
      <c r="EH191" s="449">
        <f t="shared" si="344"/>
        <v>1065</v>
      </c>
      <c r="EI191" s="450">
        <f t="shared" si="348"/>
        <v>1.2735439258394207E-2</v>
      </c>
      <c r="EJ191" s="520"/>
      <c r="EK191" s="426">
        <v>1125</v>
      </c>
      <c r="EL191" s="430"/>
      <c r="EM191" s="427">
        <f t="shared" si="290"/>
        <v>675</v>
      </c>
      <c r="EN191" s="427">
        <f t="shared" si="270"/>
        <v>450</v>
      </c>
      <c r="EO191" s="427">
        <f t="shared" si="291"/>
        <v>80447</v>
      </c>
      <c r="EP191" s="456">
        <v>56</v>
      </c>
      <c r="EQ191" s="460"/>
      <c r="ER191" s="457">
        <f t="shared" si="292"/>
        <v>56</v>
      </c>
      <c r="ES191" s="457">
        <f t="shared" si="271"/>
        <v>0</v>
      </c>
      <c r="ET191" s="457">
        <f t="shared" si="293"/>
        <v>1976</v>
      </c>
      <c r="EU191" s="409">
        <v>34</v>
      </c>
      <c r="EV191" s="434"/>
      <c r="EW191" s="43">
        <f t="shared" si="294"/>
        <v>29</v>
      </c>
      <c r="EX191" s="43">
        <f t="shared" si="272"/>
        <v>5</v>
      </c>
      <c r="EY191" s="43">
        <f t="shared" si="295"/>
        <v>911</v>
      </c>
      <c r="EZ191" s="436">
        <v>105</v>
      </c>
      <c r="FA191" s="440"/>
      <c r="FB191" s="437">
        <f t="shared" si="296"/>
        <v>101</v>
      </c>
      <c r="FC191" s="437">
        <f t="shared" si="273"/>
        <v>4</v>
      </c>
      <c r="FD191" s="437">
        <f t="shared" si="297"/>
        <v>989</v>
      </c>
      <c r="FE191" s="442">
        <v>33</v>
      </c>
      <c r="FF191" s="446"/>
      <c r="FG191" s="443">
        <f t="shared" si="298"/>
        <v>0</v>
      </c>
      <c r="FH191" s="443">
        <f t="shared" si="274"/>
        <v>33</v>
      </c>
      <c r="FI191" s="443">
        <f t="shared" si="299"/>
        <v>1200</v>
      </c>
      <c r="FJ191" s="392">
        <v>105</v>
      </c>
      <c r="FK191" s="395"/>
      <c r="FL191" s="298">
        <f t="shared" si="300"/>
        <v>30</v>
      </c>
      <c r="FM191" s="298">
        <f t="shared" si="275"/>
        <v>75</v>
      </c>
      <c r="FN191" s="498">
        <f t="shared" si="301"/>
        <v>3770</v>
      </c>
      <c r="HC191" s="402">
        <v>1200</v>
      </c>
      <c r="HD191" s="462"/>
      <c r="HE191" s="52">
        <f t="shared" si="302"/>
        <v>1200</v>
      </c>
      <c r="HF191" s="52">
        <f t="shared" si="276"/>
        <v>0</v>
      </c>
      <c r="HG191" s="51"/>
      <c r="HH191" s="52">
        <f t="shared" si="345"/>
        <v>1600</v>
      </c>
      <c r="HI191" s="51"/>
      <c r="HJ191" s="1047"/>
    </row>
    <row r="192" spans="1:218">
      <c r="A192" s="810">
        <v>44855</v>
      </c>
      <c r="B192" s="390">
        <v>159189</v>
      </c>
      <c r="C192" s="18">
        <f t="shared" si="256"/>
        <v>83784102</v>
      </c>
      <c r="D192" s="376">
        <v>0</v>
      </c>
      <c r="E192" s="417">
        <f t="shared" si="360"/>
        <v>1034177.9999999999</v>
      </c>
      <c r="F192" s="397">
        <v>21933</v>
      </c>
      <c r="G192" s="37"/>
      <c r="H192" s="37">
        <f t="shared" si="277"/>
        <v>21008</v>
      </c>
      <c r="I192" s="37">
        <f t="shared" si="257"/>
        <v>925</v>
      </c>
      <c r="J192" s="37" t="e">
        <f t="shared" si="258"/>
        <v>#DIV/0!</v>
      </c>
      <c r="K192" s="37">
        <f t="shared" si="303"/>
        <v>460199</v>
      </c>
      <c r="L192" s="37">
        <f t="shared" si="259"/>
        <v>444.99012742487275</v>
      </c>
      <c r="M192" s="648"/>
      <c r="N192" s="422">
        <v>300</v>
      </c>
      <c r="O192" s="423"/>
      <c r="P192" s="423">
        <f t="shared" si="304"/>
        <v>300</v>
      </c>
      <c r="Q192" s="423">
        <f t="shared" si="305"/>
        <v>0</v>
      </c>
      <c r="R192" s="423">
        <f t="shared" si="306"/>
        <v>13575</v>
      </c>
      <c r="S192" s="68">
        <v>0.41</v>
      </c>
      <c r="T192" s="67">
        <v>24</v>
      </c>
      <c r="U192" s="68">
        <f t="shared" si="307"/>
        <v>4.92</v>
      </c>
      <c r="V192" s="68" t="e">
        <f t="shared" si="260"/>
        <v>#DIV/0!</v>
      </c>
      <c r="W192" s="423">
        <f t="shared" si="308"/>
        <v>13176.263999999999</v>
      </c>
      <c r="X192" s="68">
        <f t="shared" si="261"/>
        <v>12.740808642226002</v>
      </c>
      <c r="Y192" s="500"/>
      <c r="Z192" s="424">
        <v>50</v>
      </c>
      <c r="AA192" s="425"/>
      <c r="AB192" s="425">
        <f t="shared" si="309"/>
        <v>50</v>
      </c>
      <c r="AC192" s="425">
        <f t="shared" si="310"/>
        <v>0</v>
      </c>
      <c r="AD192" s="425">
        <f t="shared" si="311"/>
        <v>2125</v>
      </c>
      <c r="AE192" s="72">
        <v>0</v>
      </c>
      <c r="AF192" s="71">
        <v>12</v>
      </c>
      <c r="AG192" s="72">
        <f t="shared" si="312"/>
        <v>0</v>
      </c>
      <c r="AH192" s="72" t="e">
        <f t="shared" si="278"/>
        <v>#DIV/0!</v>
      </c>
      <c r="AI192" s="425">
        <f t="shared" si="313"/>
        <v>1983.0720000000013</v>
      </c>
      <c r="AJ192" s="72">
        <f t="shared" si="346"/>
        <v>1.9175345056653703</v>
      </c>
      <c r="AK192" s="502"/>
      <c r="AL192" s="491">
        <v>22480</v>
      </c>
      <c r="AM192" s="491"/>
      <c r="AN192" s="492">
        <f t="shared" si="353"/>
        <v>22480</v>
      </c>
      <c r="AO192" s="492">
        <f t="shared" si="354"/>
        <v>0</v>
      </c>
      <c r="AP192" s="492">
        <f t="shared" si="355"/>
        <v>61093</v>
      </c>
      <c r="AQ192" s="493">
        <f t="shared" si="279"/>
        <v>59.073969858186892</v>
      </c>
      <c r="AR192" s="504"/>
      <c r="AS192" s="413">
        <v>16221</v>
      </c>
      <c r="AT192" s="133"/>
      <c r="AU192" s="66">
        <f t="shared" si="314"/>
        <v>16221</v>
      </c>
      <c r="AV192" s="66">
        <f t="shared" si="262"/>
        <v>0</v>
      </c>
      <c r="AW192" s="412">
        <f t="shared" si="315"/>
        <v>0</v>
      </c>
      <c r="AX192" s="66">
        <f t="shared" si="316"/>
        <v>281394</v>
      </c>
      <c r="AY192" s="412">
        <f t="shared" si="317"/>
        <v>3.3585607923565259</v>
      </c>
      <c r="AZ192" s="506"/>
      <c r="BA192" s="419">
        <v>33480</v>
      </c>
      <c r="BB192" s="419">
        <v>29400</v>
      </c>
      <c r="BC192" s="407"/>
      <c r="BD192" s="419">
        <f t="shared" si="280"/>
        <v>61340</v>
      </c>
      <c r="BE192" s="419">
        <f t="shared" si="281"/>
        <v>1540</v>
      </c>
      <c r="BF192" s="407">
        <f t="shared" si="318"/>
        <v>9.6740352662558351</v>
      </c>
      <c r="BG192" s="419">
        <f t="shared" si="356"/>
        <v>307430</v>
      </c>
      <c r="BH192" s="407">
        <f t="shared" si="319"/>
        <v>3.6693118701684</v>
      </c>
      <c r="BI192" s="407">
        <f t="shared" si="320"/>
        <v>0.44930349430633471</v>
      </c>
      <c r="BJ192" s="508"/>
      <c r="BK192" s="510"/>
      <c r="BL192" s="49">
        <v>1684</v>
      </c>
      <c r="BM192" s="248"/>
      <c r="BN192" s="52">
        <f t="shared" si="321"/>
        <v>1684</v>
      </c>
      <c r="BO192" s="52">
        <f t="shared" si="263"/>
        <v>0</v>
      </c>
      <c r="BP192" s="406">
        <f t="shared" si="322"/>
        <v>0</v>
      </c>
      <c r="BQ192" s="52">
        <f t="shared" si="323"/>
        <v>36016</v>
      </c>
      <c r="BR192" s="406">
        <f t="shared" si="324"/>
        <v>0.42986675443510752</v>
      </c>
      <c r="BS192" s="512"/>
      <c r="BT192" s="409">
        <v>1639</v>
      </c>
      <c r="BU192" s="43"/>
      <c r="BV192" s="43">
        <f t="shared" si="350"/>
        <v>1630</v>
      </c>
      <c r="BW192" s="43">
        <f t="shared" si="351"/>
        <v>9</v>
      </c>
      <c r="BX192" s="42">
        <f t="shared" si="325"/>
        <v>5.6536569737858769E-2</v>
      </c>
      <c r="BY192" s="43">
        <f t="shared" si="352"/>
        <v>17807</v>
      </c>
      <c r="BZ192" s="42">
        <f t="shared" si="326"/>
        <v>0.21253435407113391</v>
      </c>
      <c r="CA192" s="514"/>
      <c r="CB192" s="392">
        <v>1150</v>
      </c>
      <c r="CC192" s="395"/>
      <c r="CD192" s="298">
        <f t="shared" si="282"/>
        <v>1150</v>
      </c>
      <c r="CE192" s="298">
        <f t="shared" si="264"/>
        <v>0</v>
      </c>
      <c r="CF192" s="297">
        <f t="shared" si="327"/>
        <v>0</v>
      </c>
      <c r="CG192" s="298">
        <f t="shared" si="328"/>
        <v>60200</v>
      </c>
      <c r="CH192" s="297">
        <f t="shared" si="329"/>
        <v>0.71851340007200892</v>
      </c>
      <c r="CI192" s="516"/>
      <c r="CJ192" s="659">
        <v>975</v>
      </c>
      <c r="CK192" s="651"/>
      <c r="CL192" s="657">
        <f t="shared" si="361"/>
        <v>975</v>
      </c>
      <c r="CM192" s="657">
        <f t="shared" si="362"/>
        <v>0</v>
      </c>
      <c r="CN192" s="659">
        <f t="shared" si="359"/>
        <v>25275</v>
      </c>
      <c r="CO192" s="464">
        <v>0</v>
      </c>
      <c r="CP192" s="469"/>
      <c r="CQ192" s="465">
        <f t="shared" si="283"/>
        <v>0</v>
      </c>
      <c r="CR192" s="465">
        <f t="shared" si="265"/>
        <v>0</v>
      </c>
      <c r="CS192" s="486">
        <f t="shared" si="330"/>
        <v>0</v>
      </c>
      <c r="CT192" s="465">
        <f t="shared" si="331"/>
        <v>1619</v>
      </c>
      <c r="CU192" s="486">
        <f t="shared" si="332"/>
        <v>1.9323474995292068E-2</v>
      </c>
      <c r="CV192" s="518"/>
      <c r="CW192" s="427">
        <v>0</v>
      </c>
      <c r="CX192" s="427"/>
      <c r="CY192" s="427">
        <f t="shared" si="333"/>
        <v>0</v>
      </c>
      <c r="CZ192" s="427">
        <f t="shared" si="334"/>
        <v>0</v>
      </c>
      <c r="DA192" s="607">
        <f t="shared" si="349"/>
        <v>0</v>
      </c>
      <c r="DB192" s="607">
        <f t="shared" si="335"/>
        <v>115</v>
      </c>
      <c r="DC192" s="607">
        <f t="shared" si="284"/>
        <v>1.3725754320312463E-3</v>
      </c>
      <c r="DD192" s="609"/>
      <c r="DE192" s="471">
        <v>4.4000000000000004</v>
      </c>
      <c r="DF192" s="475"/>
      <c r="DG192" s="473">
        <f t="shared" si="285"/>
        <v>4.4000000000000004</v>
      </c>
      <c r="DH192" s="473">
        <f t="shared" si="266"/>
        <v>0</v>
      </c>
      <c r="DI192" s="227">
        <f t="shared" si="336"/>
        <v>0</v>
      </c>
      <c r="DJ192" s="473">
        <f t="shared" si="337"/>
        <v>134.79999999999998</v>
      </c>
      <c r="DK192" s="227">
        <f t="shared" si="338"/>
        <v>1.6088971151114082E-3</v>
      </c>
      <c r="DL192" s="510"/>
      <c r="DM192" s="63">
        <v>0</v>
      </c>
      <c r="DN192" s="133"/>
      <c r="DO192" s="66">
        <f t="shared" si="339"/>
        <v>0</v>
      </c>
      <c r="DP192" s="66">
        <f t="shared" si="267"/>
        <v>0</v>
      </c>
      <c r="DQ192" s="412">
        <f t="shared" si="340"/>
        <v>0</v>
      </c>
      <c r="DR192" s="66">
        <f t="shared" si="341"/>
        <v>18000</v>
      </c>
      <c r="DS192" s="412">
        <f t="shared" si="342"/>
        <v>0.21483789370923853</v>
      </c>
      <c r="DT192" s="506"/>
      <c r="DU192" s="596">
        <v>0</v>
      </c>
      <c r="DV192" s="596"/>
      <c r="DW192" s="596">
        <f t="shared" si="286"/>
        <v>0</v>
      </c>
      <c r="DX192" s="596">
        <f t="shared" si="268"/>
        <v>0</v>
      </c>
      <c r="DY192" s="592">
        <f t="shared" si="287"/>
        <v>0</v>
      </c>
      <c r="DZ192" s="596">
        <f t="shared" si="343"/>
        <v>2800</v>
      </c>
      <c r="EA192" s="592">
        <f t="shared" si="288"/>
        <v>3.3419227910325998E-2</v>
      </c>
      <c r="EB192" s="594"/>
      <c r="EC192" s="448">
        <v>100</v>
      </c>
      <c r="ED192" s="454"/>
      <c r="EE192" s="449">
        <f t="shared" si="289"/>
        <v>100</v>
      </c>
      <c r="EF192" s="449">
        <f t="shared" si="269"/>
        <v>0</v>
      </c>
      <c r="EG192" s="450">
        <f t="shared" si="347"/>
        <v>0</v>
      </c>
      <c r="EH192" s="449">
        <f t="shared" si="344"/>
        <v>1065</v>
      </c>
      <c r="EI192" s="450">
        <f t="shared" si="348"/>
        <v>1.271124204446328E-2</v>
      </c>
      <c r="EJ192" s="520"/>
      <c r="EK192" s="426">
        <v>675</v>
      </c>
      <c r="EL192" s="430">
        <v>1200</v>
      </c>
      <c r="EM192" s="427">
        <f t="shared" si="290"/>
        <v>1700</v>
      </c>
      <c r="EN192" s="427">
        <f t="shared" si="270"/>
        <v>175</v>
      </c>
      <c r="EO192" s="427">
        <f t="shared" si="291"/>
        <v>80622</v>
      </c>
      <c r="EP192" s="456">
        <v>56</v>
      </c>
      <c r="EQ192" s="460"/>
      <c r="ER192" s="457">
        <f t="shared" si="292"/>
        <v>56</v>
      </c>
      <c r="ES192" s="457">
        <f t="shared" si="271"/>
        <v>0</v>
      </c>
      <c r="ET192" s="457">
        <f t="shared" si="293"/>
        <v>1976</v>
      </c>
      <c r="EU192" s="409">
        <v>29</v>
      </c>
      <c r="EV192" s="434"/>
      <c r="EW192" s="43">
        <f t="shared" si="294"/>
        <v>24</v>
      </c>
      <c r="EX192" s="43">
        <f t="shared" si="272"/>
        <v>5</v>
      </c>
      <c r="EY192" s="43">
        <f t="shared" si="295"/>
        <v>916</v>
      </c>
      <c r="EZ192" s="436">
        <v>101</v>
      </c>
      <c r="FA192" s="440"/>
      <c r="FB192" s="437">
        <f t="shared" si="296"/>
        <v>88</v>
      </c>
      <c r="FC192" s="437">
        <f t="shared" si="273"/>
        <v>13</v>
      </c>
      <c r="FD192" s="437">
        <f t="shared" si="297"/>
        <v>1002</v>
      </c>
      <c r="FE192" s="442">
        <v>0</v>
      </c>
      <c r="FF192" s="446"/>
      <c r="FG192" s="443">
        <f t="shared" si="298"/>
        <v>0</v>
      </c>
      <c r="FH192" s="443">
        <f t="shared" si="274"/>
        <v>0</v>
      </c>
      <c r="FI192" s="443">
        <f t="shared" si="299"/>
        <v>1200</v>
      </c>
      <c r="FJ192" s="392">
        <v>30</v>
      </c>
      <c r="FK192" s="395">
        <v>1000</v>
      </c>
      <c r="FL192" s="298">
        <f t="shared" si="300"/>
        <v>1000</v>
      </c>
      <c r="FM192" s="298">
        <f t="shared" si="275"/>
        <v>30</v>
      </c>
      <c r="FN192" s="498">
        <f t="shared" si="301"/>
        <v>3800</v>
      </c>
      <c r="HC192" s="402">
        <v>1200</v>
      </c>
      <c r="HD192" s="462"/>
      <c r="HE192" s="52">
        <f t="shared" si="302"/>
        <v>1200</v>
      </c>
      <c r="HF192" s="52">
        <f t="shared" si="276"/>
        <v>0</v>
      </c>
      <c r="HG192" s="51"/>
      <c r="HH192" s="52">
        <f t="shared" si="345"/>
        <v>1600</v>
      </c>
      <c r="HI192" s="51"/>
      <c r="HJ192" s="1047"/>
    </row>
    <row r="193" spans="1:218">
      <c r="A193" s="810">
        <v>44856</v>
      </c>
      <c r="B193" s="390">
        <v>0</v>
      </c>
      <c r="C193" s="18">
        <f t="shared" si="256"/>
        <v>83784102</v>
      </c>
      <c r="D193" s="376">
        <v>0</v>
      </c>
      <c r="E193" s="417">
        <f t="shared" si="360"/>
        <v>1034177.9999999999</v>
      </c>
      <c r="F193" s="397">
        <v>21008</v>
      </c>
      <c r="G193" s="37"/>
      <c r="H193" s="37">
        <f t="shared" si="277"/>
        <v>21008</v>
      </c>
      <c r="I193" s="37">
        <f t="shared" si="257"/>
        <v>0</v>
      </c>
      <c r="J193" s="37" t="e">
        <f t="shared" si="258"/>
        <v>#DIV/0!</v>
      </c>
      <c r="K193" s="37">
        <f t="shared" si="303"/>
        <v>460199</v>
      </c>
      <c r="L193" s="37">
        <f t="shared" si="259"/>
        <v>444.99012742487275</v>
      </c>
      <c r="M193" s="648"/>
      <c r="N193" s="422">
        <v>300</v>
      </c>
      <c r="O193" s="423"/>
      <c r="P193" s="423">
        <f t="shared" si="304"/>
        <v>300</v>
      </c>
      <c r="Q193" s="423">
        <f t="shared" si="305"/>
        <v>0</v>
      </c>
      <c r="R193" s="423">
        <f t="shared" si="306"/>
        <v>13575</v>
      </c>
      <c r="S193" s="68">
        <v>0</v>
      </c>
      <c r="T193" s="67">
        <v>24</v>
      </c>
      <c r="U193" s="68">
        <f t="shared" si="307"/>
        <v>0</v>
      </c>
      <c r="V193" s="68" t="e">
        <f t="shared" si="260"/>
        <v>#DIV/0!</v>
      </c>
      <c r="W193" s="423">
        <f t="shared" si="308"/>
        <v>13176.263999999999</v>
      </c>
      <c r="X193" s="68">
        <f t="shared" si="261"/>
        <v>12.740808642226002</v>
      </c>
      <c r="Y193" s="500"/>
      <c r="Z193" s="424">
        <v>50</v>
      </c>
      <c r="AA193" s="425"/>
      <c r="AB193" s="425">
        <f t="shared" si="309"/>
        <v>50</v>
      </c>
      <c r="AC193" s="425">
        <f t="shared" si="310"/>
        <v>0</v>
      </c>
      <c r="AD193" s="425">
        <f t="shared" si="311"/>
        <v>2125</v>
      </c>
      <c r="AE193" s="72">
        <v>0</v>
      </c>
      <c r="AF193" s="71">
        <v>12</v>
      </c>
      <c r="AG193" s="72">
        <f t="shared" si="312"/>
        <v>0</v>
      </c>
      <c r="AH193" s="72" t="e">
        <f t="shared" si="278"/>
        <v>#DIV/0!</v>
      </c>
      <c r="AI193" s="425">
        <f t="shared" si="313"/>
        <v>1983.0720000000013</v>
      </c>
      <c r="AJ193" s="72">
        <f t="shared" si="346"/>
        <v>1.9175345056653703</v>
      </c>
      <c r="AK193" s="502"/>
      <c r="AL193" s="491">
        <v>22480</v>
      </c>
      <c r="AM193" s="491"/>
      <c r="AN193" s="492">
        <f t="shared" si="353"/>
        <v>22480</v>
      </c>
      <c r="AO193" s="492">
        <f t="shared" si="354"/>
        <v>0</v>
      </c>
      <c r="AP193" s="492">
        <f t="shared" si="355"/>
        <v>61093</v>
      </c>
      <c r="AQ193" s="493">
        <f t="shared" si="279"/>
        <v>59.073969858186892</v>
      </c>
      <c r="AR193" s="504"/>
      <c r="AS193" s="413">
        <v>16221</v>
      </c>
      <c r="AT193" s="133"/>
      <c r="AU193" s="66">
        <f t="shared" si="314"/>
        <v>16221</v>
      </c>
      <c r="AV193" s="66">
        <f t="shared" si="262"/>
        <v>0</v>
      </c>
      <c r="AW193" s="412" t="e">
        <f t="shared" si="315"/>
        <v>#DIV/0!</v>
      </c>
      <c r="AX193" s="66">
        <f t="shared" si="316"/>
        <v>281394</v>
      </c>
      <c r="AY193" s="412">
        <f t="shared" si="317"/>
        <v>3.3585607923565259</v>
      </c>
      <c r="AZ193" s="506"/>
      <c r="BA193" s="419">
        <v>61340</v>
      </c>
      <c r="BB193" s="419"/>
      <c r="BC193" s="407"/>
      <c r="BD193" s="419">
        <f t="shared" si="280"/>
        <v>61340</v>
      </c>
      <c r="BE193" s="419">
        <f t="shared" si="281"/>
        <v>0</v>
      </c>
      <c r="BF193" s="407" t="e">
        <f t="shared" si="318"/>
        <v>#DIV/0!</v>
      </c>
      <c r="BG193" s="419">
        <f t="shared" si="356"/>
        <v>307430</v>
      </c>
      <c r="BH193" s="407">
        <f t="shared" si="319"/>
        <v>3.6693118701684</v>
      </c>
      <c r="BI193" s="407">
        <f t="shared" si="320"/>
        <v>0.44930349430633471</v>
      </c>
      <c r="BJ193" s="508"/>
      <c r="BK193" s="510"/>
      <c r="BL193" s="49">
        <v>1684</v>
      </c>
      <c r="BM193" s="248"/>
      <c r="BN193" s="52">
        <f t="shared" si="321"/>
        <v>1684</v>
      </c>
      <c r="BO193" s="52">
        <f t="shared" si="263"/>
        <v>0</v>
      </c>
      <c r="BP193" s="406" t="e">
        <f t="shared" si="322"/>
        <v>#DIV/0!</v>
      </c>
      <c r="BQ193" s="52">
        <f t="shared" si="323"/>
        <v>36016</v>
      </c>
      <c r="BR193" s="406">
        <f t="shared" si="324"/>
        <v>0.42986675443510752</v>
      </c>
      <c r="BS193" s="512"/>
      <c r="BT193" s="409">
        <v>1630</v>
      </c>
      <c r="BU193" s="43"/>
      <c r="BV193" s="43">
        <f t="shared" si="350"/>
        <v>1630</v>
      </c>
      <c r="BW193" s="43">
        <f t="shared" si="351"/>
        <v>0</v>
      </c>
      <c r="BX193" s="42" t="e">
        <f t="shared" si="325"/>
        <v>#DIV/0!</v>
      </c>
      <c r="BY193" s="43">
        <f t="shared" si="352"/>
        <v>17807</v>
      </c>
      <c r="BZ193" s="42">
        <f t="shared" si="326"/>
        <v>0.21253435407113391</v>
      </c>
      <c r="CA193" s="514"/>
      <c r="CB193" s="392">
        <v>1150</v>
      </c>
      <c r="CC193" s="395"/>
      <c r="CD193" s="298">
        <f t="shared" si="282"/>
        <v>1150</v>
      </c>
      <c r="CE193" s="298">
        <f t="shared" si="264"/>
        <v>0</v>
      </c>
      <c r="CF193" s="297" t="e">
        <f t="shared" si="327"/>
        <v>#DIV/0!</v>
      </c>
      <c r="CG193" s="298">
        <f t="shared" si="328"/>
        <v>60200</v>
      </c>
      <c r="CH193" s="297">
        <f t="shared" si="329"/>
        <v>0.71851340007200892</v>
      </c>
      <c r="CI193" s="516"/>
      <c r="CJ193" s="659">
        <v>975</v>
      </c>
      <c r="CK193" s="651"/>
      <c r="CL193" s="657">
        <f t="shared" si="361"/>
        <v>975</v>
      </c>
      <c r="CM193" s="657">
        <f t="shared" si="362"/>
        <v>0</v>
      </c>
      <c r="CN193" s="659">
        <f t="shared" si="359"/>
        <v>25275</v>
      </c>
      <c r="CO193" s="464">
        <v>0</v>
      </c>
      <c r="CP193" s="469"/>
      <c r="CQ193" s="465">
        <f t="shared" si="283"/>
        <v>0</v>
      </c>
      <c r="CR193" s="465">
        <f t="shared" si="265"/>
        <v>0</v>
      </c>
      <c r="CS193" s="486" t="e">
        <f t="shared" si="330"/>
        <v>#DIV/0!</v>
      </c>
      <c r="CT193" s="465">
        <f t="shared" si="331"/>
        <v>1619</v>
      </c>
      <c r="CU193" s="486">
        <f t="shared" si="332"/>
        <v>1.9323474995292068E-2</v>
      </c>
      <c r="CV193" s="518"/>
      <c r="CW193" s="427">
        <v>0</v>
      </c>
      <c r="CX193" s="427"/>
      <c r="CY193" s="427">
        <f t="shared" si="333"/>
        <v>0</v>
      </c>
      <c r="CZ193" s="427">
        <f t="shared" si="334"/>
        <v>0</v>
      </c>
      <c r="DA193" s="607" t="e">
        <f t="shared" si="349"/>
        <v>#DIV/0!</v>
      </c>
      <c r="DB193" s="607">
        <f t="shared" si="335"/>
        <v>115</v>
      </c>
      <c r="DC193" s="607">
        <f t="shared" si="284"/>
        <v>1.3725754320312463E-3</v>
      </c>
      <c r="DD193" s="609"/>
      <c r="DE193" s="471">
        <v>4.4000000000000004</v>
      </c>
      <c r="DF193" s="475"/>
      <c r="DG193" s="473">
        <f t="shared" si="285"/>
        <v>4.4000000000000004</v>
      </c>
      <c r="DH193" s="473">
        <f t="shared" si="266"/>
        <v>0</v>
      </c>
      <c r="DI193" s="227" t="e">
        <f t="shared" si="336"/>
        <v>#DIV/0!</v>
      </c>
      <c r="DJ193" s="473">
        <f t="shared" si="337"/>
        <v>134.79999999999998</v>
      </c>
      <c r="DK193" s="227">
        <f t="shared" si="338"/>
        <v>1.6088971151114082E-3</v>
      </c>
      <c r="DL193" s="510"/>
      <c r="DM193" s="63">
        <v>0</v>
      </c>
      <c r="DN193" s="133"/>
      <c r="DO193" s="66">
        <f t="shared" si="339"/>
        <v>0</v>
      </c>
      <c r="DP193" s="66">
        <f t="shared" si="267"/>
        <v>0</v>
      </c>
      <c r="DQ193" s="412" t="e">
        <f t="shared" si="340"/>
        <v>#DIV/0!</v>
      </c>
      <c r="DR193" s="66">
        <f t="shared" si="341"/>
        <v>18000</v>
      </c>
      <c r="DS193" s="412">
        <f t="shared" si="342"/>
        <v>0.21483789370923853</v>
      </c>
      <c r="DT193" s="506"/>
      <c r="DU193" s="596">
        <v>0</v>
      </c>
      <c r="DV193" s="596"/>
      <c r="DW193" s="596">
        <f>DU194</f>
        <v>0</v>
      </c>
      <c r="DX193" s="596">
        <f t="shared" si="268"/>
        <v>0</v>
      </c>
      <c r="DY193" s="592" t="e">
        <f t="shared" si="287"/>
        <v>#DIV/0!</v>
      </c>
      <c r="DZ193" s="596">
        <f t="shared" si="343"/>
        <v>2800</v>
      </c>
      <c r="EA193" s="592">
        <f t="shared" si="288"/>
        <v>3.3419227910325998E-2</v>
      </c>
      <c r="EB193" s="594"/>
      <c r="EC193" s="448">
        <v>100</v>
      </c>
      <c r="ED193" s="454"/>
      <c r="EE193" s="449">
        <f t="shared" si="289"/>
        <v>100</v>
      </c>
      <c r="EF193" s="449">
        <f t="shared" si="269"/>
        <v>0</v>
      </c>
      <c r="EG193" s="450" t="e">
        <f t="shared" si="347"/>
        <v>#DIV/0!</v>
      </c>
      <c r="EH193" s="449">
        <f t="shared" si="344"/>
        <v>1065</v>
      </c>
      <c r="EI193" s="450">
        <f t="shared" si="348"/>
        <v>1.271124204446328E-2</v>
      </c>
      <c r="EJ193" s="520"/>
      <c r="EK193" s="426">
        <v>1700</v>
      </c>
      <c r="EL193" s="430"/>
      <c r="EM193" s="427">
        <f t="shared" si="290"/>
        <v>1675</v>
      </c>
      <c r="EN193" s="427">
        <f t="shared" si="270"/>
        <v>25</v>
      </c>
      <c r="EO193" s="427">
        <f t="shared" si="291"/>
        <v>80647</v>
      </c>
      <c r="EP193" s="456">
        <v>56</v>
      </c>
      <c r="EQ193" s="460"/>
      <c r="ER193" s="457">
        <f t="shared" si="292"/>
        <v>28</v>
      </c>
      <c r="ES193" s="457">
        <f t="shared" si="271"/>
        <v>28</v>
      </c>
      <c r="ET193" s="457">
        <f t="shared" si="293"/>
        <v>2004</v>
      </c>
      <c r="EU193" s="409">
        <v>24</v>
      </c>
      <c r="EV193" s="434"/>
      <c r="EW193" s="43">
        <f t="shared" si="294"/>
        <v>18</v>
      </c>
      <c r="EX193" s="43">
        <f t="shared" si="272"/>
        <v>6</v>
      </c>
      <c r="EY193" s="43">
        <f t="shared" si="295"/>
        <v>922</v>
      </c>
      <c r="EZ193" s="436">
        <v>88</v>
      </c>
      <c r="FA193" s="440"/>
      <c r="FB193" s="437">
        <f t="shared" si="296"/>
        <v>84</v>
      </c>
      <c r="FC193" s="437">
        <f t="shared" si="273"/>
        <v>4</v>
      </c>
      <c r="FD193" s="437">
        <f t="shared" si="297"/>
        <v>1006</v>
      </c>
      <c r="FE193" s="442">
        <v>0</v>
      </c>
      <c r="FF193" s="446"/>
      <c r="FG193" s="443">
        <f t="shared" si="298"/>
        <v>0</v>
      </c>
      <c r="FH193" s="443">
        <f t="shared" si="274"/>
        <v>0</v>
      </c>
      <c r="FI193" s="443">
        <f t="shared" si="299"/>
        <v>1200</v>
      </c>
      <c r="FJ193" s="392">
        <v>1000</v>
      </c>
      <c r="FK193" s="395"/>
      <c r="FL193" s="298">
        <f t="shared" si="300"/>
        <v>1000</v>
      </c>
      <c r="FM193" s="298">
        <f t="shared" si="275"/>
        <v>0</v>
      </c>
      <c r="FN193" s="498">
        <f t="shared" si="301"/>
        <v>3800</v>
      </c>
      <c r="HC193" s="402">
        <v>1200</v>
      </c>
      <c r="HD193" s="462"/>
      <c r="HE193" s="52">
        <f t="shared" si="302"/>
        <v>1200</v>
      </c>
      <c r="HF193" s="52">
        <f t="shared" si="276"/>
        <v>0</v>
      </c>
      <c r="HG193" s="51"/>
      <c r="HH193" s="52">
        <f t="shared" si="345"/>
        <v>1600</v>
      </c>
      <c r="HI193" s="51"/>
      <c r="HJ193" s="1047"/>
    </row>
    <row r="194" spans="1:218">
      <c r="A194" s="810">
        <v>44857</v>
      </c>
      <c r="B194" s="390">
        <v>22390</v>
      </c>
      <c r="C194" s="18">
        <f t="shared" si="256"/>
        <v>83806492</v>
      </c>
      <c r="D194" s="376">
        <v>3136.48</v>
      </c>
      <c r="E194" s="417">
        <f t="shared" si="360"/>
        <v>1037314.4799999999</v>
      </c>
      <c r="F194" s="397">
        <v>21008</v>
      </c>
      <c r="G194" s="37"/>
      <c r="H194" s="37">
        <f t="shared" si="277"/>
        <v>21008</v>
      </c>
      <c r="I194" s="37">
        <f t="shared" si="257"/>
        <v>0</v>
      </c>
      <c r="J194" s="37">
        <f t="shared" si="258"/>
        <v>0</v>
      </c>
      <c r="K194" s="37">
        <f t="shared" si="303"/>
        <v>460199</v>
      </c>
      <c r="L194" s="37">
        <f t="shared" si="259"/>
        <v>443.64463127903127</v>
      </c>
      <c r="M194" s="648"/>
      <c r="N194" s="422">
        <v>300</v>
      </c>
      <c r="O194" s="423"/>
      <c r="P194" s="423">
        <f t="shared" si="304"/>
        <v>250</v>
      </c>
      <c r="Q194" s="423">
        <f t="shared" si="305"/>
        <v>50</v>
      </c>
      <c r="R194" s="423">
        <f t="shared" si="306"/>
        <v>13625</v>
      </c>
      <c r="S194" s="68">
        <v>5.22</v>
      </c>
      <c r="T194" s="67">
        <v>24</v>
      </c>
      <c r="U194" s="68">
        <f t="shared" si="307"/>
        <v>62.64</v>
      </c>
      <c r="V194" s="68">
        <f t="shared" si="260"/>
        <v>19.971432943937153</v>
      </c>
      <c r="W194" s="423">
        <f t="shared" si="308"/>
        <v>13238.903999999999</v>
      </c>
      <c r="X194" s="68">
        <f t="shared" si="261"/>
        <v>12.762671547783658</v>
      </c>
      <c r="Y194" s="500"/>
      <c r="Z194" s="424">
        <v>50</v>
      </c>
      <c r="AA194" s="425"/>
      <c r="AB194" s="425">
        <f t="shared" si="309"/>
        <v>25</v>
      </c>
      <c r="AC194" s="425">
        <f t="shared" si="310"/>
        <v>25</v>
      </c>
      <c r="AD194" s="425">
        <f t="shared" si="311"/>
        <v>2150</v>
      </c>
      <c r="AE194" s="72">
        <v>1.19</v>
      </c>
      <c r="AF194" s="71">
        <v>12</v>
      </c>
      <c r="AG194" s="72">
        <f t="shared" si="312"/>
        <v>7.14</v>
      </c>
      <c r="AH194" s="72">
        <f t="shared" si="278"/>
        <v>2.276437280008162</v>
      </c>
      <c r="AI194" s="425">
        <f t="shared" si="313"/>
        <v>1990.2120000000014</v>
      </c>
      <c r="AJ194" s="72">
        <f t="shared" si="346"/>
        <v>1.9186197034480823</v>
      </c>
      <c r="AK194" s="502"/>
      <c r="AL194" s="491">
        <v>22480</v>
      </c>
      <c r="AM194" s="491"/>
      <c r="AN194" s="492">
        <f t="shared" si="353"/>
        <v>22480</v>
      </c>
      <c r="AO194" s="492">
        <f t="shared" si="354"/>
        <v>0</v>
      </c>
      <c r="AP194" s="492">
        <f t="shared" si="355"/>
        <v>61093</v>
      </c>
      <c r="AQ194" s="493">
        <f t="shared" si="279"/>
        <v>58.895350617297858</v>
      </c>
      <c r="AR194" s="504"/>
      <c r="AS194" s="413">
        <v>16221</v>
      </c>
      <c r="AT194" s="133"/>
      <c r="AU194" s="66">
        <f t="shared" si="314"/>
        <v>15112</v>
      </c>
      <c r="AV194" s="66">
        <f t="shared" si="262"/>
        <v>1109</v>
      </c>
      <c r="AW194" s="412">
        <f t="shared" si="315"/>
        <v>49.531040643144259</v>
      </c>
      <c r="AX194" s="66">
        <f t="shared" si="316"/>
        <v>282503</v>
      </c>
      <c r="AY194" s="412">
        <f t="shared" si="317"/>
        <v>3.370896373994511</v>
      </c>
      <c r="AZ194" s="506"/>
      <c r="BA194" s="419">
        <v>61340</v>
      </c>
      <c r="BB194" s="419"/>
      <c r="BC194" s="407"/>
      <c r="BD194" s="419">
        <f t="shared" si="280"/>
        <v>61340</v>
      </c>
      <c r="BE194" s="419">
        <f t="shared" si="281"/>
        <v>0</v>
      </c>
      <c r="BF194" s="407">
        <f t="shared" si="318"/>
        <v>0</v>
      </c>
      <c r="BG194" s="419">
        <f t="shared" si="356"/>
        <v>307430</v>
      </c>
      <c r="BH194" s="407">
        <f t="shared" si="319"/>
        <v>3.6683315655307469</v>
      </c>
      <c r="BI194" s="407">
        <f t="shared" si="320"/>
        <v>0.44918345700376494</v>
      </c>
      <c r="BJ194" s="508"/>
      <c r="BK194" s="510"/>
      <c r="BL194" s="49">
        <v>1684</v>
      </c>
      <c r="BM194" s="248"/>
      <c r="BN194" s="52">
        <f t="shared" si="321"/>
        <v>1681</v>
      </c>
      <c r="BO194" s="52">
        <f t="shared" si="263"/>
        <v>3</v>
      </c>
      <c r="BP194" s="406">
        <f t="shared" si="322"/>
        <v>0.13398838767306834</v>
      </c>
      <c r="BQ194" s="52">
        <f t="shared" si="323"/>
        <v>36019</v>
      </c>
      <c r="BR194" s="406">
        <f t="shared" si="324"/>
        <v>0.42978770666119753</v>
      </c>
      <c r="BS194" s="512"/>
      <c r="BT194" s="409">
        <v>1630</v>
      </c>
      <c r="BU194" s="43"/>
      <c r="BV194" s="43">
        <f t="shared" si="350"/>
        <v>1624</v>
      </c>
      <c r="BW194" s="43">
        <f t="shared" si="351"/>
        <v>6</v>
      </c>
      <c r="BX194" s="42">
        <f t="shared" si="325"/>
        <v>0.26797677534613668</v>
      </c>
      <c r="BY194" s="43">
        <f t="shared" si="352"/>
        <v>17813</v>
      </c>
      <c r="BZ194" s="42">
        <f t="shared" si="326"/>
        <v>0.21254916623881595</v>
      </c>
      <c r="CA194" s="514"/>
      <c r="CB194" s="392">
        <v>1150</v>
      </c>
      <c r="CC194" s="395"/>
      <c r="CD194" s="298">
        <f t="shared" si="282"/>
        <v>1150</v>
      </c>
      <c r="CE194" s="298">
        <f t="shared" si="264"/>
        <v>0</v>
      </c>
      <c r="CF194" s="297">
        <f t="shared" si="327"/>
        <v>0</v>
      </c>
      <c r="CG194" s="298">
        <f t="shared" si="328"/>
        <v>60200</v>
      </c>
      <c r="CH194" s="297">
        <f t="shared" si="329"/>
        <v>0.71832143982354013</v>
      </c>
      <c r="CI194" s="516"/>
      <c r="CJ194" s="659">
        <v>975</v>
      </c>
      <c r="CK194" s="651"/>
      <c r="CL194" s="657">
        <f t="shared" si="361"/>
        <v>975</v>
      </c>
      <c r="CM194" s="657">
        <f t="shared" si="362"/>
        <v>0</v>
      </c>
      <c r="CN194" s="659">
        <f t="shared" si="359"/>
        <v>25275</v>
      </c>
      <c r="CO194" s="464">
        <v>0</v>
      </c>
      <c r="CP194" s="469"/>
      <c r="CQ194" s="465">
        <f t="shared" si="283"/>
        <v>0</v>
      </c>
      <c r="CR194" s="465">
        <f t="shared" si="265"/>
        <v>0</v>
      </c>
      <c r="CS194" s="486">
        <f t="shared" si="330"/>
        <v>0</v>
      </c>
      <c r="CT194" s="465">
        <f t="shared" si="331"/>
        <v>1619</v>
      </c>
      <c r="CU194" s="486">
        <f t="shared" si="332"/>
        <v>1.9318312476317469E-2</v>
      </c>
      <c r="CV194" s="518"/>
      <c r="CW194" s="427">
        <v>0</v>
      </c>
      <c r="CX194" s="427"/>
      <c r="CY194" s="427">
        <f t="shared" si="333"/>
        <v>0</v>
      </c>
      <c r="CZ194" s="427">
        <f t="shared" si="334"/>
        <v>0</v>
      </c>
      <c r="DA194" s="607">
        <f t="shared" si="349"/>
        <v>0</v>
      </c>
      <c r="DB194" s="607">
        <f t="shared" si="335"/>
        <v>115</v>
      </c>
      <c r="DC194" s="607">
        <f t="shared" si="284"/>
        <v>1.372208730559919E-3</v>
      </c>
      <c r="DD194" s="609"/>
      <c r="DE194" s="471">
        <v>4.4000000000000004</v>
      </c>
      <c r="DF194" s="475"/>
      <c r="DG194" s="473">
        <f t="shared" si="285"/>
        <v>4.4000000000000004</v>
      </c>
      <c r="DH194" s="473">
        <f t="shared" si="266"/>
        <v>0</v>
      </c>
      <c r="DI194" s="227">
        <f t="shared" si="336"/>
        <v>0</v>
      </c>
      <c r="DJ194" s="473">
        <f t="shared" si="337"/>
        <v>134.79999999999998</v>
      </c>
      <c r="DK194" s="227">
        <f t="shared" si="338"/>
        <v>1.6084672772128438E-3</v>
      </c>
      <c r="DL194" s="510"/>
      <c r="DM194" s="63">
        <v>0</v>
      </c>
      <c r="DN194" s="133"/>
      <c r="DO194" s="66">
        <f t="shared" si="339"/>
        <v>0</v>
      </c>
      <c r="DP194" s="66">
        <f t="shared" si="267"/>
        <v>0</v>
      </c>
      <c r="DQ194" s="412">
        <f t="shared" si="340"/>
        <v>0</v>
      </c>
      <c r="DR194" s="66">
        <f t="shared" si="341"/>
        <v>18000</v>
      </c>
      <c r="DS194" s="412">
        <f t="shared" si="342"/>
        <v>0.21478049695720469</v>
      </c>
      <c r="DT194" s="506"/>
      <c r="DU194" s="596">
        <v>0</v>
      </c>
      <c r="DV194" s="596"/>
      <c r="DW194" s="596">
        <f>DU195</f>
        <v>0</v>
      </c>
      <c r="DX194" s="596">
        <f>DU194+DV194-DW194</f>
        <v>0</v>
      </c>
      <c r="DY194" s="592">
        <f t="shared" si="287"/>
        <v>0</v>
      </c>
      <c r="DZ194" s="596">
        <f t="shared" si="343"/>
        <v>2800</v>
      </c>
      <c r="EA194" s="592">
        <f t="shared" si="288"/>
        <v>3.3410299526676283E-2</v>
      </c>
      <c r="EB194" s="594"/>
      <c r="EC194" s="448">
        <v>100</v>
      </c>
      <c r="ED194" s="454"/>
      <c r="EE194" s="449">
        <f t="shared" si="289"/>
        <v>100</v>
      </c>
      <c r="EF194" s="449">
        <f t="shared" si="269"/>
        <v>0</v>
      </c>
      <c r="EG194" s="450">
        <f t="shared" si="347"/>
        <v>0</v>
      </c>
      <c r="EH194" s="449">
        <f t="shared" si="344"/>
        <v>1065</v>
      </c>
      <c r="EI194" s="450">
        <f t="shared" si="348"/>
        <v>1.2707846069967945E-2</v>
      </c>
      <c r="EJ194" s="520"/>
      <c r="EK194" s="426">
        <v>1675</v>
      </c>
      <c r="EL194" s="430"/>
      <c r="EM194" s="427">
        <f t="shared" si="290"/>
        <v>1638</v>
      </c>
      <c r="EN194" s="427">
        <f t="shared" si="270"/>
        <v>37</v>
      </c>
      <c r="EO194" s="427">
        <f t="shared" si="291"/>
        <v>80684</v>
      </c>
      <c r="EP194" s="456">
        <v>28</v>
      </c>
      <c r="EQ194" s="460"/>
      <c r="ER194" s="457">
        <f t="shared" si="292"/>
        <v>14</v>
      </c>
      <c r="ES194" s="457">
        <f t="shared" si="271"/>
        <v>14</v>
      </c>
      <c r="ET194" s="457">
        <f t="shared" si="293"/>
        <v>2018</v>
      </c>
      <c r="EU194" s="409">
        <v>18</v>
      </c>
      <c r="EV194" s="434"/>
      <c r="EW194" s="43">
        <f t="shared" si="294"/>
        <v>11</v>
      </c>
      <c r="EX194" s="43">
        <f t="shared" si="272"/>
        <v>7</v>
      </c>
      <c r="EY194" s="43">
        <f t="shared" si="295"/>
        <v>929</v>
      </c>
      <c r="EZ194" s="436">
        <v>84</v>
      </c>
      <c r="FA194" s="440"/>
      <c r="FB194" s="437">
        <f t="shared" si="296"/>
        <v>79</v>
      </c>
      <c r="FC194" s="437">
        <f t="shared" si="273"/>
        <v>5</v>
      </c>
      <c r="FD194" s="437">
        <f t="shared" si="297"/>
        <v>1011</v>
      </c>
      <c r="FE194" s="442">
        <v>0</v>
      </c>
      <c r="FF194" s="446"/>
      <c r="FG194" s="443">
        <f t="shared" si="298"/>
        <v>0</v>
      </c>
      <c r="FH194" s="443">
        <f t="shared" si="274"/>
        <v>0</v>
      </c>
      <c r="FI194" s="443">
        <f t="shared" si="299"/>
        <v>1200</v>
      </c>
      <c r="FJ194" s="392">
        <v>1000</v>
      </c>
      <c r="FK194" s="395"/>
      <c r="FL194" s="298">
        <f t="shared" si="300"/>
        <v>985</v>
      </c>
      <c r="FM194" s="298">
        <f t="shared" si="275"/>
        <v>15</v>
      </c>
      <c r="FN194" s="498">
        <f t="shared" si="301"/>
        <v>3815</v>
      </c>
      <c r="HC194" s="402">
        <v>1200</v>
      </c>
      <c r="HD194" s="462"/>
      <c r="HE194" s="52">
        <f t="shared" si="302"/>
        <v>1200</v>
      </c>
      <c r="HF194" s="52">
        <f t="shared" si="276"/>
        <v>0</v>
      </c>
      <c r="HG194" s="51"/>
      <c r="HH194" s="52">
        <f t="shared" si="345"/>
        <v>1600</v>
      </c>
      <c r="HI194" s="51"/>
      <c r="HJ194" s="1047"/>
    </row>
    <row r="195" spans="1:218" ht="15" customHeight="1">
      <c r="A195" s="810">
        <v>44858</v>
      </c>
      <c r="B195" s="390">
        <v>400485</v>
      </c>
      <c r="C195" s="18">
        <f t="shared" si="256"/>
        <v>84206977</v>
      </c>
      <c r="D195" s="376">
        <v>4392.8599999999997</v>
      </c>
      <c r="E195" s="417">
        <f t="shared" si="360"/>
        <v>1041707.3399999999</v>
      </c>
      <c r="F195" s="397">
        <v>21008</v>
      </c>
      <c r="G195" s="37"/>
      <c r="H195" s="37">
        <f t="shared" si="277"/>
        <v>21008</v>
      </c>
      <c r="I195" s="37">
        <f t="shared" si="257"/>
        <v>0</v>
      </c>
      <c r="J195" s="37">
        <f t="shared" si="258"/>
        <v>0</v>
      </c>
      <c r="K195" s="37">
        <f t="shared" si="303"/>
        <v>460199</v>
      </c>
      <c r="L195" s="37">
        <f t="shared" si="259"/>
        <v>441.77379032387358</v>
      </c>
      <c r="M195" s="648"/>
      <c r="N195" s="422">
        <v>250</v>
      </c>
      <c r="O195" s="423"/>
      <c r="P195" s="423">
        <f t="shared" si="304"/>
        <v>175</v>
      </c>
      <c r="Q195" s="423">
        <f t="shared" si="305"/>
        <v>75</v>
      </c>
      <c r="R195" s="423">
        <f t="shared" si="306"/>
        <v>13700</v>
      </c>
      <c r="S195" s="68">
        <v>7.33</v>
      </c>
      <c r="T195" s="67">
        <v>24</v>
      </c>
      <c r="U195" s="68">
        <f t="shared" si="307"/>
        <v>87.960000000000008</v>
      </c>
      <c r="V195" s="68">
        <f t="shared" si="260"/>
        <v>20.023401610795705</v>
      </c>
      <c r="W195" s="423">
        <f t="shared" si="308"/>
        <v>13326.863999999998</v>
      </c>
      <c r="X195" s="68">
        <f t="shared" si="261"/>
        <v>12.793289908084933</v>
      </c>
      <c r="Y195" s="500"/>
      <c r="Z195" s="424">
        <v>25</v>
      </c>
      <c r="AA195" s="425"/>
      <c r="AB195" s="425">
        <f t="shared" si="309"/>
        <v>25</v>
      </c>
      <c r="AC195" s="425">
        <f t="shared" si="310"/>
        <v>0</v>
      </c>
      <c r="AD195" s="425">
        <f t="shared" si="311"/>
        <v>2150</v>
      </c>
      <c r="AE195" s="72">
        <v>1.8</v>
      </c>
      <c r="AF195" s="71">
        <v>12</v>
      </c>
      <c r="AG195" s="72">
        <f t="shared" si="312"/>
        <v>10.8</v>
      </c>
      <c r="AH195" s="72">
        <f t="shared" si="278"/>
        <v>2.4585349863187083</v>
      </c>
      <c r="AI195" s="425">
        <f t="shared" si="313"/>
        <v>2001.0120000000013</v>
      </c>
      <c r="AJ195" s="72">
        <f t="shared" si="346"/>
        <v>1.920896515906283</v>
      </c>
      <c r="AK195" s="502"/>
      <c r="AL195" s="491">
        <v>22480</v>
      </c>
      <c r="AM195" s="491"/>
      <c r="AN195" s="492">
        <f t="shared" si="353"/>
        <v>22480</v>
      </c>
      <c r="AO195" s="492">
        <f t="shared" si="354"/>
        <v>0</v>
      </c>
      <c r="AP195" s="492">
        <f t="shared" si="355"/>
        <v>61093</v>
      </c>
      <c r="AQ195" s="493">
        <f t="shared" si="279"/>
        <v>58.646990046167872</v>
      </c>
      <c r="AR195" s="504"/>
      <c r="AS195" s="413">
        <v>15112</v>
      </c>
      <c r="AT195" s="64"/>
      <c r="AU195" s="66">
        <f t="shared" si="314"/>
        <v>15112</v>
      </c>
      <c r="AV195" s="66">
        <f t="shared" si="262"/>
        <v>0</v>
      </c>
      <c r="AW195" s="412">
        <f t="shared" si="315"/>
        <v>0</v>
      </c>
      <c r="AX195" s="66">
        <f t="shared" si="316"/>
        <v>282503</v>
      </c>
      <c r="AY195" s="412">
        <f t="shared" si="317"/>
        <v>3.3548645262494103</v>
      </c>
      <c r="AZ195" s="506"/>
      <c r="BA195" s="419">
        <v>61340</v>
      </c>
      <c r="BB195" s="419"/>
      <c r="BC195" s="407"/>
      <c r="BD195" s="419">
        <f t="shared" si="280"/>
        <v>16500</v>
      </c>
      <c r="BE195" s="419">
        <f t="shared" si="281"/>
        <v>44840</v>
      </c>
      <c r="BF195" s="407">
        <f t="shared" si="318"/>
        <v>111.96424335493215</v>
      </c>
      <c r="BG195" s="419">
        <f t="shared" si="356"/>
        <v>352270</v>
      </c>
      <c r="BH195" s="407">
        <f t="shared" si="319"/>
        <v>4.1833825717315563</v>
      </c>
      <c r="BI195" s="407">
        <f t="shared" si="320"/>
        <v>0.51225092715080289</v>
      </c>
      <c r="BJ195" s="508"/>
      <c r="BK195" s="510"/>
      <c r="BL195" s="49">
        <v>1681</v>
      </c>
      <c r="BM195" s="50"/>
      <c r="BN195" s="52">
        <f t="shared" si="321"/>
        <v>1627</v>
      </c>
      <c r="BO195" s="52">
        <f t="shared" si="263"/>
        <v>54</v>
      </c>
      <c r="BP195" s="406">
        <f t="shared" si="322"/>
        <v>0.13483651073073899</v>
      </c>
      <c r="BQ195" s="52">
        <f t="shared" si="323"/>
        <v>36073</v>
      </c>
      <c r="BR195" s="406">
        <f t="shared" si="324"/>
        <v>0.42838493062160393</v>
      </c>
      <c r="BS195" s="512"/>
      <c r="BT195" s="409">
        <v>1624</v>
      </c>
      <c r="BU195" s="43"/>
      <c r="BV195" s="43">
        <f t="shared" si="350"/>
        <v>1586</v>
      </c>
      <c r="BW195" s="43">
        <f t="shared" si="351"/>
        <v>38</v>
      </c>
      <c r="BX195" s="42">
        <f t="shared" si="325"/>
        <v>9.4884951995705208E-2</v>
      </c>
      <c r="BY195" s="43">
        <f t="shared" si="352"/>
        <v>17851</v>
      </c>
      <c r="BZ195" s="42">
        <f t="shared" si="326"/>
        <v>0.21198955996247199</v>
      </c>
      <c r="CA195" s="514"/>
      <c r="CB195" s="392">
        <v>1150</v>
      </c>
      <c r="CC195" s="395"/>
      <c r="CD195" s="298">
        <f t="shared" si="282"/>
        <v>1150</v>
      </c>
      <c r="CE195" s="298">
        <f t="shared" si="264"/>
        <v>0</v>
      </c>
      <c r="CF195" s="297">
        <f t="shared" si="327"/>
        <v>0</v>
      </c>
      <c r="CG195" s="298">
        <f t="shared" si="328"/>
        <v>60200</v>
      </c>
      <c r="CH195" s="297">
        <f t="shared" si="329"/>
        <v>0.71490513191086291</v>
      </c>
      <c r="CI195" s="516"/>
      <c r="CJ195" s="659">
        <v>975</v>
      </c>
      <c r="CK195" s="651"/>
      <c r="CL195" s="657">
        <f t="shared" si="361"/>
        <v>975</v>
      </c>
      <c r="CM195" s="657">
        <f t="shared" si="362"/>
        <v>0</v>
      </c>
      <c r="CN195" s="659">
        <f t="shared" si="359"/>
        <v>25275</v>
      </c>
      <c r="CO195" s="464">
        <v>0</v>
      </c>
      <c r="CP195" s="469"/>
      <c r="CQ195" s="465">
        <f t="shared" si="283"/>
        <v>0</v>
      </c>
      <c r="CR195" s="465">
        <f t="shared" si="265"/>
        <v>0</v>
      </c>
      <c r="CS195" s="486">
        <f t="shared" si="330"/>
        <v>0</v>
      </c>
      <c r="CT195" s="465">
        <f t="shared" si="331"/>
        <v>1619</v>
      </c>
      <c r="CU195" s="486">
        <f t="shared" si="332"/>
        <v>1.9226435358200782E-2</v>
      </c>
      <c r="CV195" s="518"/>
      <c r="CW195" s="427">
        <v>0</v>
      </c>
      <c r="CX195" s="427"/>
      <c r="CY195" s="427">
        <f t="shared" si="333"/>
        <v>0</v>
      </c>
      <c r="CZ195" s="427">
        <f t="shared" si="334"/>
        <v>0</v>
      </c>
      <c r="DA195" s="607">
        <f t="shared" si="349"/>
        <v>0</v>
      </c>
      <c r="DB195" s="607">
        <f t="shared" si="335"/>
        <v>115</v>
      </c>
      <c r="DC195" s="607">
        <f t="shared" si="284"/>
        <v>1.3656825609592897E-3</v>
      </c>
      <c r="DD195" s="609"/>
      <c r="DE195" s="471">
        <v>4.4000000000000004</v>
      </c>
      <c r="DF195" s="475">
        <v>16</v>
      </c>
      <c r="DG195" s="473">
        <f t="shared" si="285"/>
        <v>7.1</v>
      </c>
      <c r="DH195" s="473">
        <f t="shared" si="266"/>
        <v>13.299999999999999</v>
      </c>
      <c r="DI195" s="227">
        <f t="shared" si="336"/>
        <v>3.3209733198496821E-2</v>
      </c>
      <c r="DJ195" s="473">
        <f t="shared" si="337"/>
        <v>148.1</v>
      </c>
      <c r="DK195" s="227">
        <f t="shared" si="338"/>
        <v>1.7587616285049635E-3</v>
      </c>
      <c r="DL195" s="510"/>
      <c r="DM195" s="63">
        <v>0</v>
      </c>
      <c r="DN195" s="64"/>
      <c r="DO195" s="66">
        <f t="shared" si="339"/>
        <v>0</v>
      </c>
      <c r="DP195" s="66">
        <f t="shared" si="267"/>
        <v>0</v>
      </c>
      <c r="DQ195" s="412">
        <f t="shared" si="340"/>
        <v>0</v>
      </c>
      <c r="DR195" s="66">
        <f t="shared" si="341"/>
        <v>18000</v>
      </c>
      <c r="DS195" s="412">
        <f t="shared" si="342"/>
        <v>0.21375900954145402</v>
      </c>
      <c r="DT195" s="506"/>
      <c r="DU195" s="596">
        <v>0</v>
      </c>
      <c r="DV195" s="596"/>
      <c r="DW195" s="596">
        <f t="shared" si="286"/>
        <v>0</v>
      </c>
      <c r="DX195" s="596">
        <f>DU195+DV195-DW195</f>
        <v>0</v>
      </c>
      <c r="DY195" s="592">
        <f t="shared" si="287"/>
        <v>0</v>
      </c>
      <c r="DZ195" s="596">
        <f t="shared" si="343"/>
        <v>2800</v>
      </c>
      <c r="EA195" s="592">
        <f t="shared" si="288"/>
        <v>3.325140148422618E-2</v>
      </c>
      <c r="EB195" s="594"/>
      <c r="EC195" s="448">
        <v>100</v>
      </c>
      <c r="ED195" s="454"/>
      <c r="EE195" s="449">
        <f t="shared" si="289"/>
        <v>100</v>
      </c>
      <c r="EF195" s="449">
        <f t="shared" si="269"/>
        <v>0</v>
      </c>
      <c r="EG195" s="450">
        <f t="shared" si="347"/>
        <v>0</v>
      </c>
      <c r="EH195" s="449">
        <f t="shared" si="344"/>
        <v>1065</v>
      </c>
      <c r="EI195" s="450">
        <f t="shared" si="348"/>
        <v>1.264740806453603E-2</v>
      </c>
      <c r="EJ195" s="520"/>
      <c r="EK195" s="426">
        <v>1638</v>
      </c>
      <c r="EL195" s="430"/>
      <c r="EM195" s="427">
        <f t="shared" si="290"/>
        <v>1150</v>
      </c>
      <c r="EN195" s="427">
        <f t="shared" si="270"/>
        <v>488</v>
      </c>
      <c r="EO195" s="427">
        <f t="shared" si="291"/>
        <v>81172</v>
      </c>
      <c r="EP195" s="456">
        <v>14</v>
      </c>
      <c r="EQ195" s="460">
        <v>42</v>
      </c>
      <c r="ER195" s="457">
        <f t="shared" si="292"/>
        <v>42</v>
      </c>
      <c r="ES195" s="457">
        <f t="shared" si="271"/>
        <v>14</v>
      </c>
      <c r="ET195" s="457">
        <f t="shared" si="293"/>
        <v>2032</v>
      </c>
      <c r="EU195" s="409">
        <v>11</v>
      </c>
      <c r="EV195" s="434"/>
      <c r="EW195" s="43">
        <f t="shared" si="294"/>
        <v>7</v>
      </c>
      <c r="EX195" s="43">
        <f t="shared" si="272"/>
        <v>4</v>
      </c>
      <c r="EY195" s="43">
        <f t="shared" si="295"/>
        <v>933</v>
      </c>
      <c r="EZ195" s="436">
        <v>79</v>
      </c>
      <c r="FA195" s="440"/>
      <c r="FB195" s="437">
        <f t="shared" si="296"/>
        <v>74</v>
      </c>
      <c r="FC195" s="437">
        <f t="shared" si="273"/>
        <v>5</v>
      </c>
      <c r="FD195" s="437">
        <f t="shared" si="297"/>
        <v>1016</v>
      </c>
      <c r="FE195" s="442">
        <v>0</v>
      </c>
      <c r="FF195" s="446"/>
      <c r="FG195" s="443">
        <f t="shared" si="298"/>
        <v>0</v>
      </c>
      <c r="FH195" s="443">
        <f t="shared" si="274"/>
        <v>0</v>
      </c>
      <c r="FI195" s="443">
        <f t="shared" si="299"/>
        <v>1200</v>
      </c>
      <c r="FJ195" s="392">
        <v>985</v>
      </c>
      <c r="FK195" s="395"/>
      <c r="FL195" s="298">
        <f t="shared" si="300"/>
        <v>945</v>
      </c>
      <c r="FM195" s="298">
        <f t="shared" si="275"/>
        <v>40</v>
      </c>
      <c r="FN195" s="498">
        <f t="shared" si="301"/>
        <v>3855</v>
      </c>
      <c r="HC195" s="402">
        <v>1200</v>
      </c>
      <c r="HD195" s="462"/>
      <c r="HE195" s="52">
        <f t="shared" si="302"/>
        <v>972</v>
      </c>
      <c r="HF195" s="52">
        <f t="shared" si="276"/>
        <v>228</v>
      </c>
      <c r="HG195" s="51"/>
      <c r="HH195" s="52">
        <f t="shared" si="345"/>
        <v>1828</v>
      </c>
      <c r="HI195" s="51"/>
      <c r="HJ195" s="1047"/>
    </row>
    <row r="196" spans="1:218">
      <c r="A196" s="810">
        <v>44859</v>
      </c>
      <c r="B196" s="390">
        <v>462975</v>
      </c>
      <c r="C196" s="18">
        <f t="shared" ref="C196:C240" si="363">C195+B196</f>
        <v>84669952</v>
      </c>
      <c r="D196" s="376">
        <v>4677.46</v>
      </c>
      <c r="E196" s="417">
        <f t="shared" si="360"/>
        <v>1046384.7999999998</v>
      </c>
      <c r="F196" s="397">
        <v>21008</v>
      </c>
      <c r="G196" s="37"/>
      <c r="H196" s="37">
        <f t="shared" si="277"/>
        <v>18236</v>
      </c>
      <c r="I196" s="37">
        <f t="shared" ref="I196:I240" si="364">F196+G196-H196</f>
        <v>2772</v>
      </c>
      <c r="J196" s="37">
        <f t="shared" ref="J196:J240" si="365">I196*1000/D196</f>
        <v>592.62933301407179</v>
      </c>
      <c r="K196" s="37">
        <f t="shared" si="303"/>
        <v>462971</v>
      </c>
      <c r="L196" s="37">
        <f t="shared" ref="L196:L240" si="366">K196*1000/E196</f>
        <v>442.44813189182418</v>
      </c>
      <c r="M196" s="648"/>
      <c r="N196" s="422">
        <v>175</v>
      </c>
      <c r="O196" s="423"/>
      <c r="P196" s="423">
        <f t="shared" si="304"/>
        <v>100</v>
      </c>
      <c r="Q196" s="423">
        <f t="shared" si="305"/>
        <v>75</v>
      </c>
      <c r="R196" s="423">
        <f t="shared" si="306"/>
        <v>13775</v>
      </c>
      <c r="S196" s="68">
        <v>7.41</v>
      </c>
      <c r="T196" s="67">
        <v>24</v>
      </c>
      <c r="U196" s="68">
        <f t="shared" si="307"/>
        <v>88.92</v>
      </c>
      <c r="V196" s="68">
        <f t="shared" ref="V196:V240" si="367">U196*1000/D196</f>
        <v>19.010317565516328</v>
      </c>
      <c r="W196" s="423">
        <f t="shared" si="308"/>
        <v>13415.783999999998</v>
      </c>
      <c r="X196" s="68">
        <f t="shared" ref="X196:X240" si="368">W196*1000/E196</f>
        <v>12.821080734353176</v>
      </c>
      <c r="Y196" s="500"/>
      <c r="Z196" s="424">
        <v>25</v>
      </c>
      <c r="AA196" s="425"/>
      <c r="AB196" s="425">
        <f t="shared" si="309"/>
        <v>0</v>
      </c>
      <c r="AC196" s="425">
        <f t="shared" si="310"/>
        <v>25</v>
      </c>
      <c r="AD196" s="425">
        <f t="shared" si="311"/>
        <v>2175</v>
      </c>
      <c r="AE196" s="72">
        <v>1.92</v>
      </c>
      <c r="AF196" s="71">
        <v>12</v>
      </c>
      <c r="AG196" s="72">
        <f t="shared" si="312"/>
        <v>11.52</v>
      </c>
      <c r="AH196" s="72">
        <f t="shared" si="278"/>
        <v>2.4628751501883501</v>
      </c>
      <c r="AI196" s="425">
        <f t="shared" si="313"/>
        <v>2012.5320000000013</v>
      </c>
      <c r="AJ196" s="72">
        <f t="shared" si="346"/>
        <v>1.9233192225269344</v>
      </c>
      <c r="AK196" s="502"/>
      <c r="AL196" s="491">
        <v>22480</v>
      </c>
      <c r="AM196" s="491"/>
      <c r="AN196" s="492">
        <f t="shared" si="353"/>
        <v>22480</v>
      </c>
      <c r="AO196" s="492">
        <f t="shared" si="354"/>
        <v>0</v>
      </c>
      <c r="AP196" s="492">
        <f t="shared" si="355"/>
        <v>61093</v>
      </c>
      <c r="AQ196" s="493">
        <f t="shared" si="279"/>
        <v>58.3848312781302</v>
      </c>
      <c r="AR196" s="504"/>
      <c r="AS196" s="413">
        <v>15112</v>
      </c>
      <c r="AT196" s="133"/>
      <c r="AU196" s="66">
        <f t="shared" si="314"/>
        <v>12476</v>
      </c>
      <c r="AV196" s="66">
        <f t="shared" ref="AV196:AV240" si="369">AS196+AT196-AU196</f>
        <v>2636</v>
      </c>
      <c r="AW196" s="412">
        <f t="shared" si="315"/>
        <v>5.6936119660888815</v>
      </c>
      <c r="AX196" s="66">
        <f t="shared" si="316"/>
        <v>285139</v>
      </c>
      <c r="AY196" s="412">
        <f t="shared" si="317"/>
        <v>3.3676527890319341</v>
      </c>
      <c r="AZ196" s="506"/>
      <c r="BA196" s="419">
        <v>16500</v>
      </c>
      <c r="BB196" s="419"/>
      <c r="BC196" s="407"/>
      <c r="BD196" s="419">
        <f t="shared" si="280"/>
        <v>1980</v>
      </c>
      <c r="BE196" s="419">
        <f t="shared" si="281"/>
        <v>14520</v>
      </c>
      <c r="BF196" s="407">
        <f t="shared" si="318"/>
        <v>31.36238457800097</v>
      </c>
      <c r="BG196" s="419">
        <f t="shared" si="356"/>
        <v>366790</v>
      </c>
      <c r="BH196" s="407">
        <f t="shared" si="319"/>
        <v>4.3319972591929661</v>
      </c>
      <c r="BI196" s="407">
        <f t="shared" si="320"/>
        <v>0.53044864398281222</v>
      </c>
      <c r="BJ196" s="508"/>
      <c r="BK196" s="510"/>
      <c r="BL196" s="49">
        <v>1627</v>
      </c>
      <c r="BM196" s="248"/>
      <c r="BN196" s="52">
        <f t="shared" si="321"/>
        <v>1568</v>
      </c>
      <c r="BO196" s="52">
        <f t="shared" ref="BO196:BO240" si="370">BL196+BM196-BN196</f>
        <v>59</v>
      </c>
      <c r="BP196" s="406">
        <f t="shared" si="322"/>
        <v>0.12743668664614721</v>
      </c>
      <c r="BQ196" s="52">
        <f t="shared" si="323"/>
        <v>36132</v>
      </c>
      <c r="BR196" s="406">
        <f t="shared" si="324"/>
        <v>0.42673934668109886</v>
      </c>
      <c r="BS196" s="512"/>
      <c r="BT196" s="409">
        <v>1586</v>
      </c>
      <c r="BU196" s="43"/>
      <c r="BV196" s="43">
        <f t="shared" si="350"/>
        <v>1547</v>
      </c>
      <c r="BW196" s="43">
        <f t="shared" si="351"/>
        <v>39</v>
      </c>
      <c r="BX196" s="42">
        <f t="shared" si="325"/>
        <v>8.4237809816944759E-2</v>
      </c>
      <c r="BY196" s="43">
        <f t="shared" si="352"/>
        <v>17890</v>
      </c>
      <c r="BZ196" s="42">
        <f t="shared" si="326"/>
        <v>0.21129101384160465</v>
      </c>
      <c r="CA196" s="514"/>
      <c r="CB196" s="392">
        <v>1150</v>
      </c>
      <c r="CC196" s="395"/>
      <c r="CD196" s="298">
        <f t="shared" si="282"/>
        <v>1150</v>
      </c>
      <c r="CE196" s="298">
        <f t="shared" ref="CE196:CE240" si="371">CB196+CC196-CD196</f>
        <v>0</v>
      </c>
      <c r="CF196" s="297">
        <f t="shared" si="327"/>
        <v>0</v>
      </c>
      <c r="CG196" s="298">
        <f t="shared" si="328"/>
        <v>60200</v>
      </c>
      <c r="CH196" s="297">
        <f t="shared" si="329"/>
        <v>0.71099603316179982</v>
      </c>
      <c r="CI196" s="516"/>
      <c r="CJ196" s="659">
        <v>975</v>
      </c>
      <c r="CK196" s="651"/>
      <c r="CL196" s="657">
        <f t="shared" si="361"/>
        <v>975</v>
      </c>
      <c r="CM196" s="657">
        <f t="shared" si="362"/>
        <v>0</v>
      </c>
      <c r="CN196" s="659">
        <f t="shared" si="359"/>
        <v>25275</v>
      </c>
      <c r="CO196" s="464">
        <v>0</v>
      </c>
      <c r="CP196" s="469"/>
      <c r="CQ196" s="465">
        <f t="shared" si="283"/>
        <v>0</v>
      </c>
      <c r="CR196" s="465">
        <f t="shared" ref="CR196:CR240" si="372">CO196+CP196-CQ196</f>
        <v>0</v>
      </c>
      <c r="CS196" s="486">
        <f t="shared" si="330"/>
        <v>0</v>
      </c>
      <c r="CT196" s="465">
        <f t="shared" si="331"/>
        <v>1619</v>
      </c>
      <c r="CU196" s="486">
        <f t="shared" si="332"/>
        <v>1.9121305277225147E-2</v>
      </c>
      <c r="CV196" s="518"/>
      <c r="CW196" s="427">
        <v>0</v>
      </c>
      <c r="CX196" s="427"/>
      <c r="CY196" s="427">
        <f t="shared" si="333"/>
        <v>0</v>
      </c>
      <c r="CZ196" s="427">
        <f t="shared" si="334"/>
        <v>0</v>
      </c>
      <c r="DA196" s="607">
        <f t="shared" si="349"/>
        <v>0</v>
      </c>
      <c r="DB196" s="607">
        <f t="shared" si="335"/>
        <v>115</v>
      </c>
      <c r="DC196" s="607">
        <f t="shared" si="284"/>
        <v>1.3582150135150661E-3</v>
      </c>
      <c r="DD196" s="609"/>
      <c r="DE196" s="471">
        <v>7.1</v>
      </c>
      <c r="DF196" s="475"/>
      <c r="DG196" s="473">
        <f t="shared" si="285"/>
        <v>7.1</v>
      </c>
      <c r="DH196" s="473">
        <f t="shared" ref="DH196:DH240" si="373">DE196+DF196-DG196</f>
        <v>0</v>
      </c>
      <c r="DI196" s="227">
        <f t="shared" si="336"/>
        <v>0</v>
      </c>
      <c r="DJ196" s="473">
        <f t="shared" si="337"/>
        <v>148.1</v>
      </c>
      <c r="DK196" s="227">
        <f t="shared" si="338"/>
        <v>1.7491447261007069E-3</v>
      </c>
      <c r="DL196" s="510"/>
      <c r="DM196" s="63">
        <v>0</v>
      </c>
      <c r="DN196" s="133"/>
      <c r="DO196" s="66">
        <f t="shared" si="339"/>
        <v>0</v>
      </c>
      <c r="DP196" s="66">
        <f t="shared" ref="DP196:DP240" si="374">DM196+DN196-DO196</f>
        <v>0</v>
      </c>
      <c r="DQ196" s="412">
        <f t="shared" si="340"/>
        <v>0</v>
      </c>
      <c r="DR196" s="66">
        <f t="shared" si="341"/>
        <v>18000</v>
      </c>
      <c r="DS196" s="412">
        <f t="shared" si="342"/>
        <v>0.21259017602844513</v>
      </c>
      <c r="DT196" s="506"/>
      <c r="DU196" s="596">
        <v>0</v>
      </c>
      <c r="DV196" s="596"/>
      <c r="DW196" s="596">
        <f t="shared" si="286"/>
        <v>0</v>
      </c>
      <c r="DX196" s="596">
        <f t="shared" ref="DX196:DX240" si="375">DU196+DV196-DW196</f>
        <v>0</v>
      </c>
      <c r="DY196" s="592">
        <f t="shared" si="287"/>
        <v>0</v>
      </c>
      <c r="DZ196" s="596">
        <f t="shared" si="343"/>
        <v>2800</v>
      </c>
      <c r="EA196" s="592">
        <f t="shared" si="288"/>
        <v>3.3069582937758135E-2</v>
      </c>
      <c r="EB196" s="594"/>
      <c r="EC196" s="448">
        <v>100</v>
      </c>
      <c r="ED196" s="454"/>
      <c r="EE196" s="449">
        <f t="shared" si="289"/>
        <v>100</v>
      </c>
      <c r="EF196" s="449">
        <f t="shared" ref="EF196:EF240" si="376">EC196+ED196-EE196</f>
        <v>0</v>
      </c>
      <c r="EG196" s="450">
        <f t="shared" si="347"/>
        <v>0</v>
      </c>
      <c r="EH196" s="449">
        <f t="shared" si="344"/>
        <v>1065</v>
      </c>
      <c r="EI196" s="450">
        <f t="shared" si="348"/>
        <v>1.2578252081683004E-2</v>
      </c>
      <c r="EJ196" s="520"/>
      <c r="EK196" s="426">
        <v>1150</v>
      </c>
      <c r="EL196" s="430">
        <v>1200</v>
      </c>
      <c r="EM196" s="427">
        <f t="shared" si="290"/>
        <v>2288</v>
      </c>
      <c r="EN196" s="427">
        <f t="shared" ref="EN196:EN240" si="377">EK196+EL196-EM196</f>
        <v>62</v>
      </c>
      <c r="EO196" s="427">
        <f t="shared" si="291"/>
        <v>81234</v>
      </c>
      <c r="EP196" s="456">
        <v>42</v>
      </c>
      <c r="EQ196" s="460"/>
      <c r="ER196" s="457">
        <f t="shared" si="292"/>
        <v>14</v>
      </c>
      <c r="ES196" s="457">
        <f t="shared" ref="ES196:ES240" si="378">EP196+EQ196-ER196</f>
        <v>28</v>
      </c>
      <c r="ET196" s="457">
        <f t="shared" si="293"/>
        <v>2060</v>
      </c>
      <c r="EU196" s="409">
        <v>7</v>
      </c>
      <c r="EV196" s="434"/>
      <c r="EW196" s="43">
        <f t="shared" si="294"/>
        <v>4</v>
      </c>
      <c r="EX196" s="43">
        <f t="shared" ref="EX196:EX240" si="379">EU196+EV196-EW196</f>
        <v>3</v>
      </c>
      <c r="EY196" s="43">
        <f t="shared" si="295"/>
        <v>936</v>
      </c>
      <c r="EZ196" s="436">
        <v>74</v>
      </c>
      <c r="FA196" s="440"/>
      <c r="FB196" s="437">
        <f t="shared" si="296"/>
        <v>67</v>
      </c>
      <c r="FC196" s="437">
        <f t="shared" ref="FC196:FC240" si="380">EZ196+FA196-FB196</f>
        <v>7</v>
      </c>
      <c r="FD196" s="437">
        <f t="shared" si="297"/>
        <v>1023</v>
      </c>
      <c r="FE196" s="442">
        <v>0</v>
      </c>
      <c r="FF196" s="446"/>
      <c r="FG196" s="443">
        <f t="shared" si="298"/>
        <v>0</v>
      </c>
      <c r="FH196" s="443">
        <f t="shared" ref="FH196:FH240" si="381">FE196+FF196-FG196</f>
        <v>0</v>
      </c>
      <c r="FI196" s="443">
        <f t="shared" si="299"/>
        <v>1200</v>
      </c>
      <c r="FJ196" s="392">
        <v>945</v>
      </c>
      <c r="FK196" s="395"/>
      <c r="FL196" s="298">
        <f t="shared" si="300"/>
        <v>905</v>
      </c>
      <c r="FM196" s="298">
        <f t="shared" ref="FM196:FM240" si="382">FJ196+FK196-FL196</f>
        <v>40</v>
      </c>
      <c r="FN196" s="498">
        <f t="shared" si="301"/>
        <v>3895</v>
      </c>
      <c r="HC196" s="402">
        <v>972</v>
      </c>
      <c r="HD196" s="462"/>
      <c r="HE196" s="52">
        <f t="shared" si="302"/>
        <v>732</v>
      </c>
      <c r="HF196" s="52">
        <f t="shared" ref="HF196:HF240" si="383">HC196+HD196-HE196</f>
        <v>240</v>
      </c>
      <c r="HG196" s="51"/>
      <c r="HH196" s="52">
        <f t="shared" si="345"/>
        <v>2068</v>
      </c>
      <c r="HI196" s="51"/>
      <c r="HJ196" s="1047"/>
    </row>
    <row r="197" spans="1:218">
      <c r="A197" s="810">
        <v>44860</v>
      </c>
      <c r="B197" s="390">
        <v>488503</v>
      </c>
      <c r="C197" s="18">
        <f t="shared" si="363"/>
        <v>85158455</v>
      </c>
      <c r="D197" s="376">
        <v>5371.3</v>
      </c>
      <c r="E197" s="417">
        <f t="shared" si="360"/>
        <v>1051756.0999999999</v>
      </c>
      <c r="F197" s="397">
        <v>18236</v>
      </c>
      <c r="G197" s="37"/>
      <c r="H197" s="37">
        <f t="shared" ref="H197:H239" si="384">F198</f>
        <v>16850</v>
      </c>
      <c r="I197" s="37">
        <f t="shared" si="364"/>
        <v>1386</v>
      </c>
      <c r="J197" s="37">
        <f t="shared" si="365"/>
        <v>258.03809133729266</v>
      </c>
      <c r="K197" s="37">
        <f t="shared" si="303"/>
        <v>464357</v>
      </c>
      <c r="L197" s="37">
        <f t="shared" si="366"/>
        <v>441.50635304135631</v>
      </c>
      <c r="M197" s="648"/>
      <c r="N197" s="422">
        <v>100</v>
      </c>
      <c r="O197" s="423">
        <v>150</v>
      </c>
      <c r="P197" s="423">
        <f t="shared" si="304"/>
        <v>150</v>
      </c>
      <c r="Q197" s="423">
        <f t="shared" si="305"/>
        <v>100</v>
      </c>
      <c r="R197" s="423">
        <f t="shared" si="306"/>
        <v>13875</v>
      </c>
      <c r="S197" s="68">
        <v>7.11</v>
      </c>
      <c r="T197" s="67">
        <v>24</v>
      </c>
      <c r="U197" s="68">
        <f t="shared" si="307"/>
        <v>85.320000000000007</v>
      </c>
      <c r="V197" s="68">
        <f t="shared" si="367"/>
        <v>15.884422765438536</v>
      </c>
      <c r="W197" s="423">
        <f t="shared" si="308"/>
        <v>13501.103999999998</v>
      </c>
      <c r="X197" s="68">
        <f t="shared" si="368"/>
        <v>12.836725168506273</v>
      </c>
      <c r="Y197" s="500"/>
      <c r="Z197" s="424">
        <v>0</v>
      </c>
      <c r="AA197" s="425">
        <v>50</v>
      </c>
      <c r="AB197" s="425">
        <f t="shared" si="309"/>
        <v>50</v>
      </c>
      <c r="AC197" s="425">
        <f t="shared" si="310"/>
        <v>0</v>
      </c>
      <c r="AD197" s="425">
        <f t="shared" si="311"/>
        <v>2175</v>
      </c>
      <c r="AE197" s="72">
        <v>2.11</v>
      </c>
      <c r="AF197" s="71">
        <v>12</v>
      </c>
      <c r="AG197" s="72">
        <f t="shared" si="312"/>
        <v>12.66</v>
      </c>
      <c r="AH197" s="72">
        <f t="shared" ref="AH197:AH240" si="385">AG197*1000/D197</f>
        <v>2.3569713104834955</v>
      </c>
      <c r="AI197" s="425">
        <f t="shared" si="313"/>
        <v>2025.1920000000014</v>
      </c>
      <c r="AJ197" s="72">
        <f t="shared" si="346"/>
        <v>1.925533876152467</v>
      </c>
      <c r="AK197" s="502"/>
      <c r="AL197" s="491">
        <v>22480</v>
      </c>
      <c r="AM197" s="491"/>
      <c r="AN197" s="492">
        <f t="shared" si="353"/>
        <v>22480</v>
      </c>
      <c r="AO197" s="492">
        <f t="shared" si="354"/>
        <v>0</v>
      </c>
      <c r="AP197" s="492">
        <f t="shared" si="355"/>
        <v>61093</v>
      </c>
      <c r="AQ197" s="493">
        <f t="shared" ref="AQ197:AQ240" si="386">AP197*1000/E197</f>
        <v>58.086660966359034</v>
      </c>
      <c r="AR197" s="504"/>
      <c r="AS197" s="413">
        <v>12476</v>
      </c>
      <c r="AT197" s="133"/>
      <c r="AU197" s="66">
        <f t="shared" si="314"/>
        <v>9744</v>
      </c>
      <c r="AV197" s="66">
        <f t="shared" si="369"/>
        <v>2732</v>
      </c>
      <c r="AW197" s="412">
        <f t="shared" si="315"/>
        <v>5.5925961560113242</v>
      </c>
      <c r="AX197" s="66">
        <f t="shared" si="316"/>
        <v>287871</v>
      </c>
      <c r="AY197" s="412">
        <f t="shared" si="317"/>
        <v>3.3804159551743864</v>
      </c>
      <c r="AZ197" s="506"/>
      <c r="BA197" s="419">
        <v>1980</v>
      </c>
      <c r="BB197" s="419"/>
      <c r="BC197" s="407"/>
      <c r="BD197" s="419">
        <f t="shared" ref="BD197:BD239" si="387">BA198</f>
        <v>1980</v>
      </c>
      <c r="BE197" s="419">
        <f t="shared" ref="BE197:BE240" si="388">BA197+BB197-BD197</f>
        <v>0</v>
      </c>
      <c r="BF197" s="407">
        <f t="shared" si="318"/>
        <v>0</v>
      </c>
      <c r="BG197" s="419">
        <f t="shared" si="356"/>
        <v>366790</v>
      </c>
      <c r="BH197" s="407">
        <f t="shared" si="319"/>
        <v>4.3071471881447358</v>
      </c>
      <c r="BI197" s="407">
        <f t="shared" si="320"/>
        <v>0.52740577814017175</v>
      </c>
      <c r="BJ197" s="508"/>
      <c r="BK197" s="510"/>
      <c r="BL197" s="49">
        <v>1568</v>
      </c>
      <c r="BM197" s="248"/>
      <c r="BN197" s="52">
        <f t="shared" si="321"/>
        <v>1524</v>
      </c>
      <c r="BO197" s="52">
        <f t="shared" si="370"/>
        <v>44</v>
      </c>
      <c r="BP197" s="406">
        <f t="shared" si="322"/>
        <v>9.0071094752744607E-2</v>
      </c>
      <c r="BQ197" s="52">
        <f t="shared" si="323"/>
        <v>36176</v>
      </c>
      <c r="BR197" s="406">
        <f t="shared" si="324"/>
        <v>0.42480808276758897</v>
      </c>
      <c r="BS197" s="512"/>
      <c r="BT197" s="409">
        <v>1547</v>
      </c>
      <c r="BU197" s="43"/>
      <c r="BV197" s="43">
        <f t="shared" si="350"/>
        <v>1499</v>
      </c>
      <c r="BW197" s="43">
        <f t="shared" si="351"/>
        <v>48</v>
      </c>
      <c r="BX197" s="42">
        <f t="shared" si="325"/>
        <v>9.8259376093903214E-2</v>
      </c>
      <c r="BY197" s="43">
        <f t="shared" si="352"/>
        <v>17938</v>
      </c>
      <c r="BZ197" s="42">
        <f t="shared" si="326"/>
        <v>0.21064261910341139</v>
      </c>
      <c r="CA197" s="514"/>
      <c r="CB197" s="392">
        <v>1150</v>
      </c>
      <c r="CC197" s="395"/>
      <c r="CD197" s="298">
        <f t="shared" ref="CD197:CD239" si="389">CB198</f>
        <v>1150</v>
      </c>
      <c r="CE197" s="298">
        <f t="shared" si="371"/>
        <v>0</v>
      </c>
      <c r="CF197" s="297">
        <f t="shared" si="327"/>
        <v>0</v>
      </c>
      <c r="CG197" s="298">
        <f t="shared" si="328"/>
        <v>60200</v>
      </c>
      <c r="CH197" s="297">
        <f t="shared" si="329"/>
        <v>0.70691747519374326</v>
      </c>
      <c r="CI197" s="516"/>
      <c r="CJ197" s="659">
        <v>975</v>
      </c>
      <c r="CK197" s="651"/>
      <c r="CL197" s="657">
        <f t="shared" si="361"/>
        <v>975</v>
      </c>
      <c r="CM197" s="657">
        <f t="shared" si="362"/>
        <v>0</v>
      </c>
      <c r="CN197" s="659">
        <f t="shared" si="359"/>
        <v>25275</v>
      </c>
      <c r="CO197" s="464">
        <v>0</v>
      </c>
      <c r="CP197" s="469"/>
      <c r="CQ197" s="465">
        <f t="shared" ref="CQ197:CQ239" si="390">CO198</f>
        <v>0</v>
      </c>
      <c r="CR197" s="465">
        <f t="shared" si="372"/>
        <v>0</v>
      </c>
      <c r="CS197" s="486">
        <f t="shared" si="330"/>
        <v>0</v>
      </c>
      <c r="CT197" s="465">
        <f t="shared" si="331"/>
        <v>1619</v>
      </c>
      <c r="CU197" s="486">
        <f t="shared" si="332"/>
        <v>1.9011617812934721E-2</v>
      </c>
      <c r="CV197" s="518"/>
      <c r="CW197" s="427">
        <v>0</v>
      </c>
      <c r="CX197" s="427"/>
      <c r="CY197" s="427">
        <f t="shared" si="333"/>
        <v>0</v>
      </c>
      <c r="CZ197" s="427">
        <f t="shared" si="334"/>
        <v>0</v>
      </c>
      <c r="DA197" s="607">
        <f t="shared" si="349"/>
        <v>0</v>
      </c>
      <c r="DB197" s="607">
        <f t="shared" si="335"/>
        <v>115</v>
      </c>
      <c r="DC197" s="607">
        <f t="shared" ref="DC197:DC240" si="391">DB197*1000/C197</f>
        <v>1.3504237482936956E-3</v>
      </c>
      <c r="DD197" s="609"/>
      <c r="DE197" s="471">
        <v>7.1</v>
      </c>
      <c r="DF197" s="475"/>
      <c r="DG197" s="473">
        <f t="shared" ref="DG197:DG239" si="392">DE198</f>
        <v>7.1</v>
      </c>
      <c r="DH197" s="473">
        <f t="shared" si="373"/>
        <v>0</v>
      </c>
      <c r="DI197" s="227">
        <f t="shared" si="336"/>
        <v>0</v>
      </c>
      <c r="DJ197" s="473">
        <f t="shared" si="337"/>
        <v>148.1</v>
      </c>
      <c r="DK197" s="227">
        <f t="shared" si="338"/>
        <v>1.7391109314982289E-3</v>
      </c>
      <c r="DL197" s="510"/>
      <c r="DM197" s="63">
        <v>0</v>
      </c>
      <c r="DN197" s="133"/>
      <c r="DO197" s="66">
        <f t="shared" si="339"/>
        <v>0</v>
      </c>
      <c r="DP197" s="66">
        <f t="shared" si="374"/>
        <v>0</v>
      </c>
      <c r="DQ197" s="412">
        <f t="shared" si="340"/>
        <v>0</v>
      </c>
      <c r="DR197" s="66">
        <f t="shared" si="341"/>
        <v>18000</v>
      </c>
      <c r="DS197" s="412">
        <f t="shared" si="342"/>
        <v>0.21137067364596973</v>
      </c>
      <c r="DT197" s="506"/>
      <c r="DU197" s="596">
        <v>0</v>
      </c>
      <c r="DV197" s="596"/>
      <c r="DW197" s="596">
        <f t="shared" ref="DW197:DW240" si="393">DU198</f>
        <v>0</v>
      </c>
      <c r="DX197" s="596">
        <f t="shared" si="375"/>
        <v>0</v>
      </c>
      <c r="DY197" s="592">
        <f t="shared" ref="DY197:DY240" si="394">DX197*1000/B197</f>
        <v>0</v>
      </c>
      <c r="DZ197" s="596">
        <f t="shared" si="343"/>
        <v>2800</v>
      </c>
      <c r="EA197" s="592">
        <f t="shared" ref="EA197:EA240" si="395">DZ197*1000/C197</f>
        <v>3.2879882567150846E-2</v>
      </c>
      <c r="EB197" s="594"/>
      <c r="EC197" s="448">
        <v>100</v>
      </c>
      <c r="ED197" s="454"/>
      <c r="EE197" s="449">
        <f t="shared" ref="EE197:EE239" si="396">EC198</f>
        <v>50</v>
      </c>
      <c r="EF197" s="449">
        <f t="shared" si="376"/>
        <v>50</v>
      </c>
      <c r="EG197" s="450">
        <f t="shared" si="347"/>
        <v>0.10235351676448251</v>
      </c>
      <c r="EH197" s="449">
        <f t="shared" si="344"/>
        <v>1115</v>
      </c>
      <c r="EI197" s="450">
        <f t="shared" si="348"/>
        <v>1.3093238950847569E-2</v>
      </c>
      <c r="EJ197" s="520"/>
      <c r="EK197" s="426">
        <v>2288</v>
      </c>
      <c r="EL197" s="430">
        <v>1200</v>
      </c>
      <c r="EM197" s="427">
        <f t="shared" ref="EM197:EM239" si="397">EK198</f>
        <v>2925</v>
      </c>
      <c r="EN197" s="427">
        <f t="shared" si="377"/>
        <v>563</v>
      </c>
      <c r="EO197" s="427">
        <f t="shared" ref="EO197:EO240" si="398">EN197+EO196</f>
        <v>81797</v>
      </c>
      <c r="EP197" s="456">
        <v>14</v>
      </c>
      <c r="EQ197" s="460">
        <v>84</v>
      </c>
      <c r="ER197" s="457">
        <f t="shared" ref="ER197:ER239" si="399">EP198</f>
        <v>42</v>
      </c>
      <c r="ES197" s="457">
        <f t="shared" si="378"/>
        <v>56</v>
      </c>
      <c r="ET197" s="457">
        <f t="shared" ref="ET197:ET240" si="400">ES197+ET196</f>
        <v>2116</v>
      </c>
      <c r="EU197" s="409">
        <v>4</v>
      </c>
      <c r="EV197" s="434"/>
      <c r="EW197" s="43">
        <f t="shared" ref="EW197:EW239" si="401">EU198</f>
        <v>3</v>
      </c>
      <c r="EX197" s="43">
        <f t="shared" si="379"/>
        <v>1</v>
      </c>
      <c r="EY197" s="43">
        <f t="shared" ref="EY197:EY240" si="402">EX197+EY196</f>
        <v>937</v>
      </c>
      <c r="EZ197" s="436">
        <v>67</v>
      </c>
      <c r="FA197" s="440"/>
      <c r="FB197" s="437">
        <f t="shared" ref="FB197:FB239" si="403">EZ198</f>
        <v>61</v>
      </c>
      <c r="FC197" s="437">
        <f t="shared" si="380"/>
        <v>6</v>
      </c>
      <c r="FD197" s="437">
        <f t="shared" ref="FD197:FD240" si="404">FC197+FD196</f>
        <v>1029</v>
      </c>
      <c r="FE197" s="442">
        <v>0</v>
      </c>
      <c r="FF197" s="446"/>
      <c r="FG197" s="443">
        <f t="shared" ref="FG197:FG239" si="405">FE198</f>
        <v>0</v>
      </c>
      <c r="FH197" s="443">
        <f t="shared" si="381"/>
        <v>0</v>
      </c>
      <c r="FI197" s="443">
        <f t="shared" ref="FI197:FI240" si="406">FH197+FI196</f>
        <v>1200</v>
      </c>
      <c r="FJ197" s="392">
        <v>905</v>
      </c>
      <c r="FK197" s="395"/>
      <c r="FL197" s="298">
        <f t="shared" ref="FL197:FL239" si="407">FJ198</f>
        <v>880</v>
      </c>
      <c r="FM197" s="298">
        <f t="shared" si="382"/>
        <v>25</v>
      </c>
      <c r="FN197" s="498">
        <f t="shared" ref="FN197:FN240" si="408">FM197+FN196</f>
        <v>3920</v>
      </c>
      <c r="HC197" s="402">
        <v>732</v>
      </c>
      <c r="HD197" s="462"/>
      <c r="HE197" s="52">
        <f t="shared" ref="HE197:HE240" si="409">HC198</f>
        <v>540</v>
      </c>
      <c r="HF197" s="52">
        <f t="shared" si="383"/>
        <v>192</v>
      </c>
      <c r="HG197" s="51"/>
      <c r="HH197" s="52">
        <f t="shared" si="345"/>
        <v>2260</v>
      </c>
      <c r="HI197" s="51"/>
      <c r="HJ197" s="1047"/>
    </row>
    <row r="198" spans="1:218">
      <c r="A198" s="810">
        <v>44861</v>
      </c>
      <c r="B198" s="390">
        <v>457888</v>
      </c>
      <c r="C198" s="18">
        <f t="shared" si="363"/>
        <v>85616343</v>
      </c>
      <c r="D198" s="376">
        <v>5759.16</v>
      </c>
      <c r="E198" s="417">
        <f t="shared" si="360"/>
        <v>1057515.2599999998</v>
      </c>
      <c r="F198" s="397">
        <v>16850</v>
      </c>
      <c r="G198" s="37"/>
      <c r="H198" s="37">
        <f t="shared" si="384"/>
        <v>15925</v>
      </c>
      <c r="I198" s="37">
        <f t="shared" si="364"/>
        <v>925</v>
      </c>
      <c r="J198" s="37">
        <f t="shared" si="365"/>
        <v>160.61370060911662</v>
      </c>
      <c r="K198" s="37">
        <f t="shared" ref="K198:K240" si="410">K197+I198</f>
        <v>465282</v>
      </c>
      <c r="L198" s="37">
        <f t="shared" si="366"/>
        <v>439.97662974622239</v>
      </c>
      <c r="M198" s="648"/>
      <c r="N198" s="422">
        <v>150</v>
      </c>
      <c r="O198" s="423"/>
      <c r="P198" s="423">
        <f t="shared" ref="P198:P240" si="411">N199</f>
        <v>50</v>
      </c>
      <c r="Q198" s="423">
        <f t="shared" ref="Q198:Q240" si="412">N198+O198-P198</f>
        <v>100</v>
      </c>
      <c r="R198" s="423">
        <f t="shared" ref="R198:R240" si="413">Q198+R197</f>
        <v>13975</v>
      </c>
      <c r="S198" s="68">
        <v>6.82</v>
      </c>
      <c r="T198" s="67">
        <v>24</v>
      </c>
      <c r="U198" s="68">
        <f t="shared" ref="U198:U240" si="414">S198*T198*0.5</f>
        <v>81.84</v>
      </c>
      <c r="V198" s="68">
        <f t="shared" si="367"/>
        <v>14.210405684162273</v>
      </c>
      <c r="W198" s="423">
        <f t="shared" ref="W198:W240" si="415">U198+W197</f>
        <v>13582.943999999998</v>
      </c>
      <c r="X198" s="68">
        <f t="shared" si="368"/>
        <v>12.844206144126943</v>
      </c>
      <c r="Y198" s="500"/>
      <c r="Z198" s="424">
        <v>50</v>
      </c>
      <c r="AA198" s="425"/>
      <c r="AB198" s="425">
        <f t="shared" ref="AB198:AB239" si="416">Z199</f>
        <v>25</v>
      </c>
      <c r="AC198" s="425">
        <f t="shared" ref="AC198:AC240" si="417">Z198+AA198-AB198</f>
        <v>25</v>
      </c>
      <c r="AD198" s="425">
        <f t="shared" ref="AD198:AD240" si="418">AC198+AD197</f>
        <v>2200</v>
      </c>
      <c r="AE198" s="72">
        <v>2.15</v>
      </c>
      <c r="AF198" s="71">
        <v>12</v>
      </c>
      <c r="AG198" s="72">
        <f t="shared" ref="AG198:AG240" si="419">AE198*AF198*0.5</f>
        <v>12.899999999999999</v>
      </c>
      <c r="AH198" s="72">
        <f t="shared" si="385"/>
        <v>2.2399099868730854</v>
      </c>
      <c r="AI198" s="425">
        <f t="shared" ref="AI198:AI240" si="420">AG198+AI197</f>
        <v>2038.0920000000015</v>
      </c>
      <c r="AJ198" s="72">
        <f t="shared" si="346"/>
        <v>1.9272459482050424</v>
      </c>
      <c r="AK198" s="502"/>
      <c r="AL198" s="491">
        <v>22480</v>
      </c>
      <c r="AM198" s="491"/>
      <c r="AN198" s="492">
        <f t="shared" si="353"/>
        <v>22480</v>
      </c>
      <c r="AO198" s="492">
        <f t="shared" si="354"/>
        <v>0</v>
      </c>
      <c r="AP198" s="492">
        <f t="shared" si="355"/>
        <v>61093</v>
      </c>
      <c r="AQ198" s="493">
        <f t="shared" si="386"/>
        <v>57.770324751625822</v>
      </c>
      <c r="AR198" s="504"/>
      <c r="AS198" s="413">
        <v>9744</v>
      </c>
      <c r="AT198" s="133"/>
      <c r="AU198" s="66">
        <f t="shared" ref="AU198:AU239" si="421">AS199</f>
        <v>6964</v>
      </c>
      <c r="AV198" s="66">
        <f t="shared" si="369"/>
        <v>2780</v>
      </c>
      <c r="AW198" s="412">
        <f t="shared" ref="AW198:AW240" si="422">AV198*1000/B198</f>
        <v>6.0713536934796286</v>
      </c>
      <c r="AX198" s="66">
        <f t="shared" ref="AX198:AX240" si="423">AX197+AV198</f>
        <v>290651</v>
      </c>
      <c r="AY198" s="412">
        <f t="shared" ref="AY198:AY240" si="424">AX198*1000/C198</f>
        <v>3.3948074610007577</v>
      </c>
      <c r="AZ198" s="506"/>
      <c r="BA198" s="419">
        <v>1980</v>
      </c>
      <c r="BB198" s="419"/>
      <c r="BC198" s="407"/>
      <c r="BD198" s="419">
        <f t="shared" si="387"/>
        <v>1980</v>
      </c>
      <c r="BE198" s="419">
        <f t="shared" si="388"/>
        <v>0</v>
      </c>
      <c r="BF198" s="407">
        <f t="shared" ref="BF198:BF240" si="425">BE198*1000/B198</f>
        <v>0</v>
      </c>
      <c r="BG198" s="419">
        <f t="shared" si="356"/>
        <v>366790</v>
      </c>
      <c r="BH198" s="407">
        <f t="shared" ref="BH198:BH240" si="426">BG198*1000/C198</f>
        <v>4.2841119714725497</v>
      </c>
      <c r="BI198" s="407">
        <f t="shared" ref="BI198:BI240" si="427">BH198/(98/12)</f>
        <v>0.52458513936398576</v>
      </c>
      <c r="BJ198" s="508"/>
      <c r="BK198" s="510"/>
      <c r="BL198" s="49">
        <v>1524</v>
      </c>
      <c r="BM198" s="248"/>
      <c r="BN198" s="52">
        <f t="shared" ref="BN198:BN239" si="428">BL199</f>
        <v>1451</v>
      </c>
      <c r="BO198" s="52">
        <f t="shared" si="370"/>
        <v>73</v>
      </c>
      <c r="BP198" s="406">
        <f t="shared" ref="BP198:BP240" si="429">BO198*1000/B198</f>
        <v>0.159427632958278</v>
      </c>
      <c r="BQ198" s="52">
        <f t="shared" ref="BQ198:BQ240" si="430">BQ197+BO198</f>
        <v>36249</v>
      </c>
      <c r="BR198" s="406">
        <f t="shared" ref="BR198:BR240" si="431">BQ198*1000/C198</f>
        <v>0.42338879155350045</v>
      </c>
      <c r="BS198" s="512"/>
      <c r="BT198" s="409">
        <v>1499</v>
      </c>
      <c r="BU198" s="43"/>
      <c r="BV198" s="43">
        <f t="shared" si="350"/>
        <v>1461</v>
      </c>
      <c r="BW198" s="43">
        <f t="shared" si="351"/>
        <v>38</v>
      </c>
      <c r="BX198" s="42">
        <f t="shared" ref="BX198:BX240" si="432">BW198*1000/B198</f>
        <v>8.2989726745404988E-2</v>
      </c>
      <c r="BY198" s="43">
        <f t="shared" si="352"/>
        <v>17976</v>
      </c>
      <c r="BZ198" s="42">
        <f t="shared" ref="BZ198:BZ240" si="433">BY198*1000/C198</f>
        <v>0.20995991384495363</v>
      </c>
      <c r="CA198" s="514"/>
      <c r="CB198" s="392">
        <v>1150</v>
      </c>
      <c r="CC198" s="395"/>
      <c r="CD198" s="298">
        <f t="shared" si="389"/>
        <v>1150</v>
      </c>
      <c r="CE198" s="298">
        <f t="shared" si="371"/>
        <v>0</v>
      </c>
      <c r="CF198" s="297">
        <f t="shared" ref="CF198:CF240" si="434">CE198*1000/B198</f>
        <v>0</v>
      </c>
      <c r="CG198" s="298">
        <f t="shared" ref="CG198:CG240" si="435">CE198+CG197</f>
        <v>60200</v>
      </c>
      <c r="CH198" s="297">
        <f t="shared" ref="CH198:CH240" si="436">CG198*1000/C198</f>
        <v>0.70313678312562355</v>
      </c>
      <c r="CI198" s="516"/>
      <c r="CJ198" s="659">
        <v>975</v>
      </c>
      <c r="CK198" s="651"/>
      <c r="CL198" s="657">
        <f t="shared" si="361"/>
        <v>975</v>
      </c>
      <c r="CM198" s="657">
        <f t="shared" si="362"/>
        <v>0</v>
      </c>
      <c r="CN198" s="659">
        <f t="shared" si="359"/>
        <v>25275</v>
      </c>
      <c r="CO198" s="464">
        <v>0</v>
      </c>
      <c r="CP198" s="469"/>
      <c r="CQ198" s="465">
        <f t="shared" si="390"/>
        <v>0</v>
      </c>
      <c r="CR198" s="465">
        <f t="shared" si="372"/>
        <v>0</v>
      </c>
      <c r="CS198" s="486">
        <f t="shared" ref="CS198:CS240" si="437">CR198*1000/B198</f>
        <v>0</v>
      </c>
      <c r="CT198" s="465">
        <f t="shared" ref="CT198:CT240" si="438">CR198+CT197</f>
        <v>1619</v>
      </c>
      <c r="CU198" s="486">
        <f t="shared" ref="CU198:CU240" si="439">CT198*1000/C198</f>
        <v>1.8909941061135957E-2</v>
      </c>
      <c r="CV198" s="518"/>
      <c r="CW198" s="427">
        <v>0</v>
      </c>
      <c r="CX198" s="427"/>
      <c r="CY198" s="427">
        <f t="shared" ref="CY198:CY240" si="440">CW199</f>
        <v>0</v>
      </c>
      <c r="CZ198" s="427">
        <f t="shared" ref="CZ198:CZ240" si="441">CW198+CX198-CY198</f>
        <v>0</v>
      </c>
      <c r="DA198" s="607">
        <f t="shared" si="349"/>
        <v>0</v>
      </c>
      <c r="DB198" s="607">
        <f t="shared" ref="DB198:DB240" si="442">CZ198+DB197</f>
        <v>115</v>
      </c>
      <c r="DC198" s="607">
        <f t="shared" si="391"/>
        <v>1.3432014960040983E-3</v>
      </c>
      <c r="DD198" s="609"/>
      <c r="DE198" s="471">
        <v>7.1</v>
      </c>
      <c r="DF198" s="475"/>
      <c r="DG198" s="473">
        <f t="shared" si="392"/>
        <v>7.1</v>
      </c>
      <c r="DH198" s="473">
        <f t="shared" si="373"/>
        <v>0</v>
      </c>
      <c r="DI198" s="227">
        <f t="shared" ref="DI198:DI240" si="443">DH198*1000/B198</f>
        <v>0</v>
      </c>
      <c r="DJ198" s="473">
        <f t="shared" ref="DJ198:DJ240" si="444">DH198+DJ197</f>
        <v>148.1</v>
      </c>
      <c r="DK198" s="227">
        <f t="shared" ref="DK198:DK240" si="445">DJ198*1000/C198</f>
        <v>1.7298099265931038E-3</v>
      </c>
      <c r="DL198" s="510"/>
      <c r="DM198" s="63">
        <v>0</v>
      </c>
      <c r="DN198" s="133"/>
      <c r="DO198" s="66">
        <f t="shared" ref="DO198:DO239" si="446">DM199</f>
        <v>0</v>
      </c>
      <c r="DP198" s="66">
        <f t="shared" si="374"/>
        <v>0</v>
      </c>
      <c r="DQ198" s="412">
        <f t="shared" ref="DQ198:DQ240" si="447">DP198*1000/B198</f>
        <v>0</v>
      </c>
      <c r="DR198" s="66">
        <f t="shared" ref="DR198:DR240" si="448">DR197+DP198</f>
        <v>18000</v>
      </c>
      <c r="DS198" s="412">
        <f t="shared" ref="DS198:DS240" si="449">DR198*1000/C198</f>
        <v>0.2102402341571632</v>
      </c>
      <c r="DT198" s="506"/>
      <c r="DU198" s="596">
        <v>0</v>
      </c>
      <c r="DV198" s="596"/>
      <c r="DW198" s="596">
        <f t="shared" si="393"/>
        <v>0</v>
      </c>
      <c r="DX198" s="596">
        <f t="shared" si="375"/>
        <v>0</v>
      </c>
      <c r="DY198" s="592">
        <f t="shared" si="394"/>
        <v>0</v>
      </c>
      <c r="DZ198" s="596">
        <f t="shared" ref="DZ198:DZ240" si="450">DZ197+DX198</f>
        <v>2800</v>
      </c>
      <c r="EA198" s="592">
        <f t="shared" si="395"/>
        <v>3.2704036424447608E-2</v>
      </c>
      <c r="EB198" s="594"/>
      <c r="EC198" s="448">
        <v>50</v>
      </c>
      <c r="ED198" s="454"/>
      <c r="EE198" s="449">
        <f t="shared" si="396"/>
        <v>50</v>
      </c>
      <c r="EF198" s="449">
        <f t="shared" si="376"/>
        <v>0</v>
      </c>
      <c r="EG198" s="450">
        <f t="shared" si="347"/>
        <v>0</v>
      </c>
      <c r="EH198" s="449">
        <f t="shared" ref="EH198:EH240" si="451">EF198+EH197</f>
        <v>1115</v>
      </c>
      <c r="EI198" s="450">
        <f t="shared" si="348"/>
        <v>1.3023214504735387E-2</v>
      </c>
      <c r="EJ198" s="520"/>
      <c r="EK198" s="426">
        <v>2925</v>
      </c>
      <c r="EL198" s="430"/>
      <c r="EM198" s="427">
        <f t="shared" si="397"/>
        <v>2488</v>
      </c>
      <c r="EN198" s="427">
        <f t="shared" si="377"/>
        <v>437</v>
      </c>
      <c r="EO198" s="427">
        <f t="shared" si="398"/>
        <v>82234</v>
      </c>
      <c r="EP198" s="456">
        <v>42</v>
      </c>
      <c r="EQ198" s="460"/>
      <c r="ER198" s="457">
        <f t="shared" si="399"/>
        <v>0</v>
      </c>
      <c r="ES198" s="457">
        <f t="shared" si="378"/>
        <v>42</v>
      </c>
      <c r="ET198" s="457">
        <f t="shared" si="400"/>
        <v>2158</v>
      </c>
      <c r="EU198" s="409">
        <v>3</v>
      </c>
      <c r="EV198" s="434"/>
      <c r="EW198" s="43">
        <f t="shared" si="401"/>
        <v>0</v>
      </c>
      <c r="EX198" s="43">
        <f t="shared" si="379"/>
        <v>3</v>
      </c>
      <c r="EY198" s="43">
        <f t="shared" si="402"/>
        <v>940</v>
      </c>
      <c r="EZ198" s="436">
        <v>61</v>
      </c>
      <c r="FA198" s="440"/>
      <c r="FB198" s="437">
        <f t="shared" si="403"/>
        <v>56</v>
      </c>
      <c r="FC198" s="437">
        <f t="shared" si="380"/>
        <v>5</v>
      </c>
      <c r="FD198" s="437">
        <f t="shared" si="404"/>
        <v>1034</v>
      </c>
      <c r="FE198" s="442">
        <v>0</v>
      </c>
      <c r="FF198" s="446"/>
      <c r="FG198" s="443">
        <f t="shared" si="405"/>
        <v>0</v>
      </c>
      <c r="FH198" s="443">
        <f t="shared" si="381"/>
        <v>0</v>
      </c>
      <c r="FI198" s="443">
        <f t="shared" si="406"/>
        <v>1200</v>
      </c>
      <c r="FJ198" s="392">
        <v>880</v>
      </c>
      <c r="FK198" s="395"/>
      <c r="FL198" s="298">
        <f t="shared" si="407"/>
        <v>845</v>
      </c>
      <c r="FM198" s="298">
        <f t="shared" si="382"/>
        <v>35</v>
      </c>
      <c r="FN198" s="498">
        <f t="shared" si="408"/>
        <v>3955</v>
      </c>
      <c r="HC198" s="402">
        <v>540</v>
      </c>
      <c r="HD198" s="462"/>
      <c r="HE198" s="52">
        <f t="shared" si="409"/>
        <v>336</v>
      </c>
      <c r="HF198" s="52">
        <f t="shared" si="383"/>
        <v>204</v>
      </c>
      <c r="HG198" s="51"/>
      <c r="HH198" s="52">
        <f t="shared" ref="HH198:HH240" si="452">HF198+HH197</f>
        <v>2464</v>
      </c>
      <c r="HI198" s="51"/>
      <c r="HJ198" s="1047"/>
    </row>
    <row r="199" spans="1:218">
      <c r="A199" s="810">
        <v>44862</v>
      </c>
      <c r="B199" s="390">
        <v>395759</v>
      </c>
      <c r="C199" s="18">
        <f t="shared" si="363"/>
        <v>86012102</v>
      </c>
      <c r="D199" s="376">
        <v>3330.18</v>
      </c>
      <c r="E199" s="417">
        <f t="shared" si="360"/>
        <v>1060845.4399999997</v>
      </c>
      <c r="F199" s="397">
        <v>15925</v>
      </c>
      <c r="G199" s="37"/>
      <c r="H199" s="37">
        <f t="shared" si="384"/>
        <v>15925</v>
      </c>
      <c r="I199" s="37">
        <f t="shared" si="364"/>
        <v>0</v>
      </c>
      <c r="J199" s="37">
        <f t="shared" si="365"/>
        <v>0</v>
      </c>
      <c r="K199" s="37">
        <f t="shared" si="410"/>
        <v>465282</v>
      </c>
      <c r="L199" s="37">
        <f t="shared" si="366"/>
        <v>438.59546589557863</v>
      </c>
      <c r="M199" s="648"/>
      <c r="N199" s="422">
        <v>50</v>
      </c>
      <c r="O199" s="423"/>
      <c r="P199" s="423">
        <f t="shared" si="411"/>
        <v>0</v>
      </c>
      <c r="Q199" s="423">
        <f t="shared" si="412"/>
        <v>50</v>
      </c>
      <c r="R199" s="423">
        <f t="shared" si="413"/>
        <v>14025</v>
      </c>
      <c r="S199" s="68">
        <v>4.53</v>
      </c>
      <c r="T199" s="67">
        <v>24</v>
      </c>
      <c r="U199" s="68">
        <f t="shared" si="414"/>
        <v>54.36</v>
      </c>
      <c r="V199" s="68">
        <f t="shared" si="367"/>
        <v>16.3234419761094</v>
      </c>
      <c r="W199" s="423">
        <f t="shared" si="415"/>
        <v>13637.303999999998</v>
      </c>
      <c r="X199" s="68">
        <f t="shared" si="368"/>
        <v>12.855128075961755</v>
      </c>
      <c r="Y199" s="500"/>
      <c r="Z199" s="424">
        <v>25</v>
      </c>
      <c r="AA199" s="425"/>
      <c r="AB199" s="425">
        <f t="shared" si="416"/>
        <v>25</v>
      </c>
      <c r="AC199" s="425">
        <f t="shared" si="417"/>
        <v>0</v>
      </c>
      <c r="AD199" s="425">
        <f t="shared" si="418"/>
        <v>2200</v>
      </c>
      <c r="AE199" s="72">
        <v>1.51</v>
      </c>
      <c r="AF199" s="71">
        <v>12</v>
      </c>
      <c r="AG199" s="72">
        <f t="shared" si="419"/>
        <v>9.06</v>
      </c>
      <c r="AH199" s="72">
        <f t="shared" si="385"/>
        <v>2.7205736626849002</v>
      </c>
      <c r="AI199" s="425">
        <f t="shared" si="420"/>
        <v>2047.1520000000014</v>
      </c>
      <c r="AJ199" s="72">
        <f t="shared" ref="AJ199:AJ240" si="453">AI199*1000/E199</f>
        <v>1.9297363431189392</v>
      </c>
      <c r="AK199" s="502"/>
      <c r="AL199" s="491">
        <v>22480</v>
      </c>
      <c r="AM199" s="491"/>
      <c r="AN199" s="492">
        <f t="shared" si="353"/>
        <v>22480</v>
      </c>
      <c r="AO199" s="492">
        <f t="shared" si="354"/>
        <v>0</v>
      </c>
      <c r="AP199" s="492">
        <f t="shared" si="355"/>
        <v>61093</v>
      </c>
      <c r="AQ199" s="493">
        <f t="shared" si="386"/>
        <v>57.58897356432999</v>
      </c>
      <c r="AR199" s="504"/>
      <c r="AS199" s="413">
        <v>6964</v>
      </c>
      <c r="AT199" s="133"/>
      <c r="AU199" s="66">
        <f t="shared" si="421"/>
        <v>4697</v>
      </c>
      <c r="AV199" s="66">
        <f t="shared" si="369"/>
        <v>2267</v>
      </c>
      <c r="AW199" s="412">
        <f t="shared" si="422"/>
        <v>5.7282335967091083</v>
      </c>
      <c r="AX199" s="66">
        <f t="shared" si="423"/>
        <v>292918</v>
      </c>
      <c r="AY199" s="412">
        <f t="shared" si="424"/>
        <v>3.405544024490879</v>
      </c>
      <c r="AZ199" s="506"/>
      <c r="BA199" s="419">
        <v>1980</v>
      </c>
      <c r="BB199" s="419"/>
      <c r="BC199" s="407"/>
      <c r="BD199" s="419">
        <f t="shared" si="387"/>
        <v>1980</v>
      </c>
      <c r="BE199" s="419">
        <f t="shared" si="388"/>
        <v>0</v>
      </c>
      <c r="BF199" s="407">
        <f t="shared" si="425"/>
        <v>0</v>
      </c>
      <c r="BG199" s="419">
        <f t="shared" si="356"/>
        <v>366790</v>
      </c>
      <c r="BH199" s="407">
        <f t="shared" si="426"/>
        <v>4.2643999096778265</v>
      </c>
      <c r="BI199" s="407">
        <f t="shared" si="427"/>
        <v>0.52217141751157059</v>
      </c>
      <c r="BJ199" s="508"/>
      <c r="BK199" s="510"/>
      <c r="BL199" s="49">
        <v>1451</v>
      </c>
      <c r="BM199" s="248"/>
      <c r="BN199" s="52">
        <f t="shared" si="428"/>
        <v>1427</v>
      </c>
      <c r="BO199" s="52">
        <f t="shared" si="370"/>
        <v>24</v>
      </c>
      <c r="BP199" s="406">
        <f t="shared" si="429"/>
        <v>6.0642967058234937E-2</v>
      </c>
      <c r="BQ199" s="52">
        <f t="shared" si="430"/>
        <v>36273</v>
      </c>
      <c r="BR199" s="406">
        <f t="shared" si="431"/>
        <v>0.42171972497544591</v>
      </c>
      <c r="BS199" s="512"/>
      <c r="BT199" s="409">
        <v>1461</v>
      </c>
      <c r="BU199" s="43"/>
      <c r="BV199" s="43">
        <f t="shared" si="350"/>
        <v>1442</v>
      </c>
      <c r="BW199" s="43">
        <f t="shared" si="351"/>
        <v>19</v>
      </c>
      <c r="BX199" s="42">
        <f t="shared" si="432"/>
        <v>4.8009015587769321E-2</v>
      </c>
      <c r="BY199" s="43">
        <f t="shared" si="352"/>
        <v>17995</v>
      </c>
      <c r="BZ199" s="42">
        <f t="shared" si="433"/>
        <v>0.20921474515295532</v>
      </c>
      <c r="CA199" s="514"/>
      <c r="CB199" s="392">
        <v>1150</v>
      </c>
      <c r="CC199" s="395"/>
      <c r="CD199" s="298">
        <f t="shared" si="389"/>
        <v>1150</v>
      </c>
      <c r="CE199" s="298">
        <f t="shared" si="371"/>
        <v>0</v>
      </c>
      <c r="CF199" s="297">
        <f t="shared" si="434"/>
        <v>0</v>
      </c>
      <c r="CG199" s="298">
        <f t="shared" si="435"/>
        <v>60200</v>
      </c>
      <c r="CH199" s="297">
        <f t="shared" si="436"/>
        <v>0.69990150920855299</v>
      </c>
      <c r="CI199" s="516"/>
      <c r="CJ199" s="659">
        <v>975</v>
      </c>
      <c r="CK199" s="651"/>
      <c r="CL199" s="657">
        <f t="shared" si="361"/>
        <v>975</v>
      </c>
      <c r="CM199" s="657">
        <f t="shared" si="362"/>
        <v>0</v>
      </c>
      <c r="CN199" s="659">
        <f t="shared" si="359"/>
        <v>25275</v>
      </c>
      <c r="CO199" s="464">
        <v>0</v>
      </c>
      <c r="CP199" s="469"/>
      <c r="CQ199" s="465">
        <f t="shared" si="390"/>
        <v>0</v>
      </c>
      <c r="CR199" s="465">
        <f t="shared" si="372"/>
        <v>0</v>
      </c>
      <c r="CS199" s="486">
        <f t="shared" si="437"/>
        <v>0</v>
      </c>
      <c r="CT199" s="465">
        <f t="shared" si="438"/>
        <v>1619</v>
      </c>
      <c r="CU199" s="486">
        <f t="shared" si="439"/>
        <v>1.8822932614761582E-2</v>
      </c>
      <c r="CV199" s="518"/>
      <c r="CW199" s="427">
        <v>0</v>
      </c>
      <c r="CX199" s="427"/>
      <c r="CY199" s="427">
        <f t="shared" si="440"/>
        <v>0</v>
      </c>
      <c r="CZ199" s="427">
        <f t="shared" si="441"/>
        <v>0</v>
      </c>
      <c r="DA199" s="607">
        <f t="shared" si="349"/>
        <v>0</v>
      </c>
      <c r="DB199" s="607">
        <f t="shared" si="442"/>
        <v>115</v>
      </c>
      <c r="DC199" s="607">
        <f t="shared" si="391"/>
        <v>1.3370211554648438E-3</v>
      </c>
      <c r="DD199" s="609"/>
      <c r="DE199" s="471">
        <v>7.1</v>
      </c>
      <c r="DF199" s="475"/>
      <c r="DG199" s="473">
        <f t="shared" si="392"/>
        <v>7.1</v>
      </c>
      <c r="DH199" s="473">
        <f t="shared" si="373"/>
        <v>0</v>
      </c>
      <c r="DI199" s="227">
        <f t="shared" si="443"/>
        <v>0</v>
      </c>
      <c r="DJ199" s="473">
        <f t="shared" si="444"/>
        <v>148.1</v>
      </c>
      <c r="DK199" s="227">
        <f t="shared" si="445"/>
        <v>1.7218507228203772E-3</v>
      </c>
      <c r="DL199" s="510"/>
      <c r="DM199" s="63">
        <v>0</v>
      </c>
      <c r="DN199" s="133"/>
      <c r="DO199" s="66">
        <f t="shared" si="446"/>
        <v>0</v>
      </c>
      <c r="DP199" s="66">
        <f t="shared" si="374"/>
        <v>0</v>
      </c>
      <c r="DQ199" s="412">
        <f t="shared" si="447"/>
        <v>0</v>
      </c>
      <c r="DR199" s="66">
        <f t="shared" si="448"/>
        <v>18000</v>
      </c>
      <c r="DS199" s="412">
        <f t="shared" si="449"/>
        <v>0.20927287650754076</v>
      </c>
      <c r="DT199" s="506"/>
      <c r="DU199" s="596">
        <v>0</v>
      </c>
      <c r="DV199" s="596"/>
      <c r="DW199" s="596">
        <f t="shared" si="393"/>
        <v>0</v>
      </c>
      <c r="DX199" s="596">
        <f t="shared" si="375"/>
        <v>0</v>
      </c>
      <c r="DY199" s="592">
        <f t="shared" si="394"/>
        <v>0</v>
      </c>
      <c r="DZ199" s="596">
        <f t="shared" si="450"/>
        <v>2800</v>
      </c>
      <c r="EA199" s="592">
        <f t="shared" si="395"/>
        <v>3.2553558567839674E-2</v>
      </c>
      <c r="EB199" s="594"/>
      <c r="EC199" s="448">
        <v>50</v>
      </c>
      <c r="ED199" s="454"/>
      <c r="EE199" s="449">
        <f t="shared" si="396"/>
        <v>50</v>
      </c>
      <c r="EF199" s="449">
        <f t="shared" si="376"/>
        <v>0</v>
      </c>
      <c r="EG199" s="450">
        <f t="shared" ref="EG199:EG240" si="454">EF199*1000/B199</f>
        <v>0</v>
      </c>
      <c r="EH199" s="449">
        <f t="shared" si="451"/>
        <v>1115</v>
      </c>
      <c r="EI199" s="450">
        <f t="shared" ref="EI199:EI240" si="455">EH199*1000/C199</f>
        <v>1.2963292072550443E-2</v>
      </c>
      <c r="EJ199" s="520"/>
      <c r="EK199" s="426">
        <v>2488</v>
      </c>
      <c r="EL199" s="430"/>
      <c r="EM199" s="427">
        <f t="shared" si="397"/>
        <v>1900</v>
      </c>
      <c r="EN199" s="427">
        <f t="shared" si="377"/>
        <v>588</v>
      </c>
      <c r="EO199" s="427">
        <f t="shared" si="398"/>
        <v>82822</v>
      </c>
      <c r="EP199" s="456">
        <v>0</v>
      </c>
      <c r="EQ199" s="460">
        <v>84</v>
      </c>
      <c r="ER199" s="457">
        <f t="shared" si="399"/>
        <v>84</v>
      </c>
      <c r="ES199" s="457">
        <f t="shared" si="378"/>
        <v>0</v>
      </c>
      <c r="ET199" s="457">
        <f t="shared" si="400"/>
        <v>2158</v>
      </c>
      <c r="EU199" s="409">
        <v>0</v>
      </c>
      <c r="EV199" s="434"/>
      <c r="EW199" s="43">
        <f t="shared" si="401"/>
        <v>0</v>
      </c>
      <c r="EX199" s="43">
        <f t="shared" si="379"/>
        <v>0</v>
      </c>
      <c r="EY199" s="43">
        <f t="shared" si="402"/>
        <v>940</v>
      </c>
      <c r="EZ199" s="436">
        <v>56</v>
      </c>
      <c r="FA199" s="440"/>
      <c r="FB199" s="437">
        <f t="shared" si="403"/>
        <v>50</v>
      </c>
      <c r="FC199" s="437">
        <f t="shared" si="380"/>
        <v>6</v>
      </c>
      <c r="FD199" s="437">
        <f t="shared" si="404"/>
        <v>1040</v>
      </c>
      <c r="FE199" s="442">
        <v>0</v>
      </c>
      <c r="FF199" s="446"/>
      <c r="FG199" s="443">
        <f t="shared" si="405"/>
        <v>0</v>
      </c>
      <c r="FH199" s="443">
        <f t="shared" si="381"/>
        <v>0</v>
      </c>
      <c r="FI199" s="443">
        <f t="shared" si="406"/>
        <v>1200</v>
      </c>
      <c r="FJ199" s="392">
        <v>845</v>
      </c>
      <c r="FK199" s="395"/>
      <c r="FL199" s="298">
        <f t="shared" si="407"/>
        <v>800</v>
      </c>
      <c r="FM199" s="298">
        <f t="shared" si="382"/>
        <v>45</v>
      </c>
      <c r="FN199" s="498">
        <f t="shared" si="408"/>
        <v>4000</v>
      </c>
      <c r="HC199" s="402">
        <v>336</v>
      </c>
      <c r="HD199" s="462"/>
      <c r="HE199" s="52">
        <f t="shared" si="409"/>
        <v>252</v>
      </c>
      <c r="HF199" s="52">
        <f t="shared" si="383"/>
        <v>84</v>
      </c>
      <c r="HG199" s="51"/>
      <c r="HH199" s="52">
        <f t="shared" si="452"/>
        <v>2548</v>
      </c>
      <c r="HI199" s="51"/>
      <c r="HJ199" s="1047"/>
    </row>
    <row r="200" spans="1:218">
      <c r="A200" s="810">
        <v>44863</v>
      </c>
      <c r="B200" s="390">
        <v>2870717</v>
      </c>
      <c r="C200" s="18">
        <f t="shared" si="363"/>
        <v>88882819</v>
      </c>
      <c r="D200" s="376">
        <v>761.32</v>
      </c>
      <c r="E200" s="417">
        <f t="shared" si="360"/>
        <v>1061606.7599999998</v>
      </c>
      <c r="F200" s="397">
        <v>15925</v>
      </c>
      <c r="G200" s="37"/>
      <c r="H200" s="37">
        <f t="shared" si="384"/>
        <v>15925</v>
      </c>
      <c r="I200" s="37">
        <f t="shared" si="364"/>
        <v>0</v>
      </c>
      <c r="J200" s="37">
        <f t="shared" si="365"/>
        <v>0</v>
      </c>
      <c r="K200" s="37">
        <f t="shared" si="410"/>
        <v>465282</v>
      </c>
      <c r="L200" s="37">
        <f t="shared" si="366"/>
        <v>438.28093182074321</v>
      </c>
      <c r="M200" s="648"/>
      <c r="N200" s="422">
        <v>0</v>
      </c>
      <c r="O200" s="423"/>
      <c r="P200" s="423">
        <f t="shared" si="411"/>
        <v>0</v>
      </c>
      <c r="Q200" s="423">
        <f t="shared" si="412"/>
        <v>0</v>
      </c>
      <c r="R200" s="423">
        <f t="shared" si="413"/>
        <v>14025</v>
      </c>
      <c r="S200" s="68">
        <v>2.8</v>
      </c>
      <c r="T200" s="67">
        <v>24</v>
      </c>
      <c r="U200" s="68">
        <f t="shared" si="414"/>
        <v>33.599999999999994</v>
      </c>
      <c r="V200" s="68">
        <f t="shared" si="367"/>
        <v>44.133872747333569</v>
      </c>
      <c r="W200" s="423">
        <f t="shared" si="415"/>
        <v>13670.903999999999</v>
      </c>
      <c r="X200" s="68">
        <f t="shared" si="368"/>
        <v>12.877559295119788</v>
      </c>
      <c r="Y200" s="500"/>
      <c r="Z200" s="424">
        <v>25</v>
      </c>
      <c r="AA200" s="425"/>
      <c r="AB200" s="425">
        <f t="shared" si="416"/>
        <v>25</v>
      </c>
      <c r="AC200" s="425">
        <f t="shared" si="417"/>
        <v>0</v>
      </c>
      <c r="AD200" s="425">
        <f t="shared" si="418"/>
        <v>2200</v>
      </c>
      <c r="AE200" s="72">
        <v>0.46</v>
      </c>
      <c r="AF200" s="71">
        <v>12</v>
      </c>
      <c r="AG200" s="72">
        <f t="shared" si="419"/>
        <v>2.7600000000000002</v>
      </c>
      <c r="AH200" s="72">
        <f t="shared" si="385"/>
        <v>3.6252824042452585</v>
      </c>
      <c r="AI200" s="425">
        <f t="shared" si="420"/>
        <v>2049.9120000000016</v>
      </c>
      <c r="AJ200" s="72">
        <f t="shared" si="453"/>
        <v>1.9309522859481434</v>
      </c>
      <c r="AK200" s="502"/>
      <c r="AL200" s="491">
        <v>22480</v>
      </c>
      <c r="AM200" s="491"/>
      <c r="AN200" s="492">
        <f t="shared" si="353"/>
        <v>22480</v>
      </c>
      <c r="AO200" s="492">
        <f t="shared" si="354"/>
        <v>0</v>
      </c>
      <c r="AP200" s="492">
        <f t="shared" si="355"/>
        <v>61093</v>
      </c>
      <c r="AQ200" s="493">
        <f t="shared" si="386"/>
        <v>57.547674244274795</v>
      </c>
      <c r="AR200" s="504"/>
      <c r="AS200" s="413">
        <v>4697</v>
      </c>
      <c r="AT200" s="133"/>
      <c r="AU200" s="66">
        <f t="shared" si="421"/>
        <v>4341</v>
      </c>
      <c r="AV200" s="66">
        <f t="shared" si="369"/>
        <v>356</v>
      </c>
      <c r="AW200" s="412">
        <f t="shared" si="422"/>
        <v>0.12401083074367832</v>
      </c>
      <c r="AX200" s="66">
        <f t="shared" si="423"/>
        <v>293274</v>
      </c>
      <c r="AY200" s="412">
        <f t="shared" si="424"/>
        <v>3.2995578144298054</v>
      </c>
      <c r="AZ200" s="506"/>
      <c r="BA200" s="419">
        <v>1980</v>
      </c>
      <c r="BB200" s="419"/>
      <c r="BC200" s="407"/>
      <c r="BD200" s="419">
        <f t="shared" si="387"/>
        <v>1980</v>
      </c>
      <c r="BE200" s="419">
        <f t="shared" si="388"/>
        <v>0</v>
      </c>
      <c r="BF200" s="407">
        <f t="shared" si="425"/>
        <v>0</v>
      </c>
      <c r="BG200" s="419">
        <f t="shared" si="356"/>
        <v>366790</v>
      </c>
      <c r="BH200" s="407">
        <f t="shared" si="426"/>
        <v>4.1266692947711299</v>
      </c>
      <c r="BI200" s="407">
        <f t="shared" si="427"/>
        <v>0.50530644425768945</v>
      </c>
      <c r="BJ200" s="508"/>
      <c r="BK200" s="510"/>
      <c r="BL200" s="49">
        <v>1427</v>
      </c>
      <c r="BM200" s="248"/>
      <c r="BN200" s="52">
        <f t="shared" si="428"/>
        <v>1415</v>
      </c>
      <c r="BO200" s="52">
        <f t="shared" si="370"/>
        <v>12</v>
      </c>
      <c r="BP200" s="406">
        <f t="shared" si="429"/>
        <v>4.1801403621464601E-3</v>
      </c>
      <c r="BQ200" s="52">
        <f t="shared" si="430"/>
        <v>36285</v>
      </c>
      <c r="BR200" s="406">
        <f t="shared" si="431"/>
        <v>0.40823412677763965</v>
      </c>
      <c r="BS200" s="512"/>
      <c r="BT200" s="409">
        <v>1442</v>
      </c>
      <c r="BU200" s="43"/>
      <c r="BV200" s="43">
        <f t="shared" si="350"/>
        <v>1414</v>
      </c>
      <c r="BW200" s="43">
        <f t="shared" si="351"/>
        <v>28</v>
      </c>
      <c r="BX200" s="42">
        <f t="shared" si="432"/>
        <v>9.7536608450084078E-3</v>
      </c>
      <c r="BY200" s="43">
        <f t="shared" si="352"/>
        <v>18023</v>
      </c>
      <c r="BZ200" s="42">
        <f t="shared" si="433"/>
        <v>0.20277259658022323</v>
      </c>
      <c r="CA200" s="514"/>
      <c r="CB200" s="392">
        <v>1150</v>
      </c>
      <c r="CC200" s="395"/>
      <c r="CD200" s="298">
        <f t="shared" si="389"/>
        <v>1150</v>
      </c>
      <c r="CE200" s="298">
        <f t="shared" si="371"/>
        <v>0</v>
      </c>
      <c r="CF200" s="297">
        <f t="shared" si="434"/>
        <v>0</v>
      </c>
      <c r="CG200" s="298">
        <f t="shared" si="435"/>
        <v>60200</v>
      </c>
      <c r="CH200" s="297">
        <f t="shared" si="436"/>
        <v>0.67729625002105298</v>
      </c>
      <c r="CI200" s="516"/>
      <c r="CJ200" s="659">
        <v>975</v>
      </c>
      <c r="CK200" s="651"/>
      <c r="CL200" s="657">
        <f t="shared" si="361"/>
        <v>975</v>
      </c>
      <c r="CM200" s="657">
        <f t="shared" si="362"/>
        <v>0</v>
      </c>
      <c r="CN200" s="659">
        <f t="shared" si="359"/>
        <v>25275</v>
      </c>
      <c r="CO200" s="464">
        <v>0</v>
      </c>
      <c r="CP200" s="469"/>
      <c r="CQ200" s="465">
        <f t="shared" si="390"/>
        <v>0</v>
      </c>
      <c r="CR200" s="465">
        <f t="shared" si="372"/>
        <v>0</v>
      </c>
      <c r="CS200" s="486">
        <f t="shared" si="437"/>
        <v>0</v>
      </c>
      <c r="CT200" s="465">
        <f t="shared" si="438"/>
        <v>1619</v>
      </c>
      <c r="CU200" s="486">
        <f t="shared" si="439"/>
        <v>1.821499383362267E-2</v>
      </c>
      <c r="CV200" s="518"/>
      <c r="CW200" s="427">
        <v>0</v>
      </c>
      <c r="CX200" s="427"/>
      <c r="CY200" s="427">
        <f t="shared" si="440"/>
        <v>0</v>
      </c>
      <c r="CZ200" s="427">
        <f t="shared" si="441"/>
        <v>0</v>
      </c>
      <c r="DA200" s="607">
        <f t="shared" si="349"/>
        <v>0</v>
      </c>
      <c r="DB200" s="607">
        <f t="shared" si="442"/>
        <v>115</v>
      </c>
      <c r="DC200" s="607">
        <f t="shared" si="391"/>
        <v>1.2938383513691211E-3</v>
      </c>
      <c r="DD200" s="609"/>
      <c r="DE200" s="471">
        <v>7.1</v>
      </c>
      <c r="DF200" s="475"/>
      <c r="DG200" s="473">
        <f t="shared" si="392"/>
        <v>7.1</v>
      </c>
      <c r="DH200" s="473">
        <f t="shared" si="373"/>
        <v>0</v>
      </c>
      <c r="DI200" s="227">
        <f t="shared" si="443"/>
        <v>0</v>
      </c>
      <c r="DJ200" s="473">
        <f t="shared" si="444"/>
        <v>148.1</v>
      </c>
      <c r="DK200" s="227">
        <f t="shared" si="445"/>
        <v>1.6662387811979726E-3</v>
      </c>
      <c r="DL200" s="510"/>
      <c r="DM200" s="63">
        <v>0</v>
      </c>
      <c r="DN200" s="133"/>
      <c r="DO200" s="66">
        <f t="shared" si="446"/>
        <v>0</v>
      </c>
      <c r="DP200" s="66">
        <f t="shared" si="374"/>
        <v>0</v>
      </c>
      <c r="DQ200" s="412">
        <f t="shared" si="447"/>
        <v>0</v>
      </c>
      <c r="DR200" s="66">
        <f t="shared" si="448"/>
        <v>18000</v>
      </c>
      <c r="DS200" s="412">
        <f t="shared" si="449"/>
        <v>0.2025138289099494</v>
      </c>
      <c r="DT200" s="506"/>
      <c r="DU200" s="596">
        <v>0</v>
      </c>
      <c r="DV200" s="596"/>
      <c r="DW200" s="596">
        <f t="shared" si="393"/>
        <v>0</v>
      </c>
      <c r="DX200" s="596">
        <f t="shared" si="375"/>
        <v>0</v>
      </c>
      <c r="DY200" s="592">
        <f t="shared" si="394"/>
        <v>0</v>
      </c>
      <c r="DZ200" s="596">
        <f t="shared" si="450"/>
        <v>2800</v>
      </c>
      <c r="EA200" s="592">
        <f t="shared" si="395"/>
        <v>3.1502151163769906E-2</v>
      </c>
      <c r="EB200" s="594"/>
      <c r="EC200" s="448">
        <v>50</v>
      </c>
      <c r="ED200" s="454"/>
      <c r="EE200" s="449">
        <f t="shared" si="396"/>
        <v>50</v>
      </c>
      <c r="EF200" s="449">
        <f t="shared" si="376"/>
        <v>0</v>
      </c>
      <c r="EG200" s="450">
        <f t="shared" si="454"/>
        <v>0</v>
      </c>
      <c r="EH200" s="449">
        <f t="shared" si="451"/>
        <v>1115</v>
      </c>
      <c r="EI200" s="450">
        <f t="shared" si="455"/>
        <v>1.2544606624144089E-2</v>
      </c>
      <c r="EJ200" s="520"/>
      <c r="EK200" s="426">
        <v>1900</v>
      </c>
      <c r="EL200" s="430"/>
      <c r="EM200" s="427">
        <f t="shared" si="397"/>
        <v>1438</v>
      </c>
      <c r="EN200" s="427">
        <f t="shared" si="377"/>
        <v>462</v>
      </c>
      <c r="EO200" s="427">
        <f t="shared" si="398"/>
        <v>83284</v>
      </c>
      <c r="EP200" s="456">
        <v>84</v>
      </c>
      <c r="EQ200" s="460"/>
      <c r="ER200" s="457">
        <f t="shared" si="399"/>
        <v>84</v>
      </c>
      <c r="ES200" s="457">
        <f t="shared" si="378"/>
        <v>0</v>
      </c>
      <c r="ET200" s="457">
        <f t="shared" si="400"/>
        <v>2158</v>
      </c>
      <c r="EU200" s="409">
        <v>0</v>
      </c>
      <c r="EV200" s="434"/>
      <c r="EW200" s="43">
        <f t="shared" si="401"/>
        <v>0</v>
      </c>
      <c r="EX200" s="43">
        <f t="shared" si="379"/>
        <v>0</v>
      </c>
      <c r="EY200" s="43">
        <f t="shared" si="402"/>
        <v>940</v>
      </c>
      <c r="EZ200" s="436">
        <v>50</v>
      </c>
      <c r="FA200" s="440"/>
      <c r="FB200" s="437">
        <f t="shared" si="403"/>
        <v>37</v>
      </c>
      <c r="FC200" s="437">
        <f t="shared" si="380"/>
        <v>13</v>
      </c>
      <c r="FD200" s="437">
        <f t="shared" si="404"/>
        <v>1053</v>
      </c>
      <c r="FE200" s="442">
        <v>0</v>
      </c>
      <c r="FF200" s="446"/>
      <c r="FG200" s="443">
        <f t="shared" si="405"/>
        <v>0</v>
      </c>
      <c r="FH200" s="443">
        <f t="shared" si="381"/>
        <v>0</v>
      </c>
      <c r="FI200" s="443">
        <f t="shared" si="406"/>
        <v>1200</v>
      </c>
      <c r="FJ200" s="392">
        <v>800</v>
      </c>
      <c r="FK200" s="395"/>
      <c r="FL200" s="298">
        <f t="shared" si="407"/>
        <v>775</v>
      </c>
      <c r="FM200" s="298">
        <f t="shared" si="382"/>
        <v>25</v>
      </c>
      <c r="FN200" s="498">
        <f t="shared" si="408"/>
        <v>4025</v>
      </c>
      <c r="HC200" s="402">
        <v>252</v>
      </c>
      <c r="HD200" s="462"/>
      <c r="HE200" s="52">
        <f t="shared" si="409"/>
        <v>252</v>
      </c>
      <c r="HF200" s="52">
        <f t="shared" si="383"/>
        <v>0</v>
      </c>
      <c r="HG200" s="51"/>
      <c r="HH200" s="52">
        <f t="shared" si="452"/>
        <v>2548</v>
      </c>
      <c r="HI200" s="51"/>
      <c r="HJ200" s="1047"/>
    </row>
    <row r="201" spans="1:218" ht="15.75" customHeight="1">
      <c r="A201" s="810">
        <v>44864</v>
      </c>
      <c r="B201" s="390"/>
      <c r="C201" s="18">
        <f t="shared" si="363"/>
        <v>88882819</v>
      </c>
      <c r="D201" s="376"/>
      <c r="E201" s="417">
        <f t="shared" si="360"/>
        <v>1061606.7599999998</v>
      </c>
      <c r="F201" s="397">
        <v>15925</v>
      </c>
      <c r="G201" s="37"/>
      <c r="H201" s="37">
        <f t="shared" si="384"/>
        <v>15925</v>
      </c>
      <c r="I201" s="37">
        <f t="shared" si="364"/>
        <v>0</v>
      </c>
      <c r="J201" s="37" t="e">
        <f t="shared" si="365"/>
        <v>#DIV/0!</v>
      </c>
      <c r="K201" s="37">
        <f t="shared" si="410"/>
        <v>465282</v>
      </c>
      <c r="L201" s="37">
        <f t="shared" si="366"/>
        <v>438.28093182074321</v>
      </c>
      <c r="M201" s="648"/>
      <c r="N201" s="422">
        <v>0</v>
      </c>
      <c r="O201" s="423"/>
      <c r="P201" s="423">
        <f t="shared" si="411"/>
        <v>0</v>
      </c>
      <c r="Q201" s="423">
        <f t="shared" si="412"/>
        <v>0</v>
      </c>
      <c r="R201" s="423">
        <f t="shared" si="413"/>
        <v>14025</v>
      </c>
      <c r="S201" s="68">
        <v>0</v>
      </c>
      <c r="T201" s="67">
        <v>24</v>
      </c>
      <c r="U201" s="68">
        <f t="shared" si="414"/>
        <v>0</v>
      </c>
      <c r="V201" s="68" t="e">
        <f t="shared" si="367"/>
        <v>#DIV/0!</v>
      </c>
      <c r="W201" s="423">
        <f t="shared" si="415"/>
        <v>13670.903999999999</v>
      </c>
      <c r="X201" s="68">
        <f t="shared" si="368"/>
        <v>12.877559295119788</v>
      </c>
      <c r="Y201" s="500"/>
      <c r="Z201" s="424">
        <v>25</v>
      </c>
      <c r="AA201" s="425"/>
      <c r="AB201" s="425">
        <f t="shared" si="416"/>
        <v>25</v>
      </c>
      <c r="AC201" s="425">
        <f t="shared" si="417"/>
        <v>0</v>
      </c>
      <c r="AD201" s="425">
        <f t="shared" si="418"/>
        <v>2200</v>
      </c>
      <c r="AE201" s="72">
        <v>0</v>
      </c>
      <c r="AF201" s="71">
        <v>12</v>
      </c>
      <c r="AG201" s="72">
        <f t="shared" si="419"/>
        <v>0</v>
      </c>
      <c r="AH201" s="72" t="e">
        <f t="shared" si="385"/>
        <v>#DIV/0!</v>
      </c>
      <c r="AI201" s="425">
        <f t="shared" si="420"/>
        <v>2049.9120000000016</v>
      </c>
      <c r="AJ201" s="72">
        <f t="shared" si="453"/>
        <v>1.9309522859481434</v>
      </c>
      <c r="AK201" s="502"/>
      <c r="AL201" s="491">
        <v>22480</v>
      </c>
      <c r="AM201" s="491"/>
      <c r="AN201" s="492">
        <f t="shared" si="353"/>
        <v>22480</v>
      </c>
      <c r="AO201" s="492">
        <f t="shared" si="354"/>
        <v>0</v>
      </c>
      <c r="AP201" s="492">
        <f t="shared" si="355"/>
        <v>61093</v>
      </c>
      <c r="AQ201" s="493">
        <f t="shared" si="386"/>
        <v>57.547674244274795</v>
      </c>
      <c r="AR201" s="504"/>
      <c r="AS201" s="413">
        <v>4341</v>
      </c>
      <c r="AT201" s="133"/>
      <c r="AU201" s="66">
        <f t="shared" si="421"/>
        <v>4341</v>
      </c>
      <c r="AV201" s="66">
        <f t="shared" si="369"/>
        <v>0</v>
      </c>
      <c r="AW201" s="412" t="e">
        <f t="shared" si="422"/>
        <v>#DIV/0!</v>
      </c>
      <c r="AX201" s="66">
        <f t="shared" si="423"/>
        <v>293274</v>
      </c>
      <c r="AY201" s="412">
        <f t="shared" si="424"/>
        <v>3.2995578144298054</v>
      </c>
      <c r="AZ201" s="506"/>
      <c r="BA201" s="419">
        <v>1980</v>
      </c>
      <c r="BB201" s="419"/>
      <c r="BC201" s="407"/>
      <c r="BD201" s="419">
        <f t="shared" si="387"/>
        <v>1980</v>
      </c>
      <c r="BE201" s="419">
        <f t="shared" si="388"/>
        <v>0</v>
      </c>
      <c r="BF201" s="407" t="e">
        <f t="shared" si="425"/>
        <v>#DIV/0!</v>
      </c>
      <c r="BG201" s="419">
        <f t="shared" si="356"/>
        <v>366790</v>
      </c>
      <c r="BH201" s="407">
        <f t="shared" si="426"/>
        <v>4.1266692947711299</v>
      </c>
      <c r="BI201" s="407">
        <f t="shared" si="427"/>
        <v>0.50530644425768945</v>
      </c>
      <c r="BJ201" s="508"/>
      <c r="BK201" s="510"/>
      <c r="BL201" s="49">
        <v>1415</v>
      </c>
      <c r="BM201" s="248"/>
      <c r="BN201" s="52">
        <f t="shared" si="428"/>
        <v>1415</v>
      </c>
      <c r="BO201" s="52">
        <f t="shared" si="370"/>
        <v>0</v>
      </c>
      <c r="BP201" s="406" t="e">
        <f t="shared" si="429"/>
        <v>#DIV/0!</v>
      </c>
      <c r="BQ201" s="52">
        <f t="shared" si="430"/>
        <v>36285</v>
      </c>
      <c r="BR201" s="406">
        <f t="shared" si="431"/>
        <v>0.40823412677763965</v>
      </c>
      <c r="BS201" s="512"/>
      <c r="BT201" s="409">
        <v>1414</v>
      </c>
      <c r="BU201" s="43"/>
      <c r="BV201" s="43">
        <f t="shared" si="350"/>
        <v>1414</v>
      </c>
      <c r="BW201" s="43">
        <f t="shared" si="351"/>
        <v>0</v>
      </c>
      <c r="BX201" s="42" t="e">
        <f t="shared" si="432"/>
        <v>#DIV/0!</v>
      </c>
      <c r="BY201" s="43">
        <f t="shared" si="352"/>
        <v>18023</v>
      </c>
      <c r="BZ201" s="42">
        <f t="shared" si="433"/>
        <v>0.20277259658022323</v>
      </c>
      <c r="CA201" s="514"/>
      <c r="CB201" s="392">
        <v>1150</v>
      </c>
      <c r="CC201" s="395"/>
      <c r="CD201" s="298">
        <f t="shared" si="389"/>
        <v>1150</v>
      </c>
      <c r="CE201" s="298">
        <f t="shared" si="371"/>
        <v>0</v>
      </c>
      <c r="CF201" s="297" t="e">
        <f t="shared" si="434"/>
        <v>#DIV/0!</v>
      </c>
      <c r="CG201" s="298">
        <f t="shared" si="435"/>
        <v>60200</v>
      </c>
      <c r="CH201" s="297">
        <f t="shared" si="436"/>
        <v>0.67729625002105298</v>
      </c>
      <c r="CI201" s="516"/>
      <c r="CJ201" s="659">
        <v>975</v>
      </c>
      <c r="CK201" s="651"/>
      <c r="CL201" s="657">
        <f t="shared" si="361"/>
        <v>975</v>
      </c>
      <c r="CM201" s="657">
        <f t="shared" si="362"/>
        <v>0</v>
      </c>
      <c r="CN201" s="659">
        <f t="shared" si="359"/>
        <v>25275</v>
      </c>
      <c r="CO201" s="464">
        <v>0</v>
      </c>
      <c r="CP201" s="469"/>
      <c r="CQ201" s="465">
        <f t="shared" si="390"/>
        <v>0</v>
      </c>
      <c r="CR201" s="465">
        <f t="shared" si="372"/>
        <v>0</v>
      </c>
      <c r="CS201" s="486" t="e">
        <f t="shared" si="437"/>
        <v>#DIV/0!</v>
      </c>
      <c r="CT201" s="465">
        <f t="shared" si="438"/>
        <v>1619</v>
      </c>
      <c r="CU201" s="486">
        <f t="shared" si="439"/>
        <v>1.821499383362267E-2</v>
      </c>
      <c r="CV201" s="518"/>
      <c r="CW201" s="427">
        <v>0</v>
      </c>
      <c r="CX201" s="427"/>
      <c r="CY201" s="427">
        <f t="shared" si="440"/>
        <v>0</v>
      </c>
      <c r="CZ201" s="427">
        <f t="shared" si="441"/>
        <v>0</v>
      </c>
      <c r="DA201" s="607" t="e">
        <f t="shared" ref="DA201:DA240" si="456">CZ201*1000/B201</f>
        <v>#DIV/0!</v>
      </c>
      <c r="DB201" s="607">
        <f t="shared" si="442"/>
        <v>115</v>
      </c>
      <c r="DC201" s="607">
        <f t="shared" si="391"/>
        <v>1.2938383513691211E-3</v>
      </c>
      <c r="DD201" s="609"/>
      <c r="DE201" s="471">
        <v>7.1</v>
      </c>
      <c r="DF201" s="475"/>
      <c r="DG201" s="473">
        <f t="shared" si="392"/>
        <v>7.1</v>
      </c>
      <c r="DH201" s="473">
        <f t="shared" si="373"/>
        <v>0</v>
      </c>
      <c r="DI201" s="227" t="e">
        <f t="shared" si="443"/>
        <v>#DIV/0!</v>
      </c>
      <c r="DJ201" s="473">
        <f t="shared" si="444"/>
        <v>148.1</v>
      </c>
      <c r="DK201" s="227">
        <f t="shared" si="445"/>
        <v>1.6662387811979726E-3</v>
      </c>
      <c r="DL201" s="510"/>
      <c r="DM201" s="63">
        <v>0</v>
      </c>
      <c r="DN201" s="133"/>
      <c r="DO201" s="66">
        <f t="shared" si="446"/>
        <v>0</v>
      </c>
      <c r="DP201" s="66">
        <f t="shared" si="374"/>
        <v>0</v>
      </c>
      <c r="DQ201" s="412" t="e">
        <f t="shared" si="447"/>
        <v>#DIV/0!</v>
      </c>
      <c r="DR201" s="66">
        <f t="shared" si="448"/>
        <v>18000</v>
      </c>
      <c r="DS201" s="412">
        <f t="shared" si="449"/>
        <v>0.2025138289099494</v>
      </c>
      <c r="DT201" s="506"/>
      <c r="DU201" s="596">
        <v>0</v>
      </c>
      <c r="DV201" s="596"/>
      <c r="DW201" s="596">
        <f t="shared" si="393"/>
        <v>0</v>
      </c>
      <c r="DX201" s="596">
        <f t="shared" si="375"/>
        <v>0</v>
      </c>
      <c r="DY201" s="592" t="e">
        <f t="shared" si="394"/>
        <v>#DIV/0!</v>
      </c>
      <c r="DZ201" s="596">
        <f t="shared" si="450"/>
        <v>2800</v>
      </c>
      <c r="EA201" s="592">
        <f t="shared" si="395"/>
        <v>3.1502151163769906E-2</v>
      </c>
      <c r="EB201" s="594"/>
      <c r="EC201" s="448">
        <v>50</v>
      </c>
      <c r="ED201" s="454"/>
      <c r="EE201" s="449">
        <f t="shared" si="396"/>
        <v>50</v>
      </c>
      <c r="EF201" s="449">
        <f t="shared" si="376"/>
        <v>0</v>
      </c>
      <c r="EG201" s="450" t="e">
        <f t="shared" si="454"/>
        <v>#DIV/0!</v>
      </c>
      <c r="EH201" s="449">
        <f t="shared" si="451"/>
        <v>1115</v>
      </c>
      <c r="EI201" s="450">
        <f t="shared" si="455"/>
        <v>1.2544606624144089E-2</v>
      </c>
      <c r="EJ201" s="520"/>
      <c r="EK201" s="426">
        <v>1438</v>
      </c>
      <c r="EL201" s="430"/>
      <c r="EM201" s="427">
        <f t="shared" si="397"/>
        <v>1438</v>
      </c>
      <c r="EN201" s="427">
        <f t="shared" si="377"/>
        <v>0</v>
      </c>
      <c r="EO201" s="427">
        <f t="shared" si="398"/>
        <v>83284</v>
      </c>
      <c r="EP201" s="456">
        <v>84</v>
      </c>
      <c r="EQ201" s="460"/>
      <c r="ER201" s="457">
        <f t="shared" si="399"/>
        <v>84</v>
      </c>
      <c r="ES201" s="457">
        <f t="shared" si="378"/>
        <v>0</v>
      </c>
      <c r="ET201" s="457">
        <f t="shared" si="400"/>
        <v>2158</v>
      </c>
      <c r="EU201" s="409">
        <v>0</v>
      </c>
      <c r="EV201" s="434"/>
      <c r="EW201" s="43">
        <f t="shared" si="401"/>
        <v>0</v>
      </c>
      <c r="EX201" s="43">
        <f t="shared" si="379"/>
        <v>0</v>
      </c>
      <c r="EY201" s="43">
        <f t="shared" si="402"/>
        <v>940</v>
      </c>
      <c r="EZ201" s="436">
        <v>37</v>
      </c>
      <c r="FA201" s="440"/>
      <c r="FB201" s="437">
        <f t="shared" si="403"/>
        <v>37</v>
      </c>
      <c r="FC201" s="437">
        <f t="shared" si="380"/>
        <v>0</v>
      </c>
      <c r="FD201" s="437">
        <f t="shared" si="404"/>
        <v>1053</v>
      </c>
      <c r="FE201" s="442">
        <v>0</v>
      </c>
      <c r="FF201" s="446"/>
      <c r="FG201" s="443">
        <f t="shared" si="405"/>
        <v>0</v>
      </c>
      <c r="FH201" s="443">
        <f t="shared" si="381"/>
        <v>0</v>
      </c>
      <c r="FI201" s="443">
        <f t="shared" si="406"/>
        <v>1200</v>
      </c>
      <c r="FJ201" s="392">
        <v>775</v>
      </c>
      <c r="FK201" s="395"/>
      <c r="FL201" s="298">
        <f t="shared" si="407"/>
        <v>775</v>
      </c>
      <c r="FM201" s="298">
        <f t="shared" si="382"/>
        <v>0</v>
      </c>
      <c r="FN201" s="498">
        <f t="shared" si="408"/>
        <v>4025</v>
      </c>
      <c r="HC201" s="402">
        <v>252</v>
      </c>
      <c r="HD201" s="462"/>
      <c r="HE201" s="52">
        <f t="shared" si="409"/>
        <v>252</v>
      </c>
      <c r="HF201" s="52">
        <f t="shared" si="383"/>
        <v>0</v>
      </c>
      <c r="HG201" s="51"/>
      <c r="HH201" s="52">
        <f t="shared" si="452"/>
        <v>2548</v>
      </c>
      <c r="HI201" s="51"/>
      <c r="HJ201" s="1047"/>
    </row>
    <row r="202" spans="1:218" ht="15.75" thickBot="1">
      <c r="A202" s="810">
        <v>44865</v>
      </c>
      <c r="B202" s="390"/>
      <c r="C202" s="18">
        <f t="shared" si="363"/>
        <v>88882819</v>
      </c>
      <c r="D202" s="376"/>
      <c r="E202" s="417">
        <f t="shared" si="360"/>
        <v>1061606.7599999998</v>
      </c>
      <c r="F202" s="399">
        <v>15925</v>
      </c>
      <c r="G202" s="400"/>
      <c r="H202" s="400">
        <f>F203</f>
        <v>0</v>
      </c>
      <c r="I202" s="400">
        <f t="shared" si="364"/>
        <v>15925</v>
      </c>
      <c r="J202" s="400" t="e">
        <f t="shared" si="365"/>
        <v>#DIV/0!</v>
      </c>
      <c r="K202" s="400">
        <f t="shared" si="410"/>
        <v>481207</v>
      </c>
      <c r="L202" s="400">
        <f t="shared" si="366"/>
        <v>453.28177827352954</v>
      </c>
      <c r="M202" s="649"/>
      <c r="N202" s="422">
        <v>0</v>
      </c>
      <c r="O202" s="423"/>
      <c r="P202" s="423">
        <f>N203</f>
        <v>0</v>
      </c>
      <c r="Q202" s="423">
        <f t="shared" si="412"/>
        <v>0</v>
      </c>
      <c r="R202" s="423">
        <f t="shared" si="413"/>
        <v>14025</v>
      </c>
      <c r="S202" s="111">
        <v>0</v>
      </c>
      <c r="T202" s="67">
        <v>24</v>
      </c>
      <c r="U202" s="68">
        <f t="shared" si="414"/>
        <v>0</v>
      </c>
      <c r="V202" s="68" t="e">
        <f t="shared" si="367"/>
        <v>#DIV/0!</v>
      </c>
      <c r="W202" s="423">
        <f t="shared" si="415"/>
        <v>13670.903999999999</v>
      </c>
      <c r="X202" s="68">
        <f t="shared" si="368"/>
        <v>12.877559295119788</v>
      </c>
      <c r="Y202" s="501"/>
      <c r="Z202" s="424">
        <v>25</v>
      </c>
      <c r="AA202" s="425"/>
      <c r="AB202" s="425">
        <f>Z203</f>
        <v>0</v>
      </c>
      <c r="AC202" s="425">
        <f t="shared" si="417"/>
        <v>25</v>
      </c>
      <c r="AD202" s="425">
        <f t="shared" si="418"/>
        <v>2225</v>
      </c>
      <c r="AE202" s="105">
        <v>0</v>
      </c>
      <c r="AF202" s="71">
        <v>12</v>
      </c>
      <c r="AG202" s="72">
        <f t="shared" si="419"/>
        <v>0</v>
      </c>
      <c r="AH202" s="72" t="e">
        <f t="shared" si="385"/>
        <v>#DIV/0!</v>
      </c>
      <c r="AI202" s="425">
        <f t="shared" si="420"/>
        <v>2049.9120000000016</v>
      </c>
      <c r="AJ202" s="72">
        <f t="shared" si="453"/>
        <v>1.9309522859481434</v>
      </c>
      <c r="AK202" s="503"/>
      <c r="AL202" s="491">
        <v>22480</v>
      </c>
      <c r="AM202" s="491"/>
      <c r="AN202" s="492">
        <f>AL203</f>
        <v>0</v>
      </c>
      <c r="AO202" s="492">
        <f t="shared" si="354"/>
        <v>22480</v>
      </c>
      <c r="AP202" s="492">
        <f t="shared" si="355"/>
        <v>83573</v>
      </c>
      <c r="AQ202" s="493">
        <f t="shared" si="386"/>
        <v>78.723123428490624</v>
      </c>
      <c r="AR202" s="505"/>
      <c r="AS202" s="413">
        <v>4341</v>
      </c>
      <c r="AT202" s="254"/>
      <c r="AU202" s="66">
        <f>AS203</f>
        <v>0</v>
      </c>
      <c r="AV202" s="66">
        <f t="shared" si="369"/>
        <v>4341</v>
      </c>
      <c r="AW202" s="412" t="e">
        <f t="shared" si="422"/>
        <v>#DIV/0!</v>
      </c>
      <c r="AX202" s="66">
        <f t="shared" si="423"/>
        <v>297615</v>
      </c>
      <c r="AY202" s="412">
        <f t="shared" si="424"/>
        <v>3.3483973995019216</v>
      </c>
      <c r="AZ202" s="507"/>
      <c r="BA202" s="419">
        <v>1980</v>
      </c>
      <c r="BB202" s="419"/>
      <c r="BC202" s="407"/>
      <c r="BD202" s="419">
        <f>BA203</f>
        <v>0</v>
      </c>
      <c r="BE202" s="419">
        <f t="shared" si="388"/>
        <v>1980</v>
      </c>
      <c r="BF202" s="407" t="e">
        <f t="shared" si="425"/>
        <v>#DIV/0!</v>
      </c>
      <c r="BG202" s="419">
        <f t="shared" si="356"/>
        <v>368770</v>
      </c>
      <c r="BH202" s="407">
        <f t="shared" si="426"/>
        <v>4.1489458159512242</v>
      </c>
      <c r="BI202" s="407">
        <f t="shared" si="427"/>
        <v>0.50803418154504787</v>
      </c>
      <c r="BJ202" s="509"/>
      <c r="BK202" s="511"/>
      <c r="BL202" s="49">
        <v>1415</v>
      </c>
      <c r="BM202" s="250"/>
      <c r="BN202" s="52">
        <f>BL203</f>
        <v>0</v>
      </c>
      <c r="BO202" s="52">
        <f t="shared" si="370"/>
        <v>1415</v>
      </c>
      <c r="BP202" s="406" t="e">
        <f t="shared" si="429"/>
        <v>#DIV/0!</v>
      </c>
      <c r="BQ202" s="52">
        <f t="shared" si="430"/>
        <v>37700</v>
      </c>
      <c r="BR202" s="406">
        <f t="shared" si="431"/>
        <v>0.42415396388361626</v>
      </c>
      <c r="BS202" s="513"/>
      <c r="BT202" s="409">
        <v>1414</v>
      </c>
      <c r="BU202" s="43"/>
      <c r="BV202" s="43">
        <f>BT203</f>
        <v>0</v>
      </c>
      <c r="BW202" s="43">
        <f t="shared" si="351"/>
        <v>1414</v>
      </c>
      <c r="BX202" s="42" t="e">
        <f t="shared" si="432"/>
        <v>#DIV/0!</v>
      </c>
      <c r="BY202" s="43">
        <f t="shared" si="352"/>
        <v>19437</v>
      </c>
      <c r="BZ202" s="42">
        <f t="shared" si="433"/>
        <v>0.21868118291792704</v>
      </c>
      <c r="CA202" s="515"/>
      <c r="CB202" s="393">
        <v>1150</v>
      </c>
      <c r="CC202" s="396"/>
      <c r="CD202" s="394">
        <f>CB203</f>
        <v>0</v>
      </c>
      <c r="CE202" s="394">
        <f t="shared" si="371"/>
        <v>1150</v>
      </c>
      <c r="CF202" s="300" t="e">
        <f t="shared" si="434"/>
        <v>#DIV/0!</v>
      </c>
      <c r="CG202" s="394">
        <f t="shared" si="435"/>
        <v>61350</v>
      </c>
      <c r="CH202" s="300">
        <f t="shared" si="436"/>
        <v>0.69023463353474424</v>
      </c>
      <c r="CI202" s="517"/>
      <c r="CJ202" s="661">
        <v>975</v>
      </c>
      <c r="CK202" s="652"/>
      <c r="CL202" s="657">
        <f>CJ203</f>
        <v>0</v>
      </c>
      <c r="CM202" s="657">
        <f t="shared" si="362"/>
        <v>975</v>
      </c>
      <c r="CN202" s="659">
        <f t="shared" si="359"/>
        <v>26250</v>
      </c>
      <c r="CO202" s="467">
        <v>0</v>
      </c>
      <c r="CP202" s="470"/>
      <c r="CQ202" s="468">
        <f>CO203</f>
        <v>0</v>
      </c>
      <c r="CR202" s="468">
        <f t="shared" si="372"/>
        <v>0</v>
      </c>
      <c r="CS202" s="486" t="e">
        <f t="shared" si="437"/>
        <v>#DIV/0!</v>
      </c>
      <c r="CT202" s="468">
        <f t="shared" si="438"/>
        <v>1619</v>
      </c>
      <c r="CU202" s="486">
        <f t="shared" si="439"/>
        <v>1.821499383362267E-2</v>
      </c>
      <c r="CV202" s="519"/>
      <c r="CW202" s="427">
        <v>0</v>
      </c>
      <c r="CX202" s="427"/>
      <c r="CY202" s="427">
        <f>CW203</f>
        <v>0</v>
      </c>
      <c r="CZ202" s="427">
        <f t="shared" si="441"/>
        <v>0</v>
      </c>
      <c r="DA202" s="607" t="e">
        <f t="shared" si="456"/>
        <v>#DIV/0!</v>
      </c>
      <c r="DB202" s="607">
        <f t="shared" si="442"/>
        <v>115</v>
      </c>
      <c r="DC202" s="607">
        <f t="shared" si="391"/>
        <v>1.2938383513691211E-3</v>
      </c>
      <c r="DD202" s="610"/>
      <c r="DE202" s="472">
        <v>7.1</v>
      </c>
      <c r="DF202" s="476"/>
      <c r="DG202" s="474">
        <f>DE203</f>
        <v>0</v>
      </c>
      <c r="DH202" s="474">
        <f t="shared" si="373"/>
        <v>7.1</v>
      </c>
      <c r="DI202" s="227" t="e">
        <f t="shared" si="443"/>
        <v>#DIV/0!</v>
      </c>
      <c r="DJ202" s="474">
        <f t="shared" si="444"/>
        <v>155.19999999999999</v>
      </c>
      <c r="DK202" s="227">
        <f t="shared" si="445"/>
        <v>1.7461192359346748E-3</v>
      </c>
      <c r="DL202" s="511"/>
      <c r="DM202" s="63">
        <v>0</v>
      </c>
      <c r="DN202" s="254"/>
      <c r="DO202" s="66">
        <f>DM203</f>
        <v>0</v>
      </c>
      <c r="DP202" s="66">
        <f t="shared" si="374"/>
        <v>0</v>
      </c>
      <c r="DQ202" s="412" t="e">
        <f t="shared" si="447"/>
        <v>#DIV/0!</v>
      </c>
      <c r="DR202" s="66">
        <f t="shared" si="448"/>
        <v>18000</v>
      </c>
      <c r="DS202" s="412">
        <f t="shared" si="449"/>
        <v>0.2025138289099494</v>
      </c>
      <c r="DT202" s="507"/>
      <c r="DU202" s="596">
        <v>0</v>
      </c>
      <c r="DV202" s="596"/>
      <c r="DW202" s="596">
        <f>DU203</f>
        <v>0</v>
      </c>
      <c r="DX202" s="596">
        <f t="shared" si="375"/>
        <v>0</v>
      </c>
      <c r="DY202" s="592" t="e">
        <f t="shared" si="394"/>
        <v>#DIV/0!</v>
      </c>
      <c r="DZ202" s="596">
        <f t="shared" si="450"/>
        <v>2800</v>
      </c>
      <c r="EA202" s="592">
        <f t="shared" si="395"/>
        <v>3.1502151163769906E-2</v>
      </c>
      <c r="EB202" s="595"/>
      <c r="EC202" s="451">
        <v>50</v>
      </c>
      <c r="ED202" s="455"/>
      <c r="EE202" s="452">
        <f>EC203</f>
        <v>0</v>
      </c>
      <c r="EF202" s="452">
        <f t="shared" si="376"/>
        <v>50</v>
      </c>
      <c r="EG202" s="450" t="e">
        <f t="shared" si="454"/>
        <v>#DIV/0!</v>
      </c>
      <c r="EH202" s="452">
        <f t="shared" si="451"/>
        <v>1165</v>
      </c>
      <c r="EI202" s="450">
        <f t="shared" si="455"/>
        <v>1.3107145037782836E-2</v>
      </c>
      <c r="EJ202" s="521"/>
      <c r="EK202" s="428">
        <v>1438</v>
      </c>
      <c r="EL202" s="431"/>
      <c r="EM202" s="429">
        <f>EK203</f>
        <v>0</v>
      </c>
      <c r="EN202" s="427">
        <f t="shared" si="377"/>
        <v>1438</v>
      </c>
      <c r="EO202" s="429">
        <f t="shared" si="398"/>
        <v>84722</v>
      </c>
      <c r="EP202" s="458">
        <v>84</v>
      </c>
      <c r="EQ202" s="461"/>
      <c r="ER202" s="459">
        <f>EP203</f>
        <v>0</v>
      </c>
      <c r="ES202" s="459">
        <f t="shared" si="378"/>
        <v>84</v>
      </c>
      <c r="ET202" s="459">
        <f t="shared" si="400"/>
        <v>2242</v>
      </c>
      <c r="EU202" s="432">
        <v>0</v>
      </c>
      <c r="EV202" s="435"/>
      <c r="EW202" s="433">
        <f>EU203</f>
        <v>0</v>
      </c>
      <c r="EX202" s="433">
        <f t="shared" si="379"/>
        <v>0</v>
      </c>
      <c r="EY202" s="433">
        <f t="shared" si="402"/>
        <v>940</v>
      </c>
      <c r="EZ202" s="438">
        <v>37</v>
      </c>
      <c r="FA202" s="441"/>
      <c r="FB202" s="439">
        <f>EZ203</f>
        <v>0</v>
      </c>
      <c r="FC202" s="439">
        <f t="shared" si="380"/>
        <v>37</v>
      </c>
      <c r="FD202" s="439">
        <f t="shared" si="404"/>
        <v>1090</v>
      </c>
      <c r="FE202" s="444">
        <v>0</v>
      </c>
      <c r="FF202" s="447"/>
      <c r="FG202" s="445">
        <f>FE203</f>
        <v>0</v>
      </c>
      <c r="FH202" s="445">
        <f t="shared" si="381"/>
        <v>0</v>
      </c>
      <c r="FI202" s="445">
        <f t="shared" si="406"/>
        <v>1200</v>
      </c>
      <c r="FJ202" s="393">
        <v>775</v>
      </c>
      <c r="FK202" s="396"/>
      <c r="FL202" s="394">
        <f>FJ203</f>
        <v>0</v>
      </c>
      <c r="FM202" s="394">
        <f t="shared" si="382"/>
        <v>775</v>
      </c>
      <c r="FN202" s="499">
        <f t="shared" si="408"/>
        <v>4800</v>
      </c>
      <c r="HC202" s="403">
        <v>252</v>
      </c>
      <c r="HD202" s="463"/>
      <c r="HE202" s="405">
        <f>HC203</f>
        <v>0</v>
      </c>
      <c r="HF202" s="405">
        <f t="shared" si="383"/>
        <v>252</v>
      </c>
      <c r="HG202" s="84"/>
      <c r="HH202" s="405">
        <f t="shared" si="452"/>
        <v>2800</v>
      </c>
      <c r="HI202" s="84"/>
      <c r="HJ202" s="1048"/>
    </row>
    <row r="203" spans="1:218">
      <c r="A203" s="30">
        <v>44866</v>
      </c>
      <c r="B203" s="390"/>
      <c r="C203" s="18">
        <f t="shared" si="363"/>
        <v>88882819</v>
      </c>
      <c r="D203" s="376"/>
      <c r="E203" s="417">
        <f t="shared" si="360"/>
        <v>1061606.7599999998</v>
      </c>
      <c r="F203" s="397"/>
      <c r="G203" s="37"/>
      <c r="H203" s="37">
        <f t="shared" si="384"/>
        <v>0</v>
      </c>
      <c r="I203" s="37">
        <f t="shared" si="364"/>
        <v>0</v>
      </c>
      <c r="J203" s="37" t="e">
        <f t="shared" si="365"/>
        <v>#DIV/0!</v>
      </c>
      <c r="K203" s="37">
        <f t="shared" si="410"/>
        <v>481207</v>
      </c>
      <c r="L203" s="37">
        <f t="shared" si="366"/>
        <v>453.28177827352954</v>
      </c>
      <c r="M203" s="672"/>
      <c r="N203" s="422"/>
      <c r="O203" s="423"/>
      <c r="P203" s="423">
        <f t="shared" si="411"/>
        <v>0</v>
      </c>
      <c r="Q203" s="423">
        <f t="shared" si="412"/>
        <v>0</v>
      </c>
      <c r="R203" s="423">
        <f t="shared" si="413"/>
        <v>14025</v>
      </c>
      <c r="S203" s="102"/>
      <c r="T203" s="67">
        <v>24</v>
      </c>
      <c r="U203" s="68">
        <f t="shared" si="414"/>
        <v>0</v>
      </c>
      <c r="V203" s="68" t="e">
        <f t="shared" si="367"/>
        <v>#DIV/0!</v>
      </c>
      <c r="W203" s="423">
        <f t="shared" si="415"/>
        <v>13670.903999999999</v>
      </c>
      <c r="X203" s="68">
        <f t="shared" si="368"/>
        <v>12.877559295119788</v>
      </c>
      <c r="Y203" s="673"/>
      <c r="Z203" s="424"/>
      <c r="AA203" s="425"/>
      <c r="AB203" s="425">
        <f t="shared" si="416"/>
        <v>0</v>
      </c>
      <c r="AC203" s="425">
        <f t="shared" si="417"/>
        <v>0</v>
      </c>
      <c r="AD203" s="425">
        <f t="shared" si="418"/>
        <v>2225</v>
      </c>
      <c r="AE203" s="138"/>
      <c r="AF203" s="71">
        <v>12</v>
      </c>
      <c r="AG203" s="72">
        <f t="shared" si="419"/>
        <v>0</v>
      </c>
      <c r="AH203" s="72" t="e">
        <f t="shared" si="385"/>
        <v>#DIV/0!</v>
      </c>
      <c r="AI203" s="425">
        <f t="shared" si="420"/>
        <v>2049.9120000000016</v>
      </c>
      <c r="AJ203" s="72">
        <f t="shared" si="453"/>
        <v>1.9309522859481434</v>
      </c>
      <c r="AK203" s="674"/>
      <c r="AL203" s="491"/>
      <c r="AM203" s="491"/>
      <c r="AN203" s="492">
        <f t="shared" si="353"/>
        <v>0</v>
      </c>
      <c r="AO203" s="492">
        <f t="shared" si="354"/>
        <v>0</v>
      </c>
      <c r="AP203" s="492">
        <f t="shared" si="355"/>
        <v>83573</v>
      </c>
      <c r="AQ203" s="493">
        <f t="shared" si="386"/>
        <v>78.723123428490624</v>
      </c>
      <c r="AR203" s="675"/>
      <c r="AS203" s="413"/>
      <c r="AT203" s="132"/>
      <c r="AU203" s="66">
        <f t="shared" si="421"/>
        <v>0</v>
      </c>
      <c r="AV203" s="66">
        <f t="shared" si="369"/>
        <v>0</v>
      </c>
      <c r="AW203" s="412" t="e">
        <f t="shared" si="422"/>
        <v>#DIV/0!</v>
      </c>
      <c r="AX203" s="66">
        <f t="shared" si="423"/>
        <v>297615</v>
      </c>
      <c r="AY203" s="412">
        <f t="shared" si="424"/>
        <v>3.3483973995019216</v>
      </c>
      <c r="AZ203" s="676"/>
      <c r="BA203" s="419"/>
      <c r="BB203" s="419"/>
      <c r="BC203" s="407"/>
      <c r="BD203" s="419">
        <f t="shared" si="387"/>
        <v>0</v>
      </c>
      <c r="BE203" s="419">
        <f t="shared" si="388"/>
        <v>0</v>
      </c>
      <c r="BF203" s="407" t="e">
        <f t="shared" si="425"/>
        <v>#DIV/0!</v>
      </c>
      <c r="BG203" s="419">
        <f t="shared" si="356"/>
        <v>368770</v>
      </c>
      <c r="BH203" s="407">
        <f t="shared" si="426"/>
        <v>4.1489458159512242</v>
      </c>
      <c r="BI203" s="407">
        <f t="shared" si="427"/>
        <v>0.50803418154504787</v>
      </c>
      <c r="BJ203" s="666"/>
      <c r="BK203" s="646"/>
      <c r="BL203" s="121"/>
      <c r="BM203" s="122"/>
      <c r="BN203" s="52">
        <f t="shared" si="428"/>
        <v>0</v>
      </c>
      <c r="BO203" s="52">
        <f t="shared" si="370"/>
        <v>0</v>
      </c>
      <c r="BP203" s="406" t="e">
        <f t="shared" si="429"/>
        <v>#DIV/0!</v>
      </c>
      <c r="BQ203" s="52">
        <f t="shared" si="430"/>
        <v>37700</v>
      </c>
      <c r="BR203" s="406">
        <f t="shared" si="431"/>
        <v>0.42415396388361626</v>
      </c>
      <c r="BS203" s="677"/>
      <c r="BT203" s="409"/>
      <c r="BU203" s="43"/>
      <c r="BV203" s="43">
        <f t="shared" si="350"/>
        <v>0</v>
      </c>
      <c r="BW203" s="43">
        <f t="shared" si="351"/>
        <v>0</v>
      </c>
      <c r="BX203" s="42" t="e">
        <f t="shared" si="432"/>
        <v>#DIV/0!</v>
      </c>
      <c r="BY203" s="43">
        <f t="shared" si="352"/>
        <v>19437</v>
      </c>
      <c r="BZ203" s="42">
        <f t="shared" si="433"/>
        <v>0.21868118291792704</v>
      </c>
      <c r="CA203" s="668"/>
      <c r="CB203" s="392"/>
      <c r="CC203" s="298"/>
      <c r="CD203" s="298">
        <f t="shared" si="389"/>
        <v>0</v>
      </c>
      <c r="CE203" s="298">
        <f t="shared" si="371"/>
        <v>0</v>
      </c>
      <c r="CF203" s="297" t="e">
        <f t="shared" si="434"/>
        <v>#DIV/0!</v>
      </c>
      <c r="CG203" s="298">
        <f t="shared" si="435"/>
        <v>61350</v>
      </c>
      <c r="CH203" s="297">
        <f t="shared" si="436"/>
        <v>0.69023463353474424</v>
      </c>
      <c r="CI203" s="678"/>
      <c r="CJ203" s="659"/>
      <c r="CK203" s="651"/>
      <c r="CL203" s="657">
        <f t="shared" si="361"/>
        <v>0</v>
      </c>
      <c r="CM203" s="657">
        <f t="shared" si="362"/>
        <v>0</v>
      </c>
      <c r="CN203" s="659">
        <f t="shared" si="359"/>
        <v>26250</v>
      </c>
      <c r="CO203" s="464"/>
      <c r="CP203" s="465"/>
      <c r="CQ203" s="465">
        <f t="shared" si="390"/>
        <v>0</v>
      </c>
      <c r="CR203" s="465">
        <f t="shared" si="372"/>
        <v>0</v>
      </c>
      <c r="CS203" s="486" t="e">
        <f t="shared" si="437"/>
        <v>#DIV/0!</v>
      </c>
      <c r="CT203" s="465">
        <f t="shared" si="438"/>
        <v>1619</v>
      </c>
      <c r="CU203" s="486">
        <f t="shared" si="439"/>
        <v>1.821499383362267E-2</v>
      </c>
      <c r="CV203" s="670"/>
      <c r="CW203" s="427"/>
      <c r="CX203" s="427"/>
      <c r="CY203" s="427">
        <f t="shared" si="440"/>
        <v>0</v>
      </c>
      <c r="CZ203" s="427">
        <f t="shared" si="441"/>
        <v>0</v>
      </c>
      <c r="DA203" s="607" t="e">
        <f t="shared" si="456"/>
        <v>#DIV/0!</v>
      </c>
      <c r="DB203" s="607">
        <f t="shared" si="442"/>
        <v>115</v>
      </c>
      <c r="DC203" s="607">
        <f t="shared" si="391"/>
        <v>1.2938383513691211E-3</v>
      </c>
      <c r="DD203" s="609"/>
      <c r="DE203" s="471"/>
      <c r="DF203" s="473"/>
      <c r="DG203" s="473">
        <f t="shared" si="392"/>
        <v>0</v>
      </c>
      <c r="DH203" s="473">
        <f t="shared" si="373"/>
        <v>0</v>
      </c>
      <c r="DI203" s="227" t="e">
        <f t="shared" si="443"/>
        <v>#DIV/0!</v>
      </c>
      <c r="DJ203" s="473">
        <f t="shared" si="444"/>
        <v>155.19999999999999</v>
      </c>
      <c r="DK203" s="227">
        <f t="shared" si="445"/>
        <v>1.7461192359346748E-3</v>
      </c>
      <c r="DL203" s="666"/>
      <c r="DM203" s="131"/>
      <c r="DN203" s="132"/>
      <c r="DO203" s="66">
        <f t="shared" si="446"/>
        <v>0</v>
      </c>
      <c r="DP203" s="66">
        <f t="shared" si="374"/>
        <v>0</v>
      </c>
      <c r="DQ203" s="412" t="e">
        <f t="shared" si="447"/>
        <v>#DIV/0!</v>
      </c>
      <c r="DR203" s="66">
        <f t="shared" si="448"/>
        <v>18000</v>
      </c>
      <c r="DS203" s="412">
        <f t="shared" si="449"/>
        <v>0.2025138289099494</v>
      </c>
      <c r="DT203" s="676"/>
      <c r="DU203" s="596"/>
      <c r="DV203" s="596"/>
      <c r="DW203" s="596">
        <f t="shared" si="393"/>
        <v>0</v>
      </c>
      <c r="DX203" s="596">
        <f t="shared" si="375"/>
        <v>0</v>
      </c>
      <c r="DY203" s="592" t="e">
        <f t="shared" si="394"/>
        <v>#DIV/0!</v>
      </c>
      <c r="DZ203" s="596">
        <f t="shared" si="450"/>
        <v>2800</v>
      </c>
      <c r="EA203" s="592">
        <f t="shared" si="395"/>
        <v>3.1502151163769906E-2</v>
      </c>
      <c r="EB203" s="594"/>
      <c r="EC203" s="448"/>
      <c r="ED203" s="449"/>
      <c r="EE203" s="449">
        <f t="shared" si="396"/>
        <v>0</v>
      </c>
      <c r="EF203" s="449">
        <f t="shared" si="376"/>
        <v>0</v>
      </c>
      <c r="EG203" s="450" t="e">
        <f t="shared" si="454"/>
        <v>#DIV/0!</v>
      </c>
      <c r="EH203" s="449">
        <f t="shared" si="451"/>
        <v>1165</v>
      </c>
      <c r="EI203" s="450">
        <f t="shared" si="455"/>
        <v>1.3107145037782836E-2</v>
      </c>
      <c r="EJ203" s="679"/>
      <c r="EK203" s="426"/>
      <c r="EL203" s="427"/>
      <c r="EM203" s="427">
        <f t="shared" si="397"/>
        <v>0</v>
      </c>
      <c r="EN203" s="427">
        <f t="shared" si="377"/>
        <v>0</v>
      </c>
      <c r="EO203" s="427">
        <f t="shared" si="398"/>
        <v>84722</v>
      </c>
      <c r="EP203" s="456"/>
      <c r="EQ203" s="457"/>
      <c r="ER203" s="457">
        <f t="shared" si="399"/>
        <v>0</v>
      </c>
      <c r="ES203" s="457">
        <f t="shared" si="378"/>
        <v>0</v>
      </c>
      <c r="ET203" s="457">
        <f t="shared" si="400"/>
        <v>2242</v>
      </c>
      <c r="EU203" s="409"/>
      <c r="EV203" s="43"/>
      <c r="EW203" s="43">
        <f t="shared" si="401"/>
        <v>0</v>
      </c>
      <c r="EX203" s="43">
        <f t="shared" si="379"/>
        <v>0</v>
      </c>
      <c r="EY203" s="43">
        <f t="shared" si="402"/>
        <v>940</v>
      </c>
      <c r="EZ203" s="436"/>
      <c r="FA203" s="437"/>
      <c r="FB203" s="437">
        <f t="shared" si="403"/>
        <v>0</v>
      </c>
      <c r="FC203" s="437">
        <f t="shared" si="380"/>
        <v>0</v>
      </c>
      <c r="FD203" s="437">
        <f t="shared" si="404"/>
        <v>1090</v>
      </c>
      <c r="FE203" s="442"/>
      <c r="FF203" s="443"/>
      <c r="FG203" s="443">
        <f t="shared" si="405"/>
        <v>0</v>
      </c>
      <c r="FH203" s="443">
        <f t="shared" si="381"/>
        <v>0</v>
      </c>
      <c r="FI203" s="443">
        <f t="shared" si="406"/>
        <v>1200</v>
      </c>
      <c r="FJ203" s="392"/>
      <c r="FK203" s="298"/>
      <c r="FL203" s="298">
        <f t="shared" si="407"/>
        <v>0</v>
      </c>
      <c r="FM203" s="298">
        <f t="shared" si="382"/>
        <v>0</v>
      </c>
      <c r="FN203" s="498">
        <f t="shared" si="408"/>
        <v>4800</v>
      </c>
      <c r="HC203" s="402"/>
      <c r="HD203" s="52"/>
      <c r="HE203" s="52">
        <f t="shared" si="409"/>
        <v>0</v>
      </c>
      <c r="HF203" s="52">
        <f t="shared" si="383"/>
        <v>0</v>
      </c>
      <c r="HG203" s="51"/>
      <c r="HH203" s="52">
        <f t="shared" si="452"/>
        <v>2800</v>
      </c>
      <c r="HI203" s="51"/>
      <c r="HJ203" s="1049"/>
    </row>
    <row r="204" spans="1:218">
      <c r="A204" s="30">
        <v>44867</v>
      </c>
      <c r="B204" s="390"/>
      <c r="C204" s="18">
        <f t="shared" si="363"/>
        <v>88882819</v>
      </c>
      <c r="D204" s="376"/>
      <c r="E204" s="417">
        <f t="shared" si="360"/>
        <v>1061606.7599999998</v>
      </c>
      <c r="F204" s="397"/>
      <c r="G204" s="37"/>
      <c r="H204" s="37">
        <f t="shared" si="384"/>
        <v>0</v>
      </c>
      <c r="I204" s="37">
        <f t="shared" si="364"/>
        <v>0</v>
      </c>
      <c r="J204" s="37" t="e">
        <f t="shared" si="365"/>
        <v>#DIV/0!</v>
      </c>
      <c r="K204" s="37">
        <f t="shared" si="410"/>
        <v>481207</v>
      </c>
      <c r="L204" s="37">
        <f t="shared" si="366"/>
        <v>453.28177827352954</v>
      </c>
      <c r="M204" s="680"/>
      <c r="N204" s="422"/>
      <c r="O204" s="423"/>
      <c r="P204" s="423">
        <f t="shared" si="411"/>
        <v>0</v>
      </c>
      <c r="Q204" s="423">
        <f t="shared" si="412"/>
        <v>0</v>
      </c>
      <c r="R204" s="423">
        <f t="shared" si="413"/>
        <v>14025</v>
      </c>
      <c r="S204" s="68"/>
      <c r="T204" s="67">
        <v>24</v>
      </c>
      <c r="U204" s="68">
        <f t="shared" si="414"/>
        <v>0</v>
      </c>
      <c r="V204" s="68" t="e">
        <f t="shared" si="367"/>
        <v>#DIV/0!</v>
      </c>
      <c r="W204" s="423">
        <f t="shared" si="415"/>
        <v>13670.903999999999</v>
      </c>
      <c r="X204" s="68">
        <f t="shared" si="368"/>
        <v>12.877559295119788</v>
      </c>
      <c r="Y204" s="681"/>
      <c r="Z204" s="424"/>
      <c r="AA204" s="425"/>
      <c r="AB204" s="425">
        <f t="shared" si="416"/>
        <v>0</v>
      </c>
      <c r="AC204" s="425">
        <f t="shared" si="417"/>
        <v>0</v>
      </c>
      <c r="AD204" s="425">
        <f t="shared" si="418"/>
        <v>2225</v>
      </c>
      <c r="AE204" s="72"/>
      <c r="AF204" s="71">
        <v>12</v>
      </c>
      <c r="AG204" s="72">
        <f t="shared" si="419"/>
        <v>0</v>
      </c>
      <c r="AH204" s="72" t="e">
        <f t="shared" si="385"/>
        <v>#DIV/0!</v>
      </c>
      <c r="AI204" s="425">
        <f t="shared" si="420"/>
        <v>2049.9120000000016</v>
      </c>
      <c r="AJ204" s="72">
        <f t="shared" si="453"/>
        <v>1.9309522859481434</v>
      </c>
      <c r="AK204" s="682"/>
      <c r="AL204" s="491"/>
      <c r="AM204" s="491"/>
      <c r="AN204" s="492">
        <f t="shared" si="353"/>
        <v>0</v>
      </c>
      <c r="AO204" s="492">
        <f t="shared" si="354"/>
        <v>0</v>
      </c>
      <c r="AP204" s="492">
        <f t="shared" si="355"/>
        <v>83573</v>
      </c>
      <c r="AQ204" s="493">
        <f t="shared" si="386"/>
        <v>78.723123428490624</v>
      </c>
      <c r="AR204" s="683"/>
      <c r="AS204" s="413"/>
      <c r="AT204" s="64"/>
      <c r="AU204" s="66">
        <f t="shared" si="421"/>
        <v>0</v>
      </c>
      <c r="AV204" s="66">
        <f t="shared" si="369"/>
        <v>0</v>
      </c>
      <c r="AW204" s="412" t="e">
        <f t="shared" si="422"/>
        <v>#DIV/0!</v>
      </c>
      <c r="AX204" s="66">
        <f t="shared" si="423"/>
        <v>297615</v>
      </c>
      <c r="AY204" s="412">
        <f t="shared" si="424"/>
        <v>3.3483973995019216</v>
      </c>
      <c r="AZ204" s="684"/>
      <c r="BA204" s="419"/>
      <c r="BB204" s="419"/>
      <c r="BC204" s="407"/>
      <c r="BD204" s="419">
        <f t="shared" si="387"/>
        <v>0</v>
      </c>
      <c r="BE204" s="419">
        <f t="shared" si="388"/>
        <v>0</v>
      </c>
      <c r="BF204" s="407" t="e">
        <f t="shared" si="425"/>
        <v>#DIV/0!</v>
      </c>
      <c r="BG204" s="419">
        <f t="shared" si="356"/>
        <v>368770</v>
      </c>
      <c r="BH204" s="407">
        <f t="shared" si="426"/>
        <v>4.1489458159512242</v>
      </c>
      <c r="BI204" s="407">
        <f t="shared" si="427"/>
        <v>0.50803418154504787</v>
      </c>
      <c r="BJ204" s="508"/>
      <c r="BK204" s="510"/>
      <c r="BL204" s="49"/>
      <c r="BM204" s="50"/>
      <c r="BN204" s="52">
        <f t="shared" si="428"/>
        <v>0</v>
      </c>
      <c r="BO204" s="52">
        <f t="shared" si="370"/>
        <v>0</v>
      </c>
      <c r="BP204" s="406" t="e">
        <f t="shared" si="429"/>
        <v>#DIV/0!</v>
      </c>
      <c r="BQ204" s="52">
        <f t="shared" si="430"/>
        <v>37700</v>
      </c>
      <c r="BR204" s="406">
        <f t="shared" si="431"/>
        <v>0.42415396388361626</v>
      </c>
      <c r="BS204" s="685"/>
      <c r="BT204" s="409"/>
      <c r="BU204" s="43"/>
      <c r="BV204" s="43">
        <f t="shared" si="350"/>
        <v>0</v>
      </c>
      <c r="BW204" s="43">
        <f t="shared" si="351"/>
        <v>0</v>
      </c>
      <c r="BX204" s="42" t="e">
        <f t="shared" si="432"/>
        <v>#DIV/0!</v>
      </c>
      <c r="BY204" s="43">
        <f t="shared" si="352"/>
        <v>19437</v>
      </c>
      <c r="BZ204" s="42">
        <f t="shared" si="433"/>
        <v>0.21868118291792704</v>
      </c>
      <c r="CA204" s="514"/>
      <c r="CB204" s="392"/>
      <c r="CC204" s="298"/>
      <c r="CD204" s="298">
        <f t="shared" si="389"/>
        <v>0</v>
      </c>
      <c r="CE204" s="298">
        <f t="shared" si="371"/>
        <v>0</v>
      </c>
      <c r="CF204" s="297" t="e">
        <f t="shared" si="434"/>
        <v>#DIV/0!</v>
      </c>
      <c r="CG204" s="298">
        <f t="shared" si="435"/>
        <v>61350</v>
      </c>
      <c r="CH204" s="297">
        <f t="shared" si="436"/>
        <v>0.69023463353474424</v>
      </c>
      <c r="CI204" s="686"/>
      <c r="CJ204" s="659"/>
      <c r="CK204" s="651"/>
      <c r="CL204" s="657">
        <f t="shared" si="361"/>
        <v>0</v>
      </c>
      <c r="CM204" s="657">
        <f t="shared" si="362"/>
        <v>0</v>
      </c>
      <c r="CN204" s="659">
        <f t="shared" si="359"/>
        <v>26250</v>
      </c>
      <c r="CO204" s="464"/>
      <c r="CP204" s="465"/>
      <c r="CQ204" s="465">
        <f t="shared" si="390"/>
        <v>0</v>
      </c>
      <c r="CR204" s="465">
        <f t="shared" si="372"/>
        <v>0</v>
      </c>
      <c r="CS204" s="486" t="e">
        <f t="shared" si="437"/>
        <v>#DIV/0!</v>
      </c>
      <c r="CT204" s="465">
        <f t="shared" si="438"/>
        <v>1619</v>
      </c>
      <c r="CU204" s="486">
        <f t="shared" si="439"/>
        <v>1.821499383362267E-2</v>
      </c>
      <c r="CV204" s="518"/>
      <c r="CW204" s="427"/>
      <c r="CX204" s="427"/>
      <c r="CY204" s="427">
        <f t="shared" si="440"/>
        <v>0</v>
      </c>
      <c r="CZ204" s="427">
        <f t="shared" si="441"/>
        <v>0</v>
      </c>
      <c r="DA204" s="607" t="e">
        <f t="shared" si="456"/>
        <v>#DIV/0!</v>
      </c>
      <c r="DB204" s="607">
        <f t="shared" si="442"/>
        <v>115</v>
      </c>
      <c r="DC204" s="607">
        <f t="shared" si="391"/>
        <v>1.2938383513691211E-3</v>
      </c>
      <c r="DD204" s="609"/>
      <c r="DE204" s="471"/>
      <c r="DF204" s="473"/>
      <c r="DG204" s="473">
        <f t="shared" si="392"/>
        <v>0</v>
      </c>
      <c r="DH204" s="473">
        <f t="shared" si="373"/>
        <v>0</v>
      </c>
      <c r="DI204" s="227" t="e">
        <f t="shared" si="443"/>
        <v>#DIV/0!</v>
      </c>
      <c r="DJ204" s="473">
        <f t="shared" si="444"/>
        <v>155.19999999999999</v>
      </c>
      <c r="DK204" s="227">
        <f t="shared" si="445"/>
        <v>1.7461192359346748E-3</v>
      </c>
      <c r="DL204" s="508"/>
      <c r="DM204" s="63"/>
      <c r="DN204" s="64"/>
      <c r="DO204" s="66">
        <f t="shared" si="446"/>
        <v>0</v>
      </c>
      <c r="DP204" s="66">
        <f t="shared" si="374"/>
        <v>0</v>
      </c>
      <c r="DQ204" s="412" t="e">
        <f t="shared" si="447"/>
        <v>#DIV/0!</v>
      </c>
      <c r="DR204" s="66">
        <f t="shared" si="448"/>
        <v>18000</v>
      </c>
      <c r="DS204" s="412">
        <f t="shared" si="449"/>
        <v>0.2025138289099494</v>
      </c>
      <c r="DT204" s="684"/>
      <c r="DU204" s="596"/>
      <c r="DV204" s="596"/>
      <c r="DW204" s="596">
        <f t="shared" si="393"/>
        <v>0</v>
      </c>
      <c r="DX204" s="596">
        <f t="shared" si="375"/>
        <v>0</v>
      </c>
      <c r="DY204" s="592" t="e">
        <f t="shared" si="394"/>
        <v>#DIV/0!</v>
      </c>
      <c r="DZ204" s="596">
        <f t="shared" si="450"/>
        <v>2800</v>
      </c>
      <c r="EA204" s="592">
        <f t="shared" si="395"/>
        <v>3.1502151163769906E-2</v>
      </c>
      <c r="EB204" s="594"/>
      <c r="EC204" s="448"/>
      <c r="ED204" s="449"/>
      <c r="EE204" s="449">
        <f t="shared" si="396"/>
        <v>0</v>
      </c>
      <c r="EF204" s="449">
        <f t="shared" si="376"/>
        <v>0</v>
      </c>
      <c r="EG204" s="450" t="e">
        <f t="shared" si="454"/>
        <v>#DIV/0!</v>
      </c>
      <c r="EH204" s="449">
        <f t="shared" si="451"/>
        <v>1165</v>
      </c>
      <c r="EI204" s="450">
        <f t="shared" si="455"/>
        <v>1.3107145037782836E-2</v>
      </c>
      <c r="EJ204" s="687"/>
      <c r="EK204" s="426"/>
      <c r="EL204" s="427"/>
      <c r="EM204" s="427">
        <f t="shared" si="397"/>
        <v>0</v>
      </c>
      <c r="EN204" s="427">
        <f t="shared" si="377"/>
        <v>0</v>
      </c>
      <c r="EO204" s="427">
        <f t="shared" si="398"/>
        <v>84722</v>
      </c>
      <c r="EP204" s="456"/>
      <c r="EQ204" s="457"/>
      <c r="ER204" s="457">
        <f t="shared" si="399"/>
        <v>0</v>
      </c>
      <c r="ES204" s="457">
        <f t="shared" si="378"/>
        <v>0</v>
      </c>
      <c r="ET204" s="457">
        <f t="shared" si="400"/>
        <v>2242</v>
      </c>
      <c r="EU204" s="409"/>
      <c r="EV204" s="43"/>
      <c r="EW204" s="43">
        <f t="shared" si="401"/>
        <v>0</v>
      </c>
      <c r="EX204" s="43">
        <f t="shared" si="379"/>
        <v>0</v>
      </c>
      <c r="EY204" s="43">
        <f t="shared" si="402"/>
        <v>940</v>
      </c>
      <c r="EZ204" s="436"/>
      <c r="FA204" s="437"/>
      <c r="FB204" s="437">
        <f t="shared" si="403"/>
        <v>0</v>
      </c>
      <c r="FC204" s="437">
        <f t="shared" si="380"/>
        <v>0</v>
      </c>
      <c r="FD204" s="437">
        <f t="shared" si="404"/>
        <v>1090</v>
      </c>
      <c r="FE204" s="442"/>
      <c r="FF204" s="443"/>
      <c r="FG204" s="443">
        <f t="shared" si="405"/>
        <v>0</v>
      </c>
      <c r="FH204" s="443">
        <f t="shared" si="381"/>
        <v>0</v>
      </c>
      <c r="FI204" s="443">
        <f t="shared" si="406"/>
        <v>1200</v>
      </c>
      <c r="FJ204" s="392"/>
      <c r="FK204" s="298"/>
      <c r="FL204" s="298">
        <f t="shared" si="407"/>
        <v>0</v>
      </c>
      <c r="FM204" s="298">
        <f t="shared" si="382"/>
        <v>0</v>
      </c>
      <c r="FN204" s="498">
        <f t="shared" si="408"/>
        <v>4800</v>
      </c>
      <c r="HC204" s="402"/>
      <c r="HD204" s="52"/>
      <c r="HE204" s="52">
        <f t="shared" si="409"/>
        <v>0</v>
      </c>
      <c r="HF204" s="52">
        <f t="shared" si="383"/>
        <v>0</v>
      </c>
      <c r="HG204" s="51"/>
      <c r="HH204" s="52">
        <f t="shared" si="452"/>
        <v>2800</v>
      </c>
      <c r="HI204" s="51"/>
      <c r="HJ204" s="1050"/>
    </row>
    <row r="205" spans="1:218">
      <c r="A205" s="30">
        <v>44868</v>
      </c>
      <c r="B205" s="390"/>
      <c r="C205" s="18">
        <f t="shared" si="363"/>
        <v>88882819</v>
      </c>
      <c r="D205" s="376"/>
      <c r="E205" s="417">
        <f t="shared" si="360"/>
        <v>1061606.7599999998</v>
      </c>
      <c r="F205" s="397"/>
      <c r="G205" s="37"/>
      <c r="H205" s="37">
        <f t="shared" si="384"/>
        <v>0</v>
      </c>
      <c r="I205" s="37">
        <f t="shared" si="364"/>
        <v>0</v>
      </c>
      <c r="J205" s="37" t="e">
        <f t="shared" si="365"/>
        <v>#DIV/0!</v>
      </c>
      <c r="K205" s="37">
        <f t="shared" si="410"/>
        <v>481207</v>
      </c>
      <c r="L205" s="37">
        <f t="shared" si="366"/>
        <v>453.28177827352954</v>
      </c>
      <c r="M205" s="680"/>
      <c r="N205" s="422"/>
      <c r="O205" s="423"/>
      <c r="P205" s="423">
        <f t="shared" si="411"/>
        <v>0</v>
      </c>
      <c r="Q205" s="423">
        <f t="shared" si="412"/>
        <v>0</v>
      </c>
      <c r="R205" s="423">
        <f t="shared" si="413"/>
        <v>14025</v>
      </c>
      <c r="S205" s="68"/>
      <c r="T205" s="67">
        <v>24</v>
      </c>
      <c r="U205" s="68">
        <f t="shared" si="414"/>
        <v>0</v>
      </c>
      <c r="V205" s="68" t="e">
        <f t="shared" si="367"/>
        <v>#DIV/0!</v>
      </c>
      <c r="W205" s="423">
        <f t="shared" si="415"/>
        <v>13670.903999999999</v>
      </c>
      <c r="X205" s="68">
        <f t="shared" si="368"/>
        <v>12.877559295119788</v>
      </c>
      <c r="Y205" s="681"/>
      <c r="Z205" s="424"/>
      <c r="AA205" s="425"/>
      <c r="AB205" s="425">
        <f t="shared" si="416"/>
        <v>0</v>
      </c>
      <c r="AC205" s="425">
        <f t="shared" si="417"/>
        <v>0</v>
      </c>
      <c r="AD205" s="425">
        <f t="shared" si="418"/>
        <v>2225</v>
      </c>
      <c r="AE205" s="72"/>
      <c r="AF205" s="71">
        <v>12</v>
      </c>
      <c r="AG205" s="72">
        <f t="shared" si="419"/>
        <v>0</v>
      </c>
      <c r="AH205" s="72" t="e">
        <f t="shared" si="385"/>
        <v>#DIV/0!</v>
      </c>
      <c r="AI205" s="425">
        <f t="shared" si="420"/>
        <v>2049.9120000000016</v>
      </c>
      <c r="AJ205" s="72">
        <f t="shared" si="453"/>
        <v>1.9309522859481434</v>
      </c>
      <c r="AK205" s="682"/>
      <c r="AL205" s="491"/>
      <c r="AM205" s="491"/>
      <c r="AN205" s="492">
        <f t="shared" si="353"/>
        <v>0</v>
      </c>
      <c r="AO205" s="492">
        <f t="shared" si="354"/>
        <v>0</v>
      </c>
      <c r="AP205" s="492">
        <f t="shared" si="355"/>
        <v>83573</v>
      </c>
      <c r="AQ205" s="493">
        <f t="shared" si="386"/>
        <v>78.723123428490624</v>
      </c>
      <c r="AR205" s="683"/>
      <c r="AS205" s="413"/>
      <c r="AT205" s="64"/>
      <c r="AU205" s="66">
        <f t="shared" si="421"/>
        <v>0</v>
      </c>
      <c r="AV205" s="66">
        <f t="shared" si="369"/>
        <v>0</v>
      </c>
      <c r="AW205" s="412" t="e">
        <f t="shared" si="422"/>
        <v>#DIV/0!</v>
      </c>
      <c r="AX205" s="66">
        <f t="shared" si="423"/>
        <v>297615</v>
      </c>
      <c r="AY205" s="412">
        <f t="shared" si="424"/>
        <v>3.3483973995019216</v>
      </c>
      <c r="AZ205" s="684"/>
      <c r="BA205" s="419"/>
      <c r="BB205" s="419"/>
      <c r="BC205" s="407"/>
      <c r="BD205" s="419">
        <f t="shared" si="387"/>
        <v>0</v>
      </c>
      <c r="BE205" s="419">
        <f t="shared" si="388"/>
        <v>0</v>
      </c>
      <c r="BF205" s="407" t="e">
        <f t="shared" si="425"/>
        <v>#DIV/0!</v>
      </c>
      <c r="BG205" s="419">
        <f t="shared" si="356"/>
        <v>368770</v>
      </c>
      <c r="BH205" s="407">
        <f t="shared" si="426"/>
        <v>4.1489458159512242</v>
      </c>
      <c r="BI205" s="407">
        <f t="shared" si="427"/>
        <v>0.50803418154504787</v>
      </c>
      <c r="BJ205" s="508"/>
      <c r="BK205" s="510"/>
      <c r="BL205" s="49"/>
      <c r="BM205" s="50"/>
      <c r="BN205" s="52">
        <f t="shared" si="428"/>
        <v>0</v>
      </c>
      <c r="BO205" s="52">
        <f t="shared" si="370"/>
        <v>0</v>
      </c>
      <c r="BP205" s="406" t="e">
        <f t="shared" si="429"/>
        <v>#DIV/0!</v>
      </c>
      <c r="BQ205" s="52">
        <f t="shared" si="430"/>
        <v>37700</v>
      </c>
      <c r="BR205" s="406">
        <f t="shared" si="431"/>
        <v>0.42415396388361626</v>
      </c>
      <c r="BS205" s="685"/>
      <c r="BT205" s="409"/>
      <c r="BU205" s="43"/>
      <c r="BV205" s="43">
        <f t="shared" si="350"/>
        <v>0</v>
      </c>
      <c r="BW205" s="43">
        <f t="shared" si="351"/>
        <v>0</v>
      </c>
      <c r="BX205" s="42" t="e">
        <f t="shared" si="432"/>
        <v>#DIV/0!</v>
      </c>
      <c r="BY205" s="43">
        <f t="shared" si="352"/>
        <v>19437</v>
      </c>
      <c r="BZ205" s="42">
        <f t="shared" si="433"/>
        <v>0.21868118291792704</v>
      </c>
      <c r="CA205" s="514"/>
      <c r="CB205" s="392"/>
      <c r="CC205" s="298"/>
      <c r="CD205" s="298">
        <f t="shared" si="389"/>
        <v>0</v>
      </c>
      <c r="CE205" s="298">
        <f t="shared" si="371"/>
        <v>0</v>
      </c>
      <c r="CF205" s="297" t="e">
        <f t="shared" si="434"/>
        <v>#DIV/0!</v>
      </c>
      <c r="CG205" s="298">
        <f t="shared" si="435"/>
        <v>61350</v>
      </c>
      <c r="CH205" s="297">
        <f t="shared" si="436"/>
        <v>0.69023463353474424</v>
      </c>
      <c r="CI205" s="686"/>
      <c r="CJ205" s="659"/>
      <c r="CK205" s="651"/>
      <c r="CL205" s="657">
        <f t="shared" si="361"/>
        <v>0</v>
      </c>
      <c r="CM205" s="657">
        <f t="shared" si="362"/>
        <v>0</v>
      </c>
      <c r="CN205" s="659">
        <f t="shared" si="359"/>
        <v>26250</v>
      </c>
      <c r="CO205" s="464"/>
      <c r="CP205" s="465"/>
      <c r="CQ205" s="465">
        <f t="shared" si="390"/>
        <v>0</v>
      </c>
      <c r="CR205" s="465">
        <f t="shared" si="372"/>
        <v>0</v>
      </c>
      <c r="CS205" s="486" t="e">
        <f t="shared" si="437"/>
        <v>#DIV/0!</v>
      </c>
      <c r="CT205" s="465">
        <f t="shared" si="438"/>
        <v>1619</v>
      </c>
      <c r="CU205" s="486">
        <f t="shared" si="439"/>
        <v>1.821499383362267E-2</v>
      </c>
      <c r="CV205" s="518"/>
      <c r="CW205" s="427"/>
      <c r="CX205" s="427"/>
      <c r="CY205" s="427">
        <f t="shared" si="440"/>
        <v>0</v>
      </c>
      <c r="CZ205" s="427">
        <f t="shared" si="441"/>
        <v>0</v>
      </c>
      <c r="DA205" s="607" t="e">
        <f t="shared" si="456"/>
        <v>#DIV/0!</v>
      </c>
      <c r="DB205" s="607">
        <f t="shared" si="442"/>
        <v>115</v>
      </c>
      <c r="DC205" s="607">
        <f t="shared" si="391"/>
        <v>1.2938383513691211E-3</v>
      </c>
      <c r="DD205" s="609"/>
      <c r="DE205" s="471"/>
      <c r="DF205" s="473"/>
      <c r="DG205" s="473">
        <f t="shared" si="392"/>
        <v>0</v>
      </c>
      <c r="DH205" s="473">
        <f t="shared" si="373"/>
        <v>0</v>
      </c>
      <c r="DI205" s="227" t="e">
        <f t="shared" si="443"/>
        <v>#DIV/0!</v>
      </c>
      <c r="DJ205" s="473">
        <f t="shared" si="444"/>
        <v>155.19999999999999</v>
      </c>
      <c r="DK205" s="227">
        <f t="shared" si="445"/>
        <v>1.7461192359346748E-3</v>
      </c>
      <c r="DL205" s="508"/>
      <c r="DM205" s="63"/>
      <c r="DN205" s="64"/>
      <c r="DO205" s="66">
        <f t="shared" si="446"/>
        <v>0</v>
      </c>
      <c r="DP205" s="66">
        <f t="shared" si="374"/>
        <v>0</v>
      </c>
      <c r="DQ205" s="412" t="e">
        <f t="shared" si="447"/>
        <v>#DIV/0!</v>
      </c>
      <c r="DR205" s="66">
        <f t="shared" si="448"/>
        <v>18000</v>
      </c>
      <c r="DS205" s="412">
        <f t="shared" si="449"/>
        <v>0.2025138289099494</v>
      </c>
      <c r="DT205" s="684"/>
      <c r="DU205" s="596"/>
      <c r="DV205" s="596"/>
      <c r="DW205" s="596">
        <f t="shared" si="393"/>
        <v>0</v>
      </c>
      <c r="DX205" s="596">
        <f t="shared" si="375"/>
        <v>0</v>
      </c>
      <c r="DY205" s="592" t="e">
        <f t="shared" si="394"/>
        <v>#DIV/0!</v>
      </c>
      <c r="DZ205" s="596">
        <f t="shared" si="450"/>
        <v>2800</v>
      </c>
      <c r="EA205" s="592">
        <f t="shared" si="395"/>
        <v>3.1502151163769906E-2</v>
      </c>
      <c r="EB205" s="594"/>
      <c r="EC205" s="448"/>
      <c r="ED205" s="449"/>
      <c r="EE205" s="449">
        <f t="shared" si="396"/>
        <v>0</v>
      </c>
      <c r="EF205" s="449">
        <f t="shared" si="376"/>
        <v>0</v>
      </c>
      <c r="EG205" s="450" t="e">
        <f t="shared" si="454"/>
        <v>#DIV/0!</v>
      </c>
      <c r="EH205" s="449">
        <f t="shared" si="451"/>
        <v>1165</v>
      </c>
      <c r="EI205" s="450">
        <f t="shared" si="455"/>
        <v>1.3107145037782836E-2</v>
      </c>
      <c r="EJ205" s="687"/>
      <c r="EK205" s="426"/>
      <c r="EL205" s="427"/>
      <c r="EM205" s="427">
        <f t="shared" si="397"/>
        <v>0</v>
      </c>
      <c r="EN205" s="427">
        <f t="shared" si="377"/>
        <v>0</v>
      </c>
      <c r="EO205" s="427">
        <f t="shared" si="398"/>
        <v>84722</v>
      </c>
      <c r="EP205" s="456"/>
      <c r="EQ205" s="457"/>
      <c r="ER205" s="457">
        <f t="shared" si="399"/>
        <v>0</v>
      </c>
      <c r="ES205" s="457">
        <f t="shared" si="378"/>
        <v>0</v>
      </c>
      <c r="ET205" s="457">
        <f t="shared" si="400"/>
        <v>2242</v>
      </c>
      <c r="EU205" s="409"/>
      <c r="EV205" s="43"/>
      <c r="EW205" s="43">
        <f t="shared" si="401"/>
        <v>0</v>
      </c>
      <c r="EX205" s="43">
        <f t="shared" si="379"/>
        <v>0</v>
      </c>
      <c r="EY205" s="43">
        <f t="shared" si="402"/>
        <v>940</v>
      </c>
      <c r="EZ205" s="436"/>
      <c r="FA205" s="437"/>
      <c r="FB205" s="437">
        <f t="shared" si="403"/>
        <v>0</v>
      </c>
      <c r="FC205" s="437">
        <f t="shared" si="380"/>
        <v>0</v>
      </c>
      <c r="FD205" s="437">
        <f t="shared" si="404"/>
        <v>1090</v>
      </c>
      <c r="FE205" s="442"/>
      <c r="FF205" s="443"/>
      <c r="FG205" s="443">
        <f t="shared" si="405"/>
        <v>0</v>
      </c>
      <c r="FH205" s="443">
        <f t="shared" si="381"/>
        <v>0</v>
      </c>
      <c r="FI205" s="443">
        <f t="shared" si="406"/>
        <v>1200</v>
      </c>
      <c r="FJ205" s="392"/>
      <c r="FK205" s="298"/>
      <c r="FL205" s="298">
        <f t="shared" si="407"/>
        <v>0</v>
      </c>
      <c r="FM205" s="298">
        <f t="shared" si="382"/>
        <v>0</v>
      </c>
      <c r="FN205" s="498">
        <f t="shared" si="408"/>
        <v>4800</v>
      </c>
      <c r="HC205" s="402"/>
      <c r="HD205" s="52"/>
      <c r="HE205" s="52">
        <f t="shared" si="409"/>
        <v>0</v>
      </c>
      <c r="HF205" s="52">
        <f t="shared" si="383"/>
        <v>0</v>
      </c>
      <c r="HG205" s="51"/>
      <c r="HH205" s="52">
        <f t="shared" si="452"/>
        <v>2800</v>
      </c>
      <c r="HI205" s="51"/>
      <c r="HJ205" s="1050"/>
    </row>
    <row r="206" spans="1:218">
      <c r="A206" s="30">
        <v>44869</v>
      </c>
      <c r="B206" s="390"/>
      <c r="C206" s="18">
        <f t="shared" si="363"/>
        <v>88882819</v>
      </c>
      <c r="D206" s="376"/>
      <c r="E206" s="417">
        <f t="shared" si="360"/>
        <v>1061606.7599999998</v>
      </c>
      <c r="F206" s="397"/>
      <c r="G206" s="37"/>
      <c r="H206" s="37">
        <f t="shared" si="384"/>
        <v>0</v>
      </c>
      <c r="I206" s="37">
        <f t="shared" si="364"/>
        <v>0</v>
      </c>
      <c r="J206" s="37" t="e">
        <f t="shared" si="365"/>
        <v>#DIV/0!</v>
      </c>
      <c r="K206" s="37">
        <f t="shared" si="410"/>
        <v>481207</v>
      </c>
      <c r="L206" s="37">
        <f t="shared" si="366"/>
        <v>453.28177827352954</v>
      </c>
      <c r="M206" s="680"/>
      <c r="N206" s="422"/>
      <c r="O206" s="423"/>
      <c r="P206" s="423">
        <f t="shared" si="411"/>
        <v>0</v>
      </c>
      <c r="Q206" s="423">
        <f t="shared" si="412"/>
        <v>0</v>
      </c>
      <c r="R206" s="423">
        <f t="shared" si="413"/>
        <v>14025</v>
      </c>
      <c r="S206" s="68"/>
      <c r="T206" s="67">
        <v>24</v>
      </c>
      <c r="U206" s="68">
        <f t="shared" si="414"/>
        <v>0</v>
      </c>
      <c r="V206" s="68" t="e">
        <f t="shared" si="367"/>
        <v>#DIV/0!</v>
      </c>
      <c r="W206" s="423">
        <f t="shared" si="415"/>
        <v>13670.903999999999</v>
      </c>
      <c r="X206" s="68">
        <f t="shared" si="368"/>
        <v>12.877559295119788</v>
      </c>
      <c r="Y206" s="681"/>
      <c r="Z206" s="424"/>
      <c r="AA206" s="425"/>
      <c r="AB206" s="425">
        <f t="shared" si="416"/>
        <v>0</v>
      </c>
      <c r="AC206" s="425">
        <f t="shared" si="417"/>
        <v>0</v>
      </c>
      <c r="AD206" s="425">
        <f t="shared" si="418"/>
        <v>2225</v>
      </c>
      <c r="AE206" s="72"/>
      <c r="AF206" s="71">
        <v>12</v>
      </c>
      <c r="AG206" s="72">
        <f t="shared" si="419"/>
        <v>0</v>
      </c>
      <c r="AH206" s="72" t="e">
        <f t="shared" si="385"/>
        <v>#DIV/0!</v>
      </c>
      <c r="AI206" s="425">
        <f t="shared" si="420"/>
        <v>2049.9120000000016</v>
      </c>
      <c r="AJ206" s="72">
        <f t="shared" si="453"/>
        <v>1.9309522859481434</v>
      </c>
      <c r="AK206" s="682"/>
      <c r="AL206" s="491"/>
      <c r="AM206" s="491"/>
      <c r="AN206" s="492">
        <f t="shared" si="353"/>
        <v>0</v>
      </c>
      <c r="AO206" s="492">
        <f t="shared" si="354"/>
        <v>0</v>
      </c>
      <c r="AP206" s="492">
        <f t="shared" si="355"/>
        <v>83573</v>
      </c>
      <c r="AQ206" s="493">
        <f t="shared" si="386"/>
        <v>78.723123428490624</v>
      </c>
      <c r="AR206" s="683"/>
      <c r="AS206" s="413"/>
      <c r="AT206" s="64"/>
      <c r="AU206" s="66">
        <f t="shared" si="421"/>
        <v>0</v>
      </c>
      <c r="AV206" s="66">
        <f t="shared" si="369"/>
        <v>0</v>
      </c>
      <c r="AW206" s="412" t="e">
        <f t="shared" si="422"/>
        <v>#DIV/0!</v>
      </c>
      <c r="AX206" s="66">
        <f t="shared" si="423"/>
        <v>297615</v>
      </c>
      <c r="AY206" s="412">
        <f t="shared" si="424"/>
        <v>3.3483973995019216</v>
      </c>
      <c r="AZ206" s="684"/>
      <c r="BA206" s="419"/>
      <c r="BB206" s="419"/>
      <c r="BC206" s="407"/>
      <c r="BD206" s="419">
        <f t="shared" si="387"/>
        <v>0</v>
      </c>
      <c r="BE206" s="419">
        <f t="shared" si="388"/>
        <v>0</v>
      </c>
      <c r="BF206" s="407" t="e">
        <f t="shared" si="425"/>
        <v>#DIV/0!</v>
      </c>
      <c r="BG206" s="419">
        <f t="shared" si="356"/>
        <v>368770</v>
      </c>
      <c r="BH206" s="407">
        <f t="shared" si="426"/>
        <v>4.1489458159512242</v>
      </c>
      <c r="BI206" s="407">
        <f t="shared" si="427"/>
        <v>0.50803418154504787</v>
      </c>
      <c r="BJ206" s="508"/>
      <c r="BK206" s="510"/>
      <c r="BL206" s="49"/>
      <c r="BM206" s="50"/>
      <c r="BN206" s="52">
        <f t="shared" si="428"/>
        <v>0</v>
      </c>
      <c r="BO206" s="52">
        <f t="shared" si="370"/>
        <v>0</v>
      </c>
      <c r="BP206" s="406" t="e">
        <f t="shared" si="429"/>
        <v>#DIV/0!</v>
      </c>
      <c r="BQ206" s="52">
        <f t="shared" si="430"/>
        <v>37700</v>
      </c>
      <c r="BR206" s="406">
        <f t="shared" si="431"/>
        <v>0.42415396388361626</v>
      </c>
      <c r="BS206" s="685"/>
      <c r="BT206" s="409"/>
      <c r="BU206" s="43"/>
      <c r="BV206" s="43">
        <f t="shared" ref="BV206:BV239" si="457">BT207</f>
        <v>0</v>
      </c>
      <c r="BW206" s="43">
        <f t="shared" ref="BW206:BW240" si="458">BT206+BU206-BV206</f>
        <v>0</v>
      </c>
      <c r="BX206" s="42" t="e">
        <f t="shared" si="432"/>
        <v>#DIV/0!</v>
      </c>
      <c r="BY206" s="43">
        <f t="shared" ref="BY206:BY240" si="459">BY205+BW206</f>
        <v>19437</v>
      </c>
      <c r="BZ206" s="42">
        <f t="shared" si="433"/>
        <v>0.21868118291792704</v>
      </c>
      <c r="CA206" s="514"/>
      <c r="CB206" s="392"/>
      <c r="CC206" s="298"/>
      <c r="CD206" s="298">
        <f t="shared" si="389"/>
        <v>0</v>
      </c>
      <c r="CE206" s="298">
        <f t="shared" si="371"/>
        <v>0</v>
      </c>
      <c r="CF206" s="297" t="e">
        <f t="shared" si="434"/>
        <v>#DIV/0!</v>
      </c>
      <c r="CG206" s="298">
        <f t="shared" si="435"/>
        <v>61350</v>
      </c>
      <c r="CH206" s="297">
        <f t="shared" si="436"/>
        <v>0.69023463353474424</v>
      </c>
      <c r="CI206" s="686"/>
      <c r="CJ206" s="659"/>
      <c r="CK206" s="651"/>
      <c r="CL206" s="657">
        <f t="shared" si="361"/>
        <v>0</v>
      </c>
      <c r="CM206" s="657">
        <f t="shared" si="362"/>
        <v>0</v>
      </c>
      <c r="CN206" s="659">
        <f t="shared" si="359"/>
        <v>26250</v>
      </c>
      <c r="CO206" s="464"/>
      <c r="CP206" s="465"/>
      <c r="CQ206" s="465">
        <f t="shared" si="390"/>
        <v>0</v>
      </c>
      <c r="CR206" s="465">
        <f t="shared" si="372"/>
        <v>0</v>
      </c>
      <c r="CS206" s="486" t="e">
        <f t="shared" si="437"/>
        <v>#DIV/0!</v>
      </c>
      <c r="CT206" s="465">
        <f t="shared" si="438"/>
        <v>1619</v>
      </c>
      <c r="CU206" s="486">
        <f t="shared" si="439"/>
        <v>1.821499383362267E-2</v>
      </c>
      <c r="CV206" s="518"/>
      <c r="CW206" s="427"/>
      <c r="CX206" s="427"/>
      <c r="CY206" s="427">
        <f t="shared" si="440"/>
        <v>0</v>
      </c>
      <c r="CZ206" s="427">
        <f t="shared" si="441"/>
        <v>0</v>
      </c>
      <c r="DA206" s="607" t="e">
        <f t="shared" si="456"/>
        <v>#DIV/0!</v>
      </c>
      <c r="DB206" s="607">
        <f t="shared" si="442"/>
        <v>115</v>
      </c>
      <c r="DC206" s="607">
        <f t="shared" si="391"/>
        <v>1.2938383513691211E-3</v>
      </c>
      <c r="DD206" s="609"/>
      <c r="DE206" s="471"/>
      <c r="DF206" s="473"/>
      <c r="DG206" s="473">
        <f t="shared" si="392"/>
        <v>0</v>
      </c>
      <c r="DH206" s="473">
        <f t="shared" si="373"/>
        <v>0</v>
      </c>
      <c r="DI206" s="227" t="e">
        <f t="shared" si="443"/>
        <v>#DIV/0!</v>
      </c>
      <c r="DJ206" s="473">
        <f t="shared" si="444"/>
        <v>155.19999999999999</v>
      </c>
      <c r="DK206" s="227">
        <f t="shared" si="445"/>
        <v>1.7461192359346748E-3</v>
      </c>
      <c r="DL206" s="508"/>
      <c r="DM206" s="63"/>
      <c r="DN206" s="64"/>
      <c r="DO206" s="66">
        <f t="shared" si="446"/>
        <v>0</v>
      </c>
      <c r="DP206" s="66">
        <f t="shared" si="374"/>
        <v>0</v>
      </c>
      <c r="DQ206" s="412" t="e">
        <f t="shared" si="447"/>
        <v>#DIV/0!</v>
      </c>
      <c r="DR206" s="66">
        <f t="shared" si="448"/>
        <v>18000</v>
      </c>
      <c r="DS206" s="412">
        <f t="shared" si="449"/>
        <v>0.2025138289099494</v>
      </c>
      <c r="DT206" s="684"/>
      <c r="DU206" s="596"/>
      <c r="DV206" s="596"/>
      <c r="DW206" s="596">
        <f t="shared" si="393"/>
        <v>0</v>
      </c>
      <c r="DX206" s="596">
        <f t="shared" si="375"/>
        <v>0</v>
      </c>
      <c r="DY206" s="592" t="e">
        <f t="shared" si="394"/>
        <v>#DIV/0!</v>
      </c>
      <c r="DZ206" s="596">
        <f t="shared" si="450"/>
        <v>2800</v>
      </c>
      <c r="EA206" s="592">
        <f t="shared" si="395"/>
        <v>3.1502151163769906E-2</v>
      </c>
      <c r="EB206" s="594"/>
      <c r="EC206" s="448"/>
      <c r="ED206" s="449"/>
      <c r="EE206" s="449">
        <f t="shared" si="396"/>
        <v>0</v>
      </c>
      <c r="EF206" s="449">
        <f t="shared" si="376"/>
        <v>0</v>
      </c>
      <c r="EG206" s="450" t="e">
        <f t="shared" si="454"/>
        <v>#DIV/0!</v>
      </c>
      <c r="EH206" s="449">
        <f t="shared" si="451"/>
        <v>1165</v>
      </c>
      <c r="EI206" s="450">
        <f t="shared" si="455"/>
        <v>1.3107145037782836E-2</v>
      </c>
      <c r="EJ206" s="687"/>
      <c r="EK206" s="426"/>
      <c r="EL206" s="427"/>
      <c r="EM206" s="427">
        <f t="shared" si="397"/>
        <v>0</v>
      </c>
      <c r="EN206" s="427">
        <f t="shared" si="377"/>
        <v>0</v>
      </c>
      <c r="EO206" s="427">
        <f t="shared" si="398"/>
        <v>84722</v>
      </c>
      <c r="EP206" s="456"/>
      <c r="EQ206" s="457"/>
      <c r="ER206" s="457">
        <f t="shared" si="399"/>
        <v>0</v>
      </c>
      <c r="ES206" s="457">
        <f t="shared" si="378"/>
        <v>0</v>
      </c>
      <c r="ET206" s="457">
        <f t="shared" si="400"/>
        <v>2242</v>
      </c>
      <c r="EU206" s="409"/>
      <c r="EV206" s="43"/>
      <c r="EW206" s="43">
        <f t="shared" si="401"/>
        <v>0</v>
      </c>
      <c r="EX206" s="43">
        <f t="shared" si="379"/>
        <v>0</v>
      </c>
      <c r="EY206" s="43">
        <f t="shared" si="402"/>
        <v>940</v>
      </c>
      <c r="EZ206" s="436"/>
      <c r="FA206" s="437"/>
      <c r="FB206" s="437">
        <f t="shared" si="403"/>
        <v>0</v>
      </c>
      <c r="FC206" s="437">
        <f t="shared" si="380"/>
        <v>0</v>
      </c>
      <c r="FD206" s="437">
        <f t="shared" si="404"/>
        <v>1090</v>
      </c>
      <c r="FE206" s="442"/>
      <c r="FF206" s="443"/>
      <c r="FG206" s="443">
        <f t="shared" si="405"/>
        <v>0</v>
      </c>
      <c r="FH206" s="443">
        <f t="shared" si="381"/>
        <v>0</v>
      </c>
      <c r="FI206" s="443">
        <f t="shared" si="406"/>
        <v>1200</v>
      </c>
      <c r="FJ206" s="392"/>
      <c r="FK206" s="298"/>
      <c r="FL206" s="298">
        <f t="shared" si="407"/>
        <v>0</v>
      </c>
      <c r="FM206" s="298">
        <f t="shared" si="382"/>
        <v>0</v>
      </c>
      <c r="FN206" s="498">
        <f t="shared" si="408"/>
        <v>4800</v>
      </c>
      <c r="HC206" s="402"/>
      <c r="HD206" s="52"/>
      <c r="HE206" s="52">
        <f t="shared" si="409"/>
        <v>0</v>
      </c>
      <c r="HF206" s="52">
        <f t="shared" si="383"/>
        <v>0</v>
      </c>
      <c r="HG206" s="51"/>
      <c r="HH206" s="52">
        <f t="shared" si="452"/>
        <v>2800</v>
      </c>
      <c r="HI206" s="51"/>
      <c r="HJ206" s="1050"/>
    </row>
    <row r="207" spans="1:218">
      <c r="A207" s="30">
        <v>44870</v>
      </c>
      <c r="B207" s="390"/>
      <c r="C207" s="18">
        <f t="shared" si="363"/>
        <v>88882819</v>
      </c>
      <c r="D207" s="376"/>
      <c r="E207" s="417">
        <f t="shared" si="360"/>
        <v>1061606.7599999998</v>
      </c>
      <c r="F207" s="397"/>
      <c r="G207" s="37"/>
      <c r="H207" s="37">
        <f t="shared" si="384"/>
        <v>0</v>
      </c>
      <c r="I207" s="37">
        <f t="shared" si="364"/>
        <v>0</v>
      </c>
      <c r="J207" s="37" t="e">
        <f t="shared" si="365"/>
        <v>#DIV/0!</v>
      </c>
      <c r="K207" s="37">
        <f t="shared" si="410"/>
        <v>481207</v>
      </c>
      <c r="L207" s="37">
        <f t="shared" si="366"/>
        <v>453.28177827352954</v>
      </c>
      <c r="M207" s="680"/>
      <c r="N207" s="422"/>
      <c r="O207" s="423"/>
      <c r="P207" s="423">
        <f t="shared" si="411"/>
        <v>0</v>
      </c>
      <c r="Q207" s="423">
        <f t="shared" si="412"/>
        <v>0</v>
      </c>
      <c r="R207" s="423">
        <f t="shared" si="413"/>
        <v>14025</v>
      </c>
      <c r="S207" s="68"/>
      <c r="T207" s="67">
        <v>24</v>
      </c>
      <c r="U207" s="68">
        <f t="shared" si="414"/>
        <v>0</v>
      </c>
      <c r="V207" s="68" t="e">
        <f t="shared" si="367"/>
        <v>#DIV/0!</v>
      </c>
      <c r="W207" s="423">
        <f t="shared" si="415"/>
        <v>13670.903999999999</v>
      </c>
      <c r="X207" s="68">
        <f t="shared" si="368"/>
        <v>12.877559295119788</v>
      </c>
      <c r="Y207" s="681"/>
      <c r="Z207" s="424"/>
      <c r="AA207" s="425"/>
      <c r="AB207" s="425">
        <f t="shared" si="416"/>
        <v>0</v>
      </c>
      <c r="AC207" s="425">
        <f t="shared" si="417"/>
        <v>0</v>
      </c>
      <c r="AD207" s="425">
        <f t="shared" si="418"/>
        <v>2225</v>
      </c>
      <c r="AE207" s="72"/>
      <c r="AF207" s="71">
        <v>12</v>
      </c>
      <c r="AG207" s="72">
        <f t="shared" si="419"/>
        <v>0</v>
      </c>
      <c r="AH207" s="72" t="e">
        <f t="shared" si="385"/>
        <v>#DIV/0!</v>
      </c>
      <c r="AI207" s="425">
        <f t="shared" si="420"/>
        <v>2049.9120000000016</v>
      </c>
      <c r="AJ207" s="72">
        <f t="shared" si="453"/>
        <v>1.9309522859481434</v>
      </c>
      <c r="AK207" s="682"/>
      <c r="AL207" s="491"/>
      <c r="AM207" s="491"/>
      <c r="AN207" s="492">
        <f t="shared" si="353"/>
        <v>0</v>
      </c>
      <c r="AO207" s="492">
        <f t="shared" si="354"/>
        <v>0</v>
      </c>
      <c r="AP207" s="492">
        <f t="shared" si="355"/>
        <v>83573</v>
      </c>
      <c r="AQ207" s="493">
        <f t="shared" si="386"/>
        <v>78.723123428490624</v>
      </c>
      <c r="AR207" s="683"/>
      <c r="AS207" s="413"/>
      <c r="AT207" s="64"/>
      <c r="AU207" s="66">
        <f t="shared" si="421"/>
        <v>0</v>
      </c>
      <c r="AV207" s="66">
        <f t="shared" si="369"/>
        <v>0</v>
      </c>
      <c r="AW207" s="412" t="e">
        <f t="shared" si="422"/>
        <v>#DIV/0!</v>
      </c>
      <c r="AX207" s="66">
        <f t="shared" si="423"/>
        <v>297615</v>
      </c>
      <c r="AY207" s="412">
        <f t="shared" si="424"/>
        <v>3.3483973995019216</v>
      </c>
      <c r="AZ207" s="684"/>
      <c r="BA207" s="419"/>
      <c r="BB207" s="419"/>
      <c r="BC207" s="407"/>
      <c r="BD207" s="419">
        <f t="shared" si="387"/>
        <v>0</v>
      </c>
      <c r="BE207" s="419">
        <f t="shared" si="388"/>
        <v>0</v>
      </c>
      <c r="BF207" s="407" t="e">
        <f t="shared" si="425"/>
        <v>#DIV/0!</v>
      </c>
      <c r="BG207" s="419">
        <f t="shared" si="356"/>
        <v>368770</v>
      </c>
      <c r="BH207" s="407">
        <f t="shared" si="426"/>
        <v>4.1489458159512242</v>
      </c>
      <c r="BI207" s="407">
        <f t="shared" si="427"/>
        <v>0.50803418154504787</v>
      </c>
      <c r="BJ207" s="508"/>
      <c r="BK207" s="510"/>
      <c r="BL207" s="49"/>
      <c r="BM207" s="50"/>
      <c r="BN207" s="52">
        <f t="shared" si="428"/>
        <v>0</v>
      </c>
      <c r="BO207" s="52">
        <f t="shared" si="370"/>
        <v>0</v>
      </c>
      <c r="BP207" s="406" t="e">
        <f t="shared" si="429"/>
        <v>#DIV/0!</v>
      </c>
      <c r="BQ207" s="52">
        <f t="shared" si="430"/>
        <v>37700</v>
      </c>
      <c r="BR207" s="406">
        <f t="shared" si="431"/>
        <v>0.42415396388361626</v>
      </c>
      <c r="BS207" s="685"/>
      <c r="BT207" s="409"/>
      <c r="BU207" s="43"/>
      <c r="BV207" s="43">
        <f t="shared" si="457"/>
        <v>0</v>
      </c>
      <c r="BW207" s="43">
        <f t="shared" si="458"/>
        <v>0</v>
      </c>
      <c r="BX207" s="42" t="e">
        <f t="shared" si="432"/>
        <v>#DIV/0!</v>
      </c>
      <c r="BY207" s="43">
        <f t="shared" si="459"/>
        <v>19437</v>
      </c>
      <c r="BZ207" s="42">
        <f t="shared" si="433"/>
        <v>0.21868118291792704</v>
      </c>
      <c r="CA207" s="514"/>
      <c r="CB207" s="392"/>
      <c r="CC207" s="298"/>
      <c r="CD207" s="298">
        <f t="shared" si="389"/>
        <v>0</v>
      </c>
      <c r="CE207" s="298">
        <f t="shared" si="371"/>
        <v>0</v>
      </c>
      <c r="CF207" s="297" t="e">
        <f t="shared" si="434"/>
        <v>#DIV/0!</v>
      </c>
      <c r="CG207" s="298">
        <f t="shared" si="435"/>
        <v>61350</v>
      </c>
      <c r="CH207" s="297">
        <f t="shared" si="436"/>
        <v>0.69023463353474424</v>
      </c>
      <c r="CI207" s="686"/>
      <c r="CJ207" s="659"/>
      <c r="CK207" s="651"/>
      <c r="CL207" s="657">
        <f t="shared" si="361"/>
        <v>0</v>
      </c>
      <c r="CM207" s="657">
        <f t="shared" si="362"/>
        <v>0</v>
      </c>
      <c r="CN207" s="659">
        <f t="shared" si="359"/>
        <v>26250</v>
      </c>
      <c r="CO207" s="464"/>
      <c r="CP207" s="465"/>
      <c r="CQ207" s="465">
        <f t="shared" si="390"/>
        <v>0</v>
      </c>
      <c r="CR207" s="465">
        <f t="shared" si="372"/>
        <v>0</v>
      </c>
      <c r="CS207" s="486" t="e">
        <f t="shared" si="437"/>
        <v>#DIV/0!</v>
      </c>
      <c r="CT207" s="465">
        <f t="shared" si="438"/>
        <v>1619</v>
      </c>
      <c r="CU207" s="486">
        <f t="shared" si="439"/>
        <v>1.821499383362267E-2</v>
      </c>
      <c r="CV207" s="518"/>
      <c r="CW207" s="427"/>
      <c r="CX207" s="427"/>
      <c r="CY207" s="427">
        <f t="shared" si="440"/>
        <v>0</v>
      </c>
      <c r="CZ207" s="427">
        <f t="shared" si="441"/>
        <v>0</v>
      </c>
      <c r="DA207" s="607" t="e">
        <f t="shared" si="456"/>
        <v>#DIV/0!</v>
      </c>
      <c r="DB207" s="607">
        <f t="shared" si="442"/>
        <v>115</v>
      </c>
      <c r="DC207" s="607">
        <f t="shared" si="391"/>
        <v>1.2938383513691211E-3</v>
      </c>
      <c r="DD207" s="609"/>
      <c r="DE207" s="471"/>
      <c r="DF207" s="473"/>
      <c r="DG207" s="473">
        <f t="shared" si="392"/>
        <v>0</v>
      </c>
      <c r="DH207" s="473">
        <f t="shared" si="373"/>
        <v>0</v>
      </c>
      <c r="DI207" s="227" t="e">
        <f t="shared" si="443"/>
        <v>#DIV/0!</v>
      </c>
      <c r="DJ207" s="473">
        <f t="shared" si="444"/>
        <v>155.19999999999999</v>
      </c>
      <c r="DK207" s="227">
        <f t="shared" si="445"/>
        <v>1.7461192359346748E-3</v>
      </c>
      <c r="DL207" s="508"/>
      <c r="DM207" s="63"/>
      <c r="DN207" s="64"/>
      <c r="DO207" s="66">
        <f t="shared" si="446"/>
        <v>0</v>
      </c>
      <c r="DP207" s="66">
        <f t="shared" si="374"/>
        <v>0</v>
      </c>
      <c r="DQ207" s="412" t="e">
        <f t="shared" si="447"/>
        <v>#DIV/0!</v>
      </c>
      <c r="DR207" s="66">
        <f t="shared" si="448"/>
        <v>18000</v>
      </c>
      <c r="DS207" s="412">
        <f t="shared" si="449"/>
        <v>0.2025138289099494</v>
      </c>
      <c r="DT207" s="684"/>
      <c r="DU207" s="596"/>
      <c r="DV207" s="596"/>
      <c r="DW207" s="596">
        <f t="shared" si="393"/>
        <v>0</v>
      </c>
      <c r="DX207" s="596">
        <f t="shared" si="375"/>
        <v>0</v>
      </c>
      <c r="DY207" s="592" t="e">
        <f t="shared" si="394"/>
        <v>#DIV/0!</v>
      </c>
      <c r="DZ207" s="596">
        <f t="shared" si="450"/>
        <v>2800</v>
      </c>
      <c r="EA207" s="592">
        <f t="shared" si="395"/>
        <v>3.1502151163769906E-2</v>
      </c>
      <c r="EB207" s="594"/>
      <c r="EC207" s="448"/>
      <c r="ED207" s="449"/>
      <c r="EE207" s="449">
        <f t="shared" si="396"/>
        <v>0</v>
      </c>
      <c r="EF207" s="449">
        <f t="shared" si="376"/>
        <v>0</v>
      </c>
      <c r="EG207" s="450" t="e">
        <f t="shared" si="454"/>
        <v>#DIV/0!</v>
      </c>
      <c r="EH207" s="449">
        <f t="shared" si="451"/>
        <v>1165</v>
      </c>
      <c r="EI207" s="450">
        <f t="shared" si="455"/>
        <v>1.3107145037782836E-2</v>
      </c>
      <c r="EJ207" s="687"/>
      <c r="EK207" s="426"/>
      <c r="EL207" s="427"/>
      <c r="EM207" s="427">
        <f t="shared" si="397"/>
        <v>0</v>
      </c>
      <c r="EN207" s="427">
        <f t="shared" si="377"/>
        <v>0</v>
      </c>
      <c r="EO207" s="427">
        <f t="shared" si="398"/>
        <v>84722</v>
      </c>
      <c r="EP207" s="456"/>
      <c r="EQ207" s="457"/>
      <c r="ER207" s="457">
        <f t="shared" si="399"/>
        <v>0</v>
      </c>
      <c r="ES207" s="457">
        <f t="shared" si="378"/>
        <v>0</v>
      </c>
      <c r="ET207" s="457">
        <f t="shared" si="400"/>
        <v>2242</v>
      </c>
      <c r="EU207" s="409"/>
      <c r="EV207" s="43"/>
      <c r="EW207" s="43">
        <f t="shared" si="401"/>
        <v>0</v>
      </c>
      <c r="EX207" s="43">
        <f t="shared" si="379"/>
        <v>0</v>
      </c>
      <c r="EY207" s="43">
        <f t="shared" si="402"/>
        <v>940</v>
      </c>
      <c r="EZ207" s="436"/>
      <c r="FA207" s="437"/>
      <c r="FB207" s="437">
        <f t="shared" si="403"/>
        <v>0</v>
      </c>
      <c r="FC207" s="437">
        <f t="shared" si="380"/>
        <v>0</v>
      </c>
      <c r="FD207" s="437">
        <f t="shared" si="404"/>
        <v>1090</v>
      </c>
      <c r="FE207" s="442"/>
      <c r="FF207" s="443"/>
      <c r="FG207" s="443">
        <f t="shared" si="405"/>
        <v>0</v>
      </c>
      <c r="FH207" s="443">
        <f t="shared" si="381"/>
        <v>0</v>
      </c>
      <c r="FI207" s="443">
        <f t="shared" si="406"/>
        <v>1200</v>
      </c>
      <c r="FJ207" s="392"/>
      <c r="FK207" s="298"/>
      <c r="FL207" s="298">
        <f t="shared" si="407"/>
        <v>0</v>
      </c>
      <c r="FM207" s="298">
        <f t="shared" si="382"/>
        <v>0</v>
      </c>
      <c r="FN207" s="498">
        <f t="shared" si="408"/>
        <v>4800</v>
      </c>
      <c r="HC207" s="402"/>
      <c r="HD207" s="52"/>
      <c r="HE207" s="52">
        <f t="shared" si="409"/>
        <v>0</v>
      </c>
      <c r="HF207" s="52">
        <f t="shared" si="383"/>
        <v>0</v>
      </c>
      <c r="HG207" s="51"/>
      <c r="HH207" s="52">
        <f t="shared" si="452"/>
        <v>2800</v>
      </c>
      <c r="HI207" s="51"/>
      <c r="HJ207" s="1050"/>
    </row>
    <row r="208" spans="1:218">
      <c r="A208" s="30">
        <v>44871</v>
      </c>
      <c r="B208" s="390"/>
      <c r="C208" s="18">
        <f t="shared" si="363"/>
        <v>88882819</v>
      </c>
      <c r="D208" s="376"/>
      <c r="E208" s="417">
        <f t="shared" si="360"/>
        <v>1061606.7599999998</v>
      </c>
      <c r="F208" s="397"/>
      <c r="G208" s="37"/>
      <c r="H208" s="37">
        <f t="shared" si="384"/>
        <v>0</v>
      </c>
      <c r="I208" s="37">
        <f t="shared" si="364"/>
        <v>0</v>
      </c>
      <c r="J208" s="37" t="e">
        <f t="shared" si="365"/>
        <v>#DIV/0!</v>
      </c>
      <c r="K208" s="37">
        <f t="shared" si="410"/>
        <v>481207</v>
      </c>
      <c r="L208" s="37">
        <f t="shared" si="366"/>
        <v>453.28177827352954</v>
      </c>
      <c r="M208" s="680"/>
      <c r="N208" s="422"/>
      <c r="O208" s="423"/>
      <c r="P208" s="423">
        <f t="shared" si="411"/>
        <v>0</v>
      </c>
      <c r="Q208" s="423">
        <f t="shared" si="412"/>
        <v>0</v>
      </c>
      <c r="R208" s="423">
        <f t="shared" si="413"/>
        <v>14025</v>
      </c>
      <c r="S208" s="68"/>
      <c r="T208" s="67">
        <v>24</v>
      </c>
      <c r="U208" s="68">
        <f t="shared" si="414"/>
        <v>0</v>
      </c>
      <c r="V208" s="68" t="e">
        <f t="shared" si="367"/>
        <v>#DIV/0!</v>
      </c>
      <c r="W208" s="423">
        <f t="shared" si="415"/>
        <v>13670.903999999999</v>
      </c>
      <c r="X208" s="68">
        <f t="shared" si="368"/>
        <v>12.877559295119788</v>
      </c>
      <c r="Y208" s="681"/>
      <c r="Z208" s="424"/>
      <c r="AA208" s="425"/>
      <c r="AB208" s="425">
        <f t="shared" si="416"/>
        <v>0</v>
      </c>
      <c r="AC208" s="425">
        <f t="shared" si="417"/>
        <v>0</v>
      </c>
      <c r="AD208" s="425">
        <f t="shared" si="418"/>
        <v>2225</v>
      </c>
      <c r="AE208" s="72"/>
      <c r="AF208" s="71">
        <v>12</v>
      </c>
      <c r="AG208" s="72">
        <f t="shared" si="419"/>
        <v>0</v>
      </c>
      <c r="AH208" s="72" t="e">
        <f t="shared" si="385"/>
        <v>#DIV/0!</v>
      </c>
      <c r="AI208" s="425">
        <f t="shared" si="420"/>
        <v>2049.9120000000016</v>
      </c>
      <c r="AJ208" s="72">
        <f t="shared" si="453"/>
        <v>1.9309522859481434</v>
      </c>
      <c r="AK208" s="682"/>
      <c r="AL208" s="491"/>
      <c r="AM208" s="491"/>
      <c r="AN208" s="492">
        <f t="shared" si="353"/>
        <v>0</v>
      </c>
      <c r="AO208" s="492">
        <f t="shared" si="354"/>
        <v>0</v>
      </c>
      <c r="AP208" s="492">
        <f t="shared" si="355"/>
        <v>83573</v>
      </c>
      <c r="AQ208" s="493">
        <f t="shared" si="386"/>
        <v>78.723123428490624</v>
      </c>
      <c r="AR208" s="683"/>
      <c r="AS208" s="413"/>
      <c r="AT208" s="64"/>
      <c r="AU208" s="66">
        <f t="shared" si="421"/>
        <v>0</v>
      </c>
      <c r="AV208" s="66">
        <f t="shared" si="369"/>
        <v>0</v>
      </c>
      <c r="AW208" s="412" t="e">
        <f t="shared" si="422"/>
        <v>#DIV/0!</v>
      </c>
      <c r="AX208" s="66">
        <f t="shared" si="423"/>
        <v>297615</v>
      </c>
      <c r="AY208" s="412">
        <f t="shared" si="424"/>
        <v>3.3483973995019216</v>
      </c>
      <c r="AZ208" s="684"/>
      <c r="BA208" s="419"/>
      <c r="BB208" s="419"/>
      <c r="BC208" s="407"/>
      <c r="BD208" s="419">
        <f t="shared" si="387"/>
        <v>0</v>
      </c>
      <c r="BE208" s="419">
        <f t="shared" si="388"/>
        <v>0</v>
      </c>
      <c r="BF208" s="407" t="e">
        <f t="shared" si="425"/>
        <v>#DIV/0!</v>
      </c>
      <c r="BG208" s="419">
        <f t="shared" si="356"/>
        <v>368770</v>
      </c>
      <c r="BH208" s="407">
        <f t="shared" si="426"/>
        <v>4.1489458159512242</v>
      </c>
      <c r="BI208" s="407">
        <f t="shared" si="427"/>
        <v>0.50803418154504787</v>
      </c>
      <c r="BJ208" s="508"/>
      <c r="BK208" s="510"/>
      <c r="BL208" s="49"/>
      <c r="BM208" s="50"/>
      <c r="BN208" s="52">
        <f t="shared" si="428"/>
        <v>0</v>
      </c>
      <c r="BO208" s="52">
        <f t="shared" si="370"/>
        <v>0</v>
      </c>
      <c r="BP208" s="406" t="e">
        <f t="shared" si="429"/>
        <v>#DIV/0!</v>
      </c>
      <c r="BQ208" s="52">
        <f t="shared" si="430"/>
        <v>37700</v>
      </c>
      <c r="BR208" s="406">
        <f t="shared" si="431"/>
        <v>0.42415396388361626</v>
      </c>
      <c r="BS208" s="685"/>
      <c r="BT208" s="409"/>
      <c r="BU208" s="43"/>
      <c r="BV208" s="43">
        <f t="shared" si="457"/>
        <v>0</v>
      </c>
      <c r="BW208" s="43">
        <f t="shared" si="458"/>
        <v>0</v>
      </c>
      <c r="BX208" s="42" t="e">
        <f t="shared" si="432"/>
        <v>#DIV/0!</v>
      </c>
      <c r="BY208" s="43">
        <f t="shared" si="459"/>
        <v>19437</v>
      </c>
      <c r="BZ208" s="42">
        <f t="shared" si="433"/>
        <v>0.21868118291792704</v>
      </c>
      <c r="CA208" s="514"/>
      <c r="CB208" s="392"/>
      <c r="CC208" s="298"/>
      <c r="CD208" s="298">
        <f t="shared" si="389"/>
        <v>0</v>
      </c>
      <c r="CE208" s="298">
        <f t="shared" si="371"/>
        <v>0</v>
      </c>
      <c r="CF208" s="297" t="e">
        <f t="shared" si="434"/>
        <v>#DIV/0!</v>
      </c>
      <c r="CG208" s="298">
        <f t="shared" si="435"/>
        <v>61350</v>
      </c>
      <c r="CH208" s="297">
        <f t="shared" si="436"/>
        <v>0.69023463353474424</v>
      </c>
      <c r="CI208" s="686"/>
      <c r="CJ208" s="659"/>
      <c r="CK208" s="651"/>
      <c r="CL208" s="657">
        <f t="shared" si="361"/>
        <v>0</v>
      </c>
      <c r="CM208" s="657">
        <f t="shared" si="362"/>
        <v>0</v>
      </c>
      <c r="CN208" s="659">
        <f t="shared" si="359"/>
        <v>26250</v>
      </c>
      <c r="CO208" s="464"/>
      <c r="CP208" s="465"/>
      <c r="CQ208" s="465">
        <f t="shared" si="390"/>
        <v>0</v>
      </c>
      <c r="CR208" s="465">
        <f t="shared" si="372"/>
        <v>0</v>
      </c>
      <c r="CS208" s="486" t="e">
        <f t="shared" si="437"/>
        <v>#DIV/0!</v>
      </c>
      <c r="CT208" s="465">
        <f t="shared" si="438"/>
        <v>1619</v>
      </c>
      <c r="CU208" s="486">
        <f t="shared" si="439"/>
        <v>1.821499383362267E-2</v>
      </c>
      <c r="CV208" s="518"/>
      <c r="CW208" s="427"/>
      <c r="CX208" s="427"/>
      <c r="CY208" s="427">
        <f t="shared" si="440"/>
        <v>0</v>
      </c>
      <c r="CZ208" s="427">
        <f t="shared" si="441"/>
        <v>0</v>
      </c>
      <c r="DA208" s="607" t="e">
        <f t="shared" si="456"/>
        <v>#DIV/0!</v>
      </c>
      <c r="DB208" s="607">
        <f t="shared" si="442"/>
        <v>115</v>
      </c>
      <c r="DC208" s="607">
        <f t="shared" si="391"/>
        <v>1.2938383513691211E-3</v>
      </c>
      <c r="DD208" s="609"/>
      <c r="DE208" s="471"/>
      <c r="DF208" s="473"/>
      <c r="DG208" s="473">
        <f t="shared" si="392"/>
        <v>0</v>
      </c>
      <c r="DH208" s="473">
        <f t="shared" si="373"/>
        <v>0</v>
      </c>
      <c r="DI208" s="227" t="e">
        <f t="shared" si="443"/>
        <v>#DIV/0!</v>
      </c>
      <c r="DJ208" s="473">
        <f t="shared" si="444"/>
        <v>155.19999999999999</v>
      </c>
      <c r="DK208" s="227">
        <f t="shared" si="445"/>
        <v>1.7461192359346748E-3</v>
      </c>
      <c r="DL208" s="508"/>
      <c r="DM208" s="63"/>
      <c r="DN208" s="64"/>
      <c r="DO208" s="66">
        <f t="shared" si="446"/>
        <v>0</v>
      </c>
      <c r="DP208" s="66">
        <f t="shared" si="374"/>
        <v>0</v>
      </c>
      <c r="DQ208" s="412" t="e">
        <f t="shared" si="447"/>
        <v>#DIV/0!</v>
      </c>
      <c r="DR208" s="66">
        <f t="shared" si="448"/>
        <v>18000</v>
      </c>
      <c r="DS208" s="412">
        <f t="shared" si="449"/>
        <v>0.2025138289099494</v>
      </c>
      <c r="DT208" s="684"/>
      <c r="DU208" s="596"/>
      <c r="DV208" s="596"/>
      <c r="DW208" s="596">
        <f t="shared" si="393"/>
        <v>0</v>
      </c>
      <c r="DX208" s="596">
        <f t="shared" si="375"/>
        <v>0</v>
      </c>
      <c r="DY208" s="592" t="e">
        <f t="shared" si="394"/>
        <v>#DIV/0!</v>
      </c>
      <c r="DZ208" s="596">
        <f t="shared" si="450"/>
        <v>2800</v>
      </c>
      <c r="EA208" s="592">
        <f t="shared" si="395"/>
        <v>3.1502151163769906E-2</v>
      </c>
      <c r="EB208" s="594"/>
      <c r="EC208" s="448"/>
      <c r="ED208" s="449"/>
      <c r="EE208" s="449">
        <f t="shared" si="396"/>
        <v>0</v>
      </c>
      <c r="EF208" s="449">
        <f t="shared" si="376"/>
        <v>0</v>
      </c>
      <c r="EG208" s="450" t="e">
        <f t="shared" si="454"/>
        <v>#DIV/0!</v>
      </c>
      <c r="EH208" s="449">
        <f t="shared" si="451"/>
        <v>1165</v>
      </c>
      <c r="EI208" s="450">
        <f t="shared" si="455"/>
        <v>1.3107145037782836E-2</v>
      </c>
      <c r="EJ208" s="687"/>
      <c r="EK208" s="426"/>
      <c r="EL208" s="427"/>
      <c r="EM208" s="427">
        <f t="shared" si="397"/>
        <v>0</v>
      </c>
      <c r="EN208" s="427">
        <f t="shared" si="377"/>
        <v>0</v>
      </c>
      <c r="EO208" s="427">
        <f t="shared" si="398"/>
        <v>84722</v>
      </c>
      <c r="EP208" s="456"/>
      <c r="EQ208" s="457"/>
      <c r="ER208" s="457">
        <f t="shared" si="399"/>
        <v>0</v>
      </c>
      <c r="ES208" s="457">
        <f t="shared" si="378"/>
        <v>0</v>
      </c>
      <c r="ET208" s="457">
        <f t="shared" si="400"/>
        <v>2242</v>
      </c>
      <c r="EU208" s="409"/>
      <c r="EV208" s="43"/>
      <c r="EW208" s="43">
        <f t="shared" si="401"/>
        <v>0</v>
      </c>
      <c r="EX208" s="43">
        <f t="shared" si="379"/>
        <v>0</v>
      </c>
      <c r="EY208" s="43">
        <f t="shared" si="402"/>
        <v>940</v>
      </c>
      <c r="EZ208" s="436"/>
      <c r="FA208" s="437"/>
      <c r="FB208" s="437">
        <f t="shared" si="403"/>
        <v>0</v>
      </c>
      <c r="FC208" s="437">
        <f t="shared" si="380"/>
        <v>0</v>
      </c>
      <c r="FD208" s="437">
        <f t="shared" si="404"/>
        <v>1090</v>
      </c>
      <c r="FE208" s="442"/>
      <c r="FF208" s="443"/>
      <c r="FG208" s="443">
        <f t="shared" si="405"/>
        <v>0</v>
      </c>
      <c r="FH208" s="443">
        <f t="shared" si="381"/>
        <v>0</v>
      </c>
      <c r="FI208" s="443">
        <f t="shared" si="406"/>
        <v>1200</v>
      </c>
      <c r="FJ208" s="392"/>
      <c r="FK208" s="298"/>
      <c r="FL208" s="298">
        <f t="shared" si="407"/>
        <v>0</v>
      </c>
      <c r="FM208" s="298">
        <f t="shared" si="382"/>
        <v>0</v>
      </c>
      <c r="FN208" s="498">
        <f t="shared" si="408"/>
        <v>4800</v>
      </c>
      <c r="HC208" s="402"/>
      <c r="HD208" s="52"/>
      <c r="HE208" s="52">
        <f t="shared" si="409"/>
        <v>0</v>
      </c>
      <c r="HF208" s="52">
        <f t="shared" si="383"/>
        <v>0</v>
      </c>
      <c r="HG208" s="51"/>
      <c r="HH208" s="52">
        <f t="shared" si="452"/>
        <v>2800</v>
      </c>
      <c r="HI208" s="51"/>
      <c r="HJ208" s="1050"/>
    </row>
    <row r="209" spans="1:218">
      <c r="A209" s="30">
        <v>44872</v>
      </c>
      <c r="B209" s="390"/>
      <c r="C209" s="18">
        <f t="shared" si="363"/>
        <v>88882819</v>
      </c>
      <c r="D209" s="376"/>
      <c r="E209" s="417">
        <f t="shared" si="360"/>
        <v>1061606.7599999998</v>
      </c>
      <c r="F209" s="397"/>
      <c r="G209" s="37"/>
      <c r="H209" s="37">
        <f t="shared" si="384"/>
        <v>0</v>
      </c>
      <c r="I209" s="37">
        <f t="shared" si="364"/>
        <v>0</v>
      </c>
      <c r="J209" s="37" t="e">
        <f t="shared" si="365"/>
        <v>#DIV/0!</v>
      </c>
      <c r="K209" s="37">
        <f t="shared" si="410"/>
        <v>481207</v>
      </c>
      <c r="L209" s="37">
        <f t="shared" si="366"/>
        <v>453.28177827352954</v>
      </c>
      <c r="M209" s="680"/>
      <c r="N209" s="422"/>
      <c r="O209" s="423"/>
      <c r="P209" s="423">
        <f t="shared" si="411"/>
        <v>0</v>
      </c>
      <c r="Q209" s="423">
        <f t="shared" si="412"/>
        <v>0</v>
      </c>
      <c r="R209" s="423">
        <f t="shared" si="413"/>
        <v>14025</v>
      </c>
      <c r="S209" s="68"/>
      <c r="T209" s="67">
        <v>24</v>
      </c>
      <c r="U209" s="68">
        <f t="shared" si="414"/>
        <v>0</v>
      </c>
      <c r="V209" s="68" t="e">
        <f t="shared" si="367"/>
        <v>#DIV/0!</v>
      </c>
      <c r="W209" s="423">
        <f t="shared" si="415"/>
        <v>13670.903999999999</v>
      </c>
      <c r="X209" s="68">
        <f t="shared" si="368"/>
        <v>12.877559295119788</v>
      </c>
      <c r="Y209" s="681"/>
      <c r="Z209" s="424"/>
      <c r="AA209" s="425"/>
      <c r="AB209" s="425">
        <f t="shared" si="416"/>
        <v>0</v>
      </c>
      <c r="AC209" s="425">
        <f t="shared" si="417"/>
        <v>0</v>
      </c>
      <c r="AD209" s="425">
        <f t="shared" si="418"/>
        <v>2225</v>
      </c>
      <c r="AE209" s="72"/>
      <c r="AF209" s="71">
        <v>12</v>
      </c>
      <c r="AG209" s="72">
        <f t="shared" si="419"/>
        <v>0</v>
      </c>
      <c r="AH209" s="72" t="e">
        <f t="shared" si="385"/>
        <v>#DIV/0!</v>
      </c>
      <c r="AI209" s="425">
        <f t="shared" si="420"/>
        <v>2049.9120000000016</v>
      </c>
      <c r="AJ209" s="72">
        <f t="shared" si="453"/>
        <v>1.9309522859481434</v>
      </c>
      <c r="AK209" s="682"/>
      <c r="AL209" s="491"/>
      <c r="AM209" s="491"/>
      <c r="AN209" s="492">
        <f t="shared" si="353"/>
        <v>0</v>
      </c>
      <c r="AO209" s="492">
        <f t="shared" si="354"/>
        <v>0</v>
      </c>
      <c r="AP209" s="492">
        <f t="shared" si="355"/>
        <v>83573</v>
      </c>
      <c r="AQ209" s="493">
        <f t="shared" si="386"/>
        <v>78.723123428490624</v>
      </c>
      <c r="AR209" s="683"/>
      <c r="AS209" s="413"/>
      <c r="AT209" s="64"/>
      <c r="AU209" s="66">
        <f t="shared" si="421"/>
        <v>0</v>
      </c>
      <c r="AV209" s="66">
        <f t="shared" si="369"/>
        <v>0</v>
      </c>
      <c r="AW209" s="412" t="e">
        <f t="shared" si="422"/>
        <v>#DIV/0!</v>
      </c>
      <c r="AX209" s="66">
        <f t="shared" si="423"/>
        <v>297615</v>
      </c>
      <c r="AY209" s="412">
        <f t="shared" si="424"/>
        <v>3.3483973995019216</v>
      </c>
      <c r="AZ209" s="684"/>
      <c r="BA209" s="419"/>
      <c r="BB209" s="419"/>
      <c r="BC209" s="407"/>
      <c r="BD209" s="419">
        <f t="shared" si="387"/>
        <v>0</v>
      </c>
      <c r="BE209" s="419">
        <f t="shared" si="388"/>
        <v>0</v>
      </c>
      <c r="BF209" s="407" t="e">
        <f t="shared" si="425"/>
        <v>#DIV/0!</v>
      </c>
      <c r="BG209" s="419">
        <f t="shared" si="356"/>
        <v>368770</v>
      </c>
      <c r="BH209" s="407">
        <f t="shared" si="426"/>
        <v>4.1489458159512242</v>
      </c>
      <c r="BI209" s="407">
        <f t="shared" si="427"/>
        <v>0.50803418154504787</v>
      </c>
      <c r="BJ209" s="508"/>
      <c r="BK209" s="510"/>
      <c r="BL209" s="49"/>
      <c r="BM209" s="50"/>
      <c r="BN209" s="52">
        <f t="shared" si="428"/>
        <v>0</v>
      </c>
      <c r="BO209" s="52">
        <f t="shared" si="370"/>
        <v>0</v>
      </c>
      <c r="BP209" s="406" t="e">
        <f t="shared" si="429"/>
        <v>#DIV/0!</v>
      </c>
      <c r="BQ209" s="52">
        <f t="shared" si="430"/>
        <v>37700</v>
      </c>
      <c r="BR209" s="406">
        <f t="shared" si="431"/>
        <v>0.42415396388361626</v>
      </c>
      <c r="BS209" s="685"/>
      <c r="BT209" s="409"/>
      <c r="BU209" s="43"/>
      <c r="BV209" s="43">
        <f t="shared" si="457"/>
        <v>0</v>
      </c>
      <c r="BW209" s="43">
        <f t="shared" si="458"/>
        <v>0</v>
      </c>
      <c r="BX209" s="42" t="e">
        <f t="shared" si="432"/>
        <v>#DIV/0!</v>
      </c>
      <c r="BY209" s="43">
        <f t="shared" si="459"/>
        <v>19437</v>
      </c>
      <c r="BZ209" s="42">
        <f t="shared" si="433"/>
        <v>0.21868118291792704</v>
      </c>
      <c r="CA209" s="514"/>
      <c r="CB209" s="392"/>
      <c r="CC209" s="298"/>
      <c r="CD209" s="298">
        <f t="shared" si="389"/>
        <v>0</v>
      </c>
      <c r="CE209" s="298">
        <f t="shared" si="371"/>
        <v>0</v>
      </c>
      <c r="CF209" s="297" t="e">
        <f t="shared" si="434"/>
        <v>#DIV/0!</v>
      </c>
      <c r="CG209" s="298">
        <f t="shared" si="435"/>
        <v>61350</v>
      </c>
      <c r="CH209" s="297">
        <f t="shared" si="436"/>
        <v>0.69023463353474424</v>
      </c>
      <c r="CI209" s="686"/>
      <c r="CJ209" s="659"/>
      <c r="CK209" s="651"/>
      <c r="CL209" s="657">
        <f t="shared" si="361"/>
        <v>0</v>
      </c>
      <c r="CM209" s="657">
        <f t="shared" si="362"/>
        <v>0</v>
      </c>
      <c r="CN209" s="659">
        <f t="shared" si="359"/>
        <v>26250</v>
      </c>
      <c r="CO209" s="464"/>
      <c r="CP209" s="465"/>
      <c r="CQ209" s="465">
        <f t="shared" si="390"/>
        <v>0</v>
      </c>
      <c r="CR209" s="465">
        <f t="shared" si="372"/>
        <v>0</v>
      </c>
      <c r="CS209" s="486" t="e">
        <f t="shared" si="437"/>
        <v>#DIV/0!</v>
      </c>
      <c r="CT209" s="465">
        <f t="shared" si="438"/>
        <v>1619</v>
      </c>
      <c r="CU209" s="486">
        <f t="shared" si="439"/>
        <v>1.821499383362267E-2</v>
      </c>
      <c r="CV209" s="518"/>
      <c r="CW209" s="427"/>
      <c r="CX209" s="427"/>
      <c r="CY209" s="427">
        <f t="shared" si="440"/>
        <v>0</v>
      </c>
      <c r="CZ209" s="427">
        <f t="shared" si="441"/>
        <v>0</v>
      </c>
      <c r="DA209" s="607" t="e">
        <f t="shared" si="456"/>
        <v>#DIV/0!</v>
      </c>
      <c r="DB209" s="607">
        <f t="shared" si="442"/>
        <v>115</v>
      </c>
      <c r="DC209" s="607">
        <f t="shared" si="391"/>
        <v>1.2938383513691211E-3</v>
      </c>
      <c r="DD209" s="609"/>
      <c r="DE209" s="471"/>
      <c r="DF209" s="473"/>
      <c r="DG209" s="473">
        <f t="shared" si="392"/>
        <v>0</v>
      </c>
      <c r="DH209" s="473">
        <f t="shared" si="373"/>
        <v>0</v>
      </c>
      <c r="DI209" s="227" t="e">
        <f t="shared" si="443"/>
        <v>#DIV/0!</v>
      </c>
      <c r="DJ209" s="473">
        <f t="shared" si="444"/>
        <v>155.19999999999999</v>
      </c>
      <c r="DK209" s="227">
        <f t="shared" si="445"/>
        <v>1.7461192359346748E-3</v>
      </c>
      <c r="DL209" s="508"/>
      <c r="DM209" s="63"/>
      <c r="DN209" s="64"/>
      <c r="DO209" s="66">
        <f t="shared" si="446"/>
        <v>0</v>
      </c>
      <c r="DP209" s="66">
        <f t="shared" si="374"/>
        <v>0</v>
      </c>
      <c r="DQ209" s="412" t="e">
        <f t="shared" si="447"/>
        <v>#DIV/0!</v>
      </c>
      <c r="DR209" s="66">
        <f t="shared" si="448"/>
        <v>18000</v>
      </c>
      <c r="DS209" s="412">
        <f t="shared" si="449"/>
        <v>0.2025138289099494</v>
      </c>
      <c r="DT209" s="684"/>
      <c r="DU209" s="596"/>
      <c r="DV209" s="596"/>
      <c r="DW209" s="596">
        <f t="shared" si="393"/>
        <v>0</v>
      </c>
      <c r="DX209" s="596">
        <f t="shared" si="375"/>
        <v>0</v>
      </c>
      <c r="DY209" s="592" t="e">
        <f t="shared" si="394"/>
        <v>#DIV/0!</v>
      </c>
      <c r="DZ209" s="596">
        <f t="shared" si="450"/>
        <v>2800</v>
      </c>
      <c r="EA209" s="592">
        <f t="shared" si="395"/>
        <v>3.1502151163769906E-2</v>
      </c>
      <c r="EB209" s="594"/>
      <c r="EC209" s="448"/>
      <c r="ED209" s="449"/>
      <c r="EE209" s="449">
        <f t="shared" si="396"/>
        <v>0</v>
      </c>
      <c r="EF209" s="449">
        <f t="shared" si="376"/>
        <v>0</v>
      </c>
      <c r="EG209" s="450" t="e">
        <f t="shared" si="454"/>
        <v>#DIV/0!</v>
      </c>
      <c r="EH209" s="449">
        <f t="shared" si="451"/>
        <v>1165</v>
      </c>
      <c r="EI209" s="450">
        <f t="shared" si="455"/>
        <v>1.3107145037782836E-2</v>
      </c>
      <c r="EJ209" s="687"/>
      <c r="EK209" s="426"/>
      <c r="EL209" s="427"/>
      <c r="EM209" s="427">
        <f t="shared" si="397"/>
        <v>0</v>
      </c>
      <c r="EN209" s="427">
        <f t="shared" si="377"/>
        <v>0</v>
      </c>
      <c r="EO209" s="427">
        <f t="shared" si="398"/>
        <v>84722</v>
      </c>
      <c r="EP209" s="456"/>
      <c r="EQ209" s="457"/>
      <c r="ER209" s="457">
        <f t="shared" si="399"/>
        <v>0</v>
      </c>
      <c r="ES209" s="457">
        <f t="shared" si="378"/>
        <v>0</v>
      </c>
      <c r="ET209" s="457">
        <f t="shared" si="400"/>
        <v>2242</v>
      </c>
      <c r="EU209" s="409"/>
      <c r="EV209" s="43"/>
      <c r="EW209" s="43">
        <f t="shared" si="401"/>
        <v>0</v>
      </c>
      <c r="EX209" s="43">
        <f t="shared" si="379"/>
        <v>0</v>
      </c>
      <c r="EY209" s="43">
        <f t="shared" si="402"/>
        <v>940</v>
      </c>
      <c r="EZ209" s="436"/>
      <c r="FA209" s="437"/>
      <c r="FB209" s="437">
        <f t="shared" si="403"/>
        <v>0</v>
      </c>
      <c r="FC209" s="437">
        <f t="shared" si="380"/>
        <v>0</v>
      </c>
      <c r="FD209" s="437">
        <f t="shared" si="404"/>
        <v>1090</v>
      </c>
      <c r="FE209" s="442"/>
      <c r="FF209" s="443"/>
      <c r="FG209" s="443">
        <f t="shared" si="405"/>
        <v>0</v>
      </c>
      <c r="FH209" s="443">
        <f t="shared" si="381"/>
        <v>0</v>
      </c>
      <c r="FI209" s="443">
        <f t="shared" si="406"/>
        <v>1200</v>
      </c>
      <c r="FJ209" s="392"/>
      <c r="FK209" s="298"/>
      <c r="FL209" s="298">
        <f t="shared" si="407"/>
        <v>0</v>
      </c>
      <c r="FM209" s="298">
        <f t="shared" si="382"/>
        <v>0</v>
      </c>
      <c r="FN209" s="498">
        <f t="shared" si="408"/>
        <v>4800</v>
      </c>
      <c r="HC209" s="402"/>
      <c r="HD209" s="52"/>
      <c r="HE209" s="52">
        <f t="shared" si="409"/>
        <v>0</v>
      </c>
      <c r="HF209" s="52">
        <f t="shared" si="383"/>
        <v>0</v>
      </c>
      <c r="HG209" s="51"/>
      <c r="HH209" s="52">
        <f t="shared" si="452"/>
        <v>2800</v>
      </c>
      <c r="HI209" s="51"/>
      <c r="HJ209" s="1050"/>
    </row>
    <row r="210" spans="1:218">
      <c r="A210" s="30">
        <v>44873</v>
      </c>
      <c r="B210" s="390"/>
      <c r="C210" s="18">
        <f t="shared" si="363"/>
        <v>88882819</v>
      </c>
      <c r="D210" s="376"/>
      <c r="E210" s="417">
        <f t="shared" si="360"/>
        <v>1061606.7599999998</v>
      </c>
      <c r="F210" s="397"/>
      <c r="G210" s="37"/>
      <c r="H210" s="37">
        <f t="shared" si="384"/>
        <v>0</v>
      </c>
      <c r="I210" s="37">
        <f t="shared" si="364"/>
        <v>0</v>
      </c>
      <c r="J210" s="37" t="e">
        <f t="shared" si="365"/>
        <v>#DIV/0!</v>
      </c>
      <c r="K210" s="37">
        <f t="shared" si="410"/>
        <v>481207</v>
      </c>
      <c r="L210" s="37">
        <f t="shared" si="366"/>
        <v>453.28177827352954</v>
      </c>
      <c r="M210" s="680"/>
      <c r="N210" s="422"/>
      <c r="O210" s="423"/>
      <c r="P210" s="423">
        <f t="shared" si="411"/>
        <v>0</v>
      </c>
      <c r="Q210" s="423">
        <f t="shared" si="412"/>
        <v>0</v>
      </c>
      <c r="R210" s="423">
        <f t="shared" si="413"/>
        <v>14025</v>
      </c>
      <c r="S210" s="68"/>
      <c r="T210" s="67">
        <v>24</v>
      </c>
      <c r="U210" s="68">
        <f t="shared" si="414"/>
        <v>0</v>
      </c>
      <c r="V210" s="68" t="e">
        <f t="shared" si="367"/>
        <v>#DIV/0!</v>
      </c>
      <c r="W210" s="423">
        <f t="shared" si="415"/>
        <v>13670.903999999999</v>
      </c>
      <c r="X210" s="68">
        <f t="shared" si="368"/>
        <v>12.877559295119788</v>
      </c>
      <c r="Y210" s="681"/>
      <c r="Z210" s="424"/>
      <c r="AA210" s="425"/>
      <c r="AB210" s="425">
        <f t="shared" si="416"/>
        <v>0</v>
      </c>
      <c r="AC210" s="425">
        <f t="shared" si="417"/>
        <v>0</v>
      </c>
      <c r="AD210" s="425">
        <f t="shared" si="418"/>
        <v>2225</v>
      </c>
      <c r="AE210" s="72"/>
      <c r="AF210" s="71">
        <v>12</v>
      </c>
      <c r="AG210" s="72">
        <f t="shared" si="419"/>
        <v>0</v>
      </c>
      <c r="AH210" s="72" t="e">
        <f t="shared" si="385"/>
        <v>#DIV/0!</v>
      </c>
      <c r="AI210" s="425">
        <f t="shared" si="420"/>
        <v>2049.9120000000016</v>
      </c>
      <c r="AJ210" s="72">
        <f t="shared" si="453"/>
        <v>1.9309522859481434</v>
      </c>
      <c r="AK210" s="682"/>
      <c r="AL210" s="491"/>
      <c r="AM210" s="491"/>
      <c r="AN210" s="492">
        <f t="shared" ref="AN210:AN240" si="460">AL211</f>
        <v>0</v>
      </c>
      <c r="AO210" s="492">
        <f t="shared" ref="AO210:AO240" si="461">AL210+AM210-AN210</f>
        <v>0</v>
      </c>
      <c r="AP210" s="492">
        <f t="shared" ref="AP210:AP240" si="462">AO210+AP209</f>
        <v>83573</v>
      </c>
      <c r="AQ210" s="493">
        <f t="shared" si="386"/>
        <v>78.723123428490624</v>
      </c>
      <c r="AR210" s="683"/>
      <c r="AS210" s="413"/>
      <c r="AT210" s="64"/>
      <c r="AU210" s="66">
        <f t="shared" si="421"/>
        <v>0</v>
      </c>
      <c r="AV210" s="66">
        <f t="shared" si="369"/>
        <v>0</v>
      </c>
      <c r="AW210" s="412" t="e">
        <f t="shared" si="422"/>
        <v>#DIV/0!</v>
      </c>
      <c r="AX210" s="66">
        <f t="shared" si="423"/>
        <v>297615</v>
      </c>
      <c r="AY210" s="412">
        <f t="shared" si="424"/>
        <v>3.3483973995019216</v>
      </c>
      <c r="AZ210" s="684"/>
      <c r="BA210" s="419"/>
      <c r="BB210" s="419"/>
      <c r="BC210" s="407"/>
      <c r="BD210" s="419">
        <f t="shared" si="387"/>
        <v>0</v>
      </c>
      <c r="BE210" s="419">
        <f t="shared" si="388"/>
        <v>0</v>
      </c>
      <c r="BF210" s="407" t="e">
        <f t="shared" si="425"/>
        <v>#DIV/0!</v>
      </c>
      <c r="BG210" s="419">
        <f t="shared" ref="BG210:BG240" si="463">BG209+BE210</f>
        <v>368770</v>
      </c>
      <c r="BH210" s="407">
        <f t="shared" si="426"/>
        <v>4.1489458159512242</v>
      </c>
      <c r="BI210" s="407">
        <f t="shared" si="427"/>
        <v>0.50803418154504787</v>
      </c>
      <c r="BJ210" s="508"/>
      <c r="BK210" s="510"/>
      <c r="BL210" s="49"/>
      <c r="BM210" s="50"/>
      <c r="BN210" s="52">
        <f t="shared" si="428"/>
        <v>0</v>
      </c>
      <c r="BO210" s="52">
        <f t="shared" si="370"/>
        <v>0</v>
      </c>
      <c r="BP210" s="406" t="e">
        <f t="shared" si="429"/>
        <v>#DIV/0!</v>
      </c>
      <c r="BQ210" s="52">
        <f t="shared" si="430"/>
        <v>37700</v>
      </c>
      <c r="BR210" s="406">
        <f t="shared" si="431"/>
        <v>0.42415396388361626</v>
      </c>
      <c r="BS210" s="685"/>
      <c r="BT210" s="409"/>
      <c r="BU210" s="43"/>
      <c r="BV210" s="43">
        <f t="shared" si="457"/>
        <v>0</v>
      </c>
      <c r="BW210" s="43">
        <f t="shared" si="458"/>
        <v>0</v>
      </c>
      <c r="BX210" s="42" t="e">
        <f t="shared" si="432"/>
        <v>#DIV/0!</v>
      </c>
      <c r="BY210" s="43">
        <f t="shared" si="459"/>
        <v>19437</v>
      </c>
      <c r="BZ210" s="42">
        <f t="shared" si="433"/>
        <v>0.21868118291792704</v>
      </c>
      <c r="CA210" s="514"/>
      <c r="CB210" s="392"/>
      <c r="CC210" s="298"/>
      <c r="CD210" s="298">
        <f t="shared" si="389"/>
        <v>0</v>
      </c>
      <c r="CE210" s="298">
        <f t="shared" si="371"/>
        <v>0</v>
      </c>
      <c r="CF210" s="297" t="e">
        <f t="shared" si="434"/>
        <v>#DIV/0!</v>
      </c>
      <c r="CG210" s="298">
        <f t="shared" si="435"/>
        <v>61350</v>
      </c>
      <c r="CH210" s="297">
        <f t="shared" si="436"/>
        <v>0.69023463353474424</v>
      </c>
      <c r="CI210" s="686"/>
      <c r="CJ210" s="659"/>
      <c r="CK210" s="651"/>
      <c r="CL210" s="657">
        <f t="shared" ref="CL210:CL240" si="464">CJ211</f>
        <v>0</v>
      </c>
      <c r="CM210" s="657">
        <f t="shared" ref="CM210:CM240" si="465">CJ210+CK210-CL210</f>
        <v>0</v>
      </c>
      <c r="CN210" s="659">
        <f t="shared" ref="CN210:CN240" si="466">CM210+CN209</f>
        <v>26250</v>
      </c>
      <c r="CO210" s="464"/>
      <c r="CP210" s="465"/>
      <c r="CQ210" s="465">
        <f t="shared" si="390"/>
        <v>0</v>
      </c>
      <c r="CR210" s="465">
        <f t="shared" si="372"/>
        <v>0</v>
      </c>
      <c r="CS210" s="486" t="e">
        <f t="shared" si="437"/>
        <v>#DIV/0!</v>
      </c>
      <c r="CT210" s="465">
        <f t="shared" si="438"/>
        <v>1619</v>
      </c>
      <c r="CU210" s="486">
        <f t="shared" si="439"/>
        <v>1.821499383362267E-2</v>
      </c>
      <c r="CV210" s="518"/>
      <c r="CW210" s="427"/>
      <c r="CX210" s="427"/>
      <c r="CY210" s="427">
        <f t="shared" si="440"/>
        <v>0</v>
      </c>
      <c r="CZ210" s="427">
        <f t="shared" si="441"/>
        <v>0</v>
      </c>
      <c r="DA210" s="607" t="e">
        <f t="shared" si="456"/>
        <v>#DIV/0!</v>
      </c>
      <c r="DB210" s="607">
        <f t="shared" si="442"/>
        <v>115</v>
      </c>
      <c r="DC210" s="607">
        <f t="shared" si="391"/>
        <v>1.2938383513691211E-3</v>
      </c>
      <c r="DD210" s="609"/>
      <c r="DE210" s="471"/>
      <c r="DF210" s="473"/>
      <c r="DG210" s="473">
        <f t="shared" si="392"/>
        <v>0</v>
      </c>
      <c r="DH210" s="473">
        <f t="shared" si="373"/>
        <v>0</v>
      </c>
      <c r="DI210" s="227" t="e">
        <f t="shared" si="443"/>
        <v>#DIV/0!</v>
      </c>
      <c r="DJ210" s="473">
        <f t="shared" si="444"/>
        <v>155.19999999999999</v>
      </c>
      <c r="DK210" s="227">
        <f t="shared" si="445"/>
        <v>1.7461192359346748E-3</v>
      </c>
      <c r="DL210" s="508"/>
      <c r="DM210" s="63"/>
      <c r="DN210" s="64"/>
      <c r="DO210" s="66">
        <f t="shared" si="446"/>
        <v>0</v>
      </c>
      <c r="DP210" s="66">
        <f t="shared" si="374"/>
        <v>0</v>
      </c>
      <c r="DQ210" s="412" t="e">
        <f t="shared" si="447"/>
        <v>#DIV/0!</v>
      </c>
      <c r="DR210" s="66">
        <f t="shared" si="448"/>
        <v>18000</v>
      </c>
      <c r="DS210" s="412">
        <f t="shared" si="449"/>
        <v>0.2025138289099494</v>
      </c>
      <c r="DT210" s="684"/>
      <c r="DU210" s="596"/>
      <c r="DV210" s="596"/>
      <c r="DW210" s="596">
        <f t="shared" si="393"/>
        <v>0</v>
      </c>
      <c r="DX210" s="596">
        <f t="shared" si="375"/>
        <v>0</v>
      </c>
      <c r="DY210" s="592" t="e">
        <f t="shared" si="394"/>
        <v>#DIV/0!</v>
      </c>
      <c r="DZ210" s="596">
        <f t="shared" si="450"/>
        <v>2800</v>
      </c>
      <c r="EA210" s="592">
        <f t="shared" si="395"/>
        <v>3.1502151163769906E-2</v>
      </c>
      <c r="EB210" s="594"/>
      <c r="EC210" s="448"/>
      <c r="ED210" s="449"/>
      <c r="EE210" s="449">
        <f t="shared" si="396"/>
        <v>0</v>
      </c>
      <c r="EF210" s="449">
        <f t="shared" si="376"/>
        <v>0</v>
      </c>
      <c r="EG210" s="450" t="e">
        <f t="shared" si="454"/>
        <v>#DIV/0!</v>
      </c>
      <c r="EH210" s="449">
        <f t="shared" si="451"/>
        <v>1165</v>
      </c>
      <c r="EI210" s="450">
        <f t="shared" si="455"/>
        <v>1.3107145037782836E-2</v>
      </c>
      <c r="EJ210" s="687"/>
      <c r="EK210" s="426"/>
      <c r="EL210" s="427"/>
      <c r="EM210" s="427">
        <f t="shared" si="397"/>
        <v>0</v>
      </c>
      <c r="EN210" s="427">
        <f t="shared" si="377"/>
        <v>0</v>
      </c>
      <c r="EO210" s="427">
        <f t="shared" si="398"/>
        <v>84722</v>
      </c>
      <c r="EP210" s="456"/>
      <c r="EQ210" s="457"/>
      <c r="ER210" s="457">
        <f t="shared" si="399"/>
        <v>0</v>
      </c>
      <c r="ES210" s="457">
        <f t="shared" si="378"/>
        <v>0</v>
      </c>
      <c r="ET210" s="457">
        <f t="shared" si="400"/>
        <v>2242</v>
      </c>
      <c r="EU210" s="409"/>
      <c r="EV210" s="43"/>
      <c r="EW210" s="43">
        <f t="shared" si="401"/>
        <v>0</v>
      </c>
      <c r="EX210" s="43">
        <f t="shared" si="379"/>
        <v>0</v>
      </c>
      <c r="EY210" s="43">
        <f t="shared" si="402"/>
        <v>940</v>
      </c>
      <c r="EZ210" s="436"/>
      <c r="FA210" s="437"/>
      <c r="FB210" s="437">
        <f t="shared" si="403"/>
        <v>0</v>
      </c>
      <c r="FC210" s="437">
        <f t="shared" si="380"/>
        <v>0</v>
      </c>
      <c r="FD210" s="437">
        <f t="shared" si="404"/>
        <v>1090</v>
      </c>
      <c r="FE210" s="442"/>
      <c r="FF210" s="443"/>
      <c r="FG210" s="443">
        <f t="shared" si="405"/>
        <v>0</v>
      </c>
      <c r="FH210" s="443">
        <f t="shared" si="381"/>
        <v>0</v>
      </c>
      <c r="FI210" s="443">
        <f t="shared" si="406"/>
        <v>1200</v>
      </c>
      <c r="FJ210" s="392"/>
      <c r="FK210" s="298"/>
      <c r="FL210" s="298">
        <f t="shared" si="407"/>
        <v>0</v>
      </c>
      <c r="FM210" s="298">
        <f t="shared" si="382"/>
        <v>0</v>
      </c>
      <c r="FN210" s="498">
        <f t="shared" si="408"/>
        <v>4800</v>
      </c>
      <c r="HC210" s="402"/>
      <c r="HD210" s="52"/>
      <c r="HE210" s="52">
        <f t="shared" si="409"/>
        <v>0</v>
      </c>
      <c r="HF210" s="52">
        <f t="shared" si="383"/>
        <v>0</v>
      </c>
      <c r="HG210" s="51"/>
      <c r="HH210" s="52">
        <f t="shared" si="452"/>
        <v>2800</v>
      </c>
      <c r="HI210" s="51"/>
      <c r="HJ210" s="1050"/>
    </row>
    <row r="211" spans="1:218">
      <c r="A211" s="30">
        <v>44874</v>
      </c>
      <c r="B211" s="390"/>
      <c r="C211" s="18">
        <f t="shared" si="363"/>
        <v>88882819</v>
      </c>
      <c r="D211" s="376"/>
      <c r="E211" s="417">
        <f t="shared" si="360"/>
        <v>1061606.7599999998</v>
      </c>
      <c r="F211" s="397"/>
      <c r="G211" s="37"/>
      <c r="H211" s="37">
        <f t="shared" si="384"/>
        <v>0</v>
      </c>
      <c r="I211" s="37">
        <f t="shared" si="364"/>
        <v>0</v>
      </c>
      <c r="J211" s="37" t="e">
        <f t="shared" si="365"/>
        <v>#DIV/0!</v>
      </c>
      <c r="K211" s="37">
        <f t="shared" si="410"/>
        <v>481207</v>
      </c>
      <c r="L211" s="37">
        <f t="shared" si="366"/>
        <v>453.28177827352954</v>
      </c>
      <c r="M211" s="680"/>
      <c r="N211" s="422"/>
      <c r="O211" s="423"/>
      <c r="P211" s="423">
        <f t="shared" si="411"/>
        <v>0</v>
      </c>
      <c r="Q211" s="423">
        <f t="shared" si="412"/>
        <v>0</v>
      </c>
      <c r="R211" s="423">
        <f t="shared" si="413"/>
        <v>14025</v>
      </c>
      <c r="S211" s="68"/>
      <c r="T211" s="67">
        <v>24</v>
      </c>
      <c r="U211" s="68">
        <f t="shared" si="414"/>
        <v>0</v>
      </c>
      <c r="V211" s="68" t="e">
        <f t="shared" si="367"/>
        <v>#DIV/0!</v>
      </c>
      <c r="W211" s="423">
        <f t="shared" si="415"/>
        <v>13670.903999999999</v>
      </c>
      <c r="X211" s="68">
        <f t="shared" si="368"/>
        <v>12.877559295119788</v>
      </c>
      <c r="Y211" s="681"/>
      <c r="Z211" s="424"/>
      <c r="AA211" s="425"/>
      <c r="AB211" s="425">
        <f t="shared" si="416"/>
        <v>0</v>
      </c>
      <c r="AC211" s="425">
        <f t="shared" si="417"/>
        <v>0</v>
      </c>
      <c r="AD211" s="425">
        <f t="shared" si="418"/>
        <v>2225</v>
      </c>
      <c r="AE211" s="72"/>
      <c r="AF211" s="71">
        <v>12</v>
      </c>
      <c r="AG211" s="72">
        <f t="shared" si="419"/>
        <v>0</v>
      </c>
      <c r="AH211" s="72" t="e">
        <f t="shared" si="385"/>
        <v>#DIV/0!</v>
      </c>
      <c r="AI211" s="425">
        <f t="shared" si="420"/>
        <v>2049.9120000000016</v>
      </c>
      <c r="AJ211" s="72">
        <f t="shared" si="453"/>
        <v>1.9309522859481434</v>
      </c>
      <c r="AK211" s="682"/>
      <c r="AL211" s="491"/>
      <c r="AM211" s="491"/>
      <c r="AN211" s="492">
        <f t="shared" si="460"/>
        <v>0</v>
      </c>
      <c r="AO211" s="492">
        <f t="shared" si="461"/>
        <v>0</v>
      </c>
      <c r="AP211" s="492">
        <f t="shared" si="462"/>
        <v>83573</v>
      </c>
      <c r="AQ211" s="493">
        <f t="shared" si="386"/>
        <v>78.723123428490624</v>
      </c>
      <c r="AR211" s="683"/>
      <c r="AS211" s="413"/>
      <c r="AT211" s="64"/>
      <c r="AU211" s="66">
        <f t="shared" si="421"/>
        <v>0</v>
      </c>
      <c r="AV211" s="66">
        <f t="shared" si="369"/>
        <v>0</v>
      </c>
      <c r="AW211" s="412" t="e">
        <f t="shared" si="422"/>
        <v>#DIV/0!</v>
      </c>
      <c r="AX211" s="66">
        <f t="shared" si="423"/>
        <v>297615</v>
      </c>
      <c r="AY211" s="412">
        <f t="shared" si="424"/>
        <v>3.3483973995019216</v>
      </c>
      <c r="AZ211" s="684"/>
      <c r="BA211" s="419"/>
      <c r="BB211" s="419"/>
      <c r="BC211" s="407"/>
      <c r="BD211" s="419">
        <f t="shared" si="387"/>
        <v>0</v>
      </c>
      <c r="BE211" s="419">
        <f t="shared" si="388"/>
        <v>0</v>
      </c>
      <c r="BF211" s="407" t="e">
        <f t="shared" si="425"/>
        <v>#DIV/0!</v>
      </c>
      <c r="BG211" s="419">
        <f t="shared" si="463"/>
        <v>368770</v>
      </c>
      <c r="BH211" s="407">
        <f t="shared" si="426"/>
        <v>4.1489458159512242</v>
      </c>
      <c r="BI211" s="407">
        <f t="shared" si="427"/>
        <v>0.50803418154504787</v>
      </c>
      <c r="BJ211" s="508"/>
      <c r="BK211" s="510"/>
      <c r="BL211" s="49"/>
      <c r="BM211" s="50"/>
      <c r="BN211" s="52">
        <f t="shared" si="428"/>
        <v>0</v>
      </c>
      <c r="BO211" s="52">
        <f t="shared" si="370"/>
        <v>0</v>
      </c>
      <c r="BP211" s="406" t="e">
        <f t="shared" si="429"/>
        <v>#DIV/0!</v>
      </c>
      <c r="BQ211" s="52">
        <f t="shared" si="430"/>
        <v>37700</v>
      </c>
      <c r="BR211" s="406">
        <f t="shared" si="431"/>
        <v>0.42415396388361626</v>
      </c>
      <c r="BS211" s="685"/>
      <c r="BT211" s="409"/>
      <c r="BU211" s="43"/>
      <c r="BV211" s="43">
        <f t="shared" si="457"/>
        <v>0</v>
      </c>
      <c r="BW211" s="43">
        <f t="shared" si="458"/>
        <v>0</v>
      </c>
      <c r="BX211" s="42" t="e">
        <f t="shared" si="432"/>
        <v>#DIV/0!</v>
      </c>
      <c r="BY211" s="43">
        <f t="shared" si="459"/>
        <v>19437</v>
      </c>
      <c r="BZ211" s="42">
        <f t="shared" si="433"/>
        <v>0.21868118291792704</v>
      </c>
      <c r="CA211" s="514"/>
      <c r="CB211" s="392"/>
      <c r="CC211" s="298"/>
      <c r="CD211" s="298">
        <f t="shared" si="389"/>
        <v>0</v>
      </c>
      <c r="CE211" s="298">
        <f t="shared" si="371"/>
        <v>0</v>
      </c>
      <c r="CF211" s="297" t="e">
        <f t="shared" si="434"/>
        <v>#DIV/0!</v>
      </c>
      <c r="CG211" s="298">
        <f t="shared" si="435"/>
        <v>61350</v>
      </c>
      <c r="CH211" s="297">
        <f t="shared" si="436"/>
        <v>0.69023463353474424</v>
      </c>
      <c r="CI211" s="686"/>
      <c r="CJ211" s="659"/>
      <c r="CK211" s="651"/>
      <c r="CL211" s="657">
        <f t="shared" si="464"/>
        <v>0</v>
      </c>
      <c r="CM211" s="657">
        <f t="shared" si="465"/>
        <v>0</v>
      </c>
      <c r="CN211" s="659">
        <f t="shared" si="466"/>
        <v>26250</v>
      </c>
      <c r="CO211" s="464"/>
      <c r="CP211" s="465"/>
      <c r="CQ211" s="465">
        <f t="shared" si="390"/>
        <v>0</v>
      </c>
      <c r="CR211" s="465">
        <f t="shared" si="372"/>
        <v>0</v>
      </c>
      <c r="CS211" s="486" t="e">
        <f t="shared" si="437"/>
        <v>#DIV/0!</v>
      </c>
      <c r="CT211" s="465">
        <f t="shared" si="438"/>
        <v>1619</v>
      </c>
      <c r="CU211" s="486">
        <f t="shared" si="439"/>
        <v>1.821499383362267E-2</v>
      </c>
      <c r="CV211" s="518"/>
      <c r="CW211" s="427"/>
      <c r="CX211" s="427"/>
      <c r="CY211" s="427">
        <f t="shared" si="440"/>
        <v>0</v>
      </c>
      <c r="CZ211" s="427">
        <f t="shared" si="441"/>
        <v>0</v>
      </c>
      <c r="DA211" s="607" t="e">
        <f t="shared" si="456"/>
        <v>#DIV/0!</v>
      </c>
      <c r="DB211" s="607">
        <f t="shared" si="442"/>
        <v>115</v>
      </c>
      <c r="DC211" s="607">
        <f t="shared" si="391"/>
        <v>1.2938383513691211E-3</v>
      </c>
      <c r="DD211" s="609"/>
      <c r="DE211" s="471"/>
      <c r="DF211" s="473"/>
      <c r="DG211" s="473">
        <f t="shared" si="392"/>
        <v>0</v>
      </c>
      <c r="DH211" s="473">
        <f t="shared" si="373"/>
        <v>0</v>
      </c>
      <c r="DI211" s="227" t="e">
        <f t="shared" si="443"/>
        <v>#DIV/0!</v>
      </c>
      <c r="DJ211" s="473">
        <f t="shared" si="444"/>
        <v>155.19999999999999</v>
      </c>
      <c r="DK211" s="227">
        <f t="shared" si="445"/>
        <v>1.7461192359346748E-3</v>
      </c>
      <c r="DL211" s="508"/>
      <c r="DM211" s="63"/>
      <c r="DN211" s="64"/>
      <c r="DO211" s="66">
        <f t="shared" si="446"/>
        <v>0</v>
      </c>
      <c r="DP211" s="66">
        <f t="shared" si="374"/>
        <v>0</v>
      </c>
      <c r="DQ211" s="412" t="e">
        <f t="shared" si="447"/>
        <v>#DIV/0!</v>
      </c>
      <c r="DR211" s="66">
        <f t="shared" si="448"/>
        <v>18000</v>
      </c>
      <c r="DS211" s="412">
        <f t="shared" si="449"/>
        <v>0.2025138289099494</v>
      </c>
      <c r="DT211" s="684"/>
      <c r="DU211" s="596"/>
      <c r="DV211" s="596"/>
      <c r="DW211" s="596">
        <f t="shared" si="393"/>
        <v>0</v>
      </c>
      <c r="DX211" s="596">
        <f t="shared" si="375"/>
        <v>0</v>
      </c>
      <c r="DY211" s="592" t="e">
        <f t="shared" si="394"/>
        <v>#DIV/0!</v>
      </c>
      <c r="DZ211" s="596">
        <f t="shared" si="450"/>
        <v>2800</v>
      </c>
      <c r="EA211" s="592">
        <f t="shared" si="395"/>
        <v>3.1502151163769906E-2</v>
      </c>
      <c r="EB211" s="594"/>
      <c r="EC211" s="448"/>
      <c r="ED211" s="449"/>
      <c r="EE211" s="449">
        <f t="shared" si="396"/>
        <v>0</v>
      </c>
      <c r="EF211" s="449">
        <f t="shared" si="376"/>
        <v>0</v>
      </c>
      <c r="EG211" s="450" t="e">
        <f t="shared" si="454"/>
        <v>#DIV/0!</v>
      </c>
      <c r="EH211" s="449">
        <f t="shared" si="451"/>
        <v>1165</v>
      </c>
      <c r="EI211" s="450">
        <f t="shared" si="455"/>
        <v>1.3107145037782836E-2</v>
      </c>
      <c r="EJ211" s="687"/>
      <c r="EK211" s="426"/>
      <c r="EL211" s="427"/>
      <c r="EM211" s="427">
        <f t="shared" si="397"/>
        <v>0</v>
      </c>
      <c r="EN211" s="427">
        <f t="shared" si="377"/>
        <v>0</v>
      </c>
      <c r="EO211" s="427">
        <f t="shared" si="398"/>
        <v>84722</v>
      </c>
      <c r="EP211" s="456"/>
      <c r="EQ211" s="457"/>
      <c r="ER211" s="457">
        <f t="shared" si="399"/>
        <v>0</v>
      </c>
      <c r="ES211" s="457">
        <f t="shared" si="378"/>
        <v>0</v>
      </c>
      <c r="ET211" s="457">
        <f t="shared" si="400"/>
        <v>2242</v>
      </c>
      <c r="EU211" s="409"/>
      <c r="EV211" s="43"/>
      <c r="EW211" s="43">
        <f t="shared" si="401"/>
        <v>0</v>
      </c>
      <c r="EX211" s="43">
        <f t="shared" si="379"/>
        <v>0</v>
      </c>
      <c r="EY211" s="43">
        <f t="shared" si="402"/>
        <v>940</v>
      </c>
      <c r="EZ211" s="436"/>
      <c r="FA211" s="437"/>
      <c r="FB211" s="437">
        <f t="shared" si="403"/>
        <v>0</v>
      </c>
      <c r="FC211" s="437">
        <f t="shared" si="380"/>
        <v>0</v>
      </c>
      <c r="FD211" s="437">
        <f t="shared" si="404"/>
        <v>1090</v>
      </c>
      <c r="FE211" s="442"/>
      <c r="FF211" s="443"/>
      <c r="FG211" s="443">
        <f t="shared" si="405"/>
        <v>0</v>
      </c>
      <c r="FH211" s="443">
        <f t="shared" si="381"/>
        <v>0</v>
      </c>
      <c r="FI211" s="443">
        <f t="shared" si="406"/>
        <v>1200</v>
      </c>
      <c r="FJ211" s="392"/>
      <c r="FK211" s="298"/>
      <c r="FL211" s="298">
        <f t="shared" si="407"/>
        <v>0</v>
      </c>
      <c r="FM211" s="298">
        <f t="shared" si="382"/>
        <v>0</v>
      </c>
      <c r="FN211" s="498">
        <f t="shared" si="408"/>
        <v>4800</v>
      </c>
      <c r="HC211" s="402"/>
      <c r="HD211" s="52"/>
      <c r="HE211" s="52">
        <f t="shared" si="409"/>
        <v>0</v>
      </c>
      <c r="HF211" s="52">
        <f t="shared" si="383"/>
        <v>0</v>
      </c>
      <c r="HG211" s="51"/>
      <c r="HH211" s="52">
        <f t="shared" si="452"/>
        <v>2800</v>
      </c>
      <c r="HI211" s="51"/>
      <c r="HJ211" s="1050"/>
    </row>
    <row r="212" spans="1:218">
      <c r="A212" s="30">
        <v>44875</v>
      </c>
      <c r="B212" s="390"/>
      <c r="C212" s="18">
        <f t="shared" si="363"/>
        <v>88882819</v>
      </c>
      <c r="D212" s="376"/>
      <c r="E212" s="417">
        <f t="shared" ref="E212:E240" si="467">E211+D212</f>
        <v>1061606.7599999998</v>
      </c>
      <c r="F212" s="397"/>
      <c r="G212" s="37"/>
      <c r="H212" s="37">
        <f t="shared" si="384"/>
        <v>0</v>
      </c>
      <c r="I212" s="37">
        <f t="shared" si="364"/>
        <v>0</v>
      </c>
      <c r="J212" s="37" t="e">
        <f t="shared" si="365"/>
        <v>#DIV/0!</v>
      </c>
      <c r="K212" s="37">
        <f t="shared" si="410"/>
        <v>481207</v>
      </c>
      <c r="L212" s="37">
        <f t="shared" si="366"/>
        <v>453.28177827352954</v>
      </c>
      <c r="M212" s="680"/>
      <c r="N212" s="422"/>
      <c r="O212" s="423"/>
      <c r="P212" s="423">
        <f t="shared" si="411"/>
        <v>0</v>
      </c>
      <c r="Q212" s="423">
        <f t="shared" si="412"/>
        <v>0</v>
      </c>
      <c r="R212" s="423">
        <f t="shared" si="413"/>
        <v>14025</v>
      </c>
      <c r="S212" s="68"/>
      <c r="T212" s="67">
        <v>24</v>
      </c>
      <c r="U212" s="68">
        <f t="shared" si="414"/>
        <v>0</v>
      </c>
      <c r="V212" s="68" t="e">
        <f t="shared" si="367"/>
        <v>#DIV/0!</v>
      </c>
      <c r="W212" s="423">
        <f t="shared" si="415"/>
        <v>13670.903999999999</v>
      </c>
      <c r="X212" s="68">
        <f t="shared" si="368"/>
        <v>12.877559295119788</v>
      </c>
      <c r="Y212" s="681"/>
      <c r="Z212" s="424"/>
      <c r="AA212" s="425"/>
      <c r="AB212" s="425">
        <f t="shared" si="416"/>
        <v>0</v>
      </c>
      <c r="AC212" s="425">
        <f t="shared" si="417"/>
        <v>0</v>
      </c>
      <c r="AD212" s="425">
        <f t="shared" si="418"/>
        <v>2225</v>
      </c>
      <c r="AE212" s="72"/>
      <c r="AF212" s="71">
        <v>12</v>
      </c>
      <c r="AG212" s="72">
        <f t="shared" si="419"/>
        <v>0</v>
      </c>
      <c r="AH212" s="72" t="e">
        <f t="shared" si="385"/>
        <v>#DIV/0!</v>
      </c>
      <c r="AI212" s="425">
        <f t="shared" si="420"/>
        <v>2049.9120000000016</v>
      </c>
      <c r="AJ212" s="72">
        <f t="shared" si="453"/>
        <v>1.9309522859481434</v>
      </c>
      <c r="AK212" s="682"/>
      <c r="AL212" s="491"/>
      <c r="AM212" s="491"/>
      <c r="AN212" s="492">
        <f t="shared" si="460"/>
        <v>0</v>
      </c>
      <c r="AO212" s="492">
        <f t="shared" si="461"/>
        <v>0</v>
      </c>
      <c r="AP212" s="492">
        <f t="shared" si="462"/>
        <v>83573</v>
      </c>
      <c r="AQ212" s="493">
        <f t="shared" si="386"/>
        <v>78.723123428490624</v>
      </c>
      <c r="AR212" s="683"/>
      <c r="AS212" s="413"/>
      <c r="AT212" s="64"/>
      <c r="AU212" s="66">
        <f t="shared" si="421"/>
        <v>0</v>
      </c>
      <c r="AV212" s="66">
        <f t="shared" si="369"/>
        <v>0</v>
      </c>
      <c r="AW212" s="412" t="e">
        <f t="shared" si="422"/>
        <v>#DIV/0!</v>
      </c>
      <c r="AX212" s="66">
        <f t="shared" si="423"/>
        <v>297615</v>
      </c>
      <c r="AY212" s="412">
        <f t="shared" si="424"/>
        <v>3.3483973995019216</v>
      </c>
      <c r="AZ212" s="684"/>
      <c r="BA212" s="419"/>
      <c r="BB212" s="419"/>
      <c r="BC212" s="407"/>
      <c r="BD212" s="419">
        <f t="shared" si="387"/>
        <v>0</v>
      </c>
      <c r="BE212" s="419">
        <f t="shared" si="388"/>
        <v>0</v>
      </c>
      <c r="BF212" s="407" t="e">
        <f t="shared" si="425"/>
        <v>#DIV/0!</v>
      </c>
      <c r="BG212" s="419">
        <f t="shared" si="463"/>
        <v>368770</v>
      </c>
      <c r="BH212" s="407">
        <f t="shared" si="426"/>
        <v>4.1489458159512242</v>
      </c>
      <c r="BI212" s="407">
        <f t="shared" si="427"/>
        <v>0.50803418154504787</v>
      </c>
      <c r="BJ212" s="508"/>
      <c r="BK212" s="510"/>
      <c r="BL212" s="49"/>
      <c r="BM212" s="50"/>
      <c r="BN212" s="52">
        <f t="shared" si="428"/>
        <v>0</v>
      </c>
      <c r="BO212" s="52">
        <f t="shared" si="370"/>
        <v>0</v>
      </c>
      <c r="BP212" s="406" t="e">
        <f t="shared" si="429"/>
        <v>#DIV/0!</v>
      </c>
      <c r="BQ212" s="52">
        <f t="shared" si="430"/>
        <v>37700</v>
      </c>
      <c r="BR212" s="406">
        <f t="shared" si="431"/>
        <v>0.42415396388361626</v>
      </c>
      <c r="BS212" s="685"/>
      <c r="BT212" s="409"/>
      <c r="BU212" s="43"/>
      <c r="BV212" s="43">
        <f t="shared" si="457"/>
        <v>0</v>
      </c>
      <c r="BW212" s="43">
        <f t="shared" si="458"/>
        <v>0</v>
      </c>
      <c r="BX212" s="42" t="e">
        <f t="shared" si="432"/>
        <v>#DIV/0!</v>
      </c>
      <c r="BY212" s="43">
        <f t="shared" si="459"/>
        <v>19437</v>
      </c>
      <c r="BZ212" s="42">
        <f t="shared" si="433"/>
        <v>0.21868118291792704</v>
      </c>
      <c r="CA212" s="514"/>
      <c r="CB212" s="392"/>
      <c r="CC212" s="298"/>
      <c r="CD212" s="298">
        <f t="shared" si="389"/>
        <v>0</v>
      </c>
      <c r="CE212" s="298">
        <f t="shared" si="371"/>
        <v>0</v>
      </c>
      <c r="CF212" s="297" t="e">
        <f t="shared" si="434"/>
        <v>#DIV/0!</v>
      </c>
      <c r="CG212" s="298">
        <f t="shared" si="435"/>
        <v>61350</v>
      </c>
      <c r="CH212" s="297">
        <f t="shared" si="436"/>
        <v>0.69023463353474424</v>
      </c>
      <c r="CI212" s="686"/>
      <c r="CJ212" s="659"/>
      <c r="CK212" s="651"/>
      <c r="CL212" s="657">
        <f t="shared" si="464"/>
        <v>0</v>
      </c>
      <c r="CM212" s="657">
        <f t="shared" si="465"/>
        <v>0</v>
      </c>
      <c r="CN212" s="659">
        <f t="shared" si="466"/>
        <v>26250</v>
      </c>
      <c r="CO212" s="464"/>
      <c r="CP212" s="465"/>
      <c r="CQ212" s="465">
        <f t="shared" si="390"/>
        <v>0</v>
      </c>
      <c r="CR212" s="465">
        <f t="shared" si="372"/>
        <v>0</v>
      </c>
      <c r="CS212" s="486" t="e">
        <f t="shared" si="437"/>
        <v>#DIV/0!</v>
      </c>
      <c r="CT212" s="465">
        <f t="shared" si="438"/>
        <v>1619</v>
      </c>
      <c r="CU212" s="486">
        <f t="shared" si="439"/>
        <v>1.821499383362267E-2</v>
      </c>
      <c r="CV212" s="518"/>
      <c r="CW212" s="427"/>
      <c r="CX212" s="427"/>
      <c r="CY212" s="427">
        <f t="shared" si="440"/>
        <v>0</v>
      </c>
      <c r="CZ212" s="427">
        <f t="shared" si="441"/>
        <v>0</v>
      </c>
      <c r="DA212" s="607" t="e">
        <f t="shared" si="456"/>
        <v>#DIV/0!</v>
      </c>
      <c r="DB212" s="607">
        <f t="shared" si="442"/>
        <v>115</v>
      </c>
      <c r="DC212" s="607">
        <f t="shared" si="391"/>
        <v>1.2938383513691211E-3</v>
      </c>
      <c r="DD212" s="609"/>
      <c r="DE212" s="471"/>
      <c r="DF212" s="473"/>
      <c r="DG212" s="473">
        <f t="shared" si="392"/>
        <v>0</v>
      </c>
      <c r="DH212" s="473">
        <f t="shared" si="373"/>
        <v>0</v>
      </c>
      <c r="DI212" s="227" t="e">
        <f t="shared" si="443"/>
        <v>#DIV/0!</v>
      </c>
      <c r="DJ212" s="473">
        <f t="shared" si="444"/>
        <v>155.19999999999999</v>
      </c>
      <c r="DK212" s="227">
        <f t="shared" si="445"/>
        <v>1.7461192359346748E-3</v>
      </c>
      <c r="DL212" s="508"/>
      <c r="DM212" s="63"/>
      <c r="DN212" s="64"/>
      <c r="DO212" s="66">
        <f t="shared" si="446"/>
        <v>0</v>
      </c>
      <c r="DP212" s="66">
        <f t="shared" si="374"/>
        <v>0</v>
      </c>
      <c r="DQ212" s="412" t="e">
        <f t="shared" si="447"/>
        <v>#DIV/0!</v>
      </c>
      <c r="DR212" s="66">
        <f t="shared" si="448"/>
        <v>18000</v>
      </c>
      <c r="DS212" s="412">
        <f t="shared" si="449"/>
        <v>0.2025138289099494</v>
      </c>
      <c r="DT212" s="684"/>
      <c r="DU212" s="596"/>
      <c r="DV212" s="596"/>
      <c r="DW212" s="596">
        <f t="shared" si="393"/>
        <v>0</v>
      </c>
      <c r="DX212" s="596">
        <f t="shared" si="375"/>
        <v>0</v>
      </c>
      <c r="DY212" s="592" t="e">
        <f t="shared" si="394"/>
        <v>#DIV/0!</v>
      </c>
      <c r="DZ212" s="596">
        <f t="shared" si="450"/>
        <v>2800</v>
      </c>
      <c r="EA212" s="592">
        <f t="shared" si="395"/>
        <v>3.1502151163769906E-2</v>
      </c>
      <c r="EB212" s="594"/>
      <c r="EC212" s="448"/>
      <c r="ED212" s="449"/>
      <c r="EE212" s="449">
        <f t="shared" si="396"/>
        <v>0</v>
      </c>
      <c r="EF212" s="449">
        <f t="shared" si="376"/>
        <v>0</v>
      </c>
      <c r="EG212" s="450" t="e">
        <f t="shared" si="454"/>
        <v>#DIV/0!</v>
      </c>
      <c r="EH212" s="449">
        <f t="shared" si="451"/>
        <v>1165</v>
      </c>
      <c r="EI212" s="450">
        <f t="shared" si="455"/>
        <v>1.3107145037782836E-2</v>
      </c>
      <c r="EJ212" s="687"/>
      <c r="EK212" s="426"/>
      <c r="EL212" s="427"/>
      <c r="EM212" s="427">
        <f t="shared" si="397"/>
        <v>0</v>
      </c>
      <c r="EN212" s="427">
        <f t="shared" si="377"/>
        <v>0</v>
      </c>
      <c r="EO212" s="427">
        <f t="shared" si="398"/>
        <v>84722</v>
      </c>
      <c r="EP212" s="456"/>
      <c r="EQ212" s="457"/>
      <c r="ER212" s="457">
        <f t="shared" si="399"/>
        <v>0</v>
      </c>
      <c r="ES212" s="457">
        <f t="shared" si="378"/>
        <v>0</v>
      </c>
      <c r="ET212" s="457">
        <f t="shared" si="400"/>
        <v>2242</v>
      </c>
      <c r="EU212" s="409"/>
      <c r="EV212" s="43"/>
      <c r="EW212" s="43">
        <f t="shared" si="401"/>
        <v>0</v>
      </c>
      <c r="EX212" s="43">
        <f t="shared" si="379"/>
        <v>0</v>
      </c>
      <c r="EY212" s="43">
        <f t="shared" si="402"/>
        <v>940</v>
      </c>
      <c r="EZ212" s="436"/>
      <c r="FA212" s="437"/>
      <c r="FB212" s="437">
        <f t="shared" si="403"/>
        <v>0</v>
      </c>
      <c r="FC212" s="437">
        <f t="shared" si="380"/>
        <v>0</v>
      </c>
      <c r="FD212" s="437">
        <f t="shared" si="404"/>
        <v>1090</v>
      </c>
      <c r="FE212" s="442"/>
      <c r="FF212" s="443"/>
      <c r="FG212" s="443">
        <f t="shared" si="405"/>
        <v>0</v>
      </c>
      <c r="FH212" s="443">
        <f t="shared" si="381"/>
        <v>0</v>
      </c>
      <c r="FI212" s="443">
        <f t="shared" si="406"/>
        <v>1200</v>
      </c>
      <c r="FJ212" s="392"/>
      <c r="FK212" s="298"/>
      <c r="FL212" s="298">
        <f t="shared" si="407"/>
        <v>0</v>
      </c>
      <c r="FM212" s="298">
        <f t="shared" si="382"/>
        <v>0</v>
      </c>
      <c r="FN212" s="498">
        <f t="shared" si="408"/>
        <v>4800</v>
      </c>
      <c r="HC212" s="402"/>
      <c r="HD212" s="52"/>
      <c r="HE212" s="52">
        <f t="shared" si="409"/>
        <v>0</v>
      </c>
      <c r="HF212" s="52">
        <f t="shared" si="383"/>
        <v>0</v>
      </c>
      <c r="HG212" s="51"/>
      <c r="HH212" s="52">
        <f t="shared" si="452"/>
        <v>2800</v>
      </c>
      <c r="HI212" s="51"/>
      <c r="HJ212" s="1050"/>
    </row>
    <row r="213" spans="1:218">
      <c r="A213" s="30">
        <v>44876</v>
      </c>
      <c r="B213" s="390"/>
      <c r="C213" s="18">
        <f t="shared" si="363"/>
        <v>88882819</v>
      </c>
      <c r="D213" s="376"/>
      <c r="E213" s="417">
        <f t="shared" si="467"/>
        <v>1061606.7599999998</v>
      </c>
      <c r="F213" s="397"/>
      <c r="G213" s="37"/>
      <c r="H213" s="37">
        <f t="shared" si="384"/>
        <v>0</v>
      </c>
      <c r="I213" s="37">
        <f t="shared" si="364"/>
        <v>0</v>
      </c>
      <c r="J213" s="37" t="e">
        <f t="shared" si="365"/>
        <v>#DIV/0!</v>
      </c>
      <c r="K213" s="37">
        <f t="shared" si="410"/>
        <v>481207</v>
      </c>
      <c r="L213" s="37">
        <f t="shared" si="366"/>
        <v>453.28177827352954</v>
      </c>
      <c r="M213" s="680"/>
      <c r="N213" s="422"/>
      <c r="O213" s="423"/>
      <c r="P213" s="423">
        <f t="shared" si="411"/>
        <v>0</v>
      </c>
      <c r="Q213" s="423">
        <f t="shared" si="412"/>
        <v>0</v>
      </c>
      <c r="R213" s="423">
        <f t="shared" si="413"/>
        <v>14025</v>
      </c>
      <c r="S213" s="68"/>
      <c r="T213" s="67">
        <v>24</v>
      </c>
      <c r="U213" s="68">
        <f t="shared" si="414"/>
        <v>0</v>
      </c>
      <c r="V213" s="68" t="e">
        <f t="shared" si="367"/>
        <v>#DIV/0!</v>
      </c>
      <c r="W213" s="423">
        <f t="shared" si="415"/>
        <v>13670.903999999999</v>
      </c>
      <c r="X213" s="68">
        <f t="shared" si="368"/>
        <v>12.877559295119788</v>
      </c>
      <c r="Y213" s="681"/>
      <c r="Z213" s="424"/>
      <c r="AA213" s="425"/>
      <c r="AB213" s="425">
        <f t="shared" si="416"/>
        <v>0</v>
      </c>
      <c r="AC213" s="425">
        <f t="shared" si="417"/>
        <v>0</v>
      </c>
      <c r="AD213" s="425">
        <f t="shared" si="418"/>
        <v>2225</v>
      </c>
      <c r="AE213" s="72"/>
      <c r="AF213" s="71">
        <v>12</v>
      </c>
      <c r="AG213" s="72">
        <f t="shared" si="419"/>
        <v>0</v>
      </c>
      <c r="AH213" s="72" t="e">
        <f t="shared" si="385"/>
        <v>#DIV/0!</v>
      </c>
      <c r="AI213" s="425">
        <f t="shared" si="420"/>
        <v>2049.9120000000016</v>
      </c>
      <c r="AJ213" s="72">
        <f t="shared" si="453"/>
        <v>1.9309522859481434</v>
      </c>
      <c r="AK213" s="682"/>
      <c r="AL213" s="491"/>
      <c r="AM213" s="491"/>
      <c r="AN213" s="492">
        <f t="shared" si="460"/>
        <v>0</v>
      </c>
      <c r="AO213" s="492">
        <f t="shared" si="461"/>
        <v>0</v>
      </c>
      <c r="AP213" s="492">
        <f t="shared" si="462"/>
        <v>83573</v>
      </c>
      <c r="AQ213" s="493">
        <f t="shared" si="386"/>
        <v>78.723123428490624</v>
      </c>
      <c r="AR213" s="683"/>
      <c r="AS213" s="413"/>
      <c r="AT213" s="64"/>
      <c r="AU213" s="66">
        <f t="shared" si="421"/>
        <v>0</v>
      </c>
      <c r="AV213" s="66">
        <f t="shared" si="369"/>
        <v>0</v>
      </c>
      <c r="AW213" s="412" t="e">
        <f t="shared" si="422"/>
        <v>#DIV/0!</v>
      </c>
      <c r="AX213" s="66">
        <f t="shared" si="423"/>
        <v>297615</v>
      </c>
      <c r="AY213" s="412">
        <f t="shared" si="424"/>
        <v>3.3483973995019216</v>
      </c>
      <c r="AZ213" s="684"/>
      <c r="BA213" s="419"/>
      <c r="BB213" s="419"/>
      <c r="BC213" s="407"/>
      <c r="BD213" s="419">
        <f t="shared" si="387"/>
        <v>0</v>
      </c>
      <c r="BE213" s="419">
        <f t="shared" si="388"/>
        <v>0</v>
      </c>
      <c r="BF213" s="407" t="e">
        <f t="shared" si="425"/>
        <v>#DIV/0!</v>
      </c>
      <c r="BG213" s="419">
        <f t="shared" si="463"/>
        <v>368770</v>
      </c>
      <c r="BH213" s="407">
        <f t="shared" si="426"/>
        <v>4.1489458159512242</v>
      </c>
      <c r="BI213" s="407">
        <f t="shared" si="427"/>
        <v>0.50803418154504787</v>
      </c>
      <c r="BJ213" s="508"/>
      <c r="BK213" s="510"/>
      <c r="BL213" s="49"/>
      <c r="BM213" s="50"/>
      <c r="BN213" s="52">
        <f t="shared" si="428"/>
        <v>0</v>
      </c>
      <c r="BO213" s="52">
        <f t="shared" si="370"/>
        <v>0</v>
      </c>
      <c r="BP213" s="406" t="e">
        <f t="shared" si="429"/>
        <v>#DIV/0!</v>
      </c>
      <c r="BQ213" s="52">
        <f t="shared" si="430"/>
        <v>37700</v>
      </c>
      <c r="BR213" s="406">
        <f t="shared" si="431"/>
        <v>0.42415396388361626</v>
      </c>
      <c r="BS213" s="685"/>
      <c r="BT213" s="409"/>
      <c r="BU213" s="43"/>
      <c r="BV213" s="43">
        <f t="shared" si="457"/>
        <v>0</v>
      </c>
      <c r="BW213" s="43">
        <f t="shared" si="458"/>
        <v>0</v>
      </c>
      <c r="BX213" s="42" t="e">
        <f t="shared" si="432"/>
        <v>#DIV/0!</v>
      </c>
      <c r="BY213" s="43">
        <f t="shared" si="459"/>
        <v>19437</v>
      </c>
      <c r="BZ213" s="42">
        <f t="shared" si="433"/>
        <v>0.21868118291792704</v>
      </c>
      <c r="CA213" s="514"/>
      <c r="CB213" s="392"/>
      <c r="CC213" s="298"/>
      <c r="CD213" s="298">
        <f t="shared" si="389"/>
        <v>0</v>
      </c>
      <c r="CE213" s="298">
        <f t="shared" si="371"/>
        <v>0</v>
      </c>
      <c r="CF213" s="297" t="e">
        <f t="shared" si="434"/>
        <v>#DIV/0!</v>
      </c>
      <c r="CG213" s="298">
        <f t="shared" si="435"/>
        <v>61350</v>
      </c>
      <c r="CH213" s="297">
        <f t="shared" si="436"/>
        <v>0.69023463353474424</v>
      </c>
      <c r="CI213" s="686"/>
      <c r="CJ213" s="659"/>
      <c r="CK213" s="651"/>
      <c r="CL213" s="657">
        <f t="shared" si="464"/>
        <v>0</v>
      </c>
      <c r="CM213" s="657">
        <f t="shared" si="465"/>
        <v>0</v>
      </c>
      <c r="CN213" s="659">
        <f t="shared" si="466"/>
        <v>26250</v>
      </c>
      <c r="CO213" s="464"/>
      <c r="CP213" s="465"/>
      <c r="CQ213" s="465">
        <f t="shared" si="390"/>
        <v>0</v>
      </c>
      <c r="CR213" s="465">
        <f t="shared" si="372"/>
        <v>0</v>
      </c>
      <c r="CS213" s="486" t="e">
        <f t="shared" si="437"/>
        <v>#DIV/0!</v>
      </c>
      <c r="CT213" s="465">
        <f t="shared" si="438"/>
        <v>1619</v>
      </c>
      <c r="CU213" s="486">
        <f t="shared" si="439"/>
        <v>1.821499383362267E-2</v>
      </c>
      <c r="CV213" s="518"/>
      <c r="CW213" s="427"/>
      <c r="CX213" s="427"/>
      <c r="CY213" s="427">
        <f t="shared" si="440"/>
        <v>0</v>
      </c>
      <c r="CZ213" s="427">
        <f t="shared" si="441"/>
        <v>0</v>
      </c>
      <c r="DA213" s="607" t="e">
        <f t="shared" si="456"/>
        <v>#DIV/0!</v>
      </c>
      <c r="DB213" s="607">
        <f t="shared" si="442"/>
        <v>115</v>
      </c>
      <c r="DC213" s="607">
        <f t="shared" si="391"/>
        <v>1.2938383513691211E-3</v>
      </c>
      <c r="DD213" s="609"/>
      <c r="DE213" s="471"/>
      <c r="DF213" s="473"/>
      <c r="DG213" s="473">
        <f t="shared" si="392"/>
        <v>0</v>
      </c>
      <c r="DH213" s="473">
        <f t="shared" si="373"/>
        <v>0</v>
      </c>
      <c r="DI213" s="227" t="e">
        <f t="shared" si="443"/>
        <v>#DIV/0!</v>
      </c>
      <c r="DJ213" s="473">
        <f t="shared" si="444"/>
        <v>155.19999999999999</v>
      </c>
      <c r="DK213" s="227">
        <f t="shared" si="445"/>
        <v>1.7461192359346748E-3</v>
      </c>
      <c r="DL213" s="508"/>
      <c r="DM213" s="63"/>
      <c r="DN213" s="64"/>
      <c r="DO213" s="66">
        <f t="shared" si="446"/>
        <v>0</v>
      </c>
      <c r="DP213" s="66">
        <f t="shared" si="374"/>
        <v>0</v>
      </c>
      <c r="DQ213" s="412" t="e">
        <f t="shared" si="447"/>
        <v>#DIV/0!</v>
      </c>
      <c r="DR213" s="66">
        <f t="shared" si="448"/>
        <v>18000</v>
      </c>
      <c r="DS213" s="412">
        <f t="shared" si="449"/>
        <v>0.2025138289099494</v>
      </c>
      <c r="DT213" s="684"/>
      <c r="DU213" s="596"/>
      <c r="DV213" s="596"/>
      <c r="DW213" s="596">
        <f t="shared" si="393"/>
        <v>0</v>
      </c>
      <c r="DX213" s="596">
        <f t="shared" si="375"/>
        <v>0</v>
      </c>
      <c r="DY213" s="592" t="e">
        <f t="shared" si="394"/>
        <v>#DIV/0!</v>
      </c>
      <c r="DZ213" s="596">
        <f t="shared" si="450"/>
        <v>2800</v>
      </c>
      <c r="EA213" s="592">
        <f t="shared" si="395"/>
        <v>3.1502151163769906E-2</v>
      </c>
      <c r="EB213" s="594"/>
      <c r="EC213" s="448"/>
      <c r="ED213" s="449"/>
      <c r="EE213" s="449">
        <f t="shared" si="396"/>
        <v>0</v>
      </c>
      <c r="EF213" s="449">
        <f t="shared" si="376"/>
        <v>0</v>
      </c>
      <c r="EG213" s="450" t="e">
        <f t="shared" si="454"/>
        <v>#DIV/0!</v>
      </c>
      <c r="EH213" s="449">
        <f t="shared" si="451"/>
        <v>1165</v>
      </c>
      <c r="EI213" s="450">
        <f t="shared" si="455"/>
        <v>1.3107145037782836E-2</v>
      </c>
      <c r="EJ213" s="687"/>
      <c r="EK213" s="426"/>
      <c r="EL213" s="427"/>
      <c r="EM213" s="427">
        <f t="shared" si="397"/>
        <v>0</v>
      </c>
      <c r="EN213" s="427">
        <f t="shared" si="377"/>
        <v>0</v>
      </c>
      <c r="EO213" s="427">
        <f t="shared" si="398"/>
        <v>84722</v>
      </c>
      <c r="EP213" s="456"/>
      <c r="EQ213" s="457"/>
      <c r="ER213" s="457">
        <f t="shared" si="399"/>
        <v>0</v>
      </c>
      <c r="ES213" s="457">
        <f t="shared" si="378"/>
        <v>0</v>
      </c>
      <c r="ET213" s="457">
        <f t="shared" si="400"/>
        <v>2242</v>
      </c>
      <c r="EU213" s="409"/>
      <c r="EV213" s="43"/>
      <c r="EW213" s="43">
        <f t="shared" si="401"/>
        <v>0</v>
      </c>
      <c r="EX213" s="43">
        <f t="shared" si="379"/>
        <v>0</v>
      </c>
      <c r="EY213" s="43">
        <f t="shared" si="402"/>
        <v>940</v>
      </c>
      <c r="EZ213" s="436"/>
      <c r="FA213" s="437"/>
      <c r="FB213" s="437">
        <f t="shared" si="403"/>
        <v>0</v>
      </c>
      <c r="FC213" s="437">
        <f t="shared" si="380"/>
        <v>0</v>
      </c>
      <c r="FD213" s="437">
        <f t="shared" si="404"/>
        <v>1090</v>
      </c>
      <c r="FE213" s="442"/>
      <c r="FF213" s="443"/>
      <c r="FG213" s="443">
        <f t="shared" si="405"/>
        <v>0</v>
      </c>
      <c r="FH213" s="443">
        <f t="shared" si="381"/>
        <v>0</v>
      </c>
      <c r="FI213" s="443">
        <f t="shared" si="406"/>
        <v>1200</v>
      </c>
      <c r="FJ213" s="392"/>
      <c r="FK213" s="298"/>
      <c r="FL213" s="298">
        <f t="shared" si="407"/>
        <v>0</v>
      </c>
      <c r="FM213" s="298">
        <f t="shared" si="382"/>
        <v>0</v>
      </c>
      <c r="FN213" s="498">
        <f t="shared" si="408"/>
        <v>4800</v>
      </c>
      <c r="HC213" s="402"/>
      <c r="HD213" s="52"/>
      <c r="HE213" s="52">
        <f t="shared" si="409"/>
        <v>0</v>
      </c>
      <c r="HF213" s="52">
        <f t="shared" si="383"/>
        <v>0</v>
      </c>
      <c r="HG213" s="51"/>
      <c r="HH213" s="52">
        <f t="shared" si="452"/>
        <v>2800</v>
      </c>
      <c r="HI213" s="51"/>
      <c r="HJ213" s="1050"/>
    </row>
    <row r="214" spans="1:218">
      <c r="A214" s="30">
        <v>44877</v>
      </c>
      <c r="B214" s="390"/>
      <c r="C214" s="18">
        <f t="shared" si="363"/>
        <v>88882819</v>
      </c>
      <c r="D214" s="376"/>
      <c r="E214" s="417">
        <f t="shared" si="467"/>
        <v>1061606.7599999998</v>
      </c>
      <c r="F214" s="397"/>
      <c r="G214" s="37"/>
      <c r="H214" s="37">
        <f t="shared" si="384"/>
        <v>0</v>
      </c>
      <c r="I214" s="37">
        <f t="shared" si="364"/>
        <v>0</v>
      </c>
      <c r="J214" s="37" t="e">
        <f t="shared" si="365"/>
        <v>#DIV/0!</v>
      </c>
      <c r="K214" s="37">
        <f t="shared" si="410"/>
        <v>481207</v>
      </c>
      <c r="L214" s="37">
        <f t="shared" si="366"/>
        <v>453.28177827352954</v>
      </c>
      <c r="M214" s="680"/>
      <c r="N214" s="422"/>
      <c r="O214" s="423"/>
      <c r="P214" s="423">
        <f t="shared" si="411"/>
        <v>0</v>
      </c>
      <c r="Q214" s="423">
        <f t="shared" si="412"/>
        <v>0</v>
      </c>
      <c r="R214" s="423">
        <f t="shared" si="413"/>
        <v>14025</v>
      </c>
      <c r="S214" s="68"/>
      <c r="T214" s="67">
        <v>24</v>
      </c>
      <c r="U214" s="68">
        <f t="shared" si="414"/>
        <v>0</v>
      </c>
      <c r="V214" s="68" t="e">
        <f t="shared" si="367"/>
        <v>#DIV/0!</v>
      </c>
      <c r="W214" s="423">
        <f t="shared" si="415"/>
        <v>13670.903999999999</v>
      </c>
      <c r="X214" s="68">
        <f t="shared" si="368"/>
        <v>12.877559295119788</v>
      </c>
      <c r="Y214" s="681"/>
      <c r="Z214" s="424"/>
      <c r="AA214" s="425"/>
      <c r="AB214" s="425">
        <f t="shared" si="416"/>
        <v>0</v>
      </c>
      <c r="AC214" s="425">
        <f t="shared" si="417"/>
        <v>0</v>
      </c>
      <c r="AD214" s="425">
        <f t="shared" si="418"/>
        <v>2225</v>
      </c>
      <c r="AE214" s="72"/>
      <c r="AF214" s="71">
        <v>12</v>
      </c>
      <c r="AG214" s="72">
        <f t="shared" si="419"/>
        <v>0</v>
      </c>
      <c r="AH214" s="72" t="e">
        <f t="shared" si="385"/>
        <v>#DIV/0!</v>
      </c>
      <c r="AI214" s="425">
        <f t="shared" si="420"/>
        <v>2049.9120000000016</v>
      </c>
      <c r="AJ214" s="72">
        <f t="shared" si="453"/>
        <v>1.9309522859481434</v>
      </c>
      <c r="AK214" s="682"/>
      <c r="AL214" s="491"/>
      <c r="AM214" s="491"/>
      <c r="AN214" s="492">
        <f t="shared" si="460"/>
        <v>0</v>
      </c>
      <c r="AO214" s="492">
        <f t="shared" si="461"/>
        <v>0</v>
      </c>
      <c r="AP214" s="492">
        <f t="shared" si="462"/>
        <v>83573</v>
      </c>
      <c r="AQ214" s="493">
        <f t="shared" si="386"/>
        <v>78.723123428490624</v>
      </c>
      <c r="AR214" s="683"/>
      <c r="AS214" s="413"/>
      <c r="AT214" s="64"/>
      <c r="AU214" s="66">
        <f t="shared" si="421"/>
        <v>0</v>
      </c>
      <c r="AV214" s="66">
        <f t="shared" si="369"/>
        <v>0</v>
      </c>
      <c r="AW214" s="412" t="e">
        <f t="shared" si="422"/>
        <v>#DIV/0!</v>
      </c>
      <c r="AX214" s="66">
        <f t="shared" si="423"/>
        <v>297615</v>
      </c>
      <c r="AY214" s="412">
        <f t="shared" si="424"/>
        <v>3.3483973995019216</v>
      </c>
      <c r="AZ214" s="684"/>
      <c r="BA214" s="419"/>
      <c r="BB214" s="419"/>
      <c r="BC214" s="407"/>
      <c r="BD214" s="419">
        <f t="shared" si="387"/>
        <v>0</v>
      </c>
      <c r="BE214" s="419">
        <f t="shared" si="388"/>
        <v>0</v>
      </c>
      <c r="BF214" s="407" t="e">
        <f t="shared" si="425"/>
        <v>#DIV/0!</v>
      </c>
      <c r="BG214" s="419">
        <f t="shared" si="463"/>
        <v>368770</v>
      </c>
      <c r="BH214" s="407">
        <f t="shared" si="426"/>
        <v>4.1489458159512242</v>
      </c>
      <c r="BI214" s="407">
        <f t="shared" si="427"/>
        <v>0.50803418154504787</v>
      </c>
      <c r="BJ214" s="508"/>
      <c r="BK214" s="510"/>
      <c r="BL214" s="49"/>
      <c r="BM214" s="50"/>
      <c r="BN214" s="52">
        <f t="shared" si="428"/>
        <v>0</v>
      </c>
      <c r="BO214" s="52">
        <f t="shared" si="370"/>
        <v>0</v>
      </c>
      <c r="BP214" s="406" t="e">
        <f t="shared" si="429"/>
        <v>#DIV/0!</v>
      </c>
      <c r="BQ214" s="52">
        <f t="shared" si="430"/>
        <v>37700</v>
      </c>
      <c r="BR214" s="406">
        <f t="shared" si="431"/>
        <v>0.42415396388361626</v>
      </c>
      <c r="BS214" s="685"/>
      <c r="BT214" s="409"/>
      <c r="BU214" s="43"/>
      <c r="BV214" s="43">
        <f t="shared" si="457"/>
        <v>0</v>
      </c>
      <c r="BW214" s="43">
        <f t="shared" si="458"/>
        <v>0</v>
      </c>
      <c r="BX214" s="42" t="e">
        <f t="shared" si="432"/>
        <v>#DIV/0!</v>
      </c>
      <c r="BY214" s="43">
        <f t="shared" si="459"/>
        <v>19437</v>
      </c>
      <c r="BZ214" s="42">
        <f t="shared" si="433"/>
        <v>0.21868118291792704</v>
      </c>
      <c r="CA214" s="514"/>
      <c r="CB214" s="392"/>
      <c r="CC214" s="298"/>
      <c r="CD214" s="298">
        <f t="shared" si="389"/>
        <v>0</v>
      </c>
      <c r="CE214" s="298">
        <f t="shared" si="371"/>
        <v>0</v>
      </c>
      <c r="CF214" s="297" t="e">
        <f t="shared" si="434"/>
        <v>#DIV/0!</v>
      </c>
      <c r="CG214" s="298">
        <f t="shared" si="435"/>
        <v>61350</v>
      </c>
      <c r="CH214" s="297">
        <f t="shared" si="436"/>
        <v>0.69023463353474424</v>
      </c>
      <c r="CI214" s="686"/>
      <c r="CJ214" s="659"/>
      <c r="CK214" s="651"/>
      <c r="CL214" s="657">
        <f t="shared" si="464"/>
        <v>0</v>
      </c>
      <c r="CM214" s="657">
        <f t="shared" si="465"/>
        <v>0</v>
      </c>
      <c r="CN214" s="659">
        <f t="shared" si="466"/>
        <v>26250</v>
      </c>
      <c r="CO214" s="464"/>
      <c r="CP214" s="465"/>
      <c r="CQ214" s="465">
        <f t="shared" si="390"/>
        <v>0</v>
      </c>
      <c r="CR214" s="465">
        <f t="shared" si="372"/>
        <v>0</v>
      </c>
      <c r="CS214" s="486" t="e">
        <f t="shared" si="437"/>
        <v>#DIV/0!</v>
      </c>
      <c r="CT214" s="465">
        <f t="shared" si="438"/>
        <v>1619</v>
      </c>
      <c r="CU214" s="486">
        <f t="shared" si="439"/>
        <v>1.821499383362267E-2</v>
      </c>
      <c r="CV214" s="518"/>
      <c r="CW214" s="427"/>
      <c r="CX214" s="427"/>
      <c r="CY214" s="427">
        <f t="shared" si="440"/>
        <v>0</v>
      </c>
      <c r="CZ214" s="427">
        <f t="shared" si="441"/>
        <v>0</v>
      </c>
      <c r="DA214" s="607" t="e">
        <f t="shared" si="456"/>
        <v>#DIV/0!</v>
      </c>
      <c r="DB214" s="607">
        <f t="shared" si="442"/>
        <v>115</v>
      </c>
      <c r="DC214" s="607">
        <f t="shared" si="391"/>
        <v>1.2938383513691211E-3</v>
      </c>
      <c r="DD214" s="609"/>
      <c r="DE214" s="471"/>
      <c r="DF214" s="473"/>
      <c r="DG214" s="473">
        <f t="shared" si="392"/>
        <v>0</v>
      </c>
      <c r="DH214" s="473">
        <f t="shared" si="373"/>
        <v>0</v>
      </c>
      <c r="DI214" s="227" t="e">
        <f t="shared" si="443"/>
        <v>#DIV/0!</v>
      </c>
      <c r="DJ214" s="473">
        <f t="shared" si="444"/>
        <v>155.19999999999999</v>
      </c>
      <c r="DK214" s="227">
        <f t="shared" si="445"/>
        <v>1.7461192359346748E-3</v>
      </c>
      <c r="DL214" s="508"/>
      <c r="DM214" s="63"/>
      <c r="DN214" s="64"/>
      <c r="DO214" s="66">
        <f t="shared" si="446"/>
        <v>0</v>
      </c>
      <c r="DP214" s="66">
        <f t="shared" si="374"/>
        <v>0</v>
      </c>
      <c r="DQ214" s="412" t="e">
        <f t="shared" si="447"/>
        <v>#DIV/0!</v>
      </c>
      <c r="DR214" s="66">
        <f t="shared" si="448"/>
        <v>18000</v>
      </c>
      <c r="DS214" s="412">
        <f t="shared" si="449"/>
        <v>0.2025138289099494</v>
      </c>
      <c r="DT214" s="684"/>
      <c r="DU214" s="596"/>
      <c r="DV214" s="596"/>
      <c r="DW214" s="596">
        <f t="shared" si="393"/>
        <v>0</v>
      </c>
      <c r="DX214" s="596">
        <f t="shared" si="375"/>
        <v>0</v>
      </c>
      <c r="DY214" s="592" t="e">
        <f t="shared" si="394"/>
        <v>#DIV/0!</v>
      </c>
      <c r="DZ214" s="596">
        <f t="shared" si="450"/>
        <v>2800</v>
      </c>
      <c r="EA214" s="592">
        <f t="shared" si="395"/>
        <v>3.1502151163769906E-2</v>
      </c>
      <c r="EB214" s="594"/>
      <c r="EC214" s="448"/>
      <c r="ED214" s="449"/>
      <c r="EE214" s="449">
        <f t="shared" si="396"/>
        <v>0</v>
      </c>
      <c r="EF214" s="449">
        <f t="shared" si="376"/>
        <v>0</v>
      </c>
      <c r="EG214" s="450" t="e">
        <f t="shared" si="454"/>
        <v>#DIV/0!</v>
      </c>
      <c r="EH214" s="449">
        <f t="shared" si="451"/>
        <v>1165</v>
      </c>
      <c r="EI214" s="450">
        <f t="shared" si="455"/>
        <v>1.3107145037782836E-2</v>
      </c>
      <c r="EJ214" s="687"/>
      <c r="EK214" s="426"/>
      <c r="EL214" s="427"/>
      <c r="EM214" s="427">
        <f t="shared" si="397"/>
        <v>0</v>
      </c>
      <c r="EN214" s="427">
        <f t="shared" si="377"/>
        <v>0</v>
      </c>
      <c r="EO214" s="427">
        <f t="shared" si="398"/>
        <v>84722</v>
      </c>
      <c r="EP214" s="456"/>
      <c r="EQ214" s="457"/>
      <c r="ER214" s="457">
        <f t="shared" si="399"/>
        <v>0</v>
      </c>
      <c r="ES214" s="457">
        <f t="shared" si="378"/>
        <v>0</v>
      </c>
      <c r="ET214" s="457">
        <f t="shared" si="400"/>
        <v>2242</v>
      </c>
      <c r="EU214" s="409"/>
      <c r="EV214" s="43"/>
      <c r="EW214" s="43">
        <f t="shared" si="401"/>
        <v>0</v>
      </c>
      <c r="EX214" s="43">
        <f t="shared" si="379"/>
        <v>0</v>
      </c>
      <c r="EY214" s="43">
        <f t="shared" si="402"/>
        <v>940</v>
      </c>
      <c r="EZ214" s="436"/>
      <c r="FA214" s="437"/>
      <c r="FB214" s="437">
        <f t="shared" si="403"/>
        <v>0</v>
      </c>
      <c r="FC214" s="437">
        <f t="shared" si="380"/>
        <v>0</v>
      </c>
      <c r="FD214" s="437">
        <f t="shared" si="404"/>
        <v>1090</v>
      </c>
      <c r="FE214" s="442"/>
      <c r="FF214" s="443"/>
      <c r="FG214" s="443">
        <f t="shared" si="405"/>
        <v>0</v>
      </c>
      <c r="FH214" s="443">
        <f t="shared" si="381"/>
        <v>0</v>
      </c>
      <c r="FI214" s="443">
        <f t="shared" si="406"/>
        <v>1200</v>
      </c>
      <c r="FJ214" s="392"/>
      <c r="FK214" s="298"/>
      <c r="FL214" s="298">
        <f t="shared" si="407"/>
        <v>0</v>
      </c>
      <c r="FM214" s="298">
        <f t="shared" si="382"/>
        <v>0</v>
      </c>
      <c r="FN214" s="498">
        <f t="shared" si="408"/>
        <v>4800</v>
      </c>
      <c r="HC214" s="402"/>
      <c r="HD214" s="52"/>
      <c r="HE214" s="52">
        <f t="shared" si="409"/>
        <v>0</v>
      </c>
      <c r="HF214" s="52">
        <f t="shared" si="383"/>
        <v>0</v>
      </c>
      <c r="HG214" s="51"/>
      <c r="HH214" s="52">
        <f t="shared" si="452"/>
        <v>2800</v>
      </c>
      <c r="HI214" s="51"/>
      <c r="HJ214" s="1050"/>
    </row>
    <row r="215" spans="1:218">
      <c r="A215" s="30">
        <v>44878</v>
      </c>
      <c r="B215" s="390"/>
      <c r="C215" s="18">
        <f t="shared" si="363"/>
        <v>88882819</v>
      </c>
      <c r="D215" s="376"/>
      <c r="E215" s="417">
        <f t="shared" si="467"/>
        <v>1061606.7599999998</v>
      </c>
      <c r="F215" s="397"/>
      <c r="G215" s="37"/>
      <c r="H215" s="37">
        <f t="shared" si="384"/>
        <v>0</v>
      </c>
      <c r="I215" s="37">
        <f t="shared" si="364"/>
        <v>0</v>
      </c>
      <c r="J215" s="37" t="e">
        <f t="shared" si="365"/>
        <v>#DIV/0!</v>
      </c>
      <c r="K215" s="37">
        <f t="shared" si="410"/>
        <v>481207</v>
      </c>
      <c r="L215" s="37">
        <f t="shared" si="366"/>
        <v>453.28177827352954</v>
      </c>
      <c r="M215" s="680"/>
      <c r="N215" s="422"/>
      <c r="O215" s="423"/>
      <c r="P215" s="423">
        <f t="shared" si="411"/>
        <v>0</v>
      </c>
      <c r="Q215" s="423">
        <f t="shared" si="412"/>
        <v>0</v>
      </c>
      <c r="R215" s="423">
        <f t="shared" si="413"/>
        <v>14025</v>
      </c>
      <c r="S215" s="68"/>
      <c r="T215" s="67">
        <v>24</v>
      </c>
      <c r="U215" s="68">
        <f t="shared" si="414"/>
        <v>0</v>
      </c>
      <c r="V215" s="68" t="e">
        <f t="shared" si="367"/>
        <v>#DIV/0!</v>
      </c>
      <c r="W215" s="423">
        <f t="shared" si="415"/>
        <v>13670.903999999999</v>
      </c>
      <c r="X215" s="68">
        <f t="shared" si="368"/>
        <v>12.877559295119788</v>
      </c>
      <c r="Y215" s="681"/>
      <c r="Z215" s="424"/>
      <c r="AA215" s="425"/>
      <c r="AB215" s="425">
        <f t="shared" si="416"/>
        <v>0</v>
      </c>
      <c r="AC215" s="425">
        <f t="shared" si="417"/>
        <v>0</v>
      </c>
      <c r="AD215" s="425">
        <f t="shared" si="418"/>
        <v>2225</v>
      </c>
      <c r="AE215" s="72"/>
      <c r="AF215" s="71">
        <v>12</v>
      </c>
      <c r="AG215" s="72">
        <f t="shared" si="419"/>
        <v>0</v>
      </c>
      <c r="AH215" s="72" t="e">
        <f t="shared" si="385"/>
        <v>#DIV/0!</v>
      </c>
      <c r="AI215" s="425">
        <f t="shared" si="420"/>
        <v>2049.9120000000016</v>
      </c>
      <c r="AJ215" s="72">
        <f t="shared" si="453"/>
        <v>1.9309522859481434</v>
      </c>
      <c r="AK215" s="682"/>
      <c r="AL215" s="491"/>
      <c r="AM215" s="491"/>
      <c r="AN215" s="492">
        <f t="shared" si="460"/>
        <v>0</v>
      </c>
      <c r="AO215" s="492">
        <f t="shared" si="461"/>
        <v>0</v>
      </c>
      <c r="AP215" s="492">
        <f t="shared" si="462"/>
        <v>83573</v>
      </c>
      <c r="AQ215" s="493">
        <f t="shared" si="386"/>
        <v>78.723123428490624</v>
      </c>
      <c r="AR215" s="683"/>
      <c r="AS215" s="413"/>
      <c r="AT215" s="64"/>
      <c r="AU215" s="66">
        <f t="shared" si="421"/>
        <v>0</v>
      </c>
      <c r="AV215" s="66">
        <f t="shared" si="369"/>
        <v>0</v>
      </c>
      <c r="AW215" s="412" t="e">
        <f t="shared" si="422"/>
        <v>#DIV/0!</v>
      </c>
      <c r="AX215" s="66">
        <f t="shared" si="423"/>
        <v>297615</v>
      </c>
      <c r="AY215" s="412">
        <f t="shared" si="424"/>
        <v>3.3483973995019216</v>
      </c>
      <c r="AZ215" s="684"/>
      <c r="BA215" s="419"/>
      <c r="BB215" s="419"/>
      <c r="BC215" s="407"/>
      <c r="BD215" s="419">
        <f t="shared" si="387"/>
        <v>0</v>
      </c>
      <c r="BE215" s="419">
        <f t="shared" si="388"/>
        <v>0</v>
      </c>
      <c r="BF215" s="407" t="e">
        <f t="shared" si="425"/>
        <v>#DIV/0!</v>
      </c>
      <c r="BG215" s="419">
        <f t="shared" si="463"/>
        <v>368770</v>
      </c>
      <c r="BH215" s="407">
        <f t="shared" si="426"/>
        <v>4.1489458159512242</v>
      </c>
      <c r="BI215" s="407">
        <f t="shared" si="427"/>
        <v>0.50803418154504787</v>
      </c>
      <c r="BJ215" s="508"/>
      <c r="BK215" s="510"/>
      <c r="BL215" s="49"/>
      <c r="BM215" s="50"/>
      <c r="BN215" s="52">
        <f t="shared" si="428"/>
        <v>0</v>
      </c>
      <c r="BO215" s="52">
        <f t="shared" si="370"/>
        <v>0</v>
      </c>
      <c r="BP215" s="406" t="e">
        <f t="shared" si="429"/>
        <v>#DIV/0!</v>
      </c>
      <c r="BQ215" s="52">
        <f t="shared" si="430"/>
        <v>37700</v>
      </c>
      <c r="BR215" s="406">
        <f t="shared" si="431"/>
        <v>0.42415396388361626</v>
      </c>
      <c r="BS215" s="685"/>
      <c r="BT215" s="409"/>
      <c r="BU215" s="43"/>
      <c r="BV215" s="43">
        <f t="shared" si="457"/>
        <v>0</v>
      </c>
      <c r="BW215" s="43">
        <f t="shared" si="458"/>
        <v>0</v>
      </c>
      <c r="BX215" s="42" t="e">
        <f t="shared" si="432"/>
        <v>#DIV/0!</v>
      </c>
      <c r="BY215" s="43">
        <f t="shared" si="459"/>
        <v>19437</v>
      </c>
      <c r="BZ215" s="42">
        <f t="shared" si="433"/>
        <v>0.21868118291792704</v>
      </c>
      <c r="CA215" s="514"/>
      <c r="CB215" s="392"/>
      <c r="CC215" s="298"/>
      <c r="CD215" s="298">
        <f t="shared" si="389"/>
        <v>0</v>
      </c>
      <c r="CE215" s="298">
        <f t="shared" si="371"/>
        <v>0</v>
      </c>
      <c r="CF215" s="297" t="e">
        <f t="shared" si="434"/>
        <v>#DIV/0!</v>
      </c>
      <c r="CG215" s="298">
        <f t="shared" si="435"/>
        <v>61350</v>
      </c>
      <c r="CH215" s="297">
        <f t="shared" si="436"/>
        <v>0.69023463353474424</v>
      </c>
      <c r="CI215" s="686"/>
      <c r="CJ215" s="659"/>
      <c r="CK215" s="651"/>
      <c r="CL215" s="657">
        <f t="shared" si="464"/>
        <v>0</v>
      </c>
      <c r="CM215" s="657">
        <f t="shared" si="465"/>
        <v>0</v>
      </c>
      <c r="CN215" s="659">
        <f t="shared" si="466"/>
        <v>26250</v>
      </c>
      <c r="CO215" s="464"/>
      <c r="CP215" s="465"/>
      <c r="CQ215" s="465">
        <f t="shared" si="390"/>
        <v>0</v>
      </c>
      <c r="CR215" s="465">
        <f t="shared" si="372"/>
        <v>0</v>
      </c>
      <c r="CS215" s="486" t="e">
        <f t="shared" si="437"/>
        <v>#DIV/0!</v>
      </c>
      <c r="CT215" s="465">
        <f t="shared" si="438"/>
        <v>1619</v>
      </c>
      <c r="CU215" s="486">
        <f t="shared" si="439"/>
        <v>1.821499383362267E-2</v>
      </c>
      <c r="CV215" s="518"/>
      <c r="CW215" s="427"/>
      <c r="CX215" s="427"/>
      <c r="CY215" s="427">
        <f t="shared" si="440"/>
        <v>0</v>
      </c>
      <c r="CZ215" s="427">
        <f t="shared" si="441"/>
        <v>0</v>
      </c>
      <c r="DA215" s="607" t="e">
        <f t="shared" si="456"/>
        <v>#DIV/0!</v>
      </c>
      <c r="DB215" s="607">
        <f t="shared" si="442"/>
        <v>115</v>
      </c>
      <c r="DC215" s="607">
        <f t="shared" si="391"/>
        <v>1.2938383513691211E-3</v>
      </c>
      <c r="DD215" s="609"/>
      <c r="DE215" s="471"/>
      <c r="DF215" s="473"/>
      <c r="DG215" s="473">
        <f t="shared" si="392"/>
        <v>0</v>
      </c>
      <c r="DH215" s="473">
        <f t="shared" si="373"/>
        <v>0</v>
      </c>
      <c r="DI215" s="227" t="e">
        <f t="shared" si="443"/>
        <v>#DIV/0!</v>
      </c>
      <c r="DJ215" s="473">
        <f t="shared" si="444"/>
        <v>155.19999999999999</v>
      </c>
      <c r="DK215" s="227">
        <f t="shared" si="445"/>
        <v>1.7461192359346748E-3</v>
      </c>
      <c r="DL215" s="508"/>
      <c r="DM215" s="63"/>
      <c r="DN215" s="64"/>
      <c r="DO215" s="66">
        <f t="shared" si="446"/>
        <v>0</v>
      </c>
      <c r="DP215" s="66">
        <f t="shared" si="374"/>
        <v>0</v>
      </c>
      <c r="DQ215" s="412" t="e">
        <f t="shared" si="447"/>
        <v>#DIV/0!</v>
      </c>
      <c r="DR215" s="66">
        <f t="shared" si="448"/>
        <v>18000</v>
      </c>
      <c r="DS215" s="412">
        <f t="shared" si="449"/>
        <v>0.2025138289099494</v>
      </c>
      <c r="DT215" s="684"/>
      <c r="DU215" s="596"/>
      <c r="DV215" s="596"/>
      <c r="DW215" s="596">
        <f t="shared" si="393"/>
        <v>0</v>
      </c>
      <c r="DX215" s="596">
        <f t="shared" si="375"/>
        <v>0</v>
      </c>
      <c r="DY215" s="592" t="e">
        <f t="shared" si="394"/>
        <v>#DIV/0!</v>
      </c>
      <c r="DZ215" s="596">
        <f t="shared" si="450"/>
        <v>2800</v>
      </c>
      <c r="EA215" s="592">
        <f t="shared" si="395"/>
        <v>3.1502151163769906E-2</v>
      </c>
      <c r="EB215" s="594"/>
      <c r="EC215" s="448"/>
      <c r="ED215" s="449"/>
      <c r="EE215" s="449">
        <f t="shared" si="396"/>
        <v>0</v>
      </c>
      <c r="EF215" s="449">
        <f t="shared" si="376"/>
        <v>0</v>
      </c>
      <c r="EG215" s="450" t="e">
        <f t="shared" si="454"/>
        <v>#DIV/0!</v>
      </c>
      <c r="EH215" s="449">
        <f t="shared" si="451"/>
        <v>1165</v>
      </c>
      <c r="EI215" s="450">
        <f t="shared" si="455"/>
        <v>1.3107145037782836E-2</v>
      </c>
      <c r="EJ215" s="687"/>
      <c r="EK215" s="426"/>
      <c r="EL215" s="427"/>
      <c r="EM215" s="427">
        <f t="shared" si="397"/>
        <v>0</v>
      </c>
      <c r="EN215" s="427">
        <f t="shared" si="377"/>
        <v>0</v>
      </c>
      <c r="EO215" s="427">
        <f t="shared" si="398"/>
        <v>84722</v>
      </c>
      <c r="EP215" s="456"/>
      <c r="EQ215" s="457"/>
      <c r="ER215" s="457">
        <f t="shared" si="399"/>
        <v>0</v>
      </c>
      <c r="ES215" s="457">
        <f t="shared" si="378"/>
        <v>0</v>
      </c>
      <c r="ET215" s="457">
        <f t="shared" si="400"/>
        <v>2242</v>
      </c>
      <c r="EU215" s="409"/>
      <c r="EV215" s="43"/>
      <c r="EW215" s="43">
        <f t="shared" si="401"/>
        <v>0</v>
      </c>
      <c r="EX215" s="43">
        <f t="shared" si="379"/>
        <v>0</v>
      </c>
      <c r="EY215" s="43">
        <f t="shared" si="402"/>
        <v>940</v>
      </c>
      <c r="EZ215" s="436"/>
      <c r="FA215" s="437"/>
      <c r="FB215" s="437">
        <f t="shared" si="403"/>
        <v>0</v>
      </c>
      <c r="FC215" s="437">
        <f t="shared" si="380"/>
        <v>0</v>
      </c>
      <c r="FD215" s="437">
        <f t="shared" si="404"/>
        <v>1090</v>
      </c>
      <c r="FE215" s="442"/>
      <c r="FF215" s="443"/>
      <c r="FG215" s="443">
        <f t="shared" si="405"/>
        <v>0</v>
      </c>
      <c r="FH215" s="443">
        <f t="shared" si="381"/>
        <v>0</v>
      </c>
      <c r="FI215" s="443">
        <f t="shared" si="406"/>
        <v>1200</v>
      </c>
      <c r="FJ215" s="392"/>
      <c r="FK215" s="298"/>
      <c r="FL215" s="298">
        <f t="shared" si="407"/>
        <v>0</v>
      </c>
      <c r="FM215" s="298">
        <f t="shared" si="382"/>
        <v>0</v>
      </c>
      <c r="FN215" s="498">
        <f t="shared" si="408"/>
        <v>4800</v>
      </c>
      <c r="HC215" s="402"/>
      <c r="HD215" s="52"/>
      <c r="HE215" s="52">
        <f t="shared" si="409"/>
        <v>0</v>
      </c>
      <c r="HF215" s="52">
        <f t="shared" si="383"/>
        <v>0</v>
      </c>
      <c r="HG215" s="51"/>
      <c r="HH215" s="52">
        <f t="shared" si="452"/>
        <v>2800</v>
      </c>
      <c r="HI215" s="51"/>
      <c r="HJ215" s="1050"/>
    </row>
    <row r="216" spans="1:218">
      <c r="A216" s="30">
        <v>44879</v>
      </c>
      <c r="B216" s="390"/>
      <c r="C216" s="18">
        <f t="shared" si="363"/>
        <v>88882819</v>
      </c>
      <c r="D216" s="376"/>
      <c r="E216" s="417">
        <f t="shared" si="467"/>
        <v>1061606.7599999998</v>
      </c>
      <c r="F216" s="397"/>
      <c r="G216" s="37"/>
      <c r="H216" s="37">
        <f t="shared" si="384"/>
        <v>0</v>
      </c>
      <c r="I216" s="37">
        <f t="shared" si="364"/>
        <v>0</v>
      </c>
      <c r="J216" s="37" t="e">
        <f t="shared" si="365"/>
        <v>#DIV/0!</v>
      </c>
      <c r="K216" s="37">
        <f t="shared" si="410"/>
        <v>481207</v>
      </c>
      <c r="L216" s="37">
        <f t="shared" si="366"/>
        <v>453.28177827352954</v>
      </c>
      <c r="M216" s="680"/>
      <c r="N216" s="422"/>
      <c r="O216" s="423"/>
      <c r="P216" s="423">
        <f t="shared" si="411"/>
        <v>0</v>
      </c>
      <c r="Q216" s="423">
        <f t="shared" si="412"/>
        <v>0</v>
      </c>
      <c r="R216" s="423">
        <f t="shared" si="413"/>
        <v>14025</v>
      </c>
      <c r="S216" s="68"/>
      <c r="T216" s="67">
        <v>24</v>
      </c>
      <c r="U216" s="68">
        <f t="shared" si="414"/>
        <v>0</v>
      </c>
      <c r="V216" s="68" t="e">
        <f t="shared" si="367"/>
        <v>#DIV/0!</v>
      </c>
      <c r="W216" s="423">
        <f t="shared" si="415"/>
        <v>13670.903999999999</v>
      </c>
      <c r="X216" s="68">
        <f t="shared" si="368"/>
        <v>12.877559295119788</v>
      </c>
      <c r="Y216" s="681"/>
      <c r="Z216" s="424"/>
      <c r="AA216" s="425"/>
      <c r="AB216" s="425">
        <f t="shared" si="416"/>
        <v>0</v>
      </c>
      <c r="AC216" s="425">
        <f t="shared" si="417"/>
        <v>0</v>
      </c>
      <c r="AD216" s="425">
        <f t="shared" si="418"/>
        <v>2225</v>
      </c>
      <c r="AE216" s="72"/>
      <c r="AF216" s="71">
        <v>12</v>
      </c>
      <c r="AG216" s="72">
        <f t="shared" si="419"/>
        <v>0</v>
      </c>
      <c r="AH216" s="72" t="e">
        <f t="shared" si="385"/>
        <v>#DIV/0!</v>
      </c>
      <c r="AI216" s="425">
        <f t="shared" si="420"/>
        <v>2049.9120000000016</v>
      </c>
      <c r="AJ216" s="72">
        <f t="shared" si="453"/>
        <v>1.9309522859481434</v>
      </c>
      <c r="AK216" s="682"/>
      <c r="AL216" s="491"/>
      <c r="AM216" s="491"/>
      <c r="AN216" s="492">
        <f t="shared" si="460"/>
        <v>0</v>
      </c>
      <c r="AO216" s="492">
        <f t="shared" si="461"/>
        <v>0</v>
      </c>
      <c r="AP216" s="492">
        <f t="shared" si="462"/>
        <v>83573</v>
      </c>
      <c r="AQ216" s="493">
        <f t="shared" si="386"/>
        <v>78.723123428490624</v>
      </c>
      <c r="AR216" s="683"/>
      <c r="AS216" s="413"/>
      <c r="AT216" s="64"/>
      <c r="AU216" s="66">
        <f t="shared" si="421"/>
        <v>0</v>
      </c>
      <c r="AV216" s="66">
        <f t="shared" si="369"/>
        <v>0</v>
      </c>
      <c r="AW216" s="412" t="e">
        <f t="shared" si="422"/>
        <v>#DIV/0!</v>
      </c>
      <c r="AX216" s="66">
        <f t="shared" si="423"/>
        <v>297615</v>
      </c>
      <c r="AY216" s="412">
        <f t="shared" si="424"/>
        <v>3.3483973995019216</v>
      </c>
      <c r="AZ216" s="684"/>
      <c r="BA216" s="419"/>
      <c r="BB216" s="419"/>
      <c r="BC216" s="407"/>
      <c r="BD216" s="419">
        <f t="shared" si="387"/>
        <v>0</v>
      </c>
      <c r="BE216" s="419">
        <f t="shared" si="388"/>
        <v>0</v>
      </c>
      <c r="BF216" s="407" t="e">
        <f t="shared" si="425"/>
        <v>#DIV/0!</v>
      </c>
      <c r="BG216" s="419">
        <f t="shared" si="463"/>
        <v>368770</v>
      </c>
      <c r="BH216" s="407">
        <f t="shared" si="426"/>
        <v>4.1489458159512242</v>
      </c>
      <c r="BI216" s="407">
        <f t="shared" si="427"/>
        <v>0.50803418154504787</v>
      </c>
      <c r="BJ216" s="508"/>
      <c r="BK216" s="510"/>
      <c r="BL216" s="49"/>
      <c r="BM216" s="50"/>
      <c r="BN216" s="52">
        <f t="shared" si="428"/>
        <v>0</v>
      </c>
      <c r="BO216" s="52">
        <f t="shared" si="370"/>
        <v>0</v>
      </c>
      <c r="BP216" s="406" t="e">
        <f t="shared" si="429"/>
        <v>#DIV/0!</v>
      </c>
      <c r="BQ216" s="52">
        <f t="shared" si="430"/>
        <v>37700</v>
      </c>
      <c r="BR216" s="406">
        <f t="shared" si="431"/>
        <v>0.42415396388361626</v>
      </c>
      <c r="BS216" s="685"/>
      <c r="BT216" s="409"/>
      <c r="BU216" s="43"/>
      <c r="BV216" s="43">
        <f t="shared" si="457"/>
        <v>0</v>
      </c>
      <c r="BW216" s="43">
        <f t="shared" si="458"/>
        <v>0</v>
      </c>
      <c r="BX216" s="42" t="e">
        <f t="shared" si="432"/>
        <v>#DIV/0!</v>
      </c>
      <c r="BY216" s="43">
        <f t="shared" si="459"/>
        <v>19437</v>
      </c>
      <c r="BZ216" s="42">
        <f t="shared" si="433"/>
        <v>0.21868118291792704</v>
      </c>
      <c r="CA216" s="514"/>
      <c r="CB216" s="392"/>
      <c r="CC216" s="298"/>
      <c r="CD216" s="298">
        <f t="shared" si="389"/>
        <v>0</v>
      </c>
      <c r="CE216" s="298">
        <f t="shared" si="371"/>
        <v>0</v>
      </c>
      <c r="CF216" s="297" t="e">
        <f t="shared" si="434"/>
        <v>#DIV/0!</v>
      </c>
      <c r="CG216" s="298">
        <f t="shared" si="435"/>
        <v>61350</v>
      </c>
      <c r="CH216" s="297">
        <f t="shared" si="436"/>
        <v>0.69023463353474424</v>
      </c>
      <c r="CI216" s="686"/>
      <c r="CJ216" s="659"/>
      <c r="CK216" s="651"/>
      <c r="CL216" s="657">
        <f t="shared" si="464"/>
        <v>0</v>
      </c>
      <c r="CM216" s="657">
        <f t="shared" si="465"/>
        <v>0</v>
      </c>
      <c r="CN216" s="659">
        <f t="shared" si="466"/>
        <v>26250</v>
      </c>
      <c r="CO216" s="464"/>
      <c r="CP216" s="465"/>
      <c r="CQ216" s="465">
        <f t="shared" si="390"/>
        <v>0</v>
      </c>
      <c r="CR216" s="465">
        <f t="shared" si="372"/>
        <v>0</v>
      </c>
      <c r="CS216" s="486" t="e">
        <f t="shared" si="437"/>
        <v>#DIV/0!</v>
      </c>
      <c r="CT216" s="465">
        <f t="shared" si="438"/>
        <v>1619</v>
      </c>
      <c r="CU216" s="486">
        <f t="shared" si="439"/>
        <v>1.821499383362267E-2</v>
      </c>
      <c r="CV216" s="518"/>
      <c r="CW216" s="427"/>
      <c r="CX216" s="427"/>
      <c r="CY216" s="427">
        <f t="shared" si="440"/>
        <v>0</v>
      </c>
      <c r="CZ216" s="427">
        <f t="shared" si="441"/>
        <v>0</v>
      </c>
      <c r="DA216" s="607" t="e">
        <f t="shared" si="456"/>
        <v>#DIV/0!</v>
      </c>
      <c r="DB216" s="607">
        <f t="shared" si="442"/>
        <v>115</v>
      </c>
      <c r="DC216" s="607">
        <f t="shared" si="391"/>
        <v>1.2938383513691211E-3</v>
      </c>
      <c r="DD216" s="609"/>
      <c r="DE216" s="471"/>
      <c r="DF216" s="473"/>
      <c r="DG216" s="473">
        <f t="shared" si="392"/>
        <v>0</v>
      </c>
      <c r="DH216" s="473">
        <f t="shared" si="373"/>
        <v>0</v>
      </c>
      <c r="DI216" s="227" t="e">
        <f t="shared" si="443"/>
        <v>#DIV/0!</v>
      </c>
      <c r="DJ216" s="473">
        <f t="shared" si="444"/>
        <v>155.19999999999999</v>
      </c>
      <c r="DK216" s="227">
        <f t="shared" si="445"/>
        <v>1.7461192359346748E-3</v>
      </c>
      <c r="DL216" s="508"/>
      <c r="DM216" s="63"/>
      <c r="DN216" s="64"/>
      <c r="DO216" s="66">
        <f t="shared" si="446"/>
        <v>0</v>
      </c>
      <c r="DP216" s="66">
        <f t="shared" si="374"/>
        <v>0</v>
      </c>
      <c r="DQ216" s="412" t="e">
        <f t="shared" si="447"/>
        <v>#DIV/0!</v>
      </c>
      <c r="DR216" s="66">
        <f t="shared" si="448"/>
        <v>18000</v>
      </c>
      <c r="DS216" s="412">
        <f t="shared" si="449"/>
        <v>0.2025138289099494</v>
      </c>
      <c r="DT216" s="684"/>
      <c r="DU216" s="596"/>
      <c r="DV216" s="596"/>
      <c r="DW216" s="596">
        <f t="shared" si="393"/>
        <v>0</v>
      </c>
      <c r="DX216" s="596">
        <f t="shared" si="375"/>
        <v>0</v>
      </c>
      <c r="DY216" s="592" t="e">
        <f t="shared" si="394"/>
        <v>#DIV/0!</v>
      </c>
      <c r="DZ216" s="596">
        <f t="shared" si="450"/>
        <v>2800</v>
      </c>
      <c r="EA216" s="592">
        <f t="shared" si="395"/>
        <v>3.1502151163769906E-2</v>
      </c>
      <c r="EB216" s="594"/>
      <c r="EC216" s="448"/>
      <c r="ED216" s="449"/>
      <c r="EE216" s="449">
        <f t="shared" si="396"/>
        <v>0</v>
      </c>
      <c r="EF216" s="449">
        <f t="shared" si="376"/>
        <v>0</v>
      </c>
      <c r="EG216" s="450" t="e">
        <f t="shared" si="454"/>
        <v>#DIV/0!</v>
      </c>
      <c r="EH216" s="449">
        <f t="shared" si="451"/>
        <v>1165</v>
      </c>
      <c r="EI216" s="450">
        <f t="shared" si="455"/>
        <v>1.3107145037782836E-2</v>
      </c>
      <c r="EJ216" s="687"/>
      <c r="EK216" s="426"/>
      <c r="EL216" s="427"/>
      <c r="EM216" s="427">
        <f t="shared" si="397"/>
        <v>0</v>
      </c>
      <c r="EN216" s="427">
        <f t="shared" si="377"/>
        <v>0</v>
      </c>
      <c r="EO216" s="427">
        <f t="shared" si="398"/>
        <v>84722</v>
      </c>
      <c r="EP216" s="456"/>
      <c r="EQ216" s="457"/>
      <c r="ER216" s="457">
        <f t="shared" si="399"/>
        <v>0</v>
      </c>
      <c r="ES216" s="457">
        <f t="shared" si="378"/>
        <v>0</v>
      </c>
      <c r="ET216" s="457">
        <f t="shared" si="400"/>
        <v>2242</v>
      </c>
      <c r="EU216" s="409"/>
      <c r="EV216" s="43"/>
      <c r="EW216" s="43">
        <f t="shared" si="401"/>
        <v>0</v>
      </c>
      <c r="EX216" s="43">
        <f t="shared" si="379"/>
        <v>0</v>
      </c>
      <c r="EY216" s="43">
        <f t="shared" si="402"/>
        <v>940</v>
      </c>
      <c r="EZ216" s="436"/>
      <c r="FA216" s="437"/>
      <c r="FB216" s="437">
        <f t="shared" si="403"/>
        <v>0</v>
      </c>
      <c r="FC216" s="437">
        <f t="shared" si="380"/>
        <v>0</v>
      </c>
      <c r="FD216" s="437">
        <f t="shared" si="404"/>
        <v>1090</v>
      </c>
      <c r="FE216" s="442"/>
      <c r="FF216" s="443"/>
      <c r="FG216" s="443">
        <f t="shared" si="405"/>
        <v>0</v>
      </c>
      <c r="FH216" s="443">
        <f t="shared" si="381"/>
        <v>0</v>
      </c>
      <c r="FI216" s="443">
        <f t="shared" si="406"/>
        <v>1200</v>
      </c>
      <c r="FJ216" s="392"/>
      <c r="FK216" s="298"/>
      <c r="FL216" s="298">
        <f t="shared" si="407"/>
        <v>0</v>
      </c>
      <c r="FM216" s="298">
        <f t="shared" si="382"/>
        <v>0</v>
      </c>
      <c r="FN216" s="498">
        <f t="shared" si="408"/>
        <v>4800</v>
      </c>
      <c r="HC216" s="402"/>
      <c r="HD216" s="52"/>
      <c r="HE216" s="52">
        <f t="shared" si="409"/>
        <v>0</v>
      </c>
      <c r="HF216" s="52">
        <f t="shared" si="383"/>
        <v>0</v>
      </c>
      <c r="HG216" s="51"/>
      <c r="HH216" s="52">
        <f t="shared" si="452"/>
        <v>2800</v>
      </c>
      <c r="HI216" s="51"/>
      <c r="HJ216" s="1050"/>
    </row>
    <row r="217" spans="1:218">
      <c r="A217" s="30">
        <v>44880</v>
      </c>
      <c r="B217" s="390"/>
      <c r="C217" s="18">
        <f t="shared" si="363"/>
        <v>88882819</v>
      </c>
      <c r="D217" s="376"/>
      <c r="E217" s="417">
        <f t="shared" si="467"/>
        <v>1061606.7599999998</v>
      </c>
      <c r="F217" s="397"/>
      <c r="G217" s="37"/>
      <c r="H217" s="37">
        <f t="shared" si="384"/>
        <v>0</v>
      </c>
      <c r="I217" s="37">
        <f t="shared" si="364"/>
        <v>0</v>
      </c>
      <c r="J217" s="37" t="e">
        <f t="shared" si="365"/>
        <v>#DIV/0!</v>
      </c>
      <c r="K217" s="37">
        <f t="shared" si="410"/>
        <v>481207</v>
      </c>
      <c r="L217" s="37">
        <f t="shared" si="366"/>
        <v>453.28177827352954</v>
      </c>
      <c r="M217" s="680"/>
      <c r="N217" s="422"/>
      <c r="O217" s="423"/>
      <c r="P217" s="423">
        <f t="shared" si="411"/>
        <v>0</v>
      </c>
      <c r="Q217" s="423">
        <f t="shared" si="412"/>
        <v>0</v>
      </c>
      <c r="R217" s="423">
        <f t="shared" si="413"/>
        <v>14025</v>
      </c>
      <c r="S217" s="68"/>
      <c r="T217" s="67">
        <v>24</v>
      </c>
      <c r="U217" s="68">
        <f t="shared" si="414"/>
        <v>0</v>
      </c>
      <c r="V217" s="68" t="e">
        <f t="shared" si="367"/>
        <v>#DIV/0!</v>
      </c>
      <c r="W217" s="423">
        <f t="shared" si="415"/>
        <v>13670.903999999999</v>
      </c>
      <c r="X217" s="68">
        <f t="shared" si="368"/>
        <v>12.877559295119788</v>
      </c>
      <c r="Y217" s="681"/>
      <c r="Z217" s="424"/>
      <c r="AA217" s="425"/>
      <c r="AB217" s="425">
        <f t="shared" si="416"/>
        <v>0</v>
      </c>
      <c r="AC217" s="425">
        <f t="shared" si="417"/>
        <v>0</v>
      </c>
      <c r="AD217" s="425">
        <f t="shared" si="418"/>
        <v>2225</v>
      </c>
      <c r="AE217" s="72"/>
      <c r="AF217" s="71">
        <v>12</v>
      </c>
      <c r="AG217" s="72">
        <f t="shared" si="419"/>
        <v>0</v>
      </c>
      <c r="AH217" s="72" t="e">
        <f t="shared" si="385"/>
        <v>#DIV/0!</v>
      </c>
      <c r="AI217" s="425">
        <f t="shared" si="420"/>
        <v>2049.9120000000016</v>
      </c>
      <c r="AJ217" s="72">
        <f t="shared" si="453"/>
        <v>1.9309522859481434</v>
      </c>
      <c r="AK217" s="682"/>
      <c r="AL217" s="491"/>
      <c r="AM217" s="491"/>
      <c r="AN217" s="492">
        <f t="shared" si="460"/>
        <v>0</v>
      </c>
      <c r="AO217" s="492">
        <f t="shared" si="461"/>
        <v>0</v>
      </c>
      <c r="AP217" s="492">
        <f t="shared" si="462"/>
        <v>83573</v>
      </c>
      <c r="AQ217" s="493">
        <f t="shared" si="386"/>
        <v>78.723123428490624</v>
      </c>
      <c r="AR217" s="683"/>
      <c r="AS217" s="413"/>
      <c r="AT217" s="64"/>
      <c r="AU217" s="66">
        <f t="shared" si="421"/>
        <v>0</v>
      </c>
      <c r="AV217" s="66">
        <f t="shared" si="369"/>
        <v>0</v>
      </c>
      <c r="AW217" s="412" t="e">
        <f t="shared" si="422"/>
        <v>#DIV/0!</v>
      </c>
      <c r="AX217" s="66">
        <f t="shared" si="423"/>
        <v>297615</v>
      </c>
      <c r="AY217" s="412">
        <f t="shared" si="424"/>
        <v>3.3483973995019216</v>
      </c>
      <c r="AZ217" s="684"/>
      <c r="BA217" s="419"/>
      <c r="BB217" s="419"/>
      <c r="BC217" s="407"/>
      <c r="BD217" s="419">
        <f t="shared" si="387"/>
        <v>0</v>
      </c>
      <c r="BE217" s="419">
        <f t="shared" si="388"/>
        <v>0</v>
      </c>
      <c r="BF217" s="407" t="e">
        <f t="shared" si="425"/>
        <v>#DIV/0!</v>
      </c>
      <c r="BG217" s="419">
        <f t="shared" si="463"/>
        <v>368770</v>
      </c>
      <c r="BH217" s="407">
        <f t="shared" si="426"/>
        <v>4.1489458159512242</v>
      </c>
      <c r="BI217" s="407">
        <f t="shared" si="427"/>
        <v>0.50803418154504787</v>
      </c>
      <c r="BJ217" s="508"/>
      <c r="BK217" s="510"/>
      <c r="BL217" s="49"/>
      <c r="BM217" s="50"/>
      <c r="BN217" s="52">
        <f t="shared" si="428"/>
        <v>0</v>
      </c>
      <c r="BO217" s="52">
        <f t="shared" si="370"/>
        <v>0</v>
      </c>
      <c r="BP217" s="406" t="e">
        <f t="shared" si="429"/>
        <v>#DIV/0!</v>
      </c>
      <c r="BQ217" s="52">
        <f t="shared" si="430"/>
        <v>37700</v>
      </c>
      <c r="BR217" s="406">
        <f t="shared" si="431"/>
        <v>0.42415396388361626</v>
      </c>
      <c r="BS217" s="685"/>
      <c r="BT217" s="409"/>
      <c r="BU217" s="43"/>
      <c r="BV217" s="43">
        <f t="shared" si="457"/>
        <v>0</v>
      </c>
      <c r="BW217" s="43">
        <f t="shared" si="458"/>
        <v>0</v>
      </c>
      <c r="BX217" s="42" t="e">
        <f t="shared" si="432"/>
        <v>#DIV/0!</v>
      </c>
      <c r="BY217" s="43">
        <f t="shared" si="459"/>
        <v>19437</v>
      </c>
      <c r="BZ217" s="42">
        <f t="shared" si="433"/>
        <v>0.21868118291792704</v>
      </c>
      <c r="CA217" s="514"/>
      <c r="CB217" s="392"/>
      <c r="CC217" s="298"/>
      <c r="CD217" s="298">
        <f t="shared" si="389"/>
        <v>0</v>
      </c>
      <c r="CE217" s="298">
        <f t="shared" si="371"/>
        <v>0</v>
      </c>
      <c r="CF217" s="297" t="e">
        <f t="shared" si="434"/>
        <v>#DIV/0!</v>
      </c>
      <c r="CG217" s="298">
        <f t="shared" si="435"/>
        <v>61350</v>
      </c>
      <c r="CH217" s="297">
        <f t="shared" si="436"/>
        <v>0.69023463353474424</v>
      </c>
      <c r="CI217" s="686"/>
      <c r="CJ217" s="659"/>
      <c r="CK217" s="651"/>
      <c r="CL217" s="657">
        <f t="shared" si="464"/>
        <v>0</v>
      </c>
      <c r="CM217" s="657">
        <f t="shared" si="465"/>
        <v>0</v>
      </c>
      <c r="CN217" s="659">
        <f t="shared" si="466"/>
        <v>26250</v>
      </c>
      <c r="CO217" s="464"/>
      <c r="CP217" s="465"/>
      <c r="CQ217" s="465">
        <f t="shared" si="390"/>
        <v>0</v>
      </c>
      <c r="CR217" s="465">
        <f t="shared" si="372"/>
        <v>0</v>
      </c>
      <c r="CS217" s="486" t="e">
        <f t="shared" si="437"/>
        <v>#DIV/0!</v>
      </c>
      <c r="CT217" s="465">
        <f t="shared" si="438"/>
        <v>1619</v>
      </c>
      <c r="CU217" s="486">
        <f t="shared" si="439"/>
        <v>1.821499383362267E-2</v>
      </c>
      <c r="CV217" s="518"/>
      <c r="CW217" s="427"/>
      <c r="CX217" s="427"/>
      <c r="CY217" s="427">
        <f t="shared" si="440"/>
        <v>0</v>
      </c>
      <c r="CZ217" s="427">
        <f t="shared" si="441"/>
        <v>0</v>
      </c>
      <c r="DA217" s="607" t="e">
        <f t="shared" si="456"/>
        <v>#DIV/0!</v>
      </c>
      <c r="DB217" s="607">
        <f t="shared" si="442"/>
        <v>115</v>
      </c>
      <c r="DC217" s="607">
        <f t="shared" si="391"/>
        <v>1.2938383513691211E-3</v>
      </c>
      <c r="DD217" s="609"/>
      <c r="DE217" s="471"/>
      <c r="DF217" s="473"/>
      <c r="DG217" s="473">
        <f t="shared" si="392"/>
        <v>0</v>
      </c>
      <c r="DH217" s="473">
        <f t="shared" si="373"/>
        <v>0</v>
      </c>
      <c r="DI217" s="227" t="e">
        <f t="shared" si="443"/>
        <v>#DIV/0!</v>
      </c>
      <c r="DJ217" s="473">
        <f t="shared" si="444"/>
        <v>155.19999999999999</v>
      </c>
      <c r="DK217" s="227">
        <f t="shared" si="445"/>
        <v>1.7461192359346748E-3</v>
      </c>
      <c r="DL217" s="508"/>
      <c r="DM217" s="63"/>
      <c r="DN217" s="64"/>
      <c r="DO217" s="66">
        <f t="shared" si="446"/>
        <v>0</v>
      </c>
      <c r="DP217" s="66">
        <f t="shared" si="374"/>
        <v>0</v>
      </c>
      <c r="DQ217" s="412" t="e">
        <f t="shared" si="447"/>
        <v>#DIV/0!</v>
      </c>
      <c r="DR217" s="66">
        <f t="shared" si="448"/>
        <v>18000</v>
      </c>
      <c r="DS217" s="412">
        <f t="shared" si="449"/>
        <v>0.2025138289099494</v>
      </c>
      <c r="DT217" s="684"/>
      <c r="DU217" s="596"/>
      <c r="DV217" s="596"/>
      <c r="DW217" s="596">
        <f t="shared" si="393"/>
        <v>0</v>
      </c>
      <c r="DX217" s="596">
        <f t="shared" si="375"/>
        <v>0</v>
      </c>
      <c r="DY217" s="592" t="e">
        <f t="shared" si="394"/>
        <v>#DIV/0!</v>
      </c>
      <c r="DZ217" s="596">
        <f t="shared" si="450"/>
        <v>2800</v>
      </c>
      <c r="EA217" s="592">
        <f t="shared" si="395"/>
        <v>3.1502151163769906E-2</v>
      </c>
      <c r="EB217" s="594"/>
      <c r="EC217" s="448"/>
      <c r="ED217" s="449"/>
      <c r="EE217" s="449">
        <f t="shared" si="396"/>
        <v>0</v>
      </c>
      <c r="EF217" s="449">
        <f t="shared" si="376"/>
        <v>0</v>
      </c>
      <c r="EG217" s="450" t="e">
        <f t="shared" si="454"/>
        <v>#DIV/0!</v>
      </c>
      <c r="EH217" s="449">
        <f t="shared" si="451"/>
        <v>1165</v>
      </c>
      <c r="EI217" s="450">
        <f t="shared" si="455"/>
        <v>1.3107145037782836E-2</v>
      </c>
      <c r="EJ217" s="687"/>
      <c r="EK217" s="426"/>
      <c r="EL217" s="427"/>
      <c r="EM217" s="427">
        <f t="shared" si="397"/>
        <v>0</v>
      </c>
      <c r="EN217" s="427">
        <f t="shared" si="377"/>
        <v>0</v>
      </c>
      <c r="EO217" s="427">
        <f t="shared" si="398"/>
        <v>84722</v>
      </c>
      <c r="EP217" s="456"/>
      <c r="EQ217" s="457"/>
      <c r="ER217" s="457">
        <f t="shared" si="399"/>
        <v>0</v>
      </c>
      <c r="ES217" s="457">
        <f t="shared" si="378"/>
        <v>0</v>
      </c>
      <c r="ET217" s="457">
        <f t="shared" si="400"/>
        <v>2242</v>
      </c>
      <c r="EU217" s="409"/>
      <c r="EV217" s="43"/>
      <c r="EW217" s="43">
        <f t="shared" si="401"/>
        <v>0</v>
      </c>
      <c r="EX217" s="43">
        <f t="shared" si="379"/>
        <v>0</v>
      </c>
      <c r="EY217" s="43">
        <f t="shared" si="402"/>
        <v>940</v>
      </c>
      <c r="EZ217" s="436"/>
      <c r="FA217" s="437"/>
      <c r="FB217" s="437">
        <f t="shared" si="403"/>
        <v>0</v>
      </c>
      <c r="FC217" s="437">
        <f t="shared" si="380"/>
        <v>0</v>
      </c>
      <c r="FD217" s="437">
        <f t="shared" si="404"/>
        <v>1090</v>
      </c>
      <c r="FE217" s="442"/>
      <c r="FF217" s="443"/>
      <c r="FG217" s="443">
        <f t="shared" si="405"/>
        <v>0</v>
      </c>
      <c r="FH217" s="443">
        <f t="shared" si="381"/>
        <v>0</v>
      </c>
      <c r="FI217" s="443">
        <f t="shared" si="406"/>
        <v>1200</v>
      </c>
      <c r="FJ217" s="392"/>
      <c r="FK217" s="298"/>
      <c r="FL217" s="298">
        <f t="shared" si="407"/>
        <v>0</v>
      </c>
      <c r="FM217" s="298">
        <f t="shared" si="382"/>
        <v>0</v>
      </c>
      <c r="FN217" s="498">
        <f t="shared" si="408"/>
        <v>4800</v>
      </c>
      <c r="HC217" s="402"/>
      <c r="HD217" s="52"/>
      <c r="HE217" s="52">
        <f t="shared" si="409"/>
        <v>0</v>
      </c>
      <c r="HF217" s="52">
        <f t="shared" si="383"/>
        <v>0</v>
      </c>
      <c r="HG217" s="51"/>
      <c r="HH217" s="52">
        <f t="shared" si="452"/>
        <v>2800</v>
      </c>
      <c r="HI217" s="51"/>
      <c r="HJ217" s="1050"/>
    </row>
    <row r="218" spans="1:218">
      <c r="A218" s="30">
        <v>44881</v>
      </c>
      <c r="B218" s="390"/>
      <c r="C218" s="18">
        <f t="shared" si="363"/>
        <v>88882819</v>
      </c>
      <c r="D218" s="376"/>
      <c r="E218" s="417">
        <f t="shared" si="467"/>
        <v>1061606.7599999998</v>
      </c>
      <c r="F218" s="397"/>
      <c r="G218" s="37"/>
      <c r="H218" s="37">
        <f t="shared" si="384"/>
        <v>0</v>
      </c>
      <c r="I218" s="37">
        <f t="shared" si="364"/>
        <v>0</v>
      </c>
      <c r="J218" s="37" t="e">
        <f t="shared" si="365"/>
        <v>#DIV/0!</v>
      </c>
      <c r="K218" s="37">
        <f t="shared" si="410"/>
        <v>481207</v>
      </c>
      <c r="L218" s="37">
        <f t="shared" si="366"/>
        <v>453.28177827352954</v>
      </c>
      <c r="M218" s="680"/>
      <c r="N218" s="422"/>
      <c r="O218" s="423"/>
      <c r="P218" s="423">
        <f t="shared" si="411"/>
        <v>0</v>
      </c>
      <c r="Q218" s="423">
        <f t="shared" si="412"/>
        <v>0</v>
      </c>
      <c r="R218" s="423">
        <f t="shared" si="413"/>
        <v>14025</v>
      </c>
      <c r="S218" s="68"/>
      <c r="T218" s="67">
        <v>24</v>
      </c>
      <c r="U218" s="68">
        <f t="shared" si="414"/>
        <v>0</v>
      </c>
      <c r="V218" s="68" t="e">
        <f t="shared" si="367"/>
        <v>#DIV/0!</v>
      </c>
      <c r="W218" s="423">
        <f t="shared" si="415"/>
        <v>13670.903999999999</v>
      </c>
      <c r="X218" s="68">
        <f t="shared" si="368"/>
        <v>12.877559295119788</v>
      </c>
      <c r="Y218" s="681"/>
      <c r="Z218" s="424"/>
      <c r="AA218" s="425"/>
      <c r="AB218" s="425">
        <f t="shared" si="416"/>
        <v>0</v>
      </c>
      <c r="AC218" s="425">
        <f t="shared" si="417"/>
        <v>0</v>
      </c>
      <c r="AD218" s="425">
        <f t="shared" si="418"/>
        <v>2225</v>
      </c>
      <c r="AE218" s="72"/>
      <c r="AF218" s="71">
        <v>12</v>
      </c>
      <c r="AG218" s="72">
        <f t="shared" si="419"/>
        <v>0</v>
      </c>
      <c r="AH218" s="72" t="e">
        <f t="shared" si="385"/>
        <v>#DIV/0!</v>
      </c>
      <c r="AI218" s="425">
        <f t="shared" si="420"/>
        <v>2049.9120000000016</v>
      </c>
      <c r="AJ218" s="72">
        <f t="shared" si="453"/>
        <v>1.9309522859481434</v>
      </c>
      <c r="AK218" s="682"/>
      <c r="AL218" s="491"/>
      <c r="AM218" s="491"/>
      <c r="AN218" s="492">
        <f t="shared" si="460"/>
        <v>0</v>
      </c>
      <c r="AO218" s="492">
        <f t="shared" si="461"/>
        <v>0</v>
      </c>
      <c r="AP218" s="492">
        <f t="shared" si="462"/>
        <v>83573</v>
      </c>
      <c r="AQ218" s="493">
        <f t="shared" si="386"/>
        <v>78.723123428490624</v>
      </c>
      <c r="AR218" s="683"/>
      <c r="AS218" s="413"/>
      <c r="AT218" s="64"/>
      <c r="AU218" s="66">
        <f t="shared" si="421"/>
        <v>0</v>
      </c>
      <c r="AV218" s="66">
        <f t="shared" si="369"/>
        <v>0</v>
      </c>
      <c r="AW218" s="412" t="e">
        <f t="shared" si="422"/>
        <v>#DIV/0!</v>
      </c>
      <c r="AX218" s="66">
        <f t="shared" si="423"/>
        <v>297615</v>
      </c>
      <c r="AY218" s="412">
        <f t="shared" si="424"/>
        <v>3.3483973995019216</v>
      </c>
      <c r="AZ218" s="684"/>
      <c r="BA218" s="419"/>
      <c r="BB218" s="419"/>
      <c r="BC218" s="407"/>
      <c r="BD218" s="419">
        <f t="shared" si="387"/>
        <v>0</v>
      </c>
      <c r="BE218" s="419">
        <f t="shared" si="388"/>
        <v>0</v>
      </c>
      <c r="BF218" s="407" t="e">
        <f t="shared" si="425"/>
        <v>#DIV/0!</v>
      </c>
      <c r="BG218" s="419">
        <f t="shared" si="463"/>
        <v>368770</v>
      </c>
      <c r="BH218" s="407">
        <f t="shared" si="426"/>
        <v>4.1489458159512242</v>
      </c>
      <c r="BI218" s="407">
        <f t="shared" si="427"/>
        <v>0.50803418154504787</v>
      </c>
      <c r="BJ218" s="508"/>
      <c r="BK218" s="510"/>
      <c r="BL218" s="49"/>
      <c r="BM218" s="50"/>
      <c r="BN218" s="52">
        <f t="shared" si="428"/>
        <v>0</v>
      </c>
      <c r="BO218" s="52">
        <f t="shared" si="370"/>
        <v>0</v>
      </c>
      <c r="BP218" s="406" t="e">
        <f t="shared" si="429"/>
        <v>#DIV/0!</v>
      </c>
      <c r="BQ218" s="52">
        <f t="shared" si="430"/>
        <v>37700</v>
      </c>
      <c r="BR218" s="406">
        <f t="shared" si="431"/>
        <v>0.42415396388361626</v>
      </c>
      <c r="BS218" s="685"/>
      <c r="BT218" s="409"/>
      <c r="BU218" s="43"/>
      <c r="BV218" s="43">
        <f t="shared" si="457"/>
        <v>0</v>
      </c>
      <c r="BW218" s="43">
        <f t="shared" si="458"/>
        <v>0</v>
      </c>
      <c r="BX218" s="42" t="e">
        <f t="shared" si="432"/>
        <v>#DIV/0!</v>
      </c>
      <c r="BY218" s="43">
        <f t="shared" si="459"/>
        <v>19437</v>
      </c>
      <c r="BZ218" s="42">
        <f t="shared" si="433"/>
        <v>0.21868118291792704</v>
      </c>
      <c r="CA218" s="514"/>
      <c r="CB218" s="392"/>
      <c r="CC218" s="298"/>
      <c r="CD218" s="298">
        <f t="shared" si="389"/>
        <v>0</v>
      </c>
      <c r="CE218" s="298">
        <f t="shared" si="371"/>
        <v>0</v>
      </c>
      <c r="CF218" s="297" t="e">
        <f t="shared" si="434"/>
        <v>#DIV/0!</v>
      </c>
      <c r="CG218" s="298">
        <f t="shared" si="435"/>
        <v>61350</v>
      </c>
      <c r="CH218" s="297">
        <f t="shared" si="436"/>
        <v>0.69023463353474424</v>
      </c>
      <c r="CI218" s="686"/>
      <c r="CJ218" s="659"/>
      <c r="CK218" s="651"/>
      <c r="CL218" s="657">
        <f t="shared" si="464"/>
        <v>0</v>
      </c>
      <c r="CM218" s="657">
        <f t="shared" si="465"/>
        <v>0</v>
      </c>
      <c r="CN218" s="659">
        <f t="shared" si="466"/>
        <v>26250</v>
      </c>
      <c r="CO218" s="464"/>
      <c r="CP218" s="465"/>
      <c r="CQ218" s="465">
        <f t="shared" si="390"/>
        <v>0</v>
      </c>
      <c r="CR218" s="465">
        <f t="shared" si="372"/>
        <v>0</v>
      </c>
      <c r="CS218" s="486" t="e">
        <f t="shared" si="437"/>
        <v>#DIV/0!</v>
      </c>
      <c r="CT218" s="465">
        <f t="shared" si="438"/>
        <v>1619</v>
      </c>
      <c r="CU218" s="486">
        <f t="shared" si="439"/>
        <v>1.821499383362267E-2</v>
      </c>
      <c r="CV218" s="518"/>
      <c r="CW218" s="427"/>
      <c r="CX218" s="427"/>
      <c r="CY218" s="427">
        <f t="shared" si="440"/>
        <v>0</v>
      </c>
      <c r="CZ218" s="427">
        <f t="shared" si="441"/>
        <v>0</v>
      </c>
      <c r="DA218" s="607" t="e">
        <f t="shared" si="456"/>
        <v>#DIV/0!</v>
      </c>
      <c r="DB218" s="607">
        <f t="shared" si="442"/>
        <v>115</v>
      </c>
      <c r="DC218" s="607">
        <f t="shared" si="391"/>
        <v>1.2938383513691211E-3</v>
      </c>
      <c r="DD218" s="609"/>
      <c r="DE218" s="471"/>
      <c r="DF218" s="473"/>
      <c r="DG218" s="473">
        <f t="shared" si="392"/>
        <v>0</v>
      </c>
      <c r="DH218" s="473">
        <f t="shared" si="373"/>
        <v>0</v>
      </c>
      <c r="DI218" s="227" t="e">
        <f t="shared" si="443"/>
        <v>#DIV/0!</v>
      </c>
      <c r="DJ218" s="473">
        <f t="shared" si="444"/>
        <v>155.19999999999999</v>
      </c>
      <c r="DK218" s="227">
        <f t="shared" si="445"/>
        <v>1.7461192359346748E-3</v>
      </c>
      <c r="DL218" s="508"/>
      <c r="DM218" s="63"/>
      <c r="DN218" s="64"/>
      <c r="DO218" s="66">
        <f t="shared" si="446"/>
        <v>0</v>
      </c>
      <c r="DP218" s="66">
        <f t="shared" si="374"/>
        <v>0</v>
      </c>
      <c r="DQ218" s="412" t="e">
        <f t="shared" si="447"/>
        <v>#DIV/0!</v>
      </c>
      <c r="DR218" s="66">
        <f t="shared" si="448"/>
        <v>18000</v>
      </c>
      <c r="DS218" s="412">
        <f t="shared" si="449"/>
        <v>0.2025138289099494</v>
      </c>
      <c r="DT218" s="684"/>
      <c r="DU218" s="596"/>
      <c r="DV218" s="596"/>
      <c r="DW218" s="596">
        <f t="shared" si="393"/>
        <v>0</v>
      </c>
      <c r="DX218" s="596">
        <f t="shared" si="375"/>
        <v>0</v>
      </c>
      <c r="DY218" s="592" t="e">
        <f t="shared" si="394"/>
        <v>#DIV/0!</v>
      </c>
      <c r="DZ218" s="596">
        <f t="shared" si="450"/>
        <v>2800</v>
      </c>
      <c r="EA218" s="592">
        <f t="shared" si="395"/>
        <v>3.1502151163769906E-2</v>
      </c>
      <c r="EB218" s="594"/>
      <c r="EC218" s="448"/>
      <c r="ED218" s="449"/>
      <c r="EE218" s="449">
        <f t="shared" si="396"/>
        <v>0</v>
      </c>
      <c r="EF218" s="449">
        <f t="shared" si="376"/>
        <v>0</v>
      </c>
      <c r="EG218" s="450" t="e">
        <f t="shared" si="454"/>
        <v>#DIV/0!</v>
      </c>
      <c r="EH218" s="449">
        <f t="shared" si="451"/>
        <v>1165</v>
      </c>
      <c r="EI218" s="450">
        <f t="shared" si="455"/>
        <v>1.3107145037782836E-2</v>
      </c>
      <c r="EJ218" s="687"/>
      <c r="EK218" s="426"/>
      <c r="EL218" s="427"/>
      <c r="EM218" s="427">
        <f t="shared" si="397"/>
        <v>0</v>
      </c>
      <c r="EN218" s="427">
        <f t="shared" si="377"/>
        <v>0</v>
      </c>
      <c r="EO218" s="427">
        <f t="shared" si="398"/>
        <v>84722</v>
      </c>
      <c r="EP218" s="456"/>
      <c r="EQ218" s="457"/>
      <c r="ER218" s="457">
        <f t="shared" si="399"/>
        <v>0</v>
      </c>
      <c r="ES218" s="457">
        <f t="shared" si="378"/>
        <v>0</v>
      </c>
      <c r="ET218" s="457">
        <f t="shared" si="400"/>
        <v>2242</v>
      </c>
      <c r="EU218" s="409"/>
      <c r="EV218" s="43"/>
      <c r="EW218" s="43">
        <f t="shared" si="401"/>
        <v>0</v>
      </c>
      <c r="EX218" s="43">
        <f t="shared" si="379"/>
        <v>0</v>
      </c>
      <c r="EY218" s="43">
        <f t="shared" si="402"/>
        <v>940</v>
      </c>
      <c r="EZ218" s="436"/>
      <c r="FA218" s="437"/>
      <c r="FB218" s="437">
        <f t="shared" si="403"/>
        <v>0</v>
      </c>
      <c r="FC218" s="437">
        <f t="shared" si="380"/>
        <v>0</v>
      </c>
      <c r="FD218" s="437">
        <f t="shared" si="404"/>
        <v>1090</v>
      </c>
      <c r="FE218" s="442"/>
      <c r="FF218" s="443"/>
      <c r="FG218" s="443">
        <f t="shared" si="405"/>
        <v>0</v>
      </c>
      <c r="FH218" s="443">
        <f t="shared" si="381"/>
        <v>0</v>
      </c>
      <c r="FI218" s="443">
        <f t="shared" si="406"/>
        <v>1200</v>
      </c>
      <c r="FJ218" s="392"/>
      <c r="FK218" s="298"/>
      <c r="FL218" s="298">
        <f t="shared" si="407"/>
        <v>0</v>
      </c>
      <c r="FM218" s="298">
        <f t="shared" si="382"/>
        <v>0</v>
      </c>
      <c r="FN218" s="498">
        <f t="shared" si="408"/>
        <v>4800</v>
      </c>
      <c r="HC218" s="402"/>
      <c r="HD218" s="52"/>
      <c r="HE218" s="52">
        <f t="shared" si="409"/>
        <v>0</v>
      </c>
      <c r="HF218" s="52">
        <f t="shared" si="383"/>
        <v>0</v>
      </c>
      <c r="HG218" s="51"/>
      <c r="HH218" s="52">
        <f t="shared" si="452"/>
        <v>2800</v>
      </c>
      <c r="HI218" s="51"/>
      <c r="HJ218" s="1050"/>
    </row>
    <row r="219" spans="1:218">
      <c r="A219" s="30">
        <v>44882</v>
      </c>
      <c r="B219" s="390"/>
      <c r="C219" s="18">
        <f t="shared" si="363"/>
        <v>88882819</v>
      </c>
      <c r="D219" s="376"/>
      <c r="E219" s="417">
        <f t="shared" si="467"/>
        <v>1061606.7599999998</v>
      </c>
      <c r="F219" s="397"/>
      <c r="G219" s="37"/>
      <c r="H219" s="37">
        <f t="shared" si="384"/>
        <v>0</v>
      </c>
      <c r="I219" s="37">
        <f t="shared" si="364"/>
        <v>0</v>
      </c>
      <c r="J219" s="37" t="e">
        <f t="shared" si="365"/>
        <v>#DIV/0!</v>
      </c>
      <c r="K219" s="37">
        <f t="shared" si="410"/>
        <v>481207</v>
      </c>
      <c r="L219" s="37">
        <f t="shared" si="366"/>
        <v>453.28177827352954</v>
      </c>
      <c r="M219" s="680"/>
      <c r="N219" s="422"/>
      <c r="O219" s="423"/>
      <c r="P219" s="423">
        <f t="shared" si="411"/>
        <v>0</v>
      </c>
      <c r="Q219" s="423">
        <f t="shared" si="412"/>
        <v>0</v>
      </c>
      <c r="R219" s="423">
        <f t="shared" si="413"/>
        <v>14025</v>
      </c>
      <c r="S219" s="68"/>
      <c r="T219" s="67">
        <v>24</v>
      </c>
      <c r="U219" s="68">
        <f t="shared" si="414"/>
        <v>0</v>
      </c>
      <c r="V219" s="68" t="e">
        <f t="shared" si="367"/>
        <v>#DIV/0!</v>
      </c>
      <c r="W219" s="423">
        <f t="shared" si="415"/>
        <v>13670.903999999999</v>
      </c>
      <c r="X219" s="68">
        <f t="shared" si="368"/>
        <v>12.877559295119788</v>
      </c>
      <c r="Y219" s="681"/>
      <c r="Z219" s="424"/>
      <c r="AA219" s="425"/>
      <c r="AB219" s="425">
        <f t="shared" si="416"/>
        <v>0</v>
      </c>
      <c r="AC219" s="425">
        <f t="shared" si="417"/>
        <v>0</v>
      </c>
      <c r="AD219" s="425">
        <f t="shared" si="418"/>
        <v>2225</v>
      </c>
      <c r="AE219" s="72"/>
      <c r="AF219" s="71">
        <v>12</v>
      </c>
      <c r="AG219" s="72">
        <f t="shared" si="419"/>
        <v>0</v>
      </c>
      <c r="AH219" s="72" t="e">
        <f t="shared" si="385"/>
        <v>#DIV/0!</v>
      </c>
      <c r="AI219" s="425">
        <f t="shared" si="420"/>
        <v>2049.9120000000016</v>
      </c>
      <c r="AJ219" s="72">
        <f t="shared" si="453"/>
        <v>1.9309522859481434</v>
      </c>
      <c r="AK219" s="682"/>
      <c r="AL219" s="491"/>
      <c r="AM219" s="491"/>
      <c r="AN219" s="492">
        <f t="shared" si="460"/>
        <v>0</v>
      </c>
      <c r="AO219" s="492">
        <f t="shared" si="461"/>
        <v>0</v>
      </c>
      <c r="AP219" s="492">
        <f t="shared" si="462"/>
        <v>83573</v>
      </c>
      <c r="AQ219" s="493">
        <f t="shared" si="386"/>
        <v>78.723123428490624</v>
      </c>
      <c r="AR219" s="683"/>
      <c r="AS219" s="413"/>
      <c r="AT219" s="64"/>
      <c r="AU219" s="66">
        <f t="shared" si="421"/>
        <v>0</v>
      </c>
      <c r="AV219" s="66">
        <f t="shared" si="369"/>
        <v>0</v>
      </c>
      <c r="AW219" s="412" t="e">
        <f t="shared" si="422"/>
        <v>#DIV/0!</v>
      </c>
      <c r="AX219" s="66">
        <f t="shared" si="423"/>
        <v>297615</v>
      </c>
      <c r="AY219" s="412">
        <f t="shared" si="424"/>
        <v>3.3483973995019216</v>
      </c>
      <c r="AZ219" s="684"/>
      <c r="BA219" s="419"/>
      <c r="BB219" s="419"/>
      <c r="BC219" s="407"/>
      <c r="BD219" s="419">
        <f t="shared" si="387"/>
        <v>0</v>
      </c>
      <c r="BE219" s="419">
        <f t="shared" si="388"/>
        <v>0</v>
      </c>
      <c r="BF219" s="407" t="e">
        <f t="shared" si="425"/>
        <v>#DIV/0!</v>
      </c>
      <c r="BG219" s="419">
        <f t="shared" si="463"/>
        <v>368770</v>
      </c>
      <c r="BH219" s="407">
        <f t="shared" si="426"/>
        <v>4.1489458159512242</v>
      </c>
      <c r="BI219" s="407">
        <f t="shared" si="427"/>
        <v>0.50803418154504787</v>
      </c>
      <c r="BJ219" s="508"/>
      <c r="BK219" s="510"/>
      <c r="BL219" s="49"/>
      <c r="BM219" s="50"/>
      <c r="BN219" s="52">
        <f t="shared" si="428"/>
        <v>0</v>
      </c>
      <c r="BO219" s="52">
        <f t="shared" si="370"/>
        <v>0</v>
      </c>
      <c r="BP219" s="406" t="e">
        <f t="shared" si="429"/>
        <v>#DIV/0!</v>
      </c>
      <c r="BQ219" s="52">
        <f t="shared" si="430"/>
        <v>37700</v>
      </c>
      <c r="BR219" s="406">
        <f t="shared" si="431"/>
        <v>0.42415396388361626</v>
      </c>
      <c r="BS219" s="685"/>
      <c r="BT219" s="409"/>
      <c r="BU219" s="43"/>
      <c r="BV219" s="43">
        <f t="shared" si="457"/>
        <v>0</v>
      </c>
      <c r="BW219" s="43">
        <f t="shared" si="458"/>
        <v>0</v>
      </c>
      <c r="BX219" s="42" t="e">
        <f t="shared" si="432"/>
        <v>#DIV/0!</v>
      </c>
      <c r="BY219" s="43">
        <f t="shared" si="459"/>
        <v>19437</v>
      </c>
      <c r="BZ219" s="42">
        <f t="shared" si="433"/>
        <v>0.21868118291792704</v>
      </c>
      <c r="CA219" s="514"/>
      <c r="CB219" s="392"/>
      <c r="CC219" s="298"/>
      <c r="CD219" s="298">
        <f t="shared" si="389"/>
        <v>0</v>
      </c>
      <c r="CE219" s="298">
        <f t="shared" si="371"/>
        <v>0</v>
      </c>
      <c r="CF219" s="297" t="e">
        <f t="shared" si="434"/>
        <v>#DIV/0!</v>
      </c>
      <c r="CG219" s="298">
        <f t="shared" si="435"/>
        <v>61350</v>
      </c>
      <c r="CH219" s="297">
        <f t="shared" si="436"/>
        <v>0.69023463353474424</v>
      </c>
      <c r="CI219" s="686"/>
      <c r="CJ219" s="659"/>
      <c r="CK219" s="651"/>
      <c r="CL219" s="657">
        <f t="shared" si="464"/>
        <v>0</v>
      </c>
      <c r="CM219" s="657">
        <f t="shared" si="465"/>
        <v>0</v>
      </c>
      <c r="CN219" s="659">
        <f t="shared" si="466"/>
        <v>26250</v>
      </c>
      <c r="CO219" s="464"/>
      <c r="CP219" s="465"/>
      <c r="CQ219" s="465">
        <f t="shared" si="390"/>
        <v>0</v>
      </c>
      <c r="CR219" s="465">
        <f t="shared" si="372"/>
        <v>0</v>
      </c>
      <c r="CS219" s="486" t="e">
        <f t="shared" si="437"/>
        <v>#DIV/0!</v>
      </c>
      <c r="CT219" s="465">
        <f t="shared" si="438"/>
        <v>1619</v>
      </c>
      <c r="CU219" s="486">
        <f t="shared" si="439"/>
        <v>1.821499383362267E-2</v>
      </c>
      <c r="CV219" s="518"/>
      <c r="CW219" s="427"/>
      <c r="CX219" s="427"/>
      <c r="CY219" s="427">
        <f t="shared" si="440"/>
        <v>0</v>
      </c>
      <c r="CZ219" s="427">
        <f t="shared" si="441"/>
        <v>0</v>
      </c>
      <c r="DA219" s="607" t="e">
        <f t="shared" si="456"/>
        <v>#DIV/0!</v>
      </c>
      <c r="DB219" s="607">
        <f t="shared" si="442"/>
        <v>115</v>
      </c>
      <c r="DC219" s="607">
        <f t="shared" si="391"/>
        <v>1.2938383513691211E-3</v>
      </c>
      <c r="DD219" s="609"/>
      <c r="DE219" s="471"/>
      <c r="DF219" s="473"/>
      <c r="DG219" s="473">
        <f t="shared" si="392"/>
        <v>0</v>
      </c>
      <c r="DH219" s="473">
        <f t="shared" si="373"/>
        <v>0</v>
      </c>
      <c r="DI219" s="227" t="e">
        <f t="shared" si="443"/>
        <v>#DIV/0!</v>
      </c>
      <c r="DJ219" s="473">
        <f t="shared" si="444"/>
        <v>155.19999999999999</v>
      </c>
      <c r="DK219" s="227">
        <f t="shared" si="445"/>
        <v>1.7461192359346748E-3</v>
      </c>
      <c r="DL219" s="508"/>
      <c r="DM219" s="63"/>
      <c r="DN219" s="64"/>
      <c r="DO219" s="66">
        <f t="shared" si="446"/>
        <v>0</v>
      </c>
      <c r="DP219" s="66">
        <f t="shared" si="374"/>
        <v>0</v>
      </c>
      <c r="DQ219" s="412" t="e">
        <f t="shared" si="447"/>
        <v>#DIV/0!</v>
      </c>
      <c r="DR219" s="66">
        <f t="shared" si="448"/>
        <v>18000</v>
      </c>
      <c r="DS219" s="412">
        <f t="shared" si="449"/>
        <v>0.2025138289099494</v>
      </c>
      <c r="DT219" s="684"/>
      <c r="DU219" s="596"/>
      <c r="DV219" s="596"/>
      <c r="DW219" s="596">
        <f t="shared" si="393"/>
        <v>0</v>
      </c>
      <c r="DX219" s="596">
        <f t="shared" si="375"/>
        <v>0</v>
      </c>
      <c r="DY219" s="592" t="e">
        <f t="shared" si="394"/>
        <v>#DIV/0!</v>
      </c>
      <c r="DZ219" s="596">
        <f t="shared" si="450"/>
        <v>2800</v>
      </c>
      <c r="EA219" s="592">
        <f t="shared" si="395"/>
        <v>3.1502151163769906E-2</v>
      </c>
      <c r="EB219" s="594"/>
      <c r="EC219" s="448"/>
      <c r="ED219" s="449"/>
      <c r="EE219" s="449">
        <f t="shared" si="396"/>
        <v>0</v>
      </c>
      <c r="EF219" s="449">
        <f t="shared" si="376"/>
        <v>0</v>
      </c>
      <c r="EG219" s="450" t="e">
        <f t="shared" si="454"/>
        <v>#DIV/0!</v>
      </c>
      <c r="EH219" s="449">
        <f t="shared" si="451"/>
        <v>1165</v>
      </c>
      <c r="EI219" s="450">
        <f t="shared" si="455"/>
        <v>1.3107145037782836E-2</v>
      </c>
      <c r="EJ219" s="687"/>
      <c r="EK219" s="426"/>
      <c r="EL219" s="427"/>
      <c r="EM219" s="427">
        <f t="shared" si="397"/>
        <v>0</v>
      </c>
      <c r="EN219" s="427">
        <f t="shared" si="377"/>
        <v>0</v>
      </c>
      <c r="EO219" s="427">
        <f t="shared" si="398"/>
        <v>84722</v>
      </c>
      <c r="EP219" s="456"/>
      <c r="EQ219" s="457"/>
      <c r="ER219" s="457">
        <f t="shared" si="399"/>
        <v>0</v>
      </c>
      <c r="ES219" s="457">
        <f t="shared" si="378"/>
        <v>0</v>
      </c>
      <c r="ET219" s="457">
        <f t="shared" si="400"/>
        <v>2242</v>
      </c>
      <c r="EU219" s="409"/>
      <c r="EV219" s="43"/>
      <c r="EW219" s="43">
        <f t="shared" si="401"/>
        <v>0</v>
      </c>
      <c r="EX219" s="43">
        <f t="shared" si="379"/>
        <v>0</v>
      </c>
      <c r="EY219" s="43">
        <f t="shared" si="402"/>
        <v>940</v>
      </c>
      <c r="EZ219" s="436"/>
      <c r="FA219" s="437"/>
      <c r="FB219" s="437">
        <f t="shared" si="403"/>
        <v>0</v>
      </c>
      <c r="FC219" s="437">
        <f t="shared" si="380"/>
        <v>0</v>
      </c>
      <c r="FD219" s="437">
        <f t="shared" si="404"/>
        <v>1090</v>
      </c>
      <c r="FE219" s="442"/>
      <c r="FF219" s="443"/>
      <c r="FG219" s="443">
        <f t="shared" si="405"/>
        <v>0</v>
      </c>
      <c r="FH219" s="443">
        <f t="shared" si="381"/>
        <v>0</v>
      </c>
      <c r="FI219" s="443">
        <f t="shared" si="406"/>
        <v>1200</v>
      </c>
      <c r="FJ219" s="392"/>
      <c r="FK219" s="298"/>
      <c r="FL219" s="298">
        <f t="shared" si="407"/>
        <v>0</v>
      </c>
      <c r="FM219" s="298">
        <f t="shared" si="382"/>
        <v>0</v>
      </c>
      <c r="FN219" s="498">
        <f t="shared" si="408"/>
        <v>4800</v>
      </c>
      <c r="HC219" s="402"/>
      <c r="HD219" s="52"/>
      <c r="HE219" s="52">
        <f t="shared" si="409"/>
        <v>0</v>
      </c>
      <c r="HF219" s="52">
        <f t="shared" si="383"/>
        <v>0</v>
      </c>
      <c r="HG219" s="51"/>
      <c r="HH219" s="52">
        <f t="shared" si="452"/>
        <v>2800</v>
      </c>
      <c r="HI219" s="51"/>
      <c r="HJ219" s="1050"/>
    </row>
    <row r="220" spans="1:218">
      <c r="A220" s="30">
        <v>44883</v>
      </c>
      <c r="B220" s="390"/>
      <c r="C220" s="18">
        <f t="shared" si="363"/>
        <v>88882819</v>
      </c>
      <c r="D220" s="376"/>
      <c r="E220" s="417">
        <f t="shared" si="467"/>
        <v>1061606.7599999998</v>
      </c>
      <c r="F220" s="397"/>
      <c r="G220" s="37"/>
      <c r="H220" s="37">
        <f t="shared" si="384"/>
        <v>0</v>
      </c>
      <c r="I220" s="37">
        <f t="shared" si="364"/>
        <v>0</v>
      </c>
      <c r="J220" s="37" t="e">
        <f t="shared" si="365"/>
        <v>#DIV/0!</v>
      </c>
      <c r="K220" s="37">
        <f t="shared" si="410"/>
        <v>481207</v>
      </c>
      <c r="L220" s="37">
        <f t="shared" si="366"/>
        <v>453.28177827352954</v>
      </c>
      <c r="M220" s="680"/>
      <c r="N220" s="422"/>
      <c r="O220" s="423"/>
      <c r="P220" s="423">
        <f t="shared" si="411"/>
        <v>0</v>
      </c>
      <c r="Q220" s="423">
        <f t="shared" si="412"/>
        <v>0</v>
      </c>
      <c r="R220" s="423">
        <f t="shared" si="413"/>
        <v>14025</v>
      </c>
      <c r="S220" s="68"/>
      <c r="T220" s="67">
        <v>24</v>
      </c>
      <c r="U220" s="68">
        <f t="shared" si="414"/>
        <v>0</v>
      </c>
      <c r="V220" s="68" t="e">
        <f t="shared" si="367"/>
        <v>#DIV/0!</v>
      </c>
      <c r="W220" s="423">
        <f t="shared" si="415"/>
        <v>13670.903999999999</v>
      </c>
      <c r="X220" s="68">
        <f t="shared" si="368"/>
        <v>12.877559295119788</v>
      </c>
      <c r="Y220" s="681"/>
      <c r="Z220" s="424"/>
      <c r="AA220" s="425"/>
      <c r="AB220" s="425">
        <f t="shared" si="416"/>
        <v>0</v>
      </c>
      <c r="AC220" s="425">
        <f t="shared" si="417"/>
        <v>0</v>
      </c>
      <c r="AD220" s="425">
        <f t="shared" si="418"/>
        <v>2225</v>
      </c>
      <c r="AE220" s="72"/>
      <c r="AF220" s="71">
        <v>12</v>
      </c>
      <c r="AG220" s="72">
        <f t="shared" si="419"/>
        <v>0</v>
      </c>
      <c r="AH220" s="72" t="e">
        <f t="shared" si="385"/>
        <v>#DIV/0!</v>
      </c>
      <c r="AI220" s="425">
        <f t="shared" si="420"/>
        <v>2049.9120000000016</v>
      </c>
      <c r="AJ220" s="72">
        <f t="shared" si="453"/>
        <v>1.9309522859481434</v>
      </c>
      <c r="AK220" s="682"/>
      <c r="AL220" s="491"/>
      <c r="AM220" s="491"/>
      <c r="AN220" s="492">
        <f t="shared" si="460"/>
        <v>0</v>
      </c>
      <c r="AO220" s="492">
        <f t="shared" si="461"/>
        <v>0</v>
      </c>
      <c r="AP220" s="492">
        <f t="shared" si="462"/>
        <v>83573</v>
      </c>
      <c r="AQ220" s="493">
        <f t="shared" si="386"/>
        <v>78.723123428490624</v>
      </c>
      <c r="AR220" s="683"/>
      <c r="AS220" s="413"/>
      <c r="AT220" s="64"/>
      <c r="AU220" s="66">
        <f t="shared" si="421"/>
        <v>0</v>
      </c>
      <c r="AV220" s="66">
        <f t="shared" si="369"/>
        <v>0</v>
      </c>
      <c r="AW220" s="412" t="e">
        <f t="shared" si="422"/>
        <v>#DIV/0!</v>
      </c>
      <c r="AX220" s="66">
        <f t="shared" si="423"/>
        <v>297615</v>
      </c>
      <c r="AY220" s="412">
        <f t="shared" si="424"/>
        <v>3.3483973995019216</v>
      </c>
      <c r="AZ220" s="684"/>
      <c r="BA220" s="419"/>
      <c r="BB220" s="419"/>
      <c r="BC220" s="407"/>
      <c r="BD220" s="419">
        <f t="shared" si="387"/>
        <v>0</v>
      </c>
      <c r="BE220" s="419">
        <f t="shared" si="388"/>
        <v>0</v>
      </c>
      <c r="BF220" s="407" t="e">
        <f t="shared" si="425"/>
        <v>#DIV/0!</v>
      </c>
      <c r="BG220" s="419">
        <f t="shared" si="463"/>
        <v>368770</v>
      </c>
      <c r="BH220" s="407">
        <f t="shared" si="426"/>
        <v>4.1489458159512242</v>
      </c>
      <c r="BI220" s="407">
        <f t="shared" si="427"/>
        <v>0.50803418154504787</v>
      </c>
      <c r="BJ220" s="508"/>
      <c r="BK220" s="510"/>
      <c r="BL220" s="49"/>
      <c r="BM220" s="50"/>
      <c r="BN220" s="52">
        <f t="shared" si="428"/>
        <v>0</v>
      </c>
      <c r="BO220" s="52">
        <f t="shared" si="370"/>
        <v>0</v>
      </c>
      <c r="BP220" s="406" t="e">
        <f t="shared" si="429"/>
        <v>#DIV/0!</v>
      </c>
      <c r="BQ220" s="52">
        <f t="shared" si="430"/>
        <v>37700</v>
      </c>
      <c r="BR220" s="406">
        <f t="shared" si="431"/>
        <v>0.42415396388361626</v>
      </c>
      <c r="BS220" s="685"/>
      <c r="BT220" s="409"/>
      <c r="BU220" s="43"/>
      <c r="BV220" s="43">
        <f t="shared" si="457"/>
        <v>0</v>
      </c>
      <c r="BW220" s="43">
        <f t="shared" si="458"/>
        <v>0</v>
      </c>
      <c r="BX220" s="42" t="e">
        <f t="shared" si="432"/>
        <v>#DIV/0!</v>
      </c>
      <c r="BY220" s="43">
        <f t="shared" si="459"/>
        <v>19437</v>
      </c>
      <c r="BZ220" s="42">
        <f t="shared" si="433"/>
        <v>0.21868118291792704</v>
      </c>
      <c r="CA220" s="514"/>
      <c r="CB220" s="392"/>
      <c r="CC220" s="298"/>
      <c r="CD220" s="298">
        <f t="shared" si="389"/>
        <v>0</v>
      </c>
      <c r="CE220" s="298">
        <f t="shared" si="371"/>
        <v>0</v>
      </c>
      <c r="CF220" s="297" t="e">
        <f t="shared" si="434"/>
        <v>#DIV/0!</v>
      </c>
      <c r="CG220" s="298">
        <f t="shared" si="435"/>
        <v>61350</v>
      </c>
      <c r="CH220" s="297">
        <f t="shared" si="436"/>
        <v>0.69023463353474424</v>
      </c>
      <c r="CI220" s="686"/>
      <c r="CJ220" s="659"/>
      <c r="CK220" s="651"/>
      <c r="CL220" s="657">
        <f t="shared" si="464"/>
        <v>0</v>
      </c>
      <c r="CM220" s="657">
        <f t="shared" si="465"/>
        <v>0</v>
      </c>
      <c r="CN220" s="659">
        <f t="shared" si="466"/>
        <v>26250</v>
      </c>
      <c r="CO220" s="464"/>
      <c r="CP220" s="465"/>
      <c r="CQ220" s="465">
        <f t="shared" si="390"/>
        <v>0</v>
      </c>
      <c r="CR220" s="465">
        <f t="shared" si="372"/>
        <v>0</v>
      </c>
      <c r="CS220" s="486" t="e">
        <f t="shared" si="437"/>
        <v>#DIV/0!</v>
      </c>
      <c r="CT220" s="465">
        <f t="shared" si="438"/>
        <v>1619</v>
      </c>
      <c r="CU220" s="486">
        <f t="shared" si="439"/>
        <v>1.821499383362267E-2</v>
      </c>
      <c r="CV220" s="518"/>
      <c r="CW220" s="427"/>
      <c r="CX220" s="427"/>
      <c r="CY220" s="427">
        <f t="shared" si="440"/>
        <v>0</v>
      </c>
      <c r="CZ220" s="427">
        <f t="shared" si="441"/>
        <v>0</v>
      </c>
      <c r="DA220" s="607" t="e">
        <f t="shared" si="456"/>
        <v>#DIV/0!</v>
      </c>
      <c r="DB220" s="607">
        <f t="shared" si="442"/>
        <v>115</v>
      </c>
      <c r="DC220" s="607">
        <f t="shared" si="391"/>
        <v>1.2938383513691211E-3</v>
      </c>
      <c r="DD220" s="609"/>
      <c r="DE220" s="471"/>
      <c r="DF220" s="473"/>
      <c r="DG220" s="473">
        <f t="shared" si="392"/>
        <v>0</v>
      </c>
      <c r="DH220" s="473">
        <f t="shared" si="373"/>
        <v>0</v>
      </c>
      <c r="DI220" s="227" t="e">
        <f t="shared" si="443"/>
        <v>#DIV/0!</v>
      </c>
      <c r="DJ220" s="473">
        <f t="shared" si="444"/>
        <v>155.19999999999999</v>
      </c>
      <c r="DK220" s="227">
        <f t="shared" si="445"/>
        <v>1.7461192359346748E-3</v>
      </c>
      <c r="DL220" s="508"/>
      <c r="DM220" s="63"/>
      <c r="DN220" s="64"/>
      <c r="DO220" s="66">
        <f t="shared" si="446"/>
        <v>0</v>
      </c>
      <c r="DP220" s="66">
        <f t="shared" si="374"/>
        <v>0</v>
      </c>
      <c r="DQ220" s="412" t="e">
        <f t="shared" si="447"/>
        <v>#DIV/0!</v>
      </c>
      <c r="DR220" s="66">
        <f t="shared" si="448"/>
        <v>18000</v>
      </c>
      <c r="DS220" s="412">
        <f t="shared" si="449"/>
        <v>0.2025138289099494</v>
      </c>
      <c r="DT220" s="684"/>
      <c r="DU220" s="596"/>
      <c r="DV220" s="596"/>
      <c r="DW220" s="596">
        <f t="shared" si="393"/>
        <v>0</v>
      </c>
      <c r="DX220" s="596">
        <f t="shared" si="375"/>
        <v>0</v>
      </c>
      <c r="DY220" s="592" t="e">
        <f t="shared" si="394"/>
        <v>#DIV/0!</v>
      </c>
      <c r="DZ220" s="596">
        <f t="shared" si="450"/>
        <v>2800</v>
      </c>
      <c r="EA220" s="592">
        <f t="shared" si="395"/>
        <v>3.1502151163769906E-2</v>
      </c>
      <c r="EB220" s="594"/>
      <c r="EC220" s="448"/>
      <c r="ED220" s="449"/>
      <c r="EE220" s="449">
        <f t="shared" si="396"/>
        <v>0</v>
      </c>
      <c r="EF220" s="449">
        <f t="shared" si="376"/>
        <v>0</v>
      </c>
      <c r="EG220" s="450" t="e">
        <f t="shared" si="454"/>
        <v>#DIV/0!</v>
      </c>
      <c r="EH220" s="449">
        <f t="shared" si="451"/>
        <v>1165</v>
      </c>
      <c r="EI220" s="450">
        <f t="shared" si="455"/>
        <v>1.3107145037782836E-2</v>
      </c>
      <c r="EJ220" s="687"/>
      <c r="EK220" s="426"/>
      <c r="EL220" s="427"/>
      <c r="EM220" s="427">
        <f t="shared" si="397"/>
        <v>0</v>
      </c>
      <c r="EN220" s="427">
        <f t="shared" si="377"/>
        <v>0</v>
      </c>
      <c r="EO220" s="427">
        <f t="shared" si="398"/>
        <v>84722</v>
      </c>
      <c r="EP220" s="456"/>
      <c r="EQ220" s="457"/>
      <c r="ER220" s="457">
        <f t="shared" si="399"/>
        <v>0</v>
      </c>
      <c r="ES220" s="457">
        <f t="shared" si="378"/>
        <v>0</v>
      </c>
      <c r="ET220" s="457">
        <f t="shared" si="400"/>
        <v>2242</v>
      </c>
      <c r="EU220" s="409"/>
      <c r="EV220" s="43"/>
      <c r="EW220" s="43">
        <f t="shared" si="401"/>
        <v>0</v>
      </c>
      <c r="EX220" s="43">
        <f t="shared" si="379"/>
        <v>0</v>
      </c>
      <c r="EY220" s="43">
        <f t="shared" si="402"/>
        <v>940</v>
      </c>
      <c r="EZ220" s="436"/>
      <c r="FA220" s="437"/>
      <c r="FB220" s="437">
        <f t="shared" si="403"/>
        <v>0</v>
      </c>
      <c r="FC220" s="437">
        <f t="shared" si="380"/>
        <v>0</v>
      </c>
      <c r="FD220" s="437">
        <f t="shared" si="404"/>
        <v>1090</v>
      </c>
      <c r="FE220" s="442"/>
      <c r="FF220" s="443"/>
      <c r="FG220" s="443">
        <f t="shared" si="405"/>
        <v>0</v>
      </c>
      <c r="FH220" s="443">
        <f t="shared" si="381"/>
        <v>0</v>
      </c>
      <c r="FI220" s="443">
        <f t="shared" si="406"/>
        <v>1200</v>
      </c>
      <c r="FJ220" s="392"/>
      <c r="FK220" s="298"/>
      <c r="FL220" s="298">
        <f t="shared" si="407"/>
        <v>0</v>
      </c>
      <c r="FM220" s="298">
        <f t="shared" si="382"/>
        <v>0</v>
      </c>
      <c r="FN220" s="498">
        <f t="shared" si="408"/>
        <v>4800</v>
      </c>
      <c r="HC220" s="402"/>
      <c r="HD220" s="52"/>
      <c r="HE220" s="52">
        <f t="shared" si="409"/>
        <v>0</v>
      </c>
      <c r="HF220" s="52">
        <f t="shared" si="383"/>
        <v>0</v>
      </c>
      <c r="HG220" s="51"/>
      <c r="HH220" s="52">
        <f t="shared" si="452"/>
        <v>2800</v>
      </c>
      <c r="HI220" s="51"/>
      <c r="HJ220" s="1050"/>
    </row>
    <row r="221" spans="1:218">
      <c r="A221" s="30">
        <v>44884</v>
      </c>
      <c r="B221" s="390"/>
      <c r="C221" s="18">
        <f t="shared" si="363"/>
        <v>88882819</v>
      </c>
      <c r="D221" s="376"/>
      <c r="E221" s="417">
        <f t="shared" si="467"/>
        <v>1061606.7599999998</v>
      </c>
      <c r="F221" s="397"/>
      <c r="G221" s="37"/>
      <c r="H221" s="37">
        <f t="shared" si="384"/>
        <v>0</v>
      </c>
      <c r="I221" s="37">
        <f t="shared" si="364"/>
        <v>0</v>
      </c>
      <c r="J221" s="37" t="e">
        <f t="shared" si="365"/>
        <v>#DIV/0!</v>
      </c>
      <c r="K221" s="37">
        <f t="shared" si="410"/>
        <v>481207</v>
      </c>
      <c r="L221" s="37">
        <f t="shared" si="366"/>
        <v>453.28177827352954</v>
      </c>
      <c r="M221" s="680"/>
      <c r="N221" s="422"/>
      <c r="O221" s="423"/>
      <c r="P221" s="423">
        <f t="shared" si="411"/>
        <v>0</v>
      </c>
      <c r="Q221" s="423">
        <f t="shared" si="412"/>
        <v>0</v>
      </c>
      <c r="R221" s="423">
        <f t="shared" si="413"/>
        <v>14025</v>
      </c>
      <c r="S221" s="68"/>
      <c r="T221" s="67">
        <v>24</v>
      </c>
      <c r="U221" s="68">
        <f t="shared" si="414"/>
        <v>0</v>
      </c>
      <c r="V221" s="68" t="e">
        <f t="shared" si="367"/>
        <v>#DIV/0!</v>
      </c>
      <c r="W221" s="423">
        <f t="shared" si="415"/>
        <v>13670.903999999999</v>
      </c>
      <c r="X221" s="68">
        <f t="shared" si="368"/>
        <v>12.877559295119788</v>
      </c>
      <c r="Y221" s="681"/>
      <c r="Z221" s="424"/>
      <c r="AA221" s="425"/>
      <c r="AB221" s="425">
        <f t="shared" si="416"/>
        <v>0</v>
      </c>
      <c r="AC221" s="425">
        <f t="shared" si="417"/>
        <v>0</v>
      </c>
      <c r="AD221" s="425">
        <f t="shared" si="418"/>
        <v>2225</v>
      </c>
      <c r="AE221" s="72"/>
      <c r="AF221" s="71">
        <v>12</v>
      </c>
      <c r="AG221" s="72">
        <f t="shared" si="419"/>
        <v>0</v>
      </c>
      <c r="AH221" s="72" t="e">
        <f t="shared" si="385"/>
        <v>#DIV/0!</v>
      </c>
      <c r="AI221" s="425">
        <f t="shared" si="420"/>
        <v>2049.9120000000016</v>
      </c>
      <c r="AJ221" s="72">
        <f t="shared" si="453"/>
        <v>1.9309522859481434</v>
      </c>
      <c r="AK221" s="682"/>
      <c r="AL221" s="491"/>
      <c r="AM221" s="491"/>
      <c r="AN221" s="492">
        <f t="shared" si="460"/>
        <v>0</v>
      </c>
      <c r="AO221" s="492">
        <f t="shared" si="461"/>
        <v>0</v>
      </c>
      <c r="AP221" s="492">
        <f t="shared" si="462"/>
        <v>83573</v>
      </c>
      <c r="AQ221" s="493">
        <f t="shared" si="386"/>
        <v>78.723123428490624</v>
      </c>
      <c r="AR221" s="683"/>
      <c r="AS221" s="413"/>
      <c r="AT221" s="64"/>
      <c r="AU221" s="66">
        <f t="shared" si="421"/>
        <v>0</v>
      </c>
      <c r="AV221" s="66">
        <f t="shared" si="369"/>
        <v>0</v>
      </c>
      <c r="AW221" s="412" t="e">
        <f t="shared" si="422"/>
        <v>#DIV/0!</v>
      </c>
      <c r="AX221" s="66">
        <f t="shared" si="423"/>
        <v>297615</v>
      </c>
      <c r="AY221" s="412">
        <f t="shared" si="424"/>
        <v>3.3483973995019216</v>
      </c>
      <c r="AZ221" s="684"/>
      <c r="BA221" s="419"/>
      <c r="BB221" s="419"/>
      <c r="BC221" s="407"/>
      <c r="BD221" s="419">
        <f t="shared" si="387"/>
        <v>0</v>
      </c>
      <c r="BE221" s="419">
        <f t="shared" si="388"/>
        <v>0</v>
      </c>
      <c r="BF221" s="407" t="e">
        <f t="shared" si="425"/>
        <v>#DIV/0!</v>
      </c>
      <c r="BG221" s="419">
        <f t="shared" si="463"/>
        <v>368770</v>
      </c>
      <c r="BH221" s="407">
        <f t="shared" si="426"/>
        <v>4.1489458159512242</v>
      </c>
      <c r="BI221" s="407">
        <f t="shared" si="427"/>
        <v>0.50803418154504787</v>
      </c>
      <c r="BJ221" s="508"/>
      <c r="BK221" s="510"/>
      <c r="BL221" s="49"/>
      <c r="BM221" s="50"/>
      <c r="BN221" s="52">
        <f t="shared" si="428"/>
        <v>0</v>
      </c>
      <c r="BO221" s="52">
        <f t="shared" si="370"/>
        <v>0</v>
      </c>
      <c r="BP221" s="406" t="e">
        <f t="shared" si="429"/>
        <v>#DIV/0!</v>
      </c>
      <c r="BQ221" s="52">
        <f t="shared" si="430"/>
        <v>37700</v>
      </c>
      <c r="BR221" s="406">
        <f t="shared" si="431"/>
        <v>0.42415396388361626</v>
      </c>
      <c r="BS221" s="685"/>
      <c r="BT221" s="409"/>
      <c r="BU221" s="43"/>
      <c r="BV221" s="43">
        <f t="shared" si="457"/>
        <v>0</v>
      </c>
      <c r="BW221" s="43">
        <f t="shared" si="458"/>
        <v>0</v>
      </c>
      <c r="BX221" s="42" t="e">
        <f t="shared" si="432"/>
        <v>#DIV/0!</v>
      </c>
      <c r="BY221" s="43">
        <f t="shared" si="459"/>
        <v>19437</v>
      </c>
      <c r="BZ221" s="42">
        <f t="shared" si="433"/>
        <v>0.21868118291792704</v>
      </c>
      <c r="CA221" s="514"/>
      <c r="CB221" s="392"/>
      <c r="CC221" s="298"/>
      <c r="CD221" s="298">
        <f t="shared" si="389"/>
        <v>0</v>
      </c>
      <c r="CE221" s="298">
        <f t="shared" si="371"/>
        <v>0</v>
      </c>
      <c r="CF221" s="297" t="e">
        <f t="shared" si="434"/>
        <v>#DIV/0!</v>
      </c>
      <c r="CG221" s="298">
        <f t="shared" si="435"/>
        <v>61350</v>
      </c>
      <c r="CH221" s="297">
        <f t="shared" si="436"/>
        <v>0.69023463353474424</v>
      </c>
      <c r="CI221" s="686"/>
      <c r="CJ221" s="659"/>
      <c r="CK221" s="651"/>
      <c r="CL221" s="657">
        <f t="shared" si="464"/>
        <v>0</v>
      </c>
      <c r="CM221" s="657">
        <f t="shared" si="465"/>
        <v>0</v>
      </c>
      <c r="CN221" s="659">
        <f t="shared" si="466"/>
        <v>26250</v>
      </c>
      <c r="CO221" s="464"/>
      <c r="CP221" s="465"/>
      <c r="CQ221" s="465">
        <f t="shared" si="390"/>
        <v>0</v>
      </c>
      <c r="CR221" s="465">
        <f t="shared" si="372"/>
        <v>0</v>
      </c>
      <c r="CS221" s="486" t="e">
        <f t="shared" si="437"/>
        <v>#DIV/0!</v>
      </c>
      <c r="CT221" s="465">
        <f t="shared" si="438"/>
        <v>1619</v>
      </c>
      <c r="CU221" s="486">
        <f t="shared" si="439"/>
        <v>1.821499383362267E-2</v>
      </c>
      <c r="CV221" s="518"/>
      <c r="CW221" s="427"/>
      <c r="CX221" s="427"/>
      <c r="CY221" s="427">
        <f t="shared" si="440"/>
        <v>0</v>
      </c>
      <c r="CZ221" s="427">
        <f t="shared" si="441"/>
        <v>0</v>
      </c>
      <c r="DA221" s="607" t="e">
        <f t="shared" si="456"/>
        <v>#DIV/0!</v>
      </c>
      <c r="DB221" s="607">
        <f t="shared" si="442"/>
        <v>115</v>
      </c>
      <c r="DC221" s="607">
        <f t="shared" si="391"/>
        <v>1.2938383513691211E-3</v>
      </c>
      <c r="DD221" s="609"/>
      <c r="DE221" s="471"/>
      <c r="DF221" s="473"/>
      <c r="DG221" s="473">
        <f t="shared" si="392"/>
        <v>0</v>
      </c>
      <c r="DH221" s="473">
        <f t="shared" si="373"/>
        <v>0</v>
      </c>
      <c r="DI221" s="227" t="e">
        <f t="shared" si="443"/>
        <v>#DIV/0!</v>
      </c>
      <c r="DJ221" s="473">
        <f t="shared" si="444"/>
        <v>155.19999999999999</v>
      </c>
      <c r="DK221" s="227">
        <f t="shared" si="445"/>
        <v>1.7461192359346748E-3</v>
      </c>
      <c r="DL221" s="508"/>
      <c r="DM221" s="63"/>
      <c r="DN221" s="64"/>
      <c r="DO221" s="66">
        <f t="shared" si="446"/>
        <v>0</v>
      </c>
      <c r="DP221" s="66">
        <f t="shared" si="374"/>
        <v>0</v>
      </c>
      <c r="DQ221" s="412" t="e">
        <f t="shared" si="447"/>
        <v>#DIV/0!</v>
      </c>
      <c r="DR221" s="66">
        <f t="shared" si="448"/>
        <v>18000</v>
      </c>
      <c r="DS221" s="412">
        <f t="shared" si="449"/>
        <v>0.2025138289099494</v>
      </c>
      <c r="DT221" s="684"/>
      <c r="DU221" s="596"/>
      <c r="DV221" s="596"/>
      <c r="DW221" s="596">
        <f t="shared" si="393"/>
        <v>0</v>
      </c>
      <c r="DX221" s="596">
        <f t="shared" si="375"/>
        <v>0</v>
      </c>
      <c r="DY221" s="592" t="e">
        <f t="shared" si="394"/>
        <v>#DIV/0!</v>
      </c>
      <c r="DZ221" s="596">
        <f t="shared" si="450"/>
        <v>2800</v>
      </c>
      <c r="EA221" s="592">
        <f t="shared" si="395"/>
        <v>3.1502151163769906E-2</v>
      </c>
      <c r="EB221" s="594"/>
      <c r="EC221" s="448"/>
      <c r="ED221" s="449"/>
      <c r="EE221" s="449">
        <f t="shared" si="396"/>
        <v>0</v>
      </c>
      <c r="EF221" s="449">
        <f t="shared" si="376"/>
        <v>0</v>
      </c>
      <c r="EG221" s="450" t="e">
        <f t="shared" si="454"/>
        <v>#DIV/0!</v>
      </c>
      <c r="EH221" s="449">
        <f t="shared" si="451"/>
        <v>1165</v>
      </c>
      <c r="EI221" s="450">
        <f t="shared" si="455"/>
        <v>1.3107145037782836E-2</v>
      </c>
      <c r="EJ221" s="687"/>
      <c r="EK221" s="426"/>
      <c r="EL221" s="427"/>
      <c r="EM221" s="427">
        <f t="shared" si="397"/>
        <v>0</v>
      </c>
      <c r="EN221" s="427">
        <f t="shared" si="377"/>
        <v>0</v>
      </c>
      <c r="EO221" s="427">
        <f t="shared" si="398"/>
        <v>84722</v>
      </c>
      <c r="EP221" s="456"/>
      <c r="EQ221" s="457"/>
      <c r="ER221" s="457">
        <f t="shared" si="399"/>
        <v>0</v>
      </c>
      <c r="ES221" s="457">
        <f t="shared" si="378"/>
        <v>0</v>
      </c>
      <c r="ET221" s="457">
        <f t="shared" si="400"/>
        <v>2242</v>
      </c>
      <c r="EU221" s="409"/>
      <c r="EV221" s="43"/>
      <c r="EW221" s="43">
        <f t="shared" si="401"/>
        <v>0</v>
      </c>
      <c r="EX221" s="43">
        <f t="shared" si="379"/>
        <v>0</v>
      </c>
      <c r="EY221" s="43">
        <f t="shared" si="402"/>
        <v>940</v>
      </c>
      <c r="EZ221" s="436"/>
      <c r="FA221" s="437"/>
      <c r="FB221" s="437">
        <f t="shared" si="403"/>
        <v>0</v>
      </c>
      <c r="FC221" s="437">
        <f t="shared" si="380"/>
        <v>0</v>
      </c>
      <c r="FD221" s="437">
        <f t="shared" si="404"/>
        <v>1090</v>
      </c>
      <c r="FE221" s="442"/>
      <c r="FF221" s="443"/>
      <c r="FG221" s="443">
        <f t="shared" si="405"/>
        <v>0</v>
      </c>
      <c r="FH221" s="443">
        <f t="shared" si="381"/>
        <v>0</v>
      </c>
      <c r="FI221" s="443">
        <f t="shared" si="406"/>
        <v>1200</v>
      </c>
      <c r="FJ221" s="392"/>
      <c r="FK221" s="298"/>
      <c r="FL221" s="298">
        <f t="shared" si="407"/>
        <v>0</v>
      </c>
      <c r="FM221" s="298">
        <f t="shared" si="382"/>
        <v>0</v>
      </c>
      <c r="FN221" s="498">
        <f t="shared" si="408"/>
        <v>4800</v>
      </c>
      <c r="HC221" s="402"/>
      <c r="HD221" s="52"/>
      <c r="HE221" s="52">
        <f t="shared" si="409"/>
        <v>0</v>
      </c>
      <c r="HF221" s="52">
        <f t="shared" si="383"/>
        <v>0</v>
      </c>
      <c r="HG221" s="51"/>
      <c r="HH221" s="52">
        <f t="shared" si="452"/>
        <v>2800</v>
      </c>
      <c r="HI221" s="51"/>
      <c r="HJ221" s="1050"/>
    </row>
    <row r="222" spans="1:218">
      <c r="A222" s="30">
        <v>44885</v>
      </c>
      <c r="B222" s="390"/>
      <c r="C222" s="18">
        <f t="shared" si="363"/>
        <v>88882819</v>
      </c>
      <c r="D222" s="376"/>
      <c r="E222" s="417">
        <f t="shared" si="467"/>
        <v>1061606.7599999998</v>
      </c>
      <c r="F222" s="397"/>
      <c r="G222" s="37"/>
      <c r="H222" s="37">
        <f t="shared" si="384"/>
        <v>0</v>
      </c>
      <c r="I222" s="37">
        <f t="shared" si="364"/>
        <v>0</v>
      </c>
      <c r="J222" s="37" t="e">
        <f t="shared" si="365"/>
        <v>#DIV/0!</v>
      </c>
      <c r="K222" s="37">
        <f t="shared" si="410"/>
        <v>481207</v>
      </c>
      <c r="L222" s="37">
        <f t="shared" si="366"/>
        <v>453.28177827352954</v>
      </c>
      <c r="M222" s="680"/>
      <c r="N222" s="422"/>
      <c r="O222" s="423"/>
      <c r="P222" s="423">
        <f t="shared" si="411"/>
        <v>0</v>
      </c>
      <c r="Q222" s="423">
        <f t="shared" si="412"/>
        <v>0</v>
      </c>
      <c r="R222" s="423">
        <f t="shared" si="413"/>
        <v>14025</v>
      </c>
      <c r="S222" s="68"/>
      <c r="T222" s="67">
        <v>24</v>
      </c>
      <c r="U222" s="68">
        <f t="shared" si="414"/>
        <v>0</v>
      </c>
      <c r="V222" s="68" t="e">
        <f t="shared" si="367"/>
        <v>#DIV/0!</v>
      </c>
      <c r="W222" s="423">
        <f t="shared" si="415"/>
        <v>13670.903999999999</v>
      </c>
      <c r="X222" s="68">
        <f t="shared" si="368"/>
        <v>12.877559295119788</v>
      </c>
      <c r="Y222" s="681"/>
      <c r="Z222" s="424"/>
      <c r="AA222" s="425"/>
      <c r="AB222" s="425">
        <f t="shared" si="416"/>
        <v>0</v>
      </c>
      <c r="AC222" s="425">
        <f t="shared" si="417"/>
        <v>0</v>
      </c>
      <c r="AD222" s="425">
        <f t="shared" si="418"/>
        <v>2225</v>
      </c>
      <c r="AE222" s="72"/>
      <c r="AF222" s="71">
        <v>12</v>
      </c>
      <c r="AG222" s="72">
        <f t="shared" si="419"/>
        <v>0</v>
      </c>
      <c r="AH222" s="72" t="e">
        <f t="shared" si="385"/>
        <v>#DIV/0!</v>
      </c>
      <c r="AI222" s="425">
        <f t="shared" si="420"/>
        <v>2049.9120000000016</v>
      </c>
      <c r="AJ222" s="72">
        <f t="shared" si="453"/>
        <v>1.9309522859481434</v>
      </c>
      <c r="AK222" s="682"/>
      <c r="AL222" s="491"/>
      <c r="AM222" s="491"/>
      <c r="AN222" s="492">
        <f t="shared" si="460"/>
        <v>0</v>
      </c>
      <c r="AO222" s="492">
        <f t="shared" si="461"/>
        <v>0</v>
      </c>
      <c r="AP222" s="492">
        <f t="shared" si="462"/>
        <v>83573</v>
      </c>
      <c r="AQ222" s="493">
        <f t="shared" si="386"/>
        <v>78.723123428490624</v>
      </c>
      <c r="AR222" s="683"/>
      <c r="AS222" s="413"/>
      <c r="AT222" s="64"/>
      <c r="AU222" s="66">
        <f t="shared" si="421"/>
        <v>0</v>
      </c>
      <c r="AV222" s="66">
        <f t="shared" si="369"/>
        <v>0</v>
      </c>
      <c r="AW222" s="412" t="e">
        <f t="shared" si="422"/>
        <v>#DIV/0!</v>
      </c>
      <c r="AX222" s="66">
        <f t="shared" si="423"/>
        <v>297615</v>
      </c>
      <c r="AY222" s="412">
        <f t="shared" si="424"/>
        <v>3.3483973995019216</v>
      </c>
      <c r="AZ222" s="684"/>
      <c r="BA222" s="419"/>
      <c r="BB222" s="419"/>
      <c r="BC222" s="407"/>
      <c r="BD222" s="419">
        <f t="shared" si="387"/>
        <v>0</v>
      </c>
      <c r="BE222" s="419">
        <f t="shared" si="388"/>
        <v>0</v>
      </c>
      <c r="BF222" s="407" t="e">
        <f t="shared" si="425"/>
        <v>#DIV/0!</v>
      </c>
      <c r="BG222" s="419">
        <f t="shared" si="463"/>
        <v>368770</v>
      </c>
      <c r="BH222" s="407">
        <f t="shared" si="426"/>
        <v>4.1489458159512242</v>
      </c>
      <c r="BI222" s="407">
        <f t="shared" si="427"/>
        <v>0.50803418154504787</v>
      </c>
      <c r="BJ222" s="508"/>
      <c r="BK222" s="510"/>
      <c r="BL222" s="49"/>
      <c r="BM222" s="50"/>
      <c r="BN222" s="52">
        <f t="shared" si="428"/>
        <v>0</v>
      </c>
      <c r="BO222" s="52">
        <f t="shared" si="370"/>
        <v>0</v>
      </c>
      <c r="BP222" s="406" t="e">
        <f t="shared" si="429"/>
        <v>#DIV/0!</v>
      </c>
      <c r="BQ222" s="52">
        <f t="shared" si="430"/>
        <v>37700</v>
      </c>
      <c r="BR222" s="406">
        <f t="shared" si="431"/>
        <v>0.42415396388361626</v>
      </c>
      <c r="BS222" s="685"/>
      <c r="BT222" s="409"/>
      <c r="BU222" s="43"/>
      <c r="BV222" s="43">
        <f t="shared" si="457"/>
        <v>0</v>
      </c>
      <c r="BW222" s="43">
        <f t="shared" si="458"/>
        <v>0</v>
      </c>
      <c r="BX222" s="42" t="e">
        <f t="shared" si="432"/>
        <v>#DIV/0!</v>
      </c>
      <c r="BY222" s="43">
        <f t="shared" si="459"/>
        <v>19437</v>
      </c>
      <c r="BZ222" s="42">
        <f t="shared" si="433"/>
        <v>0.21868118291792704</v>
      </c>
      <c r="CA222" s="514"/>
      <c r="CB222" s="392"/>
      <c r="CC222" s="298"/>
      <c r="CD222" s="298">
        <f t="shared" si="389"/>
        <v>0</v>
      </c>
      <c r="CE222" s="298">
        <f t="shared" si="371"/>
        <v>0</v>
      </c>
      <c r="CF222" s="297" t="e">
        <f t="shared" si="434"/>
        <v>#DIV/0!</v>
      </c>
      <c r="CG222" s="298">
        <f t="shared" si="435"/>
        <v>61350</v>
      </c>
      <c r="CH222" s="297">
        <f t="shared" si="436"/>
        <v>0.69023463353474424</v>
      </c>
      <c r="CI222" s="686"/>
      <c r="CJ222" s="659"/>
      <c r="CK222" s="651"/>
      <c r="CL222" s="657">
        <f t="shared" si="464"/>
        <v>0</v>
      </c>
      <c r="CM222" s="657">
        <f t="shared" si="465"/>
        <v>0</v>
      </c>
      <c r="CN222" s="659">
        <f t="shared" si="466"/>
        <v>26250</v>
      </c>
      <c r="CO222" s="464"/>
      <c r="CP222" s="465"/>
      <c r="CQ222" s="465">
        <f t="shared" si="390"/>
        <v>0</v>
      </c>
      <c r="CR222" s="465">
        <f t="shared" si="372"/>
        <v>0</v>
      </c>
      <c r="CS222" s="486" t="e">
        <f t="shared" si="437"/>
        <v>#DIV/0!</v>
      </c>
      <c r="CT222" s="465">
        <f t="shared" si="438"/>
        <v>1619</v>
      </c>
      <c r="CU222" s="486">
        <f t="shared" si="439"/>
        <v>1.821499383362267E-2</v>
      </c>
      <c r="CV222" s="518"/>
      <c r="CW222" s="427"/>
      <c r="CX222" s="427"/>
      <c r="CY222" s="427">
        <f t="shared" si="440"/>
        <v>0</v>
      </c>
      <c r="CZ222" s="427">
        <f t="shared" si="441"/>
        <v>0</v>
      </c>
      <c r="DA222" s="607" t="e">
        <f t="shared" si="456"/>
        <v>#DIV/0!</v>
      </c>
      <c r="DB222" s="607">
        <f t="shared" si="442"/>
        <v>115</v>
      </c>
      <c r="DC222" s="607">
        <f t="shared" si="391"/>
        <v>1.2938383513691211E-3</v>
      </c>
      <c r="DD222" s="609"/>
      <c r="DE222" s="471"/>
      <c r="DF222" s="473"/>
      <c r="DG222" s="473">
        <f t="shared" si="392"/>
        <v>0</v>
      </c>
      <c r="DH222" s="473">
        <f t="shared" si="373"/>
        <v>0</v>
      </c>
      <c r="DI222" s="227" t="e">
        <f t="shared" si="443"/>
        <v>#DIV/0!</v>
      </c>
      <c r="DJ222" s="473">
        <f t="shared" si="444"/>
        <v>155.19999999999999</v>
      </c>
      <c r="DK222" s="227">
        <f t="shared" si="445"/>
        <v>1.7461192359346748E-3</v>
      </c>
      <c r="DL222" s="508"/>
      <c r="DM222" s="63"/>
      <c r="DN222" s="64"/>
      <c r="DO222" s="66">
        <f t="shared" si="446"/>
        <v>0</v>
      </c>
      <c r="DP222" s="66">
        <f t="shared" si="374"/>
        <v>0</v>
      </c>
      <c r="DQ222" s="412" t="e">
        <f t="shared" si="447"/>
        <v>#DIV/0!</v>
      </c>
      <c r="DR222" s="66">
        <f t="shared" si="448"/>
        <v>18000</v>
      </c>
      <c r="DS222" s="412">
        <f t="shared" si="449"/>
        <v>0.2025138289099494</v>
      </c>
      <c r="DT222" s="684"/>
      <c r="DU222" s="596"/>
      <c r="DV222" s="596"/>
      <c r="DW222" s="596">
        <f t="shared" si="393"/>
        <v>0</v>
      </c>
      <c r="DX222" s="596">
        <f t="shared" si="375"/>
        <v>0</v>
      </c>
      <c r="DY222" s="592" t="e">
        <f t="shared" si="394"/>
        <v>#DIV/0!</v>
      </c>
      <c r="DZ222" s="596">
        <f t="shared" si="450"/>
        <v>2800</v>
      </c>
      <c r="EA222" s="592">
        <f t="shared" si="395"/>
        <v>3.1502151163769906E-2</v>
      </c>
      <c r="EB222" s="594"/>
      <c r="EC222" s="448"/>
      <c r="ED222" s="449"/>
      <c r="EE222" s="449">
        <f t="shared" si="396"/>
        <v>0</v>
      </c>
      <c r="EF222" s="449">
        <f t="shared" si="376"/>
        <v>0</v>
      </c>
      <c r="EG222" s="450" t="e">
        <f t="shared" si="454"/>
        <v>#DIV/0!</v>
      </c>
      <c r="EH222" s="449">
        <f t="shared" si="451"/>
        <v>1165</v>
      </c>
      <c r="EI222" s="450">
        <f t="shared" si="455"/>
        <v>1.3107145037782836E-2</v>
      </c>
      <c r="EJ222" s="687"/>
      <c r="EK222" s="426"/>
      <c r="EL222" s="427"/>
      <c r="EM222" s="427">
        <f t="shared" si="397"/>
        <v>0</v>
      </c>
      <c r="EN222" s="427">
        <f t="shared" si="377"/>
        <v>0</v>
      </c>
      <c r="EO222" s="427">
        <f t="shared" si="398"/>
        <v>84722</v>
      </c>
      <c r="EP222" s="456"/>
      <c r="EQ222" s="457"/>
      <c r="ER222" s="457">
        <f t="shared" si="399"/>
        <v>0</v>
      </c>
      <c r="ES222" s="457">
        <f t="shared" si="378"/>
        <v>0</v>
      </c>
      <c r="ET222" s="457">
        <f t="shared" si="400"/>
        <v>2242</v>
      </c>
      <c r="EU222" s="409"/>
      <c r="EV222" s="43"/>
      <c r="EW222" s="43">
        <f t="shared" si="401"/>
        <v>0</v>
      </c>
      <c r="EX222" s="43">
        <f t="shared" si="379"/>
        <v>0</v>
      </c>
      <c r="EY222" s="43">
        <f t="shared" si="402"/>
        <v>940</v>
      </c>
      <c r="EZ222" s="436"/>
      <c r="FA222" s="437"/>
      <c r="FB222" s="437">
        <f t="shared" si="403"/>
        <v>0</v>
      </c>
      <c r="FC222" s="437">
        <f t="shared" si="380"/>
        <v>0</v>
      </c>
      <c r="FD222" s="437">
        <f t="shared" si="404"/>
        <v>1090</v>
      </c>
      <c r="FE222" s="442"/>
      <c r="FF222" s="443"/>
      <c r="FG222" s="443">
        <f t="shared" si="405"/>
        <v>0</v>
      </c>
      <c r="FH222" s="443">
        <f t="shared" si="381"/>
        <v>0</v>
      </c>
      <c r="FI222" s="443">
        <f t="shared" si="406"/>
        <v>1200</v>
      </c>
      <c r="FJ222" s="392"/>
      <c r="FK222" s="298"/>
      <c r="FL222" s="298">
        <f t="shared" si="407"/>
        <v>0</v>
      </c>
      <c r="FM222" s="298">
        <f t="shared" si="382"/>
        <v>0</v>
      </c>
      <c r="FN222" s="498">
        <f t="shared" si="408"/>
        <v>4800</v>
      </c>
      <c r="HC222" s="402"/>
      <c r="HD222" s="52"/>
      <c r="HE222" s="52">
        <f t="shared" si="409"/>
        <v>0</v>
      </c>
      <c r="HF222" s="52">
        <f t="shared" si="383"/>
        <v>0</v>
      </c>
      <c r="HG222" s="51"/>
      <c r="HH222" s="52">
        <f t="shared" si="452"/>
        <v>2800</v>
      </c>
      <c r="HI222" s="51"/>
      <c r="HJ222" s="1050"/>
    </row>
    <row r="223" spans="1:218">
      <c r="A223" s="30">
        <v>44886</v>
      </c>
      <c r="B223" s="390"/>
      <c r="C223" s="18">
        <f t="shared" si="363"/>
        <v>88882819</v>
      </c>
      <c r="D223" s="376"/>
      <c r="E223" s="417">
        <f t="shared" si="467"/>
        <v>1061606.7599999998</v>
      </c>
      <c r="F223" s="397"/>
      <c r="G223" s="37"/>
      <c r="H223" s="37">
        <f t="shared" si="384"/>
        <v>0</v>
      </c>
      <c r="I223" s="37">
        <f t="shared" si="364"/>
        <v>0</v>
      </c>
      <c r="J223" s="37" t="e">
        <f t="shared" si="365"/>
        <v>#DIV/0!</v>
      </c>
      <c r="K223" s="37">
        <f t="shared" si="410"/>
        <v>481207</v>
      </c>
      <c r="L223" s="37">
        <f t="shared" si="366"/>
        <v>453.28177827352954</v>
      </c>
      <c r="M223" s="680"/>
      <c r="N223" s="422"/>
      <c r="O223" s="423"/>
      <c r="P223" s="423">
        <f t="shared" si="411"/>
        <v>0</v>
      </c>
      <c r="Q223" s="423">
        <f t="shared" si="412"/>
        <v>0</v>
      </c>
      <c r="R223" s="423">
        <f t="shared" si="413"/>
        <v>14025</v>
      </c>
      <c r="S223" s="68"/>
      <c r="T223" s="67">
        <v>24</v>
      </c>
      <c r="U223" s="68">
        <f t="shared" si="414"/>
        <v>0</v>
      </c>
      <c r="V223" s="68" t="e">
        <f t="shared" si="367"/>
        <v>#DIV/0!</v>
      </c>
      <c r="W223" s="423">
        <f t="shared" si="415"/>
        <v>13670.903999999999</v>
      </c>
      <c r="X223" s="68">
        <f t="shared" si="368"/>
        <v>12.877559295119788</v>
      </c>
      <c r="Y223" s="681"/>
      <c r="Z223" s="424"/>
      <c r="AA223" s="425"/>
      <c r="AB223" s="425">
        <f t="shared" si="416"/>
        <v>0</v>
      </c>
      <c r="AC223" s="425">
        <f t="shared" si="417"/>
        <v>0</v>
      </c>
      <c r="AD223" s="425">
        <f t="shared" si="418"/>
        <v>2225</v>
      </c>
      <c r="AE223" s="72"/>
      <c r="AF223" s="71">
        <v>12</v>
      </c>
      <c r="AG223" s="72">
        <f t="shared" si="419"/>
        <v>0</v>
      </c>
      <c r="AH223" s="72" t="e">
        <f t="shared" si="385"/>
        <v>#DIV/0!</v>
      </c>
      <c r="AI223" s="425">
        <f t="shared" si="420"/>
        <v>2049.9120000000016</v>
      </c>
      <c r="AJ223" s="72">
        <f t="shared" si="453"/>
        <v>1.9309522859481434</v>
      </c>
      <c r="AK223" s="682"/>
      <c r="AL223" s="491"/>
      <c r="AM223" s="491"/>
      <c r="AN223" s="492">
        <f t="shared" si="460"/>
        <v>0</v>
      </c>
      <c r="AO223" s="492">
        <f t="shared" si="461"/>
        <v>0</v>
      </c>
      <c r="AP223" s="492">
        <f t="shared" si="462"/>
        <v>83573</v>
      </c>
      <c r="AQ223" s="493">
        <f t="shared" si="386"/>
        <v>78.723123428490624</v>
      </c>
      <c r="AR223" s="683"/>
      <c r="AS223" s="413"/>
      <c r="AT223" s="64"/>
      <c r="AU223" s="66">
        <f t="shared" si="421"/>
        <v>0</v>
      </c>
      <c r="AV223" s="66">
        <f t="shared" si="369"/>
        <v>0</v>
      </c>
      <c r="AW223" s="412" t="e">
        <f t="shared" si="422"/>
        <v>#DIV/0!</v>
      </c>
      <c r="AX223" s="66">
        <f t="shared" si="423"/>
        <v>297615</v>
      </c>
      <c r="AY223" s="412">
        <f t="shared" si="424"/>
        <v>3.3483973995019216</v>
      </c>
      <c r="AZ223" s="684"/>
      <c r="BA223" s="419"/>
      <c r="BB223" s="419"/>
      <c r="BC223" s="407"/>
      <c r="BD223" s="419">
        <f t="shared" si="387"/>
        <v>0</v>
      </c>
      <c r="BE223" s="419">
        <f t="shared" si="388"/>
        <v>0</v>
      </c>
      <c r="BF223" s="407" t="e">
        <f t="shared" si="425"/>
        <v>#DIV/0!</v>
      </c>
      <c r="BG223" s="419">
        <f t="shared" si="463"/>
        <v>368770</v>
      </c>
      <c r="BH223" s="407">
        <f t="shared" si="426"/>
        <v>4.1489458159512242</v>
      </c>
      <c r="BI223" s="407">
        <f t="shared" si="427"/>
        <v>0.50803418154504787</v>
      </c>
      <c r="BJ223" s="508"/>
      <c r="BK223" s="510"/>
      <c r="BL223" s="49"/>
      <c r="BM223" s="50"/>
      <c r="BN223" s="52">
        <f t="shared" si="428"/>
        <v>0</v>
      </c>
      <c r="BO223" s="52">
        <f t="shared" si="370"/>
        <v>0</v>
      </c>
      <c r="BP223" s="406" t="e">
        <f t="shared" si="429"/>
        <v>#DIV/0!</v>
      </c>
      <c r="BQ223" s="52">
        <f t="shared" si="430"/>
        <v>37700</v>
      </c>
      <c r="BR223" s="406">
        <f t="shared" si="431"/>
        <v>0.42415396388361626</v>
      </c>
      <c r="BS223" s="685"/>
      <c r="BT223" s="409"/>
      <c r="BU223" s="43"/>
      <c r="BV223" s="43">
        <f t="shared" si="457"/>
        <v>0</v>
      </c>
      <c r="BW223" s="43">
        <f t="shared" si="458"/>
        <v>0</v>
      </c>
      <c r="BX223" s="42" t="e">
        <f t="shared" si="432"/>
        <v>#DIV/0!</v>
      </c>
      <c r="BY223" s="43">
        <f t="shared" si="459"/>
        <v>19437</v>
      </c>
      <c r="BZ223" s="42">
        <f t="shared" si="433"/>
        <v>0.21868118291792704</v>
      </c>
      <c r="CA223" s="514"/>
      <c r="CB223" s="392"/>
      <c r="CC223" s="298"/>
      <c r="CD223" s="298">
        <f t="shared" si="389"/>
        <v>0</v>
      </c>
      <c r="CE223" s="298">
        <f t="shared" si="371"/>
        <v>0</v>
      </c>
      <c r="CF223" s="297" t="e">
        <f t="shared" si="434"/>
        <v>#DIV/0!</v>
      </c>
      <c r="CG223" s="298">
        <f t="shared" si="435"/>
        <v>61350</v>
      </c>
      <c r="CH223" s="297">
        <f t="shared" si="436"/>
        <v>0.69023463353474424</v>
      </c>
      <c r="CI223" s="686"/>
      <c r="CJ223" s="659"/>
      <c r="CK223" s="651"/>
      <c r="CL223" s="657">
        <f t="shared" si="464"/>
        <v>0</v>
      </c>
      <c r="CM223" s="657">
        <f t="shared" si="465"/>
        <v>0</v>
      </c>
      <c r="CN223" s="659">
        <f t="shared" si="466"/>
        <v>26250</v>
      </c>
      <c r="CO223" s="464"/>
      <c r="CP223" s="465"/>
      <c r="CQ223" s="465">
        <f t="shared" si="390"/>
        <v>0</v>
      </c>
      <c r="CR223" s="465">
        <f t="shared" si="372"/>
        <v>0</v>
      </c>
      <c r="CS223" s="486" t="e">
        <f t="shared" si="437"/>
        <v>#DIV/0!</v>
      </c>
      <c r="CT223" s="465">
        <f t="shared" si="438"/>
        <v>1619</v>
      </c>
      <c r="CU223" s="486">
        <f t="shared" si="439"/>
        <v>1.821499383362267E-2</v>
      </c>
      <c r="CV223" s="518"/>
      <c r="CW223" s="427"/>
      <c r="CX223" s="427"/>
      <c r="CY223" s="427">
        <f t="shared" si="440"/>
        <v>0</v>
      </c>
      <c r="CZ223" s="427">
        <f t="shared" si="441"/>
        <v>0</v>
      </c>
      <c r="DA223" s="607" t="e">
        <f t="shared" si="456"/>
        <v>#DIV/0!</v>
      </c>
      <c r="DB223" s="607">
        <f t="shared" si="442"/>
        <v>115</v>
      </c>
      <c r="DC223" s="607">
        <f t="shared" si="391"/>
        <v>1.2938383513691211E-3</v>
      </c>
      <c r="DD223" s="609"/>
      <c r="DE223" s="471"/>
      <c r="DF223" s="473"/>
      <c r="DG223" s="473">
        <f t="shared" si="392"/>
        <v>0</v>
      </c>
      <c r="DH223" s="473">
        <f t="shared" si="373"/>
        <v>0</v>
      </c>
      <c r="DI223" s="227" t="e">
        <f t="shared" si="443"/>
        <v>#DIV/0!</v>
      </c>
      <c r="DJ223" s="473">
        <f t="shared" si="444"/>
        <v>155.19999999999999</v>
      </c>
      <c r="DK223" s="227">
        <f t="shared" si="445"/>
        <v>1.7461192359346748E-3</v>
      </c>
      <c r="DL223" s="508"/>
      <c r="DM223" s="63"/>
      <c r="DN223" s="64"/>
      <c r="DO223" s="66">
        <f t="shared" si="446"/>
        <v>0</v>
      </c>
      <c r="DP223" s="66">
        <f t="shared" si="374"/>
        <v>0</v>
      </c>
      <c r="DQ223" s="412" t="e">
        <f t="shared" si="447"/>
        <v>#DIV/0!</v>
      </c>
      <c r="DR223" s="66">
        <f t="shared" si="448"/>
        <v>18000</v>
      </c>
      <c r="DS223" s="412">
        <f t="shared" si="449"/>
        <v>0.2025138289099494</v>
      </c>
      <c r="DT223" s="684"/>
      <c r="DU223" s="596"/>
      <c r="DV223" s="596"/>
      <c r="DW223" s="596">
        <f t="shared" si="393"/>
        <v>0</v>
      </c>
      <c r="DX223" s="596">
        <f t="shared" si="375"/>
        <v>0</v>
      </c>
      <c r="DY223" s="592" t="e">
        <f t="shared" si="394"/>
        <v>#DIV/0!</v>
      </c>
      <c r="DZ223" s="596">
        <f t="shared" si="450"/>
        <v>2800</v>
      </c>
      <c r="EA223" s="592">
        <f t="shared" si="395"/>
        <v>3.1502151163769906E-2</v>
      </c>
      <c r="EB223" s="594"/>
      <c r="EC223" s="448"/>
      <c r="ED223" s="449"/>
      <c r="EE223" s="449">
        <f t="shared" si="396"/>
        <v>0</v>
      </c>
      <c r="EF223" s="449">
        <f t="shared" si="376"/>
        <v>0</v>
      </c>
      <c r="EG223" s="450" t="e">
        <f t="shared" si="454"/>
        <v>#DIV/0!</v>
      </c>
      <c r="EH223" s="449">
        <f t="shared" si="451"/>
        <v>1165</v>
      </c>
      <c r="EI223" s="450">
        <f t="shared" si="455"/>
        <v>1.3107145037782836E-2</v>
      </c>
      <c r="EJ223" s="687"/>
      <c r="EK223" s="426"/>
      <c r="EL223" s="427"/>
      <c r="EM223" s="427">
        <f t="shared" si="397"/>
        <v>0</v>
      </c>
      <c r="EN223" s="427">
        <f t="shared" si="377"/>
        <v>0</v>
      </c>
      <c r="EO223" s="427">
        <f t="shared" si="398"/>
        <v>84722</v>
      </c>
      <c r="EP223" s="456"/>
      <c r="EQ223" s="457"/>
      <c r="ER223" s="457">
        <f t="shared" si="399"/>
        <v>0</v>
      </c>
      <c r="ES223" s="457">
        <f t="shared" si="378"/>
        <v>0</v>
      </c>
      <c r="ET223" s="457">
        <f t="shared" si="400"/>
        <v>2242</v>
      </c>
      <c r="EU223" s="409"/>
      <c r="EV223" s="43"/>
      <c r="EW223" s="43">
        <f t="shared" si="401"/>
        <v>0</v>
      </c>
      <c r="EX223" s="43">
        <f t="shared" si="379"/>
        <v>0</v>
      </c>
      <c r="EY223" s="43">
        <f t="shared" si="402"/>
        <v>940</v>
      </c>
      <c r="EZ223" s="436"/>
      <c r="FA223" s="437"/>
      <c r="FB223" s="437">
        <f t="shared" si="403"/>
        <v>0</v>
      </c>
      <c r="FC223" s="437">
        <f t="shared" si="380"/>
        <v>0</v>
      </c>
      <c r="FD223" s="437">
        <f t="shared" si="404"/>
        <v>1090</v>
      </c>
      <c r="FE223" s="442"/>
      <c r="FF223" s="443"/>
      <c r="FG223" s="443">
        <f t="shared" si="405"/>
        <v>0</v>
      </c>
      <c r="FH223" s="443">
        <f t="shared" si="381"/>
        <v>0</v>
      </c>
      <c r="FI223" s="443">
        <f t="shared" si="406"/>
        <v>1200</v>
      </c>
      <c r="FJ223" s="392"/>
      <c r="FK223" s="298"/>
      <c r="FL223" s="298">
        <f t="shared" si="407"/>
        <v>0</v>
      </c>
      <c r="FM223" s="298">
        <f t="shared" si="382"/>
        <v>0</v>
      </c>
      <c r="FN223" s="498">
        <f t="shared" si="408"/>
        <v>4800</v>
      </c>
      <c r="HC223" s="402"/>
      <c r="HD223" s="52"/>
      <c r="HE223" s="52">
        <f t="shared" si="409"/>
        <v>0</v>
      </c>
      <c r="HF223" s="52">
        <f t="shared" si="383"/>
        <v>0</v>
      </c>
      <c r="HG223" s="51"/>
      <c r="HH223" s="52">
        <f t="shared" si="452"/>
        <v>2800</v>
      </c>
      <c r="HI223" s="51"/>
      <c r="HJ223" s="1050"/>
    </row>
    <row r="224" spans="1:218">
      <c r="A224" s="30">
        <v>44887</v>
      </c>
      <c r="B224" s="390"/>
      <c r="C224" s="18">
        <f t="shared" si="363"/>
        <v>88882819</v>
      </c>
      <c r="D224" s="376"/>
      <c r="E224" s="417">
        <f t="shared" si="467"/>
        <v>1061606.7599999998</v>
      </c>
      <c r="F224" s="397"/>
      <c r="G224" s="37"/>
      <c r="H224" s="37">
        <f t="shared" si="384"/>
        <v>0</v>
      </c>
      <c r="I224" s="37">
        <f t="shared" si="364"/>
        <v>0</v>
      </c>
      <c r="J224" s="37" t="e">
        <f t="shared" si="365"/>
        <v>#DIV/0!</v>
      </c>
      <c r="K224" s="37">
        <f t="shared" si="410"/>
        <v>481207</v>
      </c>
      <c r="L224" s="37">
        <f t="shared" si="366"/>
        <v>453.28177827352954</v>
      </c>
      <c r="M224" s="680"/>
      <c r="N224" s="422"/>
      <c r="O224" s="423"/>
      <c r="P224" s="423">
        <f t="shared" si="411"/>
        <v>0</v>
      </c>
      <c r="Q224" s="423">
        <f t="shared" si="412"/>
        <v>0</v>
      </c>
      <c r="R224" s="423">
        <f t="shared" si="413"/>
        <v>14025</v>
      </c>
      <c r="S224" s="68"/>
      <c r="T224" s="67">
        <v>24</v>
      </c>
      <c r="U224" s="68">
        <f t="shared" si="414"/>
        <v>0</v>
      </c>
      <c r="V224" s="68" t="e">
        <f t="shared" si="367"/>
        <v>#DIV/0!</v>
      </c>
      <c r="W224" s="423">
        <f t="shared" si="415"/>
        <v>13670.903999999999</v>
      </c>
      <c r="X224" s="68">
        <f t="shared" si="368"/>
        <v>12.877559295119788</v>
      </c>
      <c r="Y224" s="681"/>
      <c r="Z224" s="424"/>
      <c r="AA224" s="425"/>
      <c r="AB224" s="425">
        <f t="shared" si="416"/>
        <v>0</v>
      </c>
      <c r="AC224" s="425">
        <f t="shared" si="417"/>
        <v>0</v>
      </c>
      <c r="AD224" s="425">
        <f t="shared" si="418"/>
        <v>2225</v>
      </c>
      <c r="AE224" s="72"/>
      <c r="AF224" s="71">
        <v>12</v>
      </c>
      <c r="AG224" s="72">
        <f t="shared" si="419"/>
        <v>0</v>
      </c>
      <c r="AH224" s="72" t="e">
        <f t="shared" si="385"/>
        <v>#DIV/0!</v>
      </c>
      <c r="AI224" s="425">
        <f t="shared" si="420"/>
        <v>2049.9120000000016</v>
      </c>
      <c r="AJ224" s="72">
        <f t="shared" si="453"/>
        <v>1.9309522859481434</v>
      </c>
      <c r="AK224" s="682"/>
      <c r="AL224" s="491"/>
      <c r="AM224" s="491"/>
      <c r="AN224" s="492">
        <f t="shared" si="460"/>
        <v>0</v>
      </c>
      <c r="AO224" s="492">
        <f t="shared" si="461"/>
        <v>0</v>
      </c>
      <c r="AP224" s="492">
        <f t="shared" si="462"/>
        <v>83573</v>
      </c>
      <c r="AQ224" s="493">
        <f t="shared" si="386"/>
        <v>78.723123428490624</v>
      </c>
      <c r="AR224" s="683"/>
      <c r="AS224" s="413"/>
      <c r="AT224" s="64"/>
      <c r="AU224" s="66">
        <f t="shared" si="421"/>
        <v>0</v>
      </c>
      <c r="AV224" s="66">
        <f t="shared" si="369"/>
        <v>0</v>
      </c>
      <c r="AW224" s="412" t="e">
        <f t="shared" si="422"/>
        <v>#DIV/0!</v>
      </c>
      <c r="AX224" s="66">
        <f t="shared" si="423"/>
        <v>297615</v>
      </c>
      <c r="AY224" s="412">
        <f t="shared" si="424"/>
        <v>3.3483973995019216</v>
      </c>
      <c r="AZ224" s="684"/>
      <c r="BA224" s="419"/>
      <c r="BB224" s="419"/>
      <c r="BC224" s="407"/>
      <c r="BD224" s="419">
        <f t="shared" si="387"/>
        <v>0</v>
      </c>
      <c r="BE224" s="419">
        <f t="shared" si="388"/>
        <v>0</v>
      </c>
      <c r="BF224" s="407" t="e">
        <f t="shared" si="425"/>
        <v>#DIV/0!</v>
      </c>
      <c r="BG224" s="419">
        <f t="shared" si="463"/>
        <v>368770</v>
      </c>
      <c r="BH224" s="407">
        <f t="shared" si="426"/>
        <v>4.1489458159512242</v>
      </c>
      <c r="BI224" s="407">
        <f t="shared" si="427"/>
        <v>0.50803418154504787</v>
      </c>
      <c r="BJ224" s="508"/>
      <c r="BK224" s="510"/>
      <c r="BL224" s="49"/>
      <c r="BM224" s="50"/>
      <c r="BN224" s="52">
        <f t="shared" si="428"/>
        <v>0</v>
      </c>
      <c r="BO224" s="52">
        <f t="shared" si="370"/>
        <v>0</v>
      </c>
      <c r="BP224" s="406" t="e">
        <f t="shared" si="429"/>
        <v>#DIV/0!</v>
      </c>
      <c r="BQ224" s="52">
        <f t="shared" si="430"/>
        <v>37700</v>
      </c>
      <c r="BR224" s="406">
        <f t="shared" si="431"/>
        <v>0.42415396388361626</v>
      </c>
      <c r="BS224" s="685"/>
      <c r="BT224" s="409"/>
      <c r="BU224" s="43"/>
      <c r="BV224" s="43">
        <f t="shared" si="457"/>
        <v>0</v>
      </c>
      <c r="BW224" s="43">
        <f t="shared" si="458"/>
        <v>0</v>
      </c>
      <c r="BX224" s="42" t="e">
        <f t="shared" si="432"/>
        <v>#DIV/0!</v>
      </c>
      <c r="BY224" s="43">
        <f t="shared" si="459"/>
        <v>19437</v>
      </c>
      <c r="BZ224" s="42">
        <f t="shared" si="433"/>
        <v>0.21868118291792704</v>
      </c>
      <c r="CA224" s="514"/>
      <c r="CB224" s="392"/>
      <c r="CC224" s="298"/>
      <c r="CD224" s="298">
        <f t="shared" si="389"/>
        <v>0</v>
      </c>
      <c r="CE224" s="298">
        <f t="shared" si="371"/>
        <v>0</v>
      </c>
      <c r="CF224" s="297" t="e">
        <f t="shared" si="434"/>
        <v>#DIV/0!</v>
      </c>
      <c r="CG224" s="298">
        <f t="shared" si="435"/>
        <v>61350</v>
      </c>
      <c r="CH224" s="297">
        <f t="shared" si="436"/>
        <v>0.69023463353474424</v>
      </c>
      <c r="CI224" s="686"/>
      <c r="CJ224" s="659"/>
      <c r="CK224" s="651"/>
      <c r="CL224" s="657">
        <f t="shared" si="464"/>
        <v>0</v>
      </c>
      <c r="CM224" s="657">
        <f t="shared" si="465"/>
        <v>0</v>
      </c>
      <c r="CN224" s="659">
        <f t="shared" si="466"/>
        <v>26250</v>
      </c>
      <c r="CO224" s="464"/>
      <c r="CP224" s="465"/>
      <c r="CQ224" s="465">
        <f t="shared" si="390"/>
        <v>0</v>
      </c>
      <c r="CR224" s="465">
        <f t="shared" si="372"/>
        <v>0</v>
      </c>
      <c r="CS224" s="486" t="e">
        <f t="shared" si="437"/>
        <v>#DIV/0!</v>
      </c>
      <c r="CT224" s="465">
        <f t="shared" si="438"/>
        <v>1619</v>
      </c>
      <c r="CU224" s="486">
        <f t="shared" si="439"/>
        <v>1.821499383362267E-2</v>
      </c>
      <c r="CV224" s="518"/>
      <c r="CW224" s="427"/>
      <c r="CX224" s="427"/>
      <c r="CY224" s="427">
        <f t="shared" si="440"/>
        <v>0</v>
      </c>
      <c r="CZ224" s="427">
        <f t="shared" si="441"/>
        <v>0</v>
      </c>
      <c r="DA224" s="607" t="e">
        <f t="shared" si="456"/>
        <v>#DIV/0!</v>
      </c>
      <c r="DB224" s="607">
        <f t="shared" si="442"/>
        <v>115</v>
      </c>
      <c r="DC224" s="607">
        <f t="shared" si="391"/>
        <v>1.2938383513691211E-3</v>
      </c>
      <c r="DD224" s="609"/>
      <c r="DE224" s="471"/>
      <c r="DF224" s="473"/>
      <c r="DG224" s="473">
        <f t="shared" si="392"/>
        <v>0</v>
      </c>
      <c r="DH224" s="473">
        <f t="shared" si="373"/>
        <v>0</v>
      </c>
      <c r="DI224" s="227" t="e">
        <f t="shared" si="443"/>
        <v>#DIV/0!</v>
      </c>
      <c r="DJ224" s="473">
        <f t="shared" si="444"/>
        <v>155.19999999999999</v>
      </c>
      <c r="DK224" s="227">
        <f t="shared" si="445"/>
        <v>1.7461192359346748E-3</v>
      </c>
      <c r="DL224" s="508"/>
      <c r="DM224" s="63"/>
      <c r="DN224" s="64"/>
      <c r="DO224" s="66">
        <f t="shared" si="446"/>
        <v>0</v>
      </c>
      <c r="DP224" s="66">
        <f t="shared" si="374"/>
        <v>0</v>
      </c>
      <c r="DQ224" s="412" t="e">
        <f t="shared" si="447"/>
        <v>#DIV/0!</v>
      </c>
      <c r="DR224" s="66">
        <f t="shared" si="448"/>
        <v>18000</v>
      </c>
      <c r="DS224" s="412">
        <f t="shared" si="449"/>
        <v>0.2025138289099494</v>
      </c>
      <c r="DT224" s="684"/>
      <c r="DU224" s="596"/>
      <c r="DV224" s="596"/>
      <c r="DW224" s="596">
        <f t="shared" si="393"/>
        <v>0</v>
      </c>
      <c r="DX224" s="596">
        <f t="shared" si="375"/>
        <v>0</v>
      </c>
      <c r="DY224" s="592" t="e">
        <f t="shared" si="394"/>
        <v>#DIV/0!</v>
      </c>
      <c r="DZ224" s="596">
        <f t="shared" si="450"/>
        <v>2800</v>
      </c>
      <c r="EA224" s="592">
        <f t="shared" si="395"/>
        <v>3.1502151163769906E-2</v>
      </c>
      <c r="EB224" s="594"/>
      <c r="EC224" s="448"/>
      <c r="ED224" s="449"/>
      <c r="EE224" s="449">
        <f t="shared" si="396"/>
        <v>0</v>
      </c>
      <c r="EF224" s="449">
        <f t="shared" si="376"/>
        <v>0</v>
      </c>
      <c r="EG224" s="450" t="e">
        <f t="shared" si="454"/>
        <v>#DIV/0!</v>
      </c>
      <c r="EH224" s="449">
        <f t="shared" si="451"/>
        <v>1165</v>
      </c>
      <c r="EI224" s="450">
        <f t="shared" si="455"/>
        <v>1.3107145037782836E-2</v>
      </c>
      <c r="EJ224" s="687"/>
      <c r="EK224" s="426"/>
      <c r="EL224" s="427"/>
      <c r="EM224" s="427">
        <f t="shared" si="397"/>
        <v>0</v>
      </c>
      <c r="EN224" s="427">
        <f t="shared" si="377"/>
        <v>0</v>
      </c>
      <c r="EO224" s="427">
        <f t="shared" si="398"/>
        <v>84722</v>
      </c>
      <c r="EP224" s="456"/>
      <c r="EQ224" s="457"/>
      <c r="ER224" s="457">
        <f t="shared" si="399"/>
        <v>0</v>
      </c>
      <c r="ES224" s="457">
        <f t="shared" si="378"/>
        <v>0</v>
      </c>
      <c r="ET224" s="457">
        <f t="shared" si="400"/>
        <v>2242</v>
      </c>
      <c r="EU224" s="409"/>
      <c r="EV224" s="43"/>
      <c r="EW224" s="43">
        <f t="shared" si="401"/>
        <v>0</v>
      </c>
      <c r="EX224" s="43">
        <f t="shared" si="379"/>
        <v>0</v>
      </c>
      <c r="EY224" s="43">
        <f t="shared" si="402"/>
        <v>940</v>
      </c>
      <c r="EZ224" s="436"/>
      <c r="FA224" s="437"/>
      <c r="FB224" s="437">
        <f t="shared" si="403"/>
        <v>0</v>
      </c>
      <c r="FC224" s="437">
        <f t="shared" si="380"/>
        <v>0</v>
      </c>
      <c r="FD224" s="437">
        <f t="shared" si="404"/>
        <v>1090</v>
      </c>
      <c r="FE224" s="442"/>
      <c r="FF224" s="443"/>
      <c r="FG224" s="443">
        <f t="shared" si="405"/>
        <v>0</v>
      </c>
      <c r="FH224" s="443">
        <f t="shared" si="381"/>
        <v>0</v>
      </c>
      <c r="FI224" s="443">
        <f t="shared" si="406"/>
        <v>1200</v>
      </c>
      <c r="FJ224" s="392"/>
      <c r="FK224" s="298"/>
      <c r="FL224" s="298">
        <f t="shared" si="407"/>
        <v>0</v>
      </c>
      <c r="FM224" s="298">
        <f t="shared" si="382"/>
        <v>0</v>
      </c>
      <c r="FN224" s="498">
        <f t="shared" si="408"/>
        <v>4800</v>
      </c>
      <c r="HC224" s="402"/>
      <c r="HD224" s="52"/>
      <c r="HE224" s="52">
        <f t="shared" si="409"/>
        <v>0</v>
      </c>
      <c r="HF224" s="52">
        <f t="shared" si="383"/>
        <v>0</v>
      </c>
      <c r="HG224" s="51"/>
      <c r="HH224" s="52">
        <f t="shared" si="452"/>
        <v>2800</v>
      </c>
      <c r="HI224" s="51"/>
      <c r="HJ224" s="1050"/>
    </row>
    <row r="225" spans="1:218">
      <c r="A225" s="30">
        <v>44888</v>
      </c>
      <c r="B225" s="390"/>
      <c r="C225" s="18">
        <f t="shared" si="363"/>
        <v>88882819</v>
      </c>
      <c r="D225" s="376"/>
      <c r="E225" s="417">
        <f t="shared" si="467"/>
        <v>1061606.7599999998</v>
      </c>
      <c r="F225" s="397"/>
      <c r="G225" s="37"/>
      <c r="H225" s="37">
        <f t="shared" si="384"/>
        <v>0</v>
      </c>
      <c r="I225" s="37">
        <f t="shared" si="364"/>
        <v>0</v>
      </c>
      <c r="J225" s="37" t="e">
        <f t="shared" si="365"/>
        <v>#DIV/0!</v>
      </c>
      <c r="K225" s="37">
        <f t="shared" si="410"/>
        <v>481207</v>
      </c>
      <c r="L225" s="37">
        <f t="shared" si="366"/>
        <v>453.28177827352954</v>
      </c>
      <c r="M225" s="680"/>
      <c r="N225" s="422"/>
      <c r="O225" s="423"/>
      <c r="P225" s="423">
        <f t="shared" si="411"/>
        <v>0</v>
      </c>
      <c r="Q225" s="423">
        <f t="shared" si="412"/>
        <v>0</v>
      </c>
      <c r="R225" s="423">
        <f t="shared" si="413"/>
        <v>14025</v>
      </c>
      <c r="S225" s="68"/>
      <c r="T225" s="67">
        <v>24</v>
      </c>
      <c r="U225" s="68">
        <f t="shared" si="414"/>
        <v>0</v>
      </c>
      <c r="V225" s="68" t="e">
        <f t="shared" si="367"/>
        <v>#DIV/0!</v>
      </c>
      <c r="W225" s="423">
        <f t="shared" si="415"/>
        <v>13670.903999999999</v>
      </c>
      <c r="X225" s="68">
        <f t="shared" si="368"/>
        <v>12.877559295119788</v>
      </c>
      <c r="Y225" s="681"/>
      <c r="Z225" s="424"/>
      <c r="AA225" s="425"/>
      <c r="AB225" s="425">
        <f t="shared" si="416"/>
        <v>0</v>
      </c>
      <c r="AC225" s="425">
        <f t="shared" si="417"/>
        <v>0</v>
      </c>
      <c r="AD225" s="425">
        <f t="shared" si="418"/>
        <v>2225</v>
      </c>
      <c r="AE225" s="72"/>
      <c r="AF225" s="71">
        <v>12</v>
      </c>
      <c r="AG225" s="72">
        <f t="shared" si="419"/>
        <v>0</v>
      </c>
      <c r="AH225" s="72" t="e">
        <f t="shared" si="385"/>
        <v>#DIV/0!</v>
      </c>
      <c r="AI225" s="425">
        <f t="shared" si="420"/>
        <v>2049.9120000000016</v>
      </c>
      <c r="AJ225" s="72">
        <f t="shared" si="453"/>
        <v>1.9309522859481434</v>
      </c>
      <c r="AK225" s="682"/>
      <c r="AL225" s="491"/>
      <c r="AM225" s="491"/>
      <c r="AN225" s="492">
        <f t="shared" si="460"/>
        <v>0</v>
      </c>
      <c r="AO225" s="492">
        <f t="shared" si="461"/>
        <v>0</v>
      </c>
      <c r="AP225" s="492">
        <f t="shared" si="462"/>
        <v>83573</v>
      </c>
      <c r="AQ225" s="493">
        <f t="shared" si="386"/>
        <v>78.723123428490624</v>
      </c>
      <c r="AR225" s="683"/>
      <c r="AS225" s="413"/>
      <c r="AT225" s="64"/>
      <c r="AU225" s="66">
        <f t="shared" si="421"/>
        <v>0</v>
      </c>
      <c r="AV225" s="66">
        <f t="shared" si="369"/>
        <v>0</v>
      </c>
      <c r="AW225" s="412" t="e">
        <f t="shared" si="422"/>
        <v>#DIV/0!</v>
      </c>
      <c r="AX225" s="66">
        <f t="shared" si="423"/>
        <v>297615</v>
      </c>
      <c r="AY225" s="412">
        <f t="shared" si="424"/>
        <v>3.3483973995019216</v>
      </c>
      <c r="AZ225" s="684"/>
      <c r="BA225" s="419"/>
      <c r="BB225" s="419"/>
      <c r="BC225" s="407"/>
      <c r="BD225" s="419">
        <f t="shared" si="387"/>
        <v>0</v>
      </c>
      <c r="BE225" s="419">
        <f t="shared" si="388"/>
        <v>0</v>
      </c>
      <c r="BF225" s="407" t="e">
        <f t="shared" si="425"/>
        <v>#DIV/0!</v>
      </c>
      <c r="BG225" s="419">
        <f t="shared" si="463"/>
        <v>368770</v>
      </c>
      <c r="BH225" s="407">
        <f t="shared" si="426"/>
        <v>4.1489458159512242</v>
      </c>
      <c r="BI225" s="407">
        <f t="shared" si="427"/>
        <v>0.50803418154504787</v>
      </c>
      <c r="BJ225" s="508"/>
      <c r="BK225" s="510"/>
      <c r="BL225" s="49"/>
      <c r="BM225" s="50"/>
      <c r="BN225" s="52">
        <f t="shared" si="428"/>
        <v>0</v>
      </c>
      <c r="BO225" s="52">
        <f t="shared" si="370"/>
        <v>0</v>
      </c>
      <c r="BP225" s="406" t="e">
        <f t="shared" si="429"/>
        <v>#DIV/0!</v>
      </c>
      <c r="BQ225" s="52">
        <f t="shared" si="430"/>
        <v>37700</v>
      </c>
      <c r="BR225" s="406">
        <f t="shared" si="431"/>
        <v>0.42415396388361626</v>
      </c>
      <c r="BS225" s="685"/>
      <c r="BT225" s="409"/>
      <c r="BU225" s="43"/>
      <c r="BV225" s="43">
        <f t="shared" si="457"/>
        <v>0</v>
      </c>
      <c r="BW225" s="43">
        <f t="shared" si="458"/>
        <v>0</v>
      </c>
      <c r="BX225" s="42" t="e">
        <f t="shared" si="432"/>
        <v>#DIV/0!</v>
      </c>
      <c r="BY225" s="43">
        <f t="shared" si="459"/>
        <v>19437</v>
      </c>
      <c r="BZ225" s="42">
        <f t="shared" si="433"/>
        <v>0.21868118291792704</v>
      </c>
      <c r="CA225" s="514"/>
      <c r="CB225" s="392"/>
      <c r="CC225" s="298"/>
      <c r="CD225" s="298">
        <f t="shared" si="389"/>
        <v>0</v>
      </c>
      <c r="CE225" s="298">
        <f t="shared" si="371"/>
        <v>0</v>
      </c>
      <c r="CF225" s="297" t="e">
        <f t="shared" si="434"/>
        <v>#DIV/0!</v>
      </c>
      <c r="CG225" s="298">
        <f t="shared" si="435"/>
        <v>61350</v>
      </c>
      <c r="CH225" s="297">
        <f t="shared" si="436"/>
        <v>0.69023463353474424</v>
      </c>
      <c r="CI225" s="686"/>
      <c r="CJ225" s="659"/>
      <c r="CK225" s="651"/>
      <c r="CL225" s="657">
        <f t="shared" si="464"/>
        <v>0</v>
      </c>
      <c r="CM225" s="657">
        <f t="shared" si="465"/>
        <v>0</v>
      </c>
      <c r="CN225" s="659">
        <f t="shared" si="466"/>
        <v>26250</v>
      </c>
      <c r="CO225" s="464"/>
      <c r="CP225" s="465"/>
      <c r="CQ225" s="465">
        <f t="shared" si="390"/>
        <v>0</v>
      </c>
      <c r="CR225" s="465">
        <f t="shared" si="372"/>
        <v>0</v>
      </c>
      <c r="CS225" s="486" t="e">
        <f t="shared" si="437"/>
        <v>#DIV/0!</v>
      </c>
      <c r="CT225" s="465">
        <f t="shared" si="438"/>
        <v>1619</v>
      </c>
      <c r="CU225" s="486">
        <f t="shared" si="439"/>
        <v>1.821499383362267E-2</v>
      </c>
      <c r="CV225" s="518"/>
      <c r="CW225" s="427"/>
      <c r="CX225" s="427"/>
      <c r="CY225" s="427">
        <f t="shared" si="440"/>
        <v>0</v>
      </c>
      <c r="CZ225" s="427">
        <f t="shared" si="441"/>
        <v>0</v>
      </c>
      <c r="DA225" s="607" t="e">
        <f t="shared" si="456"/>
        <v>#DIV/0!</v>
      </c>
      <c r="DB225" s="607">
        <f t="shared" si="442"/>
        <v>115</v>
      </c>
      <c r="DC225" s="607">
        <f t="shared" si="391"/>
        <v>1.2938383513691211E-3</v>
      </c>
      <c r="DD225" s="609"/>
      <c r="DE225" s="471"/>
      <c r="DF225" s="473"/>
      <c r="DG225" s="473">
        <f t="shared" si="392"/>
        <v>0</v>
      </c>
      <c r="DH225" s="473">
        <f t="shared" si="373"/>
        <v>0</v>
      </c>
      <c r="DI225" s="227" t="e">
        <f t="shared" si="443"/>
        <v>#DIV/0!</v>
      </c>
      <c r="DJ225" s="473">
        <f t="shared" si="444"/>
        <v>155.19999999999999</v>
      </c>
      <c r="DK225" s="227">
        <f t="shared" si="445"/>
        <v>1.7461192359346748E-3</v>
      </c>
      <c r="DL225" s="508"/>
      <c r="DM225" s="63"/>
      <c r="DN225" s="64"/>
      <c r="DO225" s="66">
        <f t="shared" si="446"/>
        <v>0</v>
      </c>
      <c r="DP225" s="66">
        <f t="shared" si="374"/>
        <v>0</v>
      </c>
      <c r="DQ225" s="412" t="e">
        <f t="shared" si="447"/>
        <v>#DIV/0!</v>
      </c>
      <c r="DR225" s="66">
        <f t="shared" si="448"/>
        <v>18000</v>
      </c>
      <c r="DS225" s="412">
        <f t="shared" si="449"/>
        <v>0.2025138289099494</v>
      </c>
      <c r="DT225" s="684"/>
      <c r="DU225" s="596"/>
      <c r="DV225" s="596"/>
      <c r="DW225" s="596">
        <f t="shared" si="393"/>
        <v>0</v>
      </c>
      <c r="DX225" s="596">
        <f t="shared" si="375"/>
        <v>0</v>
      </c>
      <c r="DY225" s="592" t="e">
        <f t="shared" si="394"/>
        <v>#DIV/0!</v>
      </c>
      <c r="DZ225" s="596">
        <f t="shared" si="450"/>
        <v>2800</v>
      </c>
      <c r="EA225" s="592">
        <f t="shared" si="395"/>
        <v>3.1502151163769906E-2</v>
      </c>
      <c r="EB225" s="594"/>
      <c r="EC225" s="448"/>
      <c r="ED225" s="449"/>
      <c r="EE225" s="449">
        <f t="shared" si="396"/>
        <v>0</v>
      </c>
      <c r="EF225" s="449">
        <f t="shared" si="376"/>
        <v>0</v>
      </c>
      <c r="EG225" s="450" t="e">
        <f t="shared" si="454"/>
        <v>#DIV/0!</v>
      </c>
      <c r="EH225" s="449">
        <f t="shared" si="451"/>
        <v>1165</v>
      </c>
      <c r="EI225" s="450">
        <f t="shared" si="455"/>
        <v>1.3107145037782836E-2</v>
      </c>
      <c r="EJ225" s="687"/>
      <c r="EK225" s="426"/>
      <c r="EL225" s="427"/>
      <c r="EM225" s="427">
        <f t="shared" si="397"/>
        <v>0</v>
      </c>
      <c r="EN225" s="427">
        <f t="shared" si="377"/>
        <v>0</v>
      </c>
      <c r="EO225" s="427">
        <f t="shared" si="398"/>
        <v>84722</v>
      </c>
      <c r="EP225" s="456"/>
      <c r="EQ225" s="457"/>
      <c r="ER225" s="457">
        <f t="shared" si="399"/>
        <v>0</v>
      </c>
      <c r="ES225" s="457">
        <f t="shared" si="378"/>
        <v>0</v>
      </c>
      <c r="ET225" s="457">
        <f t="shared" si="400"/>
        <v>2242</v>
      </c>
      <c r="EU225" s="409"/>
      <c r="EV225" s="43"/>
      <c r="EW225" s="43">
        <f t="shared" si="401"/>
        <v>0</v>
      </c>
      <c r="EX225" s="43">
        <f t="shared" si="379"/>
        <v>0</v>
      </c>
      <c r="EY225" s="43">
        <f t="shared" si="402"/>
        <v>940</v>
      </c>
      <c r="EZ225" s="436"/>
      <c r="FA225" s="437"/>
      <c r="FB225" s="437">
        <f t="shared" si="403"/>
        <v>0</v>
      </c>
      <c r="FC225" s="437">
        <f t="shared" si="380"/>
        <v>0</v>
      </c>
      <c r="FD225" s="437">
        <f t="shared" si="404"/>
        <v>1090</v>
      </c>
      <c r="FE225" s="442"/>
      <c r="FF225" s="443"/>
      <c r="FG225" s="443">
        <f t="shared" si="405"/>
        <v>0</v>
      </c>
      <c r="FH225" s="443">
        <f t="shared" si="381"/>
        <v>0</v>
      </c>
      <c r="FI225" s="443">
        <f t="shared" si="406"/>
        <v>1200</v>
      </c>
      <c r="FJ225" s="392"/>
      <c r="FK225" s="298"/>
      <c r="FL225" s="298">
        <f t="shared" si="407"/>
        <v>0</v>
      </c>
      <c r="FM225" s="298">
        <f t="shared" si="382"/>
        <v>0</v>
      </c>
      <c r="FN225" s="498">
        <f t="shared" si="408"/>
        <v>4800</v>
      </c>
      <c r="HC225" s="402"/>
      <c r="HD225" s="52"/>
      <c r="HE225" s="52">
        <f t="shared" si="409"/>
        <v>0</v>
      </c>
      <c r="HF225" s="52">
        <f t="shared" si="383"/>
        <v>0</v>
      </c>
      <c r="HG225" s="51"/>
      <c r="HH225" s="52">
        <f t="shared" si="452"/>
        <v>2800</v>
      </c>
      <c r="HI225" s="51"/>
      <c r="HJ225" s="1050"/>
    </row>
    <row r="226" spans="1:218">
      <c r="A226" s="30">
        <v>44889</v>
      </c>
      <c r="B226" s="390"/>
      <c r="C226" s="18">
        <f t="shared" si="363"/>
        <v>88882819</v>
      </c>
      <c r="D226" s="376"/>
      <c r="E226" s="417">
        <f t="shared" si="467"/>
        <v>1061606.7599999998</v>
      </c>
      <c r="F226" s="397"/>
      <c r="G226" s="37"/>
      <c r="H226" s="37">
        <f t="shared" si="384"/>
        <v>0</v>
      </c>
      <c r="I226" s="37">
        <f t="shared" si="364"/>
        <v>0</v>
      </c>
      <c r="J226" s="37" t="e">
        <f t="shared" si="365"/>
        <v>#DIV/0!</v>
      </c>
      <c r="K226" s="37">
        <f t="shared" si="410"/>
        <v>481207</v>
      </c>
      <c r="L226" s="37">
        <f t="shared" si="366"/>
        <v>453.28177827352954</v>
      </c>
      <c r="M226" s="680"/>
      <c r="N226" s="422"/>
      <c r="O226" s="423"/>
      <c r="P226" s="423">
        <f t="shared" si="411"/>
        <v>0</v>
      </c>
      <c r="Q226" s="423">
        <f t="shared" si="412"/>
        <v>0</v>
      </c>
      <c r="R226" s="423">
        <f t="shared" si="413"/>
        <v>14025</v>
      </c>
      <c r="S226" s="68"/>
      <c r="T226" s="67">
        <v>24</v>
      </c>
      <c r="U226" s="68">
        <f t="shared" si="414"/>
        <v>0</v>
      </c>
      <c r="V226" s="68" t="e">
        <f t="shared" si="367"/>
        <v>#DIV/0!</v>
      </c>
      <c r="W226" s="423">
        <f t="shared" si="415"/>
        <v>13670.903999999999</v>
      </c>
      <c r="X226" s="68">
        <f t="shared" si="368"/>
        <v>12.877559295119788</v>
      </c>
      <c r="Y226" s="681"/>
      <c r="Z226" s="424"/>
      <c r="AA226" s="425"/>
      <c r="AB226" s="425">
        <f t="shared" si="416"/>
        <v>0</v>
      </c>
      <c r="AC226" s="425">
        <f t="shared" si="417"/>
        <v>0</v>
      </c>
      <c r="AD226" s="425">
        <f t="shared" si="418"/>
        <v>2225</v>
      </c>
      <c r="AE226" s="72"/>
      <c r="AF226" s="71">
        <v>12</v>
      </c>
      <c r="AG226" s="72">
        <f t="shared" si="419"/>
        <v>0</v>
      </c>
      <c r="AH226" s="72" t="e">
        <f t="shared" si="385"/>
        <v>#DIV/0!</v>
      </c>
      <c r="AI226" s="425">
        <f t="shared" si="420"/>
        <v>2049.9120000000016</v>
      </c>
      <c r="AJ226" s="72">
        <f t="shared" si="453"/>
        <v>1.9309522859481434</v>
      </c>
      <c r="AK226" s="682"/>
      <c r="AL226" s="491"/>
      <c r="AM226" s="491"/>
      <c r="AN226" s="492">
        <f t="shared" si="460"/>
        <v>0</v>
      </c>
      <c r="AO226" s="492">
        <f t="shared" si="461"/>
        <v>0</v>
      </c>
      <c r="AP226" s="492">
        <f t="shared" si="462"/>
        <v>83573</v>
      </c>
      <c r="AQ226" s="493">
        <f t="shared" si="386"/>
        <v>78.723123428490624</v>
      </c>
      <c r="AR226" s="683"/>
      <c r="AS226" s="413"/>
      <c r="AT226" s="64"/>
      <c r="AU226" s="66">
        <f t="shared" si="421"/>
        <v>0</v>
      </c>
      <c r="AV226" s="66">
        <f t="shared" si="369"/>
        <v>0</v>
      </c>
      <c r="AW226" s="412" t="e">
        <f t="shared" si="422"/>
        <v>#DIV/0!</v>
      </c>
      <c r="AX226" s="66">
        <f t="shared" si="423"/>
        <v>297615</v>
      </c>
      <c r="AY226" s="412">
        <f t="shared" si="424"/>
        <v>3.3483973995019216</v>
      </c>
      <c r="AZ226" s="684"/>
      <c r="BA226" s="419"/>
      <c r="BB226" s="419"/>
      <c r="BC226" s="407"/>
      <c r="BD226" s="419">
        <f t="shared" si="387"/>
        <v>0</v>
      </c>
      <c r="BE226" s="419">
        <f t="shared" si="388"/>
        <v>0</v>
      </c>
      <c r="BF226" s="407" t="e">
        <f t="shared" si="425"/>
        <v>#DIV/0!</v>
      </c>
      <c r="BG226" s="419">
        <f t="shared" si="463"/>
        <v>368770</v>
      </c>
      <c r="BH226" s="407">
        <f t="shared" si="426"/>
        <v>4.1489458159512242</v>
      </c>
      <c r="BI226" s="407">
        <f t="shared" si="427"/>
        <v>0.50803418154504787</v>
      </c>
      <c r="BJ226" s="508"/>
      <c r="BK226" s="510"/>
      <c r="BL226" s="49"/>
      <c r="BM226" s="50"/>
      <c r="BN226" s="52">
        <f t="shared" si="428"/>
        <v>0</v>
      </c>
      <c r="BO226" s="52">
        <f t="shared" si="370"/>
        <v>0</v>
      </c>
      <c r="BP226" s="406" t="e">
        <f t="shared" si="429"/>
        <v>#DIV/0!</v>
      </c>
      <c r="BQ226" s="52">
        <f t="shared" si="430"/>
        <v>37700</v>
      </c>
      <c r="BR226" s="406">
        <f t="shared" si="431"/>
        <v>0.42415396388361626</v>
      </c>
      <c r="BS226" s="685"/>
      <c r="BT226" s="409"/>
      <c r="BU226" s="43"/>
      <c r="BV226" s="43">
        <f t="shared" si="457"/>
        <v>0</v>
      </c>
      <c r="BW226" s="43">
        <f t="shared" si="458"/>
        <v>0</v>
      </c>
      <c r="BX226" s="42" t="e">
        <f t="shared" si="432"/>
        <v>#DIV/0!</v>
      </c>
      <c r="BY226" s="43">
        <f t="shared" si="459"/>
        <v>19437</v>
      </c>
      <c r="BZ226" s="42">
        <f t="shared" si="433"/>
        <v>0.21868118291792704</v>
      </c>
      <c r="CA226" s="514"/>
      <c r="CB226" s="392"/>
      <c r="CC226" s="298"/>
      <c r="CD226" s="298">
        <f t="shared" si="389"/>
        <v>0</v>
      </c>
      <c r="CE226" s="298">
        <f t="shared" si="371"/>
        <v>0</v>
      </c>
      <c r="CF226" s="297" t="e">
        <f t="shared" si="434"/>
        <v>#DIV/0!</v>
      </c>
      <c r="CG226" s="298">
        <f t="shared" si="435"/>
        <v>61350</v>
      </c>
      <c r="CH226" s="297">
        <f t="shared" si="436"/>
        <v>0.69023463353474424</v>
      </c>
      <c r="CI226" s="686"/>
      <c r="CJ226" s="659"/>
      <c r="CK226" s="651"/>
      <c r="CL226" s="657">
        <f t="shared" si="464"/>
        <v>0</v>
      </c>
      <c r="CM226" s="657">
        <f t="shared" si="465"/>
        <v>0</v>
      </c>
      <c r="CN226" s="659">
        <f t="shared" si="466"/>
        <v>26250</v>
      </c>
      <c r="CO226" s="464"/>
      <c r="CP226" s="465"/>
      <c r="CQ226" s="465">
        <f t="shared" si="390"/>
        <v>0</v>
      </c>
      <c r="CR226" s="465">
        <f t="shared" si="372"/>
        <v>0</v>
      </c>
      <c r="CS226" s="486" t="e">
        <f t="shared" si="437"/>
        <v>#DIV/0!</v>
      </c>
      <c r="CT226" s="465">
        <f t="shared" si="438"/>
        <v>1619</v>
      </c>
      <c r="CU226" s="486">
        <f t="shared" si="439"/>
        <v>1.821499383362267E-2</v>
      </c>
      <c r="CV226" s="518"/>
      <c r="CW226" s="427"/>
      <c r="CX226" s="427"/>
      <c r="CY226" s="427">
        <f t="shared" si="440"/>
        <v>0</v>
      </c>
      <c r="CZ226" s="427">
        <f t="shared" si="441"/>
        <v>0</v>
      </c>
      <c r="DA226" s="607" t="e">
        <f t="shared" si="456"/>
        <v>#DIV/0!</v>
      </c>
      <c r="DB226" s="607">
        <f t="shared" si="442"/>
        <v>115</v>
      </c>
      <c r="DC226" s="607">
        <f t="shared" si="391"/>
        <v>1.2938383513691211E-3</v>
      </c>
      <c r="DD226" s="609"/>
      <c r="DE226" s="471"/>
      <c r="DF226" s="473"/>
      <c r="DG226" s="473">
        <f t="shared" si="392"/>
        <v>0</v>
      </c>
      <c r="DH226" s="473">
        <f t="shared" si="373"/>
        <v>0</v>
      </c>
      <c r="DI226" s="227" t="e">
        <f t="shared" si="443"/>
        <v>#DIV/0!</v>
      </c>
      <c r="DJ226" s="473">
        <f t="shared" si="444"/>
        <v>155.19999999999999</v>
      </c>
      <c r="DK226" s="227">
        <f t="shared" si="445"/>
        <v>1.7461192359346748E-3</v>
      </c>
      <c r="DL226" s="508"/>
      <c r="DM226" s="63"/>
      <c r="DN226" s="64"/>
      <c r="DO226" s="66">
        <f t="shared" si="446"/>
        <v>0</v>
      </c>
      <c r="DP226" s="66">
        <f t="shared" si="374"/>
        <v>0</v>
      </c>
      <c r="DQ226" s="412" t="e">
        <f t="shared" si="447"/>
        <v>#DIV/0!</v>
      </c>
      <c r="DR226" s="66">
        <f t="shared" si="448"/>
        <v>18000</v>
      </c>
      <c r="DS226" s="412">
        <f t="shared" si="449"/>
        <v>0.2025138289099494</v>
      </c>
      <c r="DT226" s="684"/>
      <c r="DU226" s="596"/>
      <c r="DV226" s="596"/>
      <c r="DW226" s="596">
        <f t="shared" si="393"/>
        <v>0</v>
      </c>
      <c r="DX226" s="596">
        <f t="shared" si="375"/>
        <v>0</v>
      </c>
      <c r="DY226" s="592" t="e">
        <f t="shared" si="394"/>
        <v>#DIV/0!</v>
      </c>
      <c r="DZ226" s="596">
        <f t="shared" si="450"/>
        <v>2800</v>
      </c>
      <c r="EA226" s="592">
        <f t="shared" si="395"/>
        <v>3.1502151163769906E-2</v>
      </c>
      <c r="EB226" s="594"/>
      <c r="EC226" s="448"/>
      <c r="ED226" s="449"/>
      <c r="EE226" s="449">
        <f t="shared" si="396"/>
        <v>0</v>
      </c>
      <c r="EF226" s="449">
        <f t="shared" si="376"/>
        <v>0</v>
      </c>
      <c r="EG226" s="450" t="e">
        <f t="shared" si="454"/>
        <v>#DIV/0!</v>
      </c>
      <c r="EH226" s="449">
        <f t="shared" si="451"/>
        <v>1165</v>
      </c>
      <c r="EI226" s="450">
        <f t="shared" si="455"/>
        <v>1.3107145037782836E-2</v>
      </c>
      <c r="EJ226" s="687"/>
      <c r="EK226" s="426"/>
      <c r="EL226" s="427"/>
      <c r="EM226" s="427">
        <f t="shared" si="397"/>
        <v>0</v>
      </c>
      <c r="EN226" s="427">
        <f t="shared" si="377"/>
        <v>0</v>
      </c>
      <c r="EO226" s="427">
        <f t="shared" si="398"/>
        <v>84722</v>
      </c>
      <c r="EP226" s="456"/>
      <c r="EQ226" s="457"/>
      <c r="ER226" s="457">
        <f t="shared" si="399"/>
        <v>0</v>
      </c>
      <c r="ES226" s="457">
        <f t="shared" si="378"/>
        <v>0</v>
      </c>
      <c r="ET226" s="457">
        <f t="shared" si="400"/>
        <v>2242</v>
      </c>
      <c r="EU226" s="409"/>
      <c r="EV226" s="43"/>
      <c r="EW226" s="43">
        <f t="shared" si="401"/>
        <v>0</v>
      </c>
      <c r="EX226" s="43">
        <f t="shared" si="379"/>
        <v>0</v>
      </c>
      <c r="EY226" s="43">
        <f t="shared" si="402"/>
        <v>940</v>
      </c>
      <c r="EZ226" s="436"/>
      <c r="FA226" s="437"/>
      <c r="FB226" s="437">
        <f t="shared" si="403"/>
        <v>0</v>
      </c>
      <c r="FC226" s="437">
        <f t="shared" si="380"/>
        <v>0</v>
      </c>
      <c r="FD226" s="437">
        <f t="shared" si="404"/>
        <v>1090</v>
      </c>
      <c r="FE226" s="442"/>
      <c r="FF226" s="443"/>
      <c r="FG226" s="443">
        <f t="shared" si="405"/>
        <v>0</v>
      </c>
      <c r="FH226" s="443">
        <f t="shared" si="381"/>
        <v>0</v>
      </c>
      <c r="FI226" s="443">
        <f t="shared" si="406"/>
        <v>1200</v>
      </c>
      <c r="FJ226" s="392"/>
      <c r="FK226" s="298"/>
      <c r="FL226" s="298">
        <f t="shared" si="407"/>
        <v>0</v>
      </c>
      <c r="FM226" s="298">
        <f t="shared" si="382"/>
        <v>0</v>
      </c>
      <c r="FN226" s="498">
        <f t="shared" si="408"/>
        <v>4800</v>
      </c>
      <c r="HC226" s="402"/>
      <c r="HD226" s="52"/>
      <c r="HE226" s="52">
        <f t="shared" si="409"/>
        <v>0</v>
      </c>
      <c r="HF226" s="52">
        <f t="shared" si="383"/>
        <v>0</v>
      </c>
      <c r="HG226" s="51"/>
      <c r="HH226" s="52">
        <f t="shared" si="452"/>
        <v>2800</v>
      </c>
      <c r="HI226" s="51"/>
      <c r="HJ226" s="1050"/>
    </row>
    <row r="227" spans="1:218">
      <c r="A227" s="30">
        <v>44890</v>
      </c>
      <c r="B227" s="390"/>
      <c r="C227" s="18">
        <f t="shared" si="363"/>
        <v>88882819</v>
      </c>
      <c r="D227" s="376"/>
      <c r="E227" s="417">
        <f t="shared" si="467"/>
        <v>1061606.7599999998</v>
      </c>
      <c r="F227" s="397"/>
      <c r="G227" s="37"/>
      <c r="H227" s="37">
        <f t="shared" si="384"/>
        <v>0</v>
      </c>
      <c r="I227" s="37">
        <f t="shared" si="364"/>
        <v>0</v>
      </c>
      <c r="J227" s="37" t="e">
        <f t="shared" si="365"/>
        <v>#DIV/0!</v>
      </c>
      <c r="K227" s="37">
        <f t="shared" si="410"/>
        <v>481207</v>
      </c>
      <c r="L227" s="37">
        <f t="shared" si="366"/>
        <v>453.28177827352954</v>
      </c>
      <c r="M227" s="680"/>
      <c r="N227" s="422"/>
      <c r="O227" s="423"/>
      <c r="P227" s="423">
        <f t="shared" si="411"/>
        <v>0</v>
      </c>
      <c r="Q227" s="423">
        <f t="shared" si="412"/>
        <v>0</v>
      </c>
      <c r="R227" s="423">
        <f t="shared" si="413"/>
        <v>14025</v>
      </c>
      <c r="S227" s="68"/>
      <c r="T227" s="67">
        <v>24</v>
      </c>
      <c r="U227" s="68">
        <f t="shared" si="414"/>
        <v>0</v>
      </c>
      <c r="V227" s="68" t="e">
        <f t="shared" si="367"/>
        <v>#DIV/0!</v>
      </c>
      <c r="W227" s="423">
        <f t="shared" si="415"/>
        <v>13670.903999999999</v>
      </c>
      <c r="X227" s="68">
        <f t="shared" si="368"/>
        <v>12.877559295119788</v>
      </c>
      <c r="Y227" s="681"/>
      <c r="Z227" s="424"/>
      <c r="AA227" s="425"/>
      <c r="AB227" s="425">
        <f t="shared" si="416"/>
        <v>0</v>
      </c>
      <c r="AC227" s="425">
        <f t="shared" si="417"/>
        <v>0</v>
      </c>
      <c r="AD227" s="425">
        <f t="shared" si="418"/>
        <v>2225</v>
      </c>
      <c r="AE227" s="72"/>
      <c r="AF227" s="71">
        <v>12</v>
      </c>
      <c r="AG227" s="72">
        <f t="shared" si="419"/>
        <v>0</v>
      </c>
      <c r="AH227" s="72" t="e">
        <f t="shared" si="385"/>
        <v>#DIV/0!</v>
      </c>
      <c r="AI227" s="425">
        <f t="shared" si="420"/>
        <v>2049.9120000000016</v>
      </c>
      <c r="AJ227" s="72">
        <f t="shared" si="453"/>
        <v>1.9309522859481434</v>
      </c>
      <c r="AK227" s="682"/>
      <c r="AL227" s="491"/>
      <c r="AM227" s="491"/>
      <c r="AN227" s="492">
        <f t="shared" si="460"/>
        <v>0</v>
      </c>
      <c r="AO227" s="492">
        <f t="shared" si="461"/>
        <v>0</v>
      </c>
      <c r="AP227" s="492">
        <f t="shared" si="462"/>
        <v>83573</v>
      </c>
      <c r="AQ227" s="493">
        <f t="shared" si="386"/>
        <v>78.723123428490624</v>
      </c>
      <c r="AR227" s="683"/>
      <c r="AS227" s="413"/>
      <c r="AT227" s="64"/>
      <c r="AU227" s="66">
        <f t="shared" si="421"/>
        <v>0</v>
      </c>
      <c r="AV227" s="66">
        <f t="shared" si="369"/>
        <v>0</v>
      </c>
      <c r="AW227" s="412" t="e">
        <f t="shared" si="422"/>
        <v>#DIV/0!</v>
      </c>
      <c r="AX227" s="66">
        <f t="shared" si="423"/>
        <v>297615</v>
      </c>
      <c r="AY227" s="412">
        <f t="shared" si="424"/>
        <v>3.3483973995019216</v>
      </c>
      <c r="AZ227" s="684"/>
      <c r="BA227" s="419"/>
      <c r="BB227" s="419"/>
      <c r="BC227" s="407"/>
      <c r="BD227" s="419">
        <f t="shared" si="387"/>
        <v>0</v>
      </c>
      <c r="BE227" s="419">
        <f t="shared" si="388"/>
        <v>0</v>
      </c>
      <c r="BF227" s="407" t="e">
        <f t="shared" si="425"/>
        <v>#DIV/0!</v>
      </c>
      <c r="BG227" s="419">
        <f t="shared" si="463"/>
        <v>368770</v>
      </c>
      <c r="BH227" s="407">
        <f t="shared" si="426"/>
        <v>4.1489458159512242</v>
      </c>
      <c r="BI227" s="407">
        <f t="shared" si="427"/>
        <v>0.50803418154504787</v>
      </c>
      <c r="BJ227" s="508"/>
      <c r="BK227" s="510"/>
      <c r="BL227" s="49"/>
      <c r="BM227" s="50"/>
      <c r="BN227" s="52">
        <f t="shared" si="428"/>
        <v>0</v>
      </c>
      <c r="BO227" s="52">
        <f t="shared" si="370"/>
        <v>0</v>
      </c>
      <c r="BP227" s="406" t="e">
        <f t="shared" si="429"/>
        <v>#DIV/0!</v>
      </c>
      <c r="BQ227" s="52">
        <f t="shared" si="430"/>
        <v>37700</v>
      </c>
      <c r="BR227" s="406">
        <f t="shared" si="431"/>
        <v>0.42415396388361626</v>
      </c>
      <c r="BS227" s="685"/>
      <c r="BT227" s="409"/>
      <c r="BU227" s="43"/>
      <c r="BV227" s="43">
        <f t="shared" si="457"/>
        <v>0</v>
      </c>
      <c r="BW227" s="43">
        <f t="shared" si="458"/>
        <v>0</v>
      </c>
      <c r="BX227" s="42" t="e">
        <f t="shared" si="432"/>
        <v>#DIV/0!</v>
      </c>
      <c r="BY227" s="43">
        <f t="shared" si="459"/>
        <v>19437</v>
      </c>
      <c r="BZ227" s="42">
        <f t="shared" si="433"/>
        <v>0.21868118291792704</v>
      </c>
      <c r="CA227" s="514"/>
      <c r="CB227" s="392"/>
      <c r="CC227" s="298"/>
      <c r="CD227" s="298">
        <f t="shared" si="389"/>
        <v>0</v>
      </c>
      <c r="CE227" s="298">
        <f t="shared" si="371"/>
        <v>0</v>
      </c>
      <c r="CF227" s="297" t="e">
        <f t="shared" si="434"/>
        <v>#DIV/0!</v>
      </c>
      <c r="CG227" s="298">
        <f t="shared" si="435"/>
        <v>61350</v>
      </c>
      <c r="CH227" s="297">
        <f t="shared" si="436"/>
        <v>0.69023463353474424</v>
      </c>
      <c r="CI227" s="686"/>
      <c r="CJ227" s="659"/>
      <c r="CK227" s="651"/>
      <c r="CL227" s="657">
        <f t="shared" si="464"/>
        <v>0</v>
      </c>
      <c r="CM227" s="657">
        <f t="shared" si="465"/>
        <v>0</v>
      </c>
      <c r="CN227" s="659">
        <f t="shared" si="466"/>
        <v>26250</v>
      </c>
      <c r="CO227" s="464"/>
      <c r="CP227" s="465"/>
      <c r="CQ227" s="465">
        <f t="shared" si="390"/>
        <v>0</v>
      </c>
      <c r="CR227" s="465">
        <f t="shared" si="372"/>
        <v>0</v>
      </c>
      <c r="CS227" s="486" t="e">
        <f t="shared" si="437"/>
        <v>#DIV/0!</v>
      </c>
      <c r="CT227" s="465">
        <f t="shared" si="438"/>
        <v>1619</v>
      </c>
      <c r="CU227" s="486">
        <f t="shared" si="439"/>
        <v>1.821499383362267E-2</v>
      </c>
      <c r="CV227" s="518"/>
      <c r="CW227" s="427"/>
      <c r="CX227" s="427"/>
      <c r="CY227" s="427">
        <f t="shared" si="440"/>
        <v>0</v>
      </c>
      <c r="CZ227" s="427">
        <f t="shared" si="441"/>
        <v>0</v>
      </c>
      <c r="DA227" s="607" t="e">
        <f t="shared" si="456"/>
        <v>#DIV/0!</v>
      </c>
      <c r="DB227" s="607">
        <f t="shared" si="442"/>
        <v>115</v>
      </c>
      <c r="DC227" s="607">
        <f t="shared" si="391"/>
        <v>1.2938383513691211E-3</v>
      </c>
      <c r="DD227" s="609"/>
      <c r="DE227" s="471"/>
      <c r="DF227" s="473"/>
      <c r="DG227" s="473">
        <f t="shared" si="392"/>
        <v>0</v>
      </c>
      <c r="DH227" s="473">
        <f t="shared" si="373"/>
        <v>0</v>
      </c>
      <c r="DI227" s="227" t="e">
        <f t="shared" si="443"/>
        <v>#DIV/0!</v>
      </c>
      <c r="DJ227" s="473">
        <f t="shared" si="444"/>
        <v>155.19999999999999</v>
      </c>
      <c r="DK227" s="227">
        <f t="shared" si="445"/>
        <v>1.7461192359346748E-3</v>
      </c>
      <c r="DL227" s="508"/>
      <c r="DM227" s="63"/>
      <c r="DN227" s="64"/>
      <c r="DO227" s="66">
        <f t="shared" si="446"/>
        <v>0</v>
      </c>
      <c r="DP227" s="66">
        <f t="shared" si="374"/>
        <v>0</v>
      </c>
      <c r="DQ227" s="412" t="e">
        <f t="shared" si="447"/>
        <v>#DIV/0!</v>
      </c>
      <c r="DR227" s="66">
        <f t="shared" si="448"/>
        <v>18000</v>
      </c>
      <c r="DS227" s="412">
        <f t="shared" si="449"/>
        <v>0.2025138289099494</v>
      </c>
      <c r="DT227" s="684"/>
      <c r="DU227" s="596"/>
      <c r="DV227" s="596"/>
      <c r="DW227" s="596">
        <f t="shared" si="393"/>
        <v>0</v>
      </c>
      <c r="DX227" s="596">
        <f t="shared" si="375"/>
        <v>0</v>
      </c>
      <c r="DY227" s="592" t="e">
        <f t="shared" si="394"/>
        <v>#DIV/0!</v>
      </c>
      <c r="DZ227" s="596">
        <f t="shared" si="450"/>
        <v>2800</v>
      </c>
      <c r="EA227" s="592">
        <f t="shared" si="395"/>
        <v>3.1502151163769906E-2</v>
      </c>
      <c r="EB227" s="594"/>
      <c r="EC227" s="448"/>
      <c r="ED227" s="449"/>
      <c r="EE227" s="449">
        <f t="shared" si="396"/>
        <v>0</v>
      </c>
      <c r="EF227" s="449">
        <f t="shared" si="376"/>
        <v>0</v>
      </c>
      <c r="EG227" s="450" t="e">
        <f t="shared" si="454"/>
        <v>#DIV/0!</v>
      </c>
      <c r="EH227" s="449">
        <f t="shared" si="451"/>
        <v>1165</v>
      </c>
      <c r="EI227" s="450">
        <f t="shared" si="455"/>
        <v>1.3107145037782836E-2</v>
      </c>
      <c r="EJ227" s="687"/>
      <c r="EK227" s="426"/>
      <c r="EL227" s="427"/>
      <c r="EM227" s="427">
        <f t="shared" si="397"/>
        <v>0</v>
      </c>
      <c r="EN227" s="427">
        <f t="shared" si="377"/>
        <v>0</v>
      </c>
      <c r="EO227" s="427">
        <f t="shared" si="398"/>
        <v>84722</v>
      </c>
      <c r="EP227" s="456"/>
      <c r="EQ227" s="457"/>
      <c r="ER227" s="457">
        <f t="shared" si="399"/>
        <v>0</v>
      </c>
      <c r="ES227" s="457">
        <f t="shared" si="378"/>
        <v>0</v>
      </c>
      <c r="ET227" s="457">
        <f t="shared" si="400"/>
        <v>2242</v>
      </c>
      <c r="EU227" s="409"/>
      <c r="EV227" s="43"/>
      <c r="EW227" s="43">
        <f t="shared" si="401"/>
        <v>0</v>
      </c>
      <c r="EX227" s="43">
        <f t="shared" si="379"/>
        <v>0</v>
      </c>
      <c r="EY227" s="43">
        <f t="shared" si="402"/>
        <v>940</v>
      </c>
      <c r="EZ227" s="436"/>
      <c r="FA227" s="437"/>
      <c r="FB227" s="437">
        <f t="shared" si="403"/>
        <v>0</v>
      </c>
      <c r="FC227" s="437">
        <f t="shared" si="380"/>
        <v>0</v>
      </c>
      <c r="FD227" s="437">
        <f t="shared" si="404"/>
        <v>1090</v>
      </c>
      <c r="FE227" s="442"/>
      <c r="FF227" s="443"/>
      <c r="FG227" s="443">
        <f t="shared" si="405"/>
        <v>0</v>
      </c>
      <c r="FH227" s="443">
        <f t="shared" si="381"/>
        <v>0</v>
      </c>
      <c r="FI227" s="443">
        <f t="shared" si="406"/>
        <v>1200</v>
      </c>
      <c r="FJ227" s="392"/>
      <c r="FK227" s="298"/>
      <c r="FL227" s="298">
        <f t="shared" si="407"/>
        <v>0</v>
      </c>
      <c r="FM227" s="298">
        <f t="shared" si="382"/>
        <v>0</v>
      </c>
      <c r="FN227" s="498">
        <f t="shared" si="408"/>
        <v>4800</v>
      </c>
      <c r="HC227" s="402"/>
      <c r="HD227" s="52"/>
      <c r="HE227" s="52">
        <f t="shared" si="409"/>
        <v>0</v>
      </c>
      <c r="HF227" s="52">
        <f t="shared" si="383"/>
        <v>0</v>
      </c>
      <c r="HG227" s="51"/>
      <c r="HH227" s="52">
        <f t="shared" si="452"/>
        <v>2800</v>
      </c>
      <c r="HI227" s="51"/>
      <c r="HJ227" s="1050"/>
    </row>
    <row r="228" spans="1:218">
      <c r="A228" s="30">
        <v>44891</v>
      </c>
      <c r="B228" s="390"/>
      <c r="C228" s="18">
        <f t="shared" si="363"/>
        <v>88882819</v>
      </c>
      <c r="D228" s="376"/>
      <c r="E228" s="417">
        <f t="shared" si="467"/>
        <v>1061606.7599999998</v>
      </c>
      <c r="F228" s="397"/>
      <c r="G228" s="37"/>
      <c r="H228" s="37">
        <f t="shared" si="384"/>
        <v>0</v>
      </c>
      <c r="I228" s="37">
        <f t="shared" si="364"/>
        <v>0</v>
      </c>
      <c r="J228" s="37" t="e">
        <f t="shared" si="365"/>
        <v>#DIV/0!</v>
      </c>
      <c r="K228" s="37">
        <f t="shared" si="410"/>
        <v>481207</v>
      </c>
      <c r="L228" s="37">
        <f t="shared" si="366"/>
        <v>453.28177827352954</v>
      </c>
      <c r="M228" s="680"/>
      <c r="N228" s="422"/>
      <c r="O228" s="423"/>
      <c r="P228" s="423">
        <f t="shared" si="411"/>
        <v>0</v>
      </c>
      <c r="Q228" s="423">
        <f t="shared" si="412"/>
        <v>0</v>
      </c>
      <c r="R228" s="423">
        <f t="shared" si="413"/>
        <v>14025</v>
      </c>
      <c r="S228" s="68"/>
      <c r="T228" s="67">
        <v>24</v>
      </c>
      <c r="U228" s="68">
        <f t="shared" si="414"/>
        <v>0</v>
      </c>
      <c r="V228" s="68" t="e">
        <f t="shared" si="367"/>
        <v>#DIV/0!</v>
      </c>
      <c r="W228" s="423">
        <f t="shared" si="415"/>
        <v>13670.903999999999</v>
      </c>
      <c r="X228" s="68">
        <f t="shared" si="368"/>
        <v>12.877559295119788</v>
      </c>
      <c r="Y228" s="681"/>
      <c r="Z228" s="424"/>
      <c r="AA228" s="425"/>
      <c r="AB228" s="425">
        <f t="shared" si="416"/>
        <v>0</v>
      </c>
      <c r="AC228" s="425">
        <f t="shared" si="417"/>
        <v>0</v>
      </c>
      <c r="AD228" s="425">
        <f t="shared" si="418"/>
        <v>2225</v>
      </c>
      <c r="AE228" s="72"/>
      <c r="AF228" s="71">
        <v>12</v>
      </c>
      <c r="AG228" s="72">
        <f t="shared" si="419"/>
        <v>0</v>
      </c>
      <c r="AH228" s="72" t="e">
        <f t="shared" si="385"/>
        <v>#DIV/0!</v>
      </c>
      <c r="AI228" s="425">
        <f t="shared" si="420"/>
        <v>2049.9120000000016</v>
      </c>
      <c r="AJ228" s="72">
        <f t="shared" si="453"/>
        <v>1.9309522859481434</v>
      </c>
      <c r="AK228" s="682"/>
      <c r="AL228" s="491"/>
      <c r="AM228" s="491"/>
      <c r="AN228" s="492">
        <f t="shared" si="460"/>
        <v>0</v>
      </c>
      <c r="AO228" s="492">
        <f t="shared" si="461"/>
        <v>0</v>
      </c>
      <c r="AP228" s="492">
        <f t="shared" si="462"/>
        <v>83573</v>
      </c>
      <c r="AQ228" s="493">
        <f t="shared" si="386"/>
        <v>78.723123428490624</v>
      </c>
      <c r="AR228" s="683"/>
      <c r="AS228" s="413"/>
      <c r="AT228" s="64"/>
      <c r="AU228" s="66">
        <f t="shared" si="421"/>
        <v>0</v>
      </c>
      <c r="AV228" s="66">
        <f t="shared" si="369"/>
        <v>0</v>
      </c>
      <c r="AW228" s="412" t="e">
        <f t="shared" si="422"/>
        <v>#DIV/0!</v>
      </c>
      <c r="AX228" s="66">
        <f t="shared" si="423"/>
        <v>297615</v>
      </c>
      <c r="AY228" s="412">
        <f t="shared" si="424"/>
        <v>3.3483973995019216</v>
      </c>
      <c r="AZ228" s="684"/>
      <c r="BA228" s="419"/>
      <c r="BB228" s="419"/>
      <c r="BC228" s="407"/>
      <c r="BD228" s="419">
        <f t="shared" si="387"/>
        <v>0</v>
      </c>
      <c r="BE228" s="419">
        <f t="shared" si="388"/>
        <v>0</v>
      </c>
      <c r="BF228" s="407" t="e">
        <f t="shared" si="425"/>
        <v>#DIV/0!</v>
      </c>
      <c r="BG228" s="419">
        <f t="shared" si="463"/>
        <v>368770</v>
      </c>
      <c r="BH228" s="407">
        <f t="shared" si="426"/>
        <v>4.1489458159512242</v>
      </c>
      <c r="BI228" s="407">
        <f t="shared" si="427"/>
        <v>0.50803418154504787</v>
      </c>
      <c r="BJ228" s="508"/>
      <c r="BK228" s="510"/>
      <c r="BL228" s="49"/>
      <c r="BM228" s="50"/>
      <c r="BN228" s="52">
        <f t="shared" si="428"/>
        <v>0</v>
      </c>
      <c r="BO228" s="52">
        <f t="shared" si="370"/>
        <v>0</v>
      </c>
      <c r="BP228" s="406" t="e">
        <f t="shared" si="429"/>
        <v>#DIV/0!</v>
      </c>
      <c r="BQ228" s="52">
        <f t="shared" si="430"/>
        <v>37700</v>
      </c>
      <c r="BR228" s="406">
        <f t="shared" si="431"/>
        <v>0.42415396388361626</v>
      </c>
      <c r="BS228" s="685"/>
      <c r="BT228" s="409"/>
      <c r="BU228" s="43"/>
      <c r="BV228" s="43">
        <f t="shared" si="457"/>
        <v>0</v>
      </c>
      <c r="BW228" s="43">
        <f t="shared" si="458"/>
        <v>0</v>
      </c>
      <c r="BX228" s="42" t="e">
        <f t="shared" si="432"/>
        <v>#DIV/0!</v>
      </c>
      <c r="BY228" s="43">
        <f t="shared" si="459"/>
        <v>19437</v>
      </c>
      <c r="BZ228" s="42">
        <f t="shared" si="433"/>
        <v>0.21868118291792704</v>
      </c>
      <c r="CA228" s="514"/>
      <c r="CB228" s="392"/>
      <c r="CC228" s="298"/>
      <c r="CD228" s="298">
        <f t="shared" si="389"/>
        <v>0</v>
      </c>
      <c r="CE228" s="298">
        <f t="shared" si="371"/>
        <v>0</v>
      </c>
      <c r="CF228" s="297" t="e">
        <f t="shared" si="434"/>
        <v>#DIV/0!</v>
      </c>
      <c r="CG228" s="298">
        <f t="shared" si="435"/>
        <v>61350</v>
      </c>
      <c r="CH228" s="297">
        <f t="shared" si="436"/>
        <v>0.69023463353474424</v>
      </c>
      <c r="CI228" s="686"/>
      <c r="CJ228" s="659"/>
      <c r="CK228" s="651"/>
      <c r="CL228" s="657">
        <f t="shared" si="464"/>
        <v>0</v>
      </c>
      <c r="CM228" s="657">
        <f t="shared" si="465"/>
        <v>0</v>
      </c>
      <c r="CN228" s="659">
        <f t="shared" si="466"/>
        <v>26250</v>
      </c>
      <c r="CO228" s="464"/>
      <c r="CP228" s="465"/>
      <c r="CQ228" s="465">
        <f t="shared" si="390"/>
        <v>0</v>
      </c>
      <c r="CR228" s="465">
        <f t="shared" si="372"/>
        <v>0</v>
      </c>
      <c r="CS228" s="486" t="e">
        <f t="shared" si="437"/>
        <v>#DIV/0!</v>
      </c>
      <c r="CT228" s="465">
        <f t="shared" si="438"/>
        <v>1619</v>
      </c>
      <c r="CU228" s="486">
        <f t="shared" si="439"/>
        <v>1.821499383362267E-2</v>
      </c>
      <c r="CV228" s="518"/>
      <c r="CW228" s="427"/>
      <c r="CX228" s="427"/>
      <c r="CY228" s="427">
        <f t="shared" si="440"/>
        <v>0</v>
      </c>
      <c r="CZ228" s="427">
        <f t="shared" si="441"/>
        <v>0</v>
      </c>
      <c r="DA228" s="607" t="e">
        <f t="shared" si="456"/>
        <v>#DIV/0!</v>
      </c>
      <c r="DB228" s="607">
        <f t="shared" si="442"/>
        <v>115</v>
      </c>
      <c r="DC228" s="607">
        <f t="shared" si="391"/>
        <v>1.2938383513691211E-3</v>
      </c>
      <c r="DD228" s="609"/>
      <c r="DE228" s="471"/>
      <c r="DF228" s="473"/>
      <c r="DG228" s="473">
        <f t="shared" si="392"/>
        <v>0</v>
      </c>
      <c r="DH228" s="473">
        <f t="shared" si="373"/>
        <v>0</v>
      </c>
      <c r="DI228" s="227" t="e">
        <f t="shared" si="443"/>
        <v>#DIV/0!</v>
      </c>
      <c r="DJ228" s="473">
        <f t="shared" si="444"/>
        <v>155.19999999999999</v>
      </c>
      <c r="DK228" s="227">
        <f t="shared" si="445"/>
        <v>1.7461192359346748E-3</v>
      </c>
      <c r="DL228" s="508"/>
      <c r="DM228" s="63"/>
      <c r="DN228" s="64"/>
      <c r="DO228" s="66">
        <f t="shared" si="446"/>
        <v>0</v>
      </c>
      <c r="DP228" s="66">
        <f t="shared" si="374"/>
        <v>0</v>
      </c>
      <c r="DQ228" s="412" t="e">
        <f t="shared" si="447"/>
        <v>#DIV/0!</v>
      </c>
      <c r="DR228" s="66">
        <f t="shared" si="448"/>
        <v>18000</v>
      </c>
      <c r="DS228" s="412">
        <f t="shared" si="449"/>
        <v>0.2025138289099494</v>
      </c>
      <c r="DT228" s="684"/>
      <c r="DU228" s="596"/>
      <c r="DV228" s="596"/>
      <c r="DW228" s="596">
        <f t="shared" si="393"/>
        <v>0</v>
      </c>
      <c r="DX228" s="596">
        <f t="shared" si="375"/>
        <v>0</v>
      </c>
      <c r="DY228" s="592" t="e">
        <f t="shared" si="394"/>
        <v>#DIV/0!</v>
      </c>
      <c r="DZ228" s="596">
        <f t="shared" si="450"/>
        <v>2800</v>
      </c>
      <c r="EA228" s="592">
        <f t="shared" si="395"/>
        <v>3.1502151163769906E-2</v>
      </c>
      <c r="EB228" s="594"/>
      <c r="EC228" s="448"/>
      <c r="ED228" s="449"/>
      <c r="EE228" s="449">
        <f t="shared" si="396"/>
        <v>0</v>
      </c>
      <c r="EF228" s="449">
        <f t="shared" si="376"/>
        <v>0</v>
      </c>
      <c r="EG228" s="450" t="e">
        <f t="shared" si="454"/>
        <v>#DIV/0!</v>
      </c>
      <c r="EH228" s="449">
        <f t="shared" si="451"/>
        <v>1165</v>
      </c>
      <c r="EI228" s="450">
        <f t="shared" si="455"/>
        <v>1.3107145037782836E-2</v>
      </c>
      <c r="EJ228" s="687"/>
      <c r="EK228" s="426"/>
      <c r="EL228" s="427"/>
      <c r="EM228" s="427">
        <f t="shared" si="397"/>
        <v>0</v>
      </c>
      <c r="EN228" s="427">
        <f t="shared" si="377"/>
        <v>0</v>
      </c>
      <c r="EO228" s="427">
        <f t="shared" si="398"/>
        <v>84722</v>
      </c>
      <c r="EP228" s="456"/>
      <c r="EQ228" s="457"/>
      <c r="ER228" s="457">
        <f t="shared" si="399"/>
        <v>0</v>
      </c>
      <c r="ES228" s="457">
        <f t="shared" si="378"/>
        <v>0</v>
      </c>
      <c r="ET228" s="457">
        <f t="shared" si="400"/>
        <v>2242</v>
      </c>
      <c r="EU228" s="409"/>
      <c r="EV228" s="43"/>
      <c r="EW228" s="43">
        <f t="shared" si="401"/>
        <v>0</v>
      </c>
      <c r="EX228" s="43">
        <f t="shared" si="379"/>
        <v>0</v>
      </c>
      <c r="EY228" s="43">
        <f t="shared" si="402"/>
        <v>940</v>
      </c>
      <c r="EZ228" s="436"/>
      <c r="FA228" s="437"/>
      <c r="FB228" s="437">
        <f t="shared" si="403"/>
        <v>0</v>
      </c>
      <c r="FC228" s="437">
        <f t="shared" si="380"/>
        <v>0</v>
      </c>
      <c r="FD228" s="437">
        <f t="shared" si="404"/>
        <v>1090</v>
      </c>
      <c r="FE228" s="442"/>
      <c r="FF228" s="443"/>
      <c r="FG228" s="443">
        <f t="shared" si="405"/>
        <v>0</v>
      </c>
      <c r="FH228" s="443">
        <f t="shared" si="381"/>
        <v>0</v>
      </c>
      <c r="FI228" s="443">
        <f t="shared" si="406"/>
        <v>1200</v>
      </c>
      <c r="FJ228" s="392"/>
      <c r="FK228" s="298"/>
      <c r="FL228" s="298">
        <f t="shared" si="407"/>
        <v>0</v>
      </c>
      <c r="FM228" s="298">
        <f t="shared" si="382"/>
        <v>0</v>
      </c>
      <c r="FN228" s="498">
        <f t="shared" si="408"/>
        <v>4800</v>
      </c>
      <c r="HC228" s="402"/>
      <c r="HD228" s="52"/>
      <c r="HE228" s="52">
        <f t="shared" si="409"/>
        <v>0</v>
      </c>
      <c r="HF228" s="52">
        <f t="shared" si="383"/>
        <v>0</v>
      </c>
      <c r="HG228" s="51"/>
      <c r="HH228" s="52">
        <f t="shared" si="452"/>
        <v>2800</v>
      </c>
      <c r="HI228" s="51"/>
      <c r="HJ228" s="1050"/>
    </row>
    <row r="229" spans="1:218">
      <c r="A229" s="30">
        <v>44892</v>
      </c>
      <c r="B229" s="390"/>
      <c r="C229" s="18">
        <f t="shared" si="363"/>
        <v>88882819</v>
      </c>
      <c r="D229" s="376"/>
      <c r="E229" s="417">
        <f t="shared" si="467"/>
        <v>1061606.7599999998</v>
      </c>
      <c r="F229" s="397"/>
      <c r="G229" s="37"/>
      <c r="H229" s="37">
        <f t="shared" si="384"/>
        <v>0</v>
      </c>
      <c r="I229" s="37">
        <f t="shared" si="364"/>
        <v>0</v>
      </c>
      <c r="J229" s="37" t="e">
        <f t="shared" si="365"/>
        <v>#DIV/0!</v>
      </c>
      <c r="K229" s="37">
        <f t="shared" si="410"/>
        <v>481207</v>
      </c>
      <c r="L229" s="37">
        <f t="shared" si="366"/>
        <v>453.28177827352954</v>
      </c>
      <c r="M229" s="680"/>
      <c r="N229" s="422"/>
      <c r="O229" s="423"/>
      <c r="P229" s="423">
        <f t="shared" si="411"/>
        <v>0</v>
      </c>
      <c r="Q229" s="423">
        <f t="shared" si="412"/>
        <v>0</v>
      </c>
      <c r="R229" s="423">
        <f t="shared" si="413"/>
        <v>14025</v>
      </c>
      <c r="S229" s="68"/>
      <c r="T229" s="67">
        <v>24</v>
      </c>
      <c r="U229" s="68">
        <f t="shared" si="414"/>
        <v>0</v>
      </c>
      <c r="V229" s="68" t="e">
        <f t="shared" si="367"/>
        <v>#DIV/0!</v>
      </c>
      <c r="W229" s="423">
        <f t="shared" si="415"/>
        <v>13670.903999999999</v>
      </c>
      <c r="X229" s="68">
        <f t="shared" si="368"/>
        <v>12.877559295119788</v>
      </c>
      <c r="Y229" s="681"/>
      <c r="Z229" s="424"/>
      <c r="AA229" s="425"/>
      <c r="AB229" s="425">
        <f t="shared" si="416"/>
        <v>0</v>
      </c>
      <c r="AC229" s="425">
        <f t="shared" si="417"/>
        <v>0</v>
      </c>
      <c r="AD229" s="425">
        <f t="shared" si="418"/>
        <v>2225</v>
      </c>
      <c r="AE229" s="72"/>
      <c r="AF229" s="71">
        <v>12</v>
      </c>
      <c r="AG229" s="72">
        <f t="shared" si="419"/>
        <v>0</v>
      </c>
      <c r="AH229" s="72" t="e">
        <f t="shared" si="385"/>
        <v>#DIV/0!</v>
      </c>
      <c r="AI229" s="425">
        <f t="shared" si="420"/>
        <v>2049.9120000000016</v>
      </c>
      <c r="AJ229" s="72">
        <f t="shared" si="453"/>
        <v>1.9309522859481434</v>
      </c>
      <c r="AK229" s="682"/>
      <c r="AL229" s="491"/>
      <c r="AM229" s="491"/>
      <c r="AN229" s="492">
        <f t="shared" si="460"/>
        <v>0</v>
      </c>
      <c r="AO229" s="492">
        <f t="shared" si="461"/>
        <v>0</v>
      </c>
      <c r="AP229" s="492">
        <f t="shared" si="462"/>
        <v>83573</v>
      </c>
      <c r="AQ229" s="493">
        <f t="shared" si="386"/>
        <v>78.723123428490624</v>
      </c>
      <c r="AR229" s="683"/>
      <c r="AS229" s="413"/>
      <c r="AT229" s="64"/>
      <c r="AU229" s="66">
        <f t="shared" si="421"/>
        <v>0</v>
      </c>
      <c r="AV229" s="66">
        <f t="shared" si="369"/>
        <v>0</v>
      </c>
      <c r="AW229" s="412" t="e">
        <f t="shared" si="422"/>
        <v>#DIV/0!</v>
      </c>
      <c r="AX229" s="66">
        <f t="shared" si="423"/>
        <v>297615</v>
      </c>
      <c r="AY229" s="412">
        <f t="shared" si="424"/>
        <v>3.3483973995019216</v>
      </c>
      <c r="AZ229" s="684"/>
      <c r="BA229" s="419"/>
      <c r="BB229" s="419"/>
      <c r="BC229" s="407"/>
      <c r="BD229" s="419">
        <f t="shared" si="387"/>
        <v>0</v>
      </c>
      <c r="BE229" s="419">
        <f t="shared" si="388"/>
        <v>0</v>
      </c>
      <c r="BF229" s="407" t="e">
        <f t="shared" si="425"/>
        <v>#DIV/0!</v>
      </c>
      <c r="BG229" s="419">
        <f t="shared" si="463"/>
        <v>368770</v>
      </c>
      <c r="BH229" s="407">
        <f t="shared" si="426"/>
        <v>4.1489458159512242</v>
      </c>
      <c r="BI229" s="407">
        <f t="shared" si="427"/>
        <v>0.50803418154504787</v>
      </c>
      <c r="BJ229" s="508"/>
      <c r="BK229" s="510"/>
      <c r="BL229" s="49"/>
      <c r="BM229" s="50"/>
      <c r="BN229" s="52">
        <f t="shared" si="428"/>
        <v>0</v>
      </c>
      <c r="BO229" s="52">
        <f t="shared" si="370"/>
        <v>0</v>
      </c>
      <c r="BP229" s="406" t="e">
        <f t="shared" si="429"/>
        <v>#DIV/0!</v>
      </c>
      <c r="BQ229" s="52">
        <f t="shared" si="430"/>
        <v>37700</v>
      </c>
      <c r="BR229" s="406">
        <f t="shared" si="431"/>
        <v>0.42415396388361626</v>
      </c>
      <c r="BS229" s="685"/>
      <c r="BT229" s="409"/>
      <c r="BU229" s="43"/>
      <c r="BV229" s="43">
        <f t="shared" si="457"/>
        <v>0</v>
      </c>
      <c r="BW229" s="43">
        <f t="shared" si="458"/>
        <v>0</v>
      </c>
      <c r="BX229" s="42" t="e">
        <f t="shared" si="432"/>
        <v>#DIV/0!</v>
      </c>
      <c r="BY229" s="43">
        <f t="shared" si="459"/>
        <v>19437</v>
      </c>
      <c r="BZ229" s="42">
        <f t="shared" si="433"/>
        <v>0.21868118291792704</v>
      </c>
      <c r="CA229" s="514"/>
      <c r="CB229" s="392"/>
      <c r="CC229" s="298"/>
      <c r="CD229" s="298">
        <f t="shared" si="389"/>
        <v>0</v>
      </c>
      <c r="CE229" s="298">
        <f t="shared" si="371"/>
        <v>0</v>
      </c>
      <c r="CF229" s="297" t="e">
        <f t="shared" si="434"/>
        <v>#DIV/0!</v>
      </c>
      <c r="CG229" s="298">
        <f t="shared" si="435"/>
        <v>61350</v>
      </c>
      <c r="CH229" s="297">
        <f t="shared" si="436"/>
        <v>0.69023463353474424</v>
      </c>
      <c r="CI229" s="686"/>
      <c r="CJ229" s="659"/>
      <c r="CK229" s="651"/>
      <c r="CL229" s="657">
        <f t="shared" si="464"/>
        <v>0</v>
      </c>
      <c r="CM229" s="657">
        <f t="shared" si="465"/>
        <v>0</v>
      </c>
      <c r="CN229" s="659">
        <f t="shared" si="466"/>
        <v>26250</v>
      </c>
      <c r="CO229" s="464"/>
      <c r="CP229" s="465"/>
      <c r="CQ229" s="465">
        <f t="shared" si="390"/>
        <v>0</v>
      </c>
      <c r="CR229" s="465">
        <f t="shared" si="372"/>
        <v>0</v>
      </c>
      <c r="CS229" s="486" t="e">
        <f t="shared" si="437"/>
        <v>#DIV/0!</v>
      </c>
      <c r="CT229" s="465">
        <f t="shared" si="438"/>
        <v>1619</v>
      </c>
      <c r="CU229" s="486">
        <f t="shared" si="439"/>
        <v>1.821499383362267E-2</v>
      </c>
      <c r="CV229" s="518"/>
      <c r="CW229" s="427"/>
      <c r="CX229" s="427"/>
      <c r="CY229" s="427">
        <f t="shared" si="440"/>
        <v>0</v>
      </c>
      <c r="CZ229" s="427">
        <f t="shared" si="441"/>
        <v>0</v>
      </c>
      <c r="DA229" s="607" t="e">
        <f t="shared" si="456"/>
        <v>#DIV/0!</v>
      </c>
      <c r="DB229" s="607">
        <f t="shared" si="442"/>
        <v>115</v>
      </c>
      <c r="DC229" s="607">
        <f t="shared" si="391"/>
        <v>1.2938383513691211E-3</v>
      </c>
      <c r="DD229" s="609"/>
      <c r="DE229" s="471"/>
      <c r="DF229" s="473"/>
      <c r="DG229" s="473">
        <f t="shared" si="392"/>
        <v>0</v>
      </c>
      <c r="DH229" s="473">
        <f t="shared" si="373"/>
        <v>0</v>
      </c>
      <c r="DI229" s="227" t="e">
        <f t="shared" si="443"/>
        <v>#DIV/0!</v>
      </c>
      <c r="DJ229" s="473">
        <f t="shared" si="444"/>
        <v>155.19999999999999</v>
      </c>
      <c r="DK229" s="227">
        <f t="shared" si="445"/>
        <v>1.7461192359346748E-3</v>
      </c>
      <c r="DL229" s="508"/>
      <c r="DM229" s="63"/>
      <c r="DN229" s="64"/>
      <c r="DO229" s="66">
        <f t="shared" si="446"/>
        <v>0</v>
      </c>
      <c r="DP229" s="66">
        <f t="shared" si="374"/>
        <v>0</v>
      </c>
      <c r="DQ229" s="412" t="e">
        <f t="shared" si="447"/>
        <v>#DIV/0!</v>
      </c>
      <c r="DR229" s="66">
        <f t="shared" si="448"/>
        <v>18000</v>
      </c>
      <c r="DS229" s="412">
        <f t="shared" si="449"/>
        <v>0.2025138289099494</v>
      </c>
      <c r="DT229" s="684"/>
      <c r="DU229" s="596"/>
      <c r="DV229" s="596"/>
      <c r="DW229" s="596">
        <f t="shared" si="393"/>
        <v>0</v>
      </c>
      <c r="DX229" s="596">
        <f t="shared" si="375"/>
        <v>0</v>
      </c>
      <c r="DY229" s="592" t="e">
        <f t="shared" si="394"/>
        <v>#DIV/0!</v>
      </c>
      <c r="DZ229" s="596">
        <f t="shared" si="450"/>
        <v>2800</v>
      </c>
      <c r="EA229" s="592">
        <f t="shared" si="395"/>
        <v>3.1502151163769906E-2</v>
      </c>
      <c r="EB229" s="594"/>
      <c r="EC229" s="448"/>
      <c r="ED229" s="449"/>
      <c r="EE229" s="449">
        <f t="shared" si="396"/>
        <v>0</v>
      </c>
      <c r="EF229" s="449">
        <f t="shared" si="376"/>
        <v>0</v>
      </c>
      <c r="EG229" s="450" t="e">
        <f t="shared" si="454"/>
        <v>#DIV/0!</v>
      </c>
      <c r="EH229" s="449">
        <f t="shared" si="451"/>
        <v>1165</v>
      </c>
      <c r="EI229" s="450">
        <f t="shared" si="455"/>
        <v>1.3107145037782836E-2</v>
      </c>
      <c r="EJ229" s="687"/>
      <c r="EK229" s="426"/>
      <c r="EL229" s="427"/>
      <c r="EM229" s="427">
        <f t="shared" si="397"/>
        <v>0</v>
      </c>
      <c r="EN229" s="427">
        <f t="shared" si="377"/>
        <v>0</v>
      </c>
      <c r="EO229" s="427">
        <f t="shared" si="398"/>
        <v>84722</v>
      </c>
      <c r="EP229" s="456"/>
      <c r="EQ229" s="457"/>
      <c r="ER229" s="457">
        <f t="shared" si="399"/>
        <v>0</v>
      </c>
      <c r="ES229" s="457">
        <f t="shared" si="378"/>
        <v>0</v>
      </c>
      <c r="ET229" s="457">
        <f t="shared" si="400"/>
        <v>2242</v>
      </c>
      <c r="EU229" s="409"/>
      <c r="EV229" s="43"/>
      <c r="EW229" s="43">
        <f t="shared" si="401"/>
        <v>0</v>
      </c>
      <c r="EX229" s="43">
        <f t="shared" si="379"/>
        <v>0</v>
      </c>
      <c r="EY229" s="43">
        <f t="shared" si="402"/>
        <v>940</v>
      </c>
      <c r="EZ229" s="436"/>
      <c r="FA229" s="437"/>
      <c r="FB229" s="437">
        <f t="shared" si="403"/>
        <v>0</v>
      </c>
      <c r="FC229" s="437">
        <f t="shared" si="380"/>
        <v>0</v>
      </c>
      <c r="FD229" s="437">
        <f t="shared" si="404"/>
        <v>1090</v>
      </c>
      <c r="FE229" s="442"/>
      <c r="FF229" s="443"/>
      <c r="FG229" s="443">
        <f t="shared" si="405"/>
        <v>0</v>
      </c>
      <c r="FH229" s="443">
        <f t="shared" si="381"/>
        <v>0</v>
      </c>
      <c r="FI229" s="443">
        <f t="shared" si="406"/>
        <v>1200</v>
      </c>
      <c r="FJ229" s="392"/>
      <c r="FK229" s="298"/>
      <c r="FL229" s="298">
        <f t="shared" si="407"/>
        <v>0</v>
      </c>
      <c r="FM229" s="298">
        <f t="shared" si="382"/>
        <v>0</v>
      </c>
      <c r="FN229" s="498">
        <f t="shared" si="408"/>
        <v>4800</v>
      </c>
      <c r="HC229" s="402"/>
      <c r="HD229" s="52"/>
      <c r="HE229" s="52">
        <f t="shared" si="409"/>
        <v>0</v>
      </c>
      <c r="HF229" s="52">
        <f t="shared" si="383"/>
        <v>0</v>
      </c>
      <c r="HG229" s="51"/>
      <c r="HH229" s="52">
        <f t="shared" si="452"/>
        <v>2800</v>
      </c>
      <c r="HI229" s="51"/>
      <c r="HJ229" s="1050"/>
    </row>
    <row r="230" spans="1:218">
      <c r="A230" s="30">
        <v>44893</v>
      </c>
      <c r="B230" s="390"/>
      <c r="C230" s="18">
        <f t="shared" si="363"/>
        <v>88882819</v>
      </c>
      <c r="D230" s="376"/>
      <c r="E230" s="417">
        <f t="shared" si="467"/>
        <v>1061606.7599999998</v>
      </c>
      <c r="F230" s="397"/>
      <c r="G230" s="37"/>
      <c r="H230" s="37">
        <f t="shared" si="384"/>
        <v>0</v>
      </c>
      <c r="I230" s="37">
        <f t="shared" si="364"/>
        <v>0</v>
      </c>
      <c r="J230" s="37" t="e">
        <f t="shared" si="365"/>
        <v>#DIV/0!</v>
      </c>
      <c r="K230" s="37">
        <f t="shared" si="410"/>
        <v>481207</v>
      </c>
      <c r="L230" s="37">
        <f t="shared" si="366"/>
        <v>453.28177827352954</v>
      </c>
      <c r="M230" s="680"/>
      <c r="N230" s="422"/>
      <c r="O230" s="423"/>
      <c r="P230" s="423">
        <f t="shared" si="411"/>
        <v>0</v>
      </c>
      <c r="Q230" s="423">
        <f t="shared" si="412"/>
        <v>0</v>
      </c>
      <c r="R230" s="423">
        <f t="shared" si="413"/>
        <v>14025</v>
      </c>
      <c r="S230" s="68"/>
      <c r="T230" s="67">
        <v>24</v>
      </c>
      <c r="U230" s="68">
        <f t="shared" si="414"/>
        <v>0</v>
      </c>
      <c r="V230" s="68" t="e">
        <f t="shared" si="367"/>
        <v>#DIV/0!</v>
      </c>
      <c r="W230" s="423">
        <f t="shared" si="415"/>
        <v>13670.903999999999</v>
      </c>
      <c r="X230" s="68">
        <f t="shared" si="368"/>
        <v>12.877559295119788</v>
      </c>
      <c r="Y230" s="681"/>
      <c r="Z230" s="424"/>
      <c r="AA230" s="425"/>
      <c r="AB230" s="425">
        <f t="shared" si="416"/>
        <v>0</v>
      </c>
      <c r="AC230" s="425">
        <f t="shared" si="417"/>
        <v>0</v>
      </c>
      <c r="AD230" s="425">
        <f t="shared" si="418"/>
        <v>2225</v>
      </c>
      <c r="AE230" s="72"/>
      <c r="AF230" s="71">
        <v>12</v>
      </c>
      <c r="AG230" s="72">
        <f t="shared" si="419"/>
        <v>0</v>
      </c>
      <c r="AH230" s="72" t="e">
        <f t="shared" si="385"/>
        <v>#DIV/0!</v>
      </c>
      <c r="AI230" s="425">
        <f t="shared" si="420"/>
        <v>2049.9120000000016</v>
      </c>
      <c r="AJ230" s="72">
        <f t="shared" si="453"/>
        <v>1.9309522859481434</v>
      </c>
      <c r="AK230" s="682"/>
      <c r="AL230" s="491"/>
      <c r="AM230" s="491"/>
      <c r="AN230" s="492">
        <f t="shared" si="460"/>
        <v>0</v>
      </c>
      <c r="AO230" s="492">
        <f t="shared" si="461"/>
        <v>0</v>
      </c>
      <c r="AP230" s="492">
        <f t="shared" si="462"/>
        <v>83573</v>
      </c>
      <c r="AQ230" s="493">
        <f t="shared" si="386"/>
        <v>78.723123428490624</v>
      </c>
      <c r="AR230" s="683"/>
      <c r="AS230" s="413"/>
      <c r="AT230" s="64"/>
      <c r="AU230" s="66">
        <f t="shared" si="421"/>
        <v>0</v>
      </c>
      <c r="AV230" s="66">
        <f t="shared" si="369"/>
        <v>0</v>
      </c>
      <c r="AW230" s="412" t="e">
        <f t="shared" si="422"/>
        <v>#DIV/0!</v>
      </c>
      <c r="AX230" s="66">
        <f t="shared" si="423"/>
        <v>297615</v>
      </c>
      <c r="AY230" s="412">
        <f t="shared" si="424"/>
        <v>3.3483973995019216</v>
      </c>
      <c r="AZ230" s="684"/>
      <c r="BA230" s="419"/>
      <c r="BB230" s="419"/>
      <c r="BC230" s="407"/>
      <c r="BD230" s="419">
        <f t="shared" si="387"/>
        <v>0</v>
      </c>
      <c r="BE230" s="419">
        <f t="shared" si="388"/>
        <v>0</v>
      </c>
      <c r="BF230" s="407" t="e">
        <f t="shared" si="425"/>
        <v>#DIV/0!</v>
      </c>
      <c r="BG230" s="419">
        <f t="shared" si="463"/>
        <v>368770</v>
      </c>
      <c r="BH230" s="407">
        <f t="shared" si="426"/>
        <v>4.1489458159512242</v>
      </c>
      <c r="BI230" s="407">
        <f t="shared" si="427"/>
        <v>0.50803418154504787</v>
      </c>
      <c r="BJ230" s="508"/>
      <c r="BK230" s="510"/>
      <c r="BL230" s="49"/>
      <c r="BM230" s="50"/>
      <c r="BN230" s="52">
        <f t="shared" si="428"/>
        <v>0</v>
      </c>
      <c r="BO230" s="52">
        <f t="shared" si="370"/>
        <v>0</v>
      </c>
      <c r="BP230" s="406" t="e">
        <f t="shared" si="429"/>
        <v>#DIV/0!</v>
      </c>
      <c r="BQ230" s="52">
        <f t="shared" si="430"/>
        <v>37700</v>
      </c>
      <c r="BR230" s="406">
        <f t="shared" si="431"/>
        <v>0.42415396388361626</v>
      </c>
      <c r="BS230" s="685"/>
      <c r="BT230" s="409"/>
      <c r="BU230" s="43"/>
      <c r="BV230" s="43">
        <f t="shared" si="457"/>
        <v>0</v>
      </c>
      <c r="BW230" s="43">
        <f t="shared" si="458"/>
        <v>0</v>
      </c>
      <c r="BX230" s="42" t="e">
        <f t="shared" si="432"/>
        <v>#DIV/0!</v>
      </c>
      <c r="BY230" s="43">
        <f t="shared" si="459"/>
        <v>19437</v>
      </c>
      <c r="BZ230" s="42">
        <f t="shared" si="433"/>
        <v>0.21868118291792704</v>
      </c>
      <c r="CA230" s="514"/>
      <c r="CB230" s="392"/>
      <c r="CC230" s="298"/>
      <c r="CD230" s="298">
        <f t="shared" si="389"/>
        <v>0</v>
      </c>
      <c r="CE230" s="298">
        <f t="shared" si="371"/>
        <v>0</v>
      </c>
      <c r="CF230" s="297" t="e">
        <f t="shared" si="434"/>
        <v>#DIV/0!</v>
      </c>
      <c r="CG230" s="298">
        <f t="shared" si="435"/>
        <v>61350</v>
      </c>
      <c r="CH230" s="297">
        <f t="shared" si="436"/>
        <v>0.69023463353474424</v>
      </c>
      <c r="CI230" s="686"/>
      <c r="CJ230" s="659"/>
      <c r="CK230" s="651"/>
      <c r="CL230" s="657">
        <f t="shared" si="464"/>
        <v>0</v>
      </c>
      <c r="CM230" s="657">
        <f t="shared" si="465"/>
        <v>0</v>
      </c>
      <c r="CN230" s="659">
        <f t="shared" si="466"/>
        <v>26250</v>
      </c>
      <c r="CO230" s="464"/>
      <c r="CP230" s="465"/>
      <c r="CQ230" s="465">
        <f t="shared" si="390"/>
        <v>0</v>
      </c>
      <c r="CR230" s="465">
        <f t="shared" si="372"/>
        <v>0</v>
      </c>
      <c r="CS230" s="486" t="e">
        <f t="shared" si="437"/>
        <v>#DIV/0!</v>
      </c>
      <c r="CT230" s="465">
        <f t="shared" si="438"/>
        <v>1619</v>
      </c>
      <c r="CU230" s="486">
        <f t="shared" si="439"/>
        <v>1.821499383362267E-2</v>
      </c>
      <c r="CV230" s="518"/>
      <c r="CW230" s="427"/>
      <c r="CX230" s="427"/>
      <c r="CY230" s="427">
        <f t="shared" si="440"/>
        <v>0</v>
      </c>
      <c r="CZ230" s="427">
        <f t="shared" si="441"/>
        <v>0</v>
      </c>
      <c r="DA230" s="607" t="e">
        <f t="shared" si="456"/>
        <v>#DIV/0!</v>
      </c>
      <c r="DB230" s="607">
        <f t="shared" si="442"/>
        <v>115</v>
      </c>
      <c r="DC230" s="607">
        <f t="shared" si="391"/>
        <v>1.2938383513691211E-3</v>
      </c>
      <c r="DD230" s="609"/>
      <c r="DE230" s="471"/>
      <c r="DF230" s="473"/>
      <c r="DG230" s="473">
        <f t="shared" si="392"/>
        <v>0</v>
      </c>
      <c r="DH230" s="473">
        <f t="shared" si="373"/>
        <v>0</v>
      </c>
      <c r="DI230" s="227" t="e">
        <f t="shared" si="443"/>
        <v>#DIV/0!</v>
      </c>
      <c r="DJ230" s="473">
        <f t="shared" si="444"/>
        <v>155.19999999999999</v>
      </c>
      <c r="DK230" s="227">
        <f t="shared" si="445"/>
        <v>1.7461192359346748E-3</v>
      </c>
      <c r="DL230" s="508"/>
      <c r="DM230" s="63"/>
      <c r="DN230" s="64"/>
      <c r="DO230" s="66">
        <f t="shared" si="446"/>
        <v>0</v>
      </c>
      <c r="DP230" s="66">
        <f t="shared" si="374"/>
        <v>0</v>
      </c>
      <c r="DQ230" s="412" t="e">
        <f t="shared" si="447"/>
        <v>#DIV/0!</v>
      </c>
      <c r="DR230" s="66">
        <f t="shared" si="448"/>
        <v>18000</v>
      </c>
      <c r="DS230" s="412">
        <f t="shared" si="449"/>
        <v>0.2025138289099494</v>
      </c>
      <c r="DT230" s="684"/>
      <c r="DU230" s="596"/>
      <c r="DV230" s="596"/>
      <c r="DW230" s="596">
        <f t="shared" si="393"/>
        <v>0</v>
      </c>
      <c r="DX230" s="596">
        <f t="shared" si="375"/>
        <v>0</v>
      </c>
      <c r="DY230" s="592" t="e">
        <f t="shared" si="394"/>
        <v>#DIV/0!</v>
      </c>
      <c r="DZ230" s="596">
        <f t="shared" si="450"/>
        <v>2800</v>
      </c>
      <c r="EA230" s="592">
        <f t="shared" si="395"/>
        <v>3.1502151163769906E-2</v>
      </c>
      <c r="EB230" s="594"/>
      <c r="EC230" s="448"/>
      <c r="ED230" s="449"/>
      <c r="EE230" s="449">
        <f t="shared" si="396"/>
        <v>0</v>
      </c>
      <c r="EF230" s="449">
        <f t="shared" si="376"/>
        <v>0</v>
      </c>
      <c r="EG230" s="450" t="e">
        <f t="shared" si="454"/>
        <v>#DIV/0!</v>
      </c>
      <c r="EH230" s="449">
        <f t="shared" si="451"/>
        <v>1165</v>
      </c>
      <c r="EI230" s="450">
        <f t="shared" si="455"/>
        <v>1.3107145037782836E-2</v>
      </c>
      <c r="EJ230" s="687"/>
      <c r="EK230" s="426"/>
      <c r="EL230" s="427"/>
      <c r="EM230" s="427">
        <f t="shared" si="397"/>
        <v>0</v>
      </c>
      <c r="EN230" s="427">
        <f t="shared" si="377"/>
        <v>0</v>
      </c>
      <c r="EO230" s="427">
        <f t="shared" si="398"/>
        <v>84722</v>
      </c>
      <c r="EP230" s="456"/>
      <c r="EQ230" s="457"/>
      <c r="ER230" s="457">
        <f t="shared" si="399"/>
        <v>0</v>
      </c>
      <c r="ES230" s="457">
        <f t="shared" si="378"/>
        <v>0</v>
      </c>
      <c r="ET230" s="457">
        <f t="shared" si="400"/>
        <v>2242</v>
      </c>
      <c r="EU230" s="409"/>
      <c r="EV230" s="43"/>
      <c r="EW230" s="43">
        <f t="shared" si="401"/>
        <v>0</v>
      </c>
      <c r="EX230" s="43">
        <f t="shared" si="379"/>
        <v>0</v>
      </c>
      <c r="EY230" s="43">
        <f t="shared" si="402"/>
        <v>940</v>
      </c>
      <c r="EZ230" s="436"/>
      <c r="FA230" s="437"/>
      <c r="FB230" s="437">
        <f t="shared" si="403"/>
        <v>0</v>
      </c>
      <c r="FC230" s="437">
        <f t="shared" si="380"/>
        <v>0</v>
      </c>
      <c r="FD230" s="437">
        <f t="shared" si="404"/>
        <v>1090</v>
      </c>
      <c r="FE230" s="442"/>
      <c r="FF230" s="443"/>
      <c r="FG230" s="443">
        <f t="shared" si="405"/>
        <v>0</v>
      </c>
      <c r="FH230" s="443">
        <f t="shared" si="381"/>
        <v>0</v>
      </c>
      <c r="FI230" s="443">
        <f t="shared" si="406"/>
        <v>1200</v>
      </c>
      <c r="FJ230" s="392"/>
      <c r="FK230" s="298"/>
      <c r="FL230" s="298">
        <f t="shared" si="407"/>
        <v>0</v>
      </c>
      <c r="FM230" s="298">
        <f t="shared" si="382"/>
        <v>0</v>
      </c>
      <c r="FN230" s="498">
        <f t="shared" si="408"/>
        <v>4800</v>
      </c>
      <c r="HC230" s="402"/>
      <c r="HD230" s="52"/>
      <c r="HE230" s="52">
        <f t="shared" si="409"/>
        <v>0</v>
      </c>
      <c r="HF230" s="52">
        <f t="shared" si="383"/>
        <v>0</v>
      </c>
      <c r="HG230" s="51"/>
      <c r="HH230" s="52">
        <f t="shared" si="452"/>
        <v>2800</v>
      </c>
      <c r="HI230" s="51"/>
      <c r="HJ230" s="1050"/>
    </row>
    <row r="231" spans="1:218">
      <c r="A231" s="30">
        <v>44894</v>
      </c>
      <c r="B231" s="390"/>
      <c r="C231" s="18">
        <f t="shared" si="363"/>
        <v>88882819</v>
      </c>
      <c r="D231" s="376"/>
      <c r="E231" s="417">
        <f t="shared" si="467"/>
        <v>1061606.7599999998</v>
      </c>
      <c r="F231" s="397"/>
      <c r="G231" s="37"/>
      <c r="H231" s="37">
        <f t="shared" si="384"/>
        <v>0</v>
      </c>
      <c r="I231" s="37">
        <f t="shared" si="364"/>
        <v>0</v>
      </c>
      <c r="J231" s="37" t="e">
        <f t="shared" si="365"/>
        <v>#DIV/0!</v>
      </c>
      <c r="K231" s="37">
        <f t="shared" si="410"/>
        <v>481207</v>
      </c>
      <c r="L231" s="37">
        <f t="shared" si="366"/>
        <v>453.28177827352954</v>
      </c>
      <c r="M231" s="680"/>
      <c r="N231" s="422"/>
      <c r="O231" s="423"/>
      <c r="P231" s="423">
        <f t="shared" si="411"/>
        <v>0</v>
      </c>
      <c r="Q231" s="423">
        <f t="shared" si="412"/>
        <v>0</v>
      </c>
      <c r="R231" s="423">
        <f t="shared" si="413"/>
        <v>14025</v>
      </c>
      <c r="S231" s="68"/>
      <c r="T231" s="67">
        <v>24</v>
      </c>
      <c r="U231" s="68">
        <f t="shared" si="414"/>
        <v>0</v>
      </c>
      <c r="V231" s="68" t="e">
        <f t="shared" si="367"/>
        <v>#DIV/0!</v>
      </c>
      <c r="W231" s="423">
        <f t="shared" si="415"/>
        <v>13670.903999999999</v>
      </c>
      <c r="X231" s="68">
        <f t="shared" si="368"/>
        <v>12.877559295119788</v>
      </c>
      <c r="Y231" s="681"/>
      <c r="Z231" s="424"/>
      <c r="AA231" s="425"/>
      <c r="AB231" s="425">
        <f t="shared" si="416"/>
        <v>0</v>
      </c>
      <c r="AC231" s="425">
        <f t="shared" si="417"/>
        <v>0</v>
      </c>
      <c r="AD231" s="425">
        <f t="shared" si="418"/>
        <v>2225</v>
      </c>
      <c r="AE231" s="72"/>
      <c r="AF231" s="71">
        <v>12</v>
      </c>
      <c r="AG231" s="72">
        <f t="shared" si="419"/>
        <v>0</v>
      </c>
      <c r="AH231" s="72" t="e">
        <f t="shared" si="385"/>
        <v>#DIV/0!</v>
      </c>
      <c r="AI231" s="425">
        <f t="shared" si="420"/>
        <v>2049.9120000000016</v>
      </c>
      <c r="AJ231" s="72">
        <f t="shared" si="453"/>
        <v>1.9309522859481434</v>
      </c>
      <c r="AK231" s="682"/>
      <c r="AL231" s="491"/>
      <c r="AM231" s="491"/>
      <c r="AN231" s="492">
        <f t="shared" si="460"/>
        <v>0</v>
      </c>
      <c r="AO231" s="492">
        <f t="shared" si="461"/>
        <v>0</v>
      </c>
      <c r="AP231" s="492">
        <f t="shared" si="462"/>
        <v>83573</v>
      </c>
      <c r="AQ231" s="493">
        <f t="shared" si="386"/>
        <v>78.723123428490624</v>
      </c>
      <c r="AR231" s="683"/>
      <c r="AS231" s="413"/>
      <c r="AT231" s="64"/>
      <c r="AU231" s="66">
        <f t="shared" si="421"/>
        <v>0</v>
      </c>
      <c r="AV231" s="66">
        <f t="shared" si="369"/>
        <v>0</v>
      </c>
      <c r="AW231" s="412" t="e">
        <f t="shared" si="422"/>
        <v>#DIV/0!</v>
      </c>
      <c r="AX231" s="66">
        <f t="shared" si="423"/>
        <v>297615</v>
      </c>
      <c r="AY231" s="412">
        <f t="shared" si="424"/>
        <v>3.3483973995019216</v>
      </c>
      <c r="AZ231" s="684"/>
      <c r="BA231" s="419"/>
      <c r="BB231" s="419"/>
      <c r="BC231" s="407"/>
      <c r="BD231" s="419">
        <f t="shared" si="387"/>
        <v>0</v>
      </c>
      <c r="BE231" s="419">
        <f t="shared" si="388"/>
        <v>0</v>
      </c>
      <c r="BF231" s="407" t="e">
        <f t="shared" si="425"/>
        <v>#DIV/0!</v>
      </c>
      <c r="BG231" s="419">
        <f t="shared" si="463"/>
        <v>368770</v>
      </c>
      <c r="BH231" s="407">
        <f t="shared" si="426"/>
        <v>4.1489458159512242</v>
      </c>
      <c r="BI231" s="407">
        <f t="shared" si="427"/>
        <v>0.50803418154504787</v>
      </c>
      <c r="BJ231" s="508"/>
      <c r="BK231" s="510"/>
      <c r="BL231" s="49"/>
      <c r="BM231" s="50"/>
      <c r="BN231" s="52">
        <f t="shared" si="428"/>
        <v>0</v>
      </c>
      <c r="BO231" s="52">
        <f t="shared" si="370"/>
        <v>0</v>
      </c>
      <c r="BP231" s="406" t="e">
        <f t="shared" si="429"/>
        <v>#DIV/0!</v>
      </c>
      <c r="BQ231" s="52">
        <f t="shared" si="430"/>
        <v>37700</v>
      </c>
      <c r="BR231" s="406">
        <f t="shared" si="431"/>
        <v>0.42415396388361626</v>
      </c>
      <c r="BS231" s="685"/>
      <c r="BT231" s="409"/>
      <c r="BU231" s="43"/>
      <c r="BV231" s="43">
        <f t="shared" si="457"/>
        <v>0</v>
      </c>
      <c r="BW231" s="43">
        <f t="shared" si="458"/>
        <v>0</v>
      </c>
      <c r="BX231" s="42" t="e">
        <f t="shared" si="432"/>
        <v>#DIV/0!</v>
      </c>
      <c r="BY231" s="43">
        <f t="shared" si="459"/>
        <v>19437</v>
      </c>
      <c r="BZ231" s="42">
        <f t="shared" si="433"/>
        <v>0.21868118291792704</v>
      </c>
      <c r="CA231" s="514"/>
      <c r="CB231" s="392"/>
      <c r="CC231" s="298"/>
      <c r="CD231" s="298">
        <f t="shared" si="389"/>
        <v>0</v>
      </c>
      <c r="CE231" s="298">
        <f t="shared" si="371"/>
        <v>0</v>
      </c>
      <c r="CF231" s="297" t="e">
        <f t="shared" si="434"/>
        <v>#DIV/0!</v>
      </c>
      <c r="CG231" s="298">
        <f t="shared" si="435"/>
        <v>61350</v>
      </c>
      <c r="CH231" s="297">
        <f t="shared" si="436"/>
        <v>0.69023463353474424</v>
      </c>
      <c r="CI231" s="686"/>
      <c r="CJ231" s="659"/>
      <c r="CK231" s="651"/>
      <c r="CL231" s="657">
        <f t="shared" si="464"/>
        <v>0</v>
      </c>
      <c r="CM231" s="657">
        <f t="shared" si="465"/>
        <v>0</v>
      </c>
      <c r="CN231" s="659">
        <f t="shared" si="466"/>
        <v>26250</v>
      </c>
      <c r="CO231" s="464"/>
      <c r="CP231" s="465"/>
      <c r="CQ231" s="465">
        <f t="shared" si="390"/>
        <v>0</v>
      </c>
      <c r="CR231" s="465">
        <f t="shared" si="372"/>
        <v>0</v>
      </c>
      <c r="CS231" s="486" t="e">
        <f t="shared" si="437"/>
        <v>#DIV/0!</v>
      </c>
      <c r="CT231" s="465">
        <f t="shared" si="438"/>
        <v>1619</v>
      </c>
      <c r="CU231" s="486">
        <f t="shared" si="439"/>
        <v>1.821499383362267E-2</v>
      </c>
      <c r="CV231" s="518"/>
      <c r="CW231" s="427"/>
      <c r="CX231" s="427"/>
      <c r="CY231" s="427">
        <f t="shared" si="440"/>
        <v>0</v>
      </c>
      <c r="CZ231" s="427">
        <f t="shared" si="441"/>
        <v>0</v>
      </c>
      <c r="DA231" s="607" t="e">
        <f t="shared" si="456"/>
        <v>#DIV/0!</v>
      </c>
      <c r="DB231" s="607">
        <f t="shared" si="442"/>
        <v>115</v>
      </c>
      <c r="DC231" s="607">
        <f t="shared" si="391"/>
        <v>1.2938383513691211E-3</v>
      </c>
      <c r="DD231" s="609"/>
      <c r="DE231" s="471"/>
      <c r="DF231" s="473"/>
      <c r="DG231" s="473">
        <f t="shared" si="392"/>
        <v>0</v>
      </c>
      <c r="DH231" s="473">
        <f t="shared" si="373"/>
        <v>0</v>
      </c>
      <c r="DI231" s="227" t="e">
        <f t="shared" si="443"/>
        <v>#DIV/0!</v>
      </c>
      <c r="DJ231" s="473">
        <f t="shared" si="444"/>
        <v>155.19999999999999</v>
      </c>
      <c r="DK231" s="227">
        <f t="shared" si="445"/>
        <v>1.7461192359346748E-3</v>
      </c>
      <c r="DL231" s="508"/>
      <c r="DM231" s="63"/>
      <c r="DN231" s="64"/>
      <c r="DO231" s="66">
        <f t="shared" si="446"/>
        <v>0</v>
      </c>
      <c r="DP231" s="66">
        <f t="shared" si="374"/>
        <v>0</v>
      </c>
      <c r="DQ231" s="412" t="e">
        <f t="shared" si="447"/>
        <v>#DIV/0!</v>
      </c>
      <c r="DR231" s="66">
        <f t="shared" si="448"/>
        <v>18000</v>
      </c>
      <c r="DS231" s="412">
        <f t="shared" si="449"/>
        <v>0.2025138289099494</v>
      </c>
      <c r="DT231" s="684"/>
      <c r="DU231" s="596"/>
      <c r="DV231" s="596"/>
      <c r="DW231" s="596">
        <f t="shared" si="393"/>
        <v>0</v>
      </c>
      <c r="DX231" s="596">
        <f t="shared" si="375"/>
        <v>0</v>
      </c>
      <c r="DY231" s="592" t="e">
        <f t="shared" si="394"/>
        <v>#DIV/0!</v>
      </c>
      <c r="DZ231" s="596">
        <f t="shared" si="450"/>
        <v>2800</v>
      </c>
      <c r="EA231" s="592">
        <f t="shared" si="395"/>
        <v>3.1502151163769906E-2</v>
      </c>
      <c r="EB231" s="594"/>
      <c r="EC231" s="448"/>
      <c r="ED231" s="449"/>
      <c r="EE231" s="449">
        <f t="shared" si="396"/>
        <v>0</v>
      </c>
      <c r="EF231" s="449">
        <f t="shared" si="376"/>
        <v>0</v>
      </c>
      <c r="EG231" s="450" t="e">
        <f t="shared" si="454"/>
        <v>#DIV/0!</v>
      </c>
      <c r="EH231" s="449">
        <f t="shared" si="451"/>
        <v>1165</v>
      </c>
      <c r="EI231" s="450">
        <f t="shared" si="455"/>
        <v>1.3107145037782836E-2</v>
      </c>
      <c r="EJ231" s="687"/>
      <c r="EK231" s="426"/>
      <c r="EL231" s="427"/>
      <c r="EM231" s="427">
        <f t="shared" si="397"/>
        <v>0</v>
      </c>
      <c r="EN231" s="427">
        <f t="shared" si="377"/>
        <v>0</v>
      </c>
      <c r="EO231" s="427">
        <f t="shared" si="398"/>
        <v>84722</v>
      </c>
      <c r="EP231" s="456"/>
      <c r="EQ231" s="457"/>
      <c r="ER231" s="457">
        <f t="shared" si="399"/>
        <v>0</v>
      </c>
      <c r="ES231" s="457">
        <f t="shared" si="378"/>
        <v>0</v>
      </c>
      <c r="ET231" s="457">
        <f t="shared" si="400"/>
        <v>2242</v>
      </c>
      <c r="EU231" s="409"/>
      <c r="EV231" s="43"/>
      <c r="EW231" s="43">
        <f t="shared" si="401"/>
        <v>0</v>
      </c>
      <c r="EX231" s="43">
        <f t="shared" si="379"/>
        <v>0</v>
      </c>
      <c r="EY231" s="43">
        <f t="shared" si="402"/>
        <v>940</v>
      </c>
      <c r="EZ231" s="436"/>
      <c r="FA231" s="437"/>
      <c r="FB231" s="437">
        <f t="shared" si="403"/>
        <v>0</v>
      </c>
      <c r="FC231" s="437">
        <f t="shared" si="380"/>
        <v>0</v>
      </c>
      <c r="FD231" s="437">
        <f t="shared" si="404"/>
        <v>1090</v>
      </c>
      <c r="FE231" s="442"/>
      <c r="FF231" s="443"/>
      <c r="FG231" s="443">
        <f t="shared" si="405"/>
        <v>0</v>
      </c>
      <c r="FH231" s="443">
        <f t="shared" si="381"/>
        <v>0</v>
      </c>
      <c r="FI231" s="443">
        <f t="shared" si="406"/>
        <v>1200</v>
      </c>
      <c r="FJ231" s="392"/>
      <c r="FK231" s="298"/>
      <c r="FL231" s="298">
        <f t="shared" si="407"/>
        <v>0</v>
      </c>
      <c r="FM231" s="298">
        <f t="shared" si="382"/>
        <v>0</v>
      </c>
      <c r="FN231" s="498">
        <f t="shared" si="408"/>
        <v>4800</v>
      </c>
      <c r="HC231" s="402"/>
      <c r="HD231" s="52"/>
      <c r="HE231" s="52">
        <f t="shared" si="409"/>
        <v>0</v>
      </c>
      <c r="HF231" s="52">
        <f t="shared" si="383"/>
        <v>0</v>
      </c>
      <c r="HG231" s="51"/>
      <c r="HH231" s="52">
        <f t="shared" si="452"/>
        <v>2800</v>
      </c>
      <c r="HI231" s="51"/>
      <c r="HJ231" s="1050"/>
    </row>
    <row r="232" spans="1:218" ht="15.75" thickBot="1">
      <c r="A232" s="30">
        <v>44895</v>
      </c>
      <c r="B232" s="390"/>
      <c r="C232" s="18">
        <f t="shared" si="363"/>
        <v>88882819</v>
      </c>
      <c r="D232" s="376"/>
      <c r="E232" s="417">
        <f t="shared" si="467"/>
        <v>1061606.7599999998</v>
      </c>
      <c r="F232" s="399"/>
      <c r="G232" s="400"/>
      <c r="H232" s="400">
        <f t="shared" si="384"/>
        <v>0</v>
      </c>
      <c r="I232" s="400">
        <f t="shared" si="364"/>
        <v>0</v>
      </c>
      <c r="J232" s="400" t="e">
        <f t="shared" si="365"/>
        <v>#DIV/0!</v>
      </c>
      <c r="K232" s="400">
        <f t="shared" si="410"/>
        <v>481207</v>
      </c>
      <c r="L232" s="400">
        <f t="shared" si="366"/>
        <v>453.28177827352954</v>
      </c>
      <c r="M232" s="680"/>
      <c r="N232" s="422"/>
      <c r="O232" s="423"/>
      <c r="P232" s="423">
        <f t="shared" si="411"/>
        <v>0</v>
      </c>
      <c r="Q232" s="423">
        <f t="shared" si="412"/>
        <v>0</v>
      </c>
      <c r="R232" s="423">
        <f t="shared" si="413"/>
        <v>14025</v>
      </c>
      <c r="S232" s="68"/>
      <c r="T232" s="67">
        <v>24</v>
      </c>
      <c r="U232" s="68">
        <f t="shared" si="414"/>
        <v>0</v>
      </c>
      <c r="V232" s="68" t="e">
        <f t="shared" si="367"/>
        <v>#DIV/0!</v>
      </c>
      <c r="W232" s="423">
        <f t="shared" si="415"/>
        <v>13670.903999999999</v>
      </c>
      <c r="X232" s="68">
        <f t="shared" si="368"/>
        <v>12.877559295119788</v>
      </c>
      <c r="Y232" s="681"/>
      <c r="Z232" s="424"/>
      <c r="AA232" s="425"/>
      <c r="AB232" s="425">
        <f t="shared" si="416"/>
        <v>0</v>
      </c>
      <c r="AC232" s="425">
        <f t="shared" si="417"/>
        <v>0</v>
      </c>
      <c r="AD232" s="425">
        <f t="shared" si="418"/>
        <v>2225</v>
      </c>
      <c r="AE232" s="72"/>
      <c r="AF232" s="71">
        <v>12</v>
      </c>
      <c r="AG232" s="72">
        <f t="shared" si="419"/>
        <v>0</v>
      </c>
      <c r="AH232" s="72" t="e">
        <f t="shared" si="385"/>
        <v>#DIV/0!</v>
      </c>
      <c r="AI232" s="425">
        <f t="shared" si="420"/>
        <v>2049.9120000000016</v>
      </c>
      <c r="AJ232" s="72">
        <f t="shared" si="453"/>
        <v>1.9309522859481434</v>
      </c>
      <c r="AK232" s="682"/>
      <c r="AL232" s="491"/>
      <c r="AM232" s="491"/>
      <c r="AN232" s="492">
        <f t="shared" si="460"/>
        <v>0</v>
      </c>
      <c r="AO232" s="492">
        <f t="shared" si="461"/>
        <v>0</v>
      </c>
      <c r="AP232" s="492">
        <f t="shared" si="462"/>
        <v>83573</v>
      </c>
      <c r="AQ232" s="493">
        <f t="shared" si="386"/>
        <v>78.723123428490624</v>
      </c>
      <c r="AR232" s="683"/>
      <c r="AS232" s="413"/>
      <c r="AT232" s="64"/>
      <c r="AU232" s="66">
        <f t="shared" si="421"/>
        <v>0</v>
      </c>
      <c r="AV232" s="66">
        <f t="shared" si="369"/>
        <v>0</v>
      </c>
      <c r="AW232" s="412" t="e">
        <f t="shared" si="422"/>
        <v>#DIV/0!</v>
      </c>
      <c r="AX232" s="66">
        <f t="shared" si="423"/>
        <v>297615</v>
      </c>
      <c r="AY232" s="412">
        <f t="shared" si="424"/>
        <v>3.3483973995019216</v>
      </c>
      <c r="AZ232" s="684"/>
      <c r="BA232" s="419"/>
      <c r="BB232" s="419"/>
      <c r="BC232" s="407"/>
      <c r="BD232" s="419">
        <f t="shared" si="387"/>
        <v>0</v>
      </c>
      <c r="BE232" s="419">
        <f t="shared" si="388"/>
        <v>0</v>
      </c>
      <c r="BF232" s="407" t="e">
        <f t="shared" si="425"/>
        <v>#DIV/0!</v>
      </c>
      <c r="BG232" s="419">
        <f t="shared" si="463"/>
        <v>368770</v>
      </c>
      <c r="BH232" s="407">
        <f t="shared" si="426"/>
        <v>4.1489458159512242</v>
      </c>
      <c r="BI232" s="407">
        <f t="shared" si="427"/>
        <v>0.50803418154504787</v>
      </c>
      <c r="BJ232" s="508"/>
      <c r="BK232" s="510"/>
      <c r="BL232" s="49"/>
      <c r="BM232" s="50"/>
      <c r="BN232" s="52">
        <f t="shared" si="428"/>
        <v>0</v>
      </c>
      <c r="BO232" s="52">
        <f t="shared" si="370"/>
        <v>0</v>
      </c>
      <c r="BP232" s="406" t="e">
        <f t="shared" si="429"/>
        <v>#DIV/0!</v>
      </c>
      <c r="BQ232" s="52">
        <f t="shared" si="430"/>
        <v>37700</v>
      </c>
      <c r="BR232" s="406">
        <f t="shared" si="431"/>
        <v>0.42415396388361626</v>
      </c>
      <c r="BS232" s="685"/>
      <c r="BT232" s="409"/>
      <c r="BU232" s="43"/>
      <c r="BV232" s="43">
        <f t="shared" si="457"/>
        <v>0</v>
      </c>
      <c r="BW232" s="43">
        <f t="shared" si="458"/>
        <v>0</v>
      </c>
      <c r="BX232" s="42" t="e">
        <f t="shared" si="432"/>
        <v>#DIV/0!</v>
      </c>
      <c r="BY232" s="43">
        <f t="shared" si="459"/>
        <v>19437</v>
      </c>
      <c r="BZ232" s="42">
        <f t="shared" si="433"/>
        <v>0.21868118291792704</v>
      </c>
      <c r="CA232" s="514"/>
      <c r="CB232" s="393"/>
      <c r="CC232" s="394"/>
      <c r="CD232" s="394">
        <f t="shared" si="389"/>
        <v>0</v>
      </c>
      <c r="CE232" s="394">
        <f t="shared" si="371"/>
        <v>0</v>
      </c>
      <c r="CF232" s="300" t="e">
        <f t="shared" si="434"/>
        <v>#DIV/0!</v>
      </c>
      <c r="CG232" s="394">
        <f t="shared" si="435"/>
        <v>61350</v>
      </c>
      <c r="CH232" s="300">
        <f t="shared" si="436"/>
        <v>0.69023463353474424</v>
      </c>
      <c r="CI232" s="686"/>
      <c r="CJ232" s="659"/>
      <c r="CK232" s="651"/>
      <c r="CL232" s="657">
        <f t="shared" si="464"/>
        <v>0</v>
      </c>
      <c r="CM232" s="657">
        <f t="shared" si="465"/>
        <v>0</v>
      </c>
      <c r="CN232" s="659">
        <f t="shared" si="466"/>
        <v>26250</v>
      </c>
      <c r="CO232" s="467"/>
      <c r="CP232" s="468"/>
      <c r="CQ232" s="468">
        <f t="shared" si="390"/>
        <v>0</v>
      </c>
      <c r="CR232" s="468">
        <f t="shared" si="372"/>
        <v>0</v>
      </c>
      <c r="CS232" s="486" t="e">
        <f t="shared" si="437"/>
        <v>#DIV/0!</v>
      </c>
      <c r="CT232" s="468">
        <f t="shared" si="438"/>
        <v>1619</v>
      </c>
      <c r="CU232" s="486">
        <f t="shared" si="439"/>
        <v>1.821499383362267E-2</v>
      </c>
      <c r="CV232" s="519"/>
      <c r="CW232" s="427"/>
      <c r="CX232" s="427"/>
      <c r="CY232" s="427">
        <f t="shared" si="440"/>
        <v>0</v>
      </c>
      <c r="CZ232" s="427">
        <f t="shared" si="441"/>
        <v>0</v>
      </c>
      <c r="DA232" s="607" t="e">
        <f t="shared" si="456"/>
        <v>#DIV/0!</v>
      </c>
      <c r="DB232" s="607">
        <f t="shared" si="442"/>
        <v>115</v>
      </c>
      <c r="DC232" s="607">
        <f t="shared" si="391"/>
        <v>1.2938383513691211E-3</v>
      </c>
      <c r="DD232" s="609"/>
      <c r="DE232" s="472"/>
      <c r="DF232" s="474"/>
      <c r="DG232" s="474">
        <f t="shared" si="392"/>
        <v>0</v>
      </c>
      <c r="DH232" s="474">
        <f t="shared" si="373"/>
        <v>0</v>
      </c>
      <c r="DI232" s="227" t="e">
        <f t="shared" si="443"/>
        <v>#DIV/0!</v>
      </c>
      <c r="DJ232" s="474">
        <f t="shared" si="444"/>
        <v>155.19999999999999</v>
      </c>
      <c r="DK232" s="227">
        <f t="shared" si="445"/>
        <v>1.7461192359346748E-3</v>
      </c>
      <c r="DL232" s="508"/>
      <c r="DM232" s="63"/>
      <c r="DN232" s="64"/>
      <c r="DO232" s="66">
        <f t="shared" si="446"/>
        <v>0</v>
      </c>
      <c r="DP232" s="66">
        <f t="shared" si="374"/>
        <v>0</v>
      </c>
      <c r="DQ232" s="412" t="e">
        <f t="shared" si="447"/>
        <v>#DIV/0!</v>
      </c>
      <c r="DR232" s="66">
        <f t="shared" si="448"/>
        <v>18000</v>
      </c>
      <c r="DS232" s="412">
        <f t="shared" si="449"/>
        <v>0.2025138289099494</v>
      </c>
      <c r="DT232" s="684"/>
      <c r="DU232" s="596"/>
      <c r="DV232" s="596"/>
      <c r="DW232" s="596">
        <f t="shared" si="393"/>
        <v>0</v>
      </c>
      <c r="DX232" s="596">
        <f t="shared" si="375"/>
        <v>0</v>
      </c>
      <c r="DY232" s="592" t="e">
        <f t="shared" si="394"/>
        <v>#DIV/0!</v>
      </c>
      <c r="DZ232" s="596">
        <f t="shared" si="450"/>
        <v>2800</v>
      </c>
      <c r="EA232" s="592">
        <f t="shared" si="395"/>
        <v>3.1502151163769906E-2</v>
      </c>
      <c r="EB232" s="594"/>
      <c r="EC232" s="451"/>
      <c r="ED232" s="452"/>
      <c r="EE232" s="452">
        <f t="shared" si="396"/>
        <v>0</v>
      </c>
      <c r="EF232" s="452">
        <f t="shared" si="376"/>
        <v>0</v>
      </c>
      <c r="EG232" s="450" t="e">
        <f t="shared" si="454"/>
        <v>#DIV/0!</v>
      </c>
      <c r="EH232" s="452">
        <f t="shared" si="451"/>
        <v>1165</v>
      </c>
      <c r="EI232" s="450">
        <f t="shared" si="455"/>
        <v>1.3107145037782836E-2</v>
      </c>
      <c r="EJ232" s="687"/>
      <c r="EK232" s="428"/>
      <c r="EL232" s="429"/>
      <c r="EM232" s="429">
        <f t="shared" si="397"/>
        <v>0</v>
      </c>
      <c r="EN232" s="429">
        <f t="shared" si="377"/>
        <v>0</v>
      </c>
      <c r="EO232" s="429">
        <f t="shared" si="398"/>
        <v>84722</v>
      </c>
      <c r="EP232" s="458"/>
      <c r="EQ232" s="459"/>
      <c r="ER232" s="459">
        <f t="shared" si="399"/>
        <v>0</v>
      </c>
      <c r="ES232" s="459">
        <f t="shared" si="378"/>
        <v>0</v>
      </c>
      <c r="ET232" s="459">
        <f t="shared" si="400"/>
        <v>2242</v>
      </c>
      <c r="EU232" s="432"/>
      <c r="EV232" s="433"/>
      <c r="EW232" s="433">
        <f t="shared" si="401"/>
        <v>0</v>
      </c>
      <c r="EX232" s="433">
        <f t="shared" si="379"/>
        <v>0</v>
      </c>
      <c r="EY232" s="433">
        <f t="shared" si="402"/>
        <v>940</v>
      </c>
      <c r="EZ232" s="438"/>
      <c r="FA232" s="439"/>
      <c r="FB232" s="439">
        <f t="shared" si="403"/>
        <v>0</v>
      </c>
      <c r="FC232" s="439">
        <f t="shared" si="380"/>
        <v>0</v>
      </c>
      <c r="FD232" s="439">
        <f t="shared" si="404"/>
        <v>1090</v>
      </c>
      <c r="FE232" s="444"/>
      <c r="FF232" s="445"/>
      <c r="FG232" s="445">
        <f t="shared" si="405"/>
        <v>0</v>
      </c>
      <c r="FH232" s="445">
        <f t="shared" si="381"/>
        <v>0</v>
      </c>
      <c r="FI232" s="445">
        <f t="shared" si="406"/>
        <v>1200</v>
      </c>
      <c r="FJ232" s="393"/>
      <c r="FK232" s="394"/>
      <c r="FL232" s="394">
        <f t="shared" si="407"/>
        <v>0</v>
      </c>
      <c r="FM232" s="394">
        <f t="shared" si="382"/>
        <v>0</v>
      </c>
      <c r="FN232" s="499">
        <f t="shared" si="408"/>
        <v>4800</v>
      </c>
      <c r="HC232" s="403"/>
      <c r="HD232" s="405"/>
      <c r="HE232" s="405">
        <f t="shared" si="409"/>
        <v>0</v>
      </c>
      <c r="HF232" s="405">
        <f t="shared" si="383"/>
        <v>0</v>
      </c>
      <c r="HG232" s="84"/>
      <c r="HH232" s="405">
        <f t="shared" si="452"/>
        <v>2800</v>
      </c>
      <c r="HI232" s="84"/>
      <c r="HJ232" s="1051"/>
    </row>
    <row r="233" spans="1:218">
      <c r="A233" s="30">
        <v>44896</v>
      </c>
      <c r="B233" s="390"/>
      <c r="C233" s="18">
        <f t="shared" si="363"/>
        <v>88882819</v>
      </c>
      <c r="D233" s="376"/>
      <c r="E233" s="417">
        <f t="shared" si="467"/>
        <v>1061606.7599999998</v>
      </c>
      <c r="F233" s="397"/>
      <c r="G233" s="37"/>
      <c r="H233" s="37">
        <f t="shared" si="384"/>
        <v>0</v>
      </c>
      <c r="I233" s="37">
        <f t="shared" si="364"/>
        <v>0</v>
      </c>
      <c r="J233" s="37" t="e">
        <f t="shared" si="365"/>
        <v>#DIV/0!</v>
      </c>
      <c r="K233" s="37">
        <f t="shared" si="410"/>
        <v>481207</v>
      </c>
      <c r="L233" s="37">
        <f t="shared" si="366"/>
        <v>453.28177827352954</v>
      </c>
      <c r="M233" s="688"/>
      <c r="N233" s="422"/>
      <c r="O233" s="423"/>
      <c r="P233" s="423">
        <f t="shared" si="411"/>
        <v>0</v>
      </c>
      <c r="Q233" s="423">
        <f t="shared" si="412"/>
        <v>0</v>
      </c>
      <c r="R233" s="423">
        <f t="shared" si="413"/>
        <v>14025</v>
      </c>
      <c r="S233" s="102"/>
      <c r="T233" s="67">
        <v>24</v>
      </c>
      <c r="U233" s="68">
        <f t="shared" si="414"/>
        <v>0</v>
      </c>
      <c r="V233" s="68" t="e">
        <f t="shared" si="367"/>
        <v>#DIV/0!</v>
      </c>
      <c r="W233" s="423">
        <f t="shared" si="415"/>
        <v>13670.903999999999</v>
      </c>
      <c r="X233" s="68">
        <f t="shared" si="368"/>
        <v>12.877559295119788</v>
      </c>
      <c r="Y233" s="673"/>
      <c r="Z233" s="424"/>
      <c r="AA233" s="425"/>
      <c r="AB233" s="425">
        <f t="shared" si="416"/>
        <v>0</v>
      </c>
      <c r="AC233" s="425">
        <f t="shared" si="417"/>
        <v>0</v>
      </c>
      <c r="AD233" s="425">
        <f t="shared" si="418"/>
        <v>2225</v>
      </c>
      <c r="AE233" s="138"/>
      <c r="AF233" s="71">
        <v>12</v>
      </c>
      <c r="AG233" s="72">
        <f t="shared" si="419"/>
        <v>0</v>
      </c>
      <c r="AH233" s="72" t="e">
        <f t="shared" si="385"/>
        <v>#DIV/0!</v>
      </c>
      <c r="AI233" s="425">
        <f t="shared" si="420"/>
        <v>2049.9120000000016</v>
      </c>
      <c r="AJ233" s="72">
        <f t="shared" si="453"/>
        <v>1.9309522859481434</v>
      </c>
      <c r="AK233" s="674"/>
      <c r="AL233" s="491"/>
      <c r="AM233" s="491"/>
      <c r="AN233" s="492">
        <f t="shared" si="460"/>
        <v>0</v>
      </c>
      <c r="AO233" s="492">
        <f t="shared" si="461"/>
        <v>0</v>
      </c>
      <c r="AP233" s="492">
        <f t="shared" si="462"/>
        <v>83573</v>
      </c>
      <c r="AQ233" s="493">
        <f t="shared" si="386"/>
        <v>78.723123428490624</v>
      </c>
      <c r="AR233" s="689"/>
      <c r="AS233" s="413"/>
      <c r="AT233" s="132"/>
      <c r="AU233" s="66">
        <f t="shared" si="421"/>
        <v>0</v>
      </c>
      <c r="AV233" s="66">
        <f t="shared" si="369"/>
        <v>0</v>
      </c>
      <c r="AW233" s="412" t="e">
        <f t="shared" si="422"/>
        <v>#DIV/0!</v>
      </c>
      <c r="AX233" s="66">
        <f t="shared" si="423"/>
        <v>297615</v>
      </c>
      <c r="AY233" s="412">
        <f t="shared" si="424"/>
        <v>3.3483973995019216</v>
      </c>
      <c r="AZ233" s="665"/>
      <c r="BA233" s="419"/>
      <c r="BB233" s="419"/>
      <c r="BC233" s="407"/>
      <c r="BD233" s="419">
        <f t="shared" si="387"/>
        <v>0</v>
      </c>
      <c r="BE233" s="419">
        <f t="shared" si="388"/>
        <v>0</v>
      </c>
      <c r="BF233" s="407" t="e">
        <f t="shared" si="425"/>
        <v>#DIV/0!</v>
      </c>
      <c r="BG233" s="419">
        <f t="shared" si="463"/>
        <v>368770</v>
      </c>
      <c r="BH233" s="407">
        <f t="shared" si="426"/>
        <v>4.1489458159512242</v>
      </c>
      <c r="BI233" s="407">
        <f t="shared" si="427"/>
        <v>0.50803418154504787</v>
      </c>
      <c r="BJ233" s="666"/>
      <c r="BK233" s="646"/>
      <c r="BL233" s="121"/>
      <c r="BM233" s="122"/>
      <c r="BN233" s="52">
        <f t="shared" si="428"/>
        <v>0</v>
      </c>
      <c r="BO233" s="52">
        <f t="shared" si="370"/>
        <v>0</v>
      </c>
      <c r="BP233" s="406" t="e">
        <f t="shared" si="429"/>
        <v>#DIV/0!</v>
      </c>
      <c r="BQ233" s="52">
        <f t="shared" si="430"/>
        <v>37700</v>
      </c>
      <c r="BR233" s="406">
        <f t="shared" si="431"/>
        <v>0.42415396388361626</v>
      </c>
      <c r="BS233" s="667"/>
      <c r="BT233" s="409"/>
      <c r="BU233" s="43"/>
      <c r="BV233" s="43">
        <f t="shared" si="457"/>
        <v>0</v>
      </c>
      <c r="BW233" s="43">
        <f t="shared" si="458"/>
        <v>0</v>
      </c>
      <c r="BX233" s="42" t="e">
        <f t="shared" si="432"/>
        <v>#DIV/0!</v>
      </c>
      <c r="BY233" s="43">
        <f t="shared" si="459"/>
        <v>19437</v>
      </c>
      <c r="BZ233" s="42">
        <f t="shared" si="433"/>
        <v>0.21868118291792704</v>
      </c>
      <c r="CA233" s="668"/>
      <c r="CB233" s="392"/>
      <c r="CC233" s="298"/>
      <c r="CD233" s="298">
        <f t="shared" si="389"/>
        <v>0</v>
      </c>
      <c r="CE233" s="298">
        <f t="shared" si="371"/>
        <v>0</v>
      </c>
      <c r="CF233" s="297" t="e">
        <f t="shared" si="434"/>
        <v>#DIV/0!</v>
      </c>
      <c r="CG233" s="298">
        <f t="shared" si="435"/>
        <v>61350</v>
      </c>
      <c r="CH233" s="297">
        <f t="shared" si="436"/>
        <v>0.69023463353474424</v>
      </c>
      <c r="CI233" s="690"/>
      <c r="CJ233" s="659"/>
      <c r="CK233" s="654"/>
      <c r="CL233" s="657">
        <f t="shared" si="464"/>
        <v>0</v>
      </c>
      <c r="CM233" s="657">
        <f t="shared" si="465"/>
        <v>0</v>
      </c>
      <c r="CN233" s="659">
        <f t="shared" si="466"/>
        <v>26250</v>
      </c>
      <c r="CO233" s="464"/>
      <c r="CP233" s="465"/>
      <c r="CQ233" s="465">
        <f t="shared" si="390"/>
        <v>0</v>
      </c>
      <c r="CR233" s="465">
        <f t="shared" si="372"/>
        <v>0</v>
      </c>
      <c r="CS233" s="486" t="e">
        <f t="shared" si="437"/>
        <v>#DIV/0!</v>
      </c>
      <c r="CT233" s="465">
        <f t="shared" si="438"/>
        <v>1619</v>
      </c>
      <c r="CU233" s="486">
        <f t="shared" si="439"/>
        <v>1.821499383362267E-2</v>
      </c>
      <c r="CV233" s="691"/>
      <c r="CW233" s="427"/>
      <c r="CX233" s="427"/>
      <c r="CY233" s="427">
        <f t="shared" si="440"/>
        <v>0</v>
      </c>
      <c r="CZ233" s="427">
        <f t="shared" si="441"/>
        <v>0</v>
      </c>
      <c r="DA233" s="607" t="e">
        <f t="shared" si="456"/>
        <v>#DIV/0!</v>
      </c>
      <c r="DB233" s="607">
        <f t="shared" si="442"/>
        <v>115</v>
      </c>
      <c r="DC233" s="607">
        <f t="shared" si="391"/>
        <v>1.2938383513691211E-3</v>
      </c>
      <c r="DD233" s="611"/>
      <c r="DE233" s="471"/>
      <c r="DF233" s="473"/>
      <c r="DG233" s="473">
        <f t="shared" si="392"/>
        <v>0</v>
      </c>
      <c r="DH233" s="473">
        <f t="shared" si="373"/>
        <v>0</v>
      </c>
      <c r="DI233" s="227" t="e">
        <f t="shared" si="443"/>
        <v>#DIV/0!</v>
      </c>
      <c r="DJ233" s="473">
        <f t="shared" si="444"/>
        <v>155.19999999999999</v>
      </c>
      <c r="DK233" s="227">
        <f t="shared" si="445"/>
        <v>1.7461192359346748E-3</v>
      </c>
      <c r="DL233" s="692"/>
      <c r="DM233" s="131"/>
      <c r="DN233" s="132"/>
      <c r="DO233" s="66">
        <f t="shared" si="446"/>
        <v>0</v>
      </c>
      <c r="DP233" s="66">
        <f t="shared" si="374"/>
        <v>0</v>
      </c>
      <c r="DQ233" s="412" t="e">
        <f t="shared" si="447"/>
        <v>#DIV/0!</v>
      </c>
      <c r="DR233" s="66">
        <f t="shared" si="448"/>
        <v>18000</v>
      </c>
      <c r="DS233" s="412">
        <f t="shared" si="449"/>
        <v>0.2025138289099494</v>
      </c>
      <c r="DT233" s="665"/>
      <c r="DU233" s="596"/>
      <c r="DV233" s="596"/>
      <c r="DW233" s="596">
        <f t="shared" si="393"/>
        <v>0</v>
      </c>
      <c r="DX233" s="596">
        <f t="shared" si="375"/>
        <v>0</v>
      </c>
      <c r="DY233" s="592" t="e">
        <f t="shared" si="394"/>
        <v>#DIV/0!</v>
      </c>
      <c r="DZ233" s="596">
        <f t="shared" si="450"/>
        <v>2800</v>
      </c>
      <c r="EA233" s="592">
        <f t="shared" si="395"/>
        <v>3.1502151163769906E-2</v>
      </c>
      <c r="EB233" s="594"/>
      <c r="EC233" s="448"/>
      <c r="ED233" s="449"/>
      <c r="EE233" s="449">
        <f t="shared" si="396"/>
        <v>0</v>
      </c>
      <c r="EF233" s="449">
        <f t="shared" si="376"/>
        <v>0</v>
      </c>
      <c r="EG233" s="450" t="e">
        <f t="shared" si="454"/>
        <v>#DIV/0!</v>
      </c>
      <c r="EH233" s="449">
        <f t="shared" si="451"/>
        <v>1165</v>
      </c>
      <c r="EI233" s="450">
        <f t="shared" si="455"/>
        <v>1.3107145037782836E-2</v>
      </c>
      <c r="EJ233" s="693"/>
      <c r="EK233" s="426"/>
      <c r="EL233" s="427"/>
      <c r="EM233" s="427">
        <f t="shared" si="397"/>
        <v>0</v>
      </c>
      <c r="EN233" s="427">
        <f t="shared" si="377"/>
        <v>0</v>
      </c>
      <c r="EO233" s="427">
        <f t="shared" si="398"/>
        <v>84722</v>
      </c>
      <c r="EP233" s="456"/>
      <c r="EQ233" s="457"/>
      <c r="ER233" s="457">
        <f t="shared" si="399"/>
        <v>0</v>
      </c>
      <c r="ES233" s="457">
        <f t="shared" si="378"/>
        <v>0</v>
      </c>
      <c r="ET233" s="457">
        <f t="shared" si="400"/>
        <v>2242</v>
      </c>
      <c r="EU233" s="409"/>
      <c r="EV233" s="43"/>
      <c r="EW233" s="43">
        <f t="shared" si="401"/>
        <v>0</v>
      </c>
      <c r="EX233" s="43">
        <f t="shared" si="379"/>
        <v>0</v>
      </c>
      <c r="EY233" s="43">
        <f t="shared" si="402"/>
        <v>940</v>
      </c>
      <c r="EZ233" s="436"/>
      <c r="FA233" s="437"/>
      <c r="FB233" s="437">
        <f t="shared" si="403"/>
        <v>0</v>
      </c>
      <c r="FC233" s="437">
        <f t="shared" si="380"/>
        <v>0</v>
      </c>
      <c r="FD233" s="437">
        <f t="shared" si="404"/>
        <v>1090</v>
      </c>
      <c r="FE233" s="442"/>
      <c r="FF233" s="443"/>
      <c r="FG233" s="443">
        <f t="shared" si="405"/>
        <v>0</v>
      </c>
      <c r="FH233" s="443">
        <f t="shared" si="381"/>
        <v>0</v>
      </c>
      <c r="FI233" s="443">
        <f t="shared" si="406"/>
        <v>1200</v>
      </c>
      <c r="FJ233" s="392"/>
      <c r="FK233" s="298"/>
      <c r="FL233" s="298">
        <f t="shared" si="407"/>
        <v>0</v>
      </c>
      <c r="FM233" s="298">
        <f t="shared" si="382"/>
        <v>0</v>
      </c>
      <c r="FN233" s="498">
        <f t="shared" si="408"/>
        <v>4800</v>
      </c>
      <c r="HC233" s="402"/>
      <c r="HD233" s="52"/>
      <c r="HE233" s="52">
        <f t="shared" si="409"/>
        <v>0</v>
      </c>
      <c r="HF233" s="52">
        <f t="shared" si="383"/>
        <v>0</v>
      </c>
      <c r="HG233" s="51"/>
      <c r="HH233" s="52">
        <f t="shared" si="452"/>
        <v>2800</v>
      </c>
      <c r="HI233" s="51"/>
      <c r="HJ233" s="1043"/>
    </row>
    <row r="234" spans="1:218">
      <c r="A234" s="30">
        <v>44897</v>
      </c>
      <c r="B234" s="390"/>
      <c r="C234" s="18">
        <f t="shared" si="363"/>
        <v>88882819</v>
      </c>
      <c r="D234" s="376"/>
      <c r="E234" s="417">
        <f t="shared" si="467"/>
        <v>1061606.7599999998</v>
      </c>
      <c r="F234" s="397"/>
      <c r="G234" s="37"/>
      <c r="H234" s="37">
        <f t="shared" si="384"/>
        <v>0</v>
      </c>
      <c r="I234" s="37">
        <f t="shared" si="364"/>
        <v>0</v>
      </c>
      <c r="J234" s="37" t="e">
        <f t="shared" si="365"/>
        <v>#DIV/0!</v>
      </c>
      <c r="K234" s="37">
        <f t="shared" si="410"/>
        <v>481207</v>
      </c>
      <c r="L234" s="37">
        <f t="shared" si="366"/>
        <v>453.28177827352954</v>
      </c>
      <c r="M234" s="694"/>
      <c r="N234" s="422"/>
      <c r="O234" s="423"/>
      <c r="P234" s="423">
        <f t="shared" si="411"/>
        <v>0</v>
      </c>
      <c r="Q234" s="423">
        <f t="shared" si="412"/>
        <v>0</v>
      </c>
      <c r="R234" s="423">
        <f t="shared" si="413"/>
        <v>14025</v>
      </c>
      <c r="S234" s="68"/>
      <c r="T234" s="67">
        <v>24</v>
      </c>
      <c r="U234" s="68">
        <f t="shared" si="414"/>
        <v>0</v>
      </c>
      <c r="V234" s="68" t="e">
        <f t="shared" si="367"/>
        <v>#DIV/0!</v>
      </c>
      <c r="W234" s="423">
        <f t="shared" si="415"/>
        <v>13670.903999999999</v>
      </c>
      <c r="X234" s="68">
        <f t="shared" si="368"/>
        <v>12.877559295119788</v>
      </c>
      <c r="Y234" s="681"/>
      <c r="Z234" s="424"/>
      <c r="AA234" s="425"/>
      <c r="AB234" s="425">
        <f t="shared" si="416"/>
        <v>0</v>
      </c>
      <c r="AC234" s="425">
        <f t="shared" si="417"/>
        <v>0</v>
      </c>
      <c r="AD234" s="425">
        <f t="shared" si="418"/>
        <v>2225</v>
      </c>
      <c r="AE234" s="72"/>
      <c r="AF234" s="71">
        <v>12</v>
      </c>
      <c r="AG234" s="72">
        <f t="shared" si="419"/>
        <v>0</v>
      </c>
      <c r="AH234" s="72" t="e">
        <f t="shared" si="385"/>
        <v>#DIV/0!</v>
      </c>
      <c r="AI234" s="425">
        <f t="shared" si="420"/>
        <v>2049.9120000000016</v>
      </c>
      <c r="AJ234" s="72">
        <f t="shared" si="453"/>
        <v>1.9309522859481434</v>
      </c>
      <c r="AK234" s="682"/>
      <c r="AL234" s="491"/>
      <c r="AM234" s="491"/>
      <c r="AN234" s="492">
        <f t="shared" si="460"/>
        <v>0</v>
      </c>
      <c r="AO234" s="492">
        <f t="shared" si="461"/>
        <v>0</v>
      </c>
      <c r="AP234" s="492">
        <f t="shared" si="462"/>
        <v>83573</v>
      </c>
      <c r="AQ234" s="493">
        <f t="shared" si="386"/>
        <v>78.723123428490624</v>
      </c>
      <c r="AR234" s="695"/>
      <c r="AS234" s="413"/>
      <c r="AT234" s="64"/>
      <c r="AU234" s="66">
        <f t="shared" si="421"/>
        <v>0</v>
      </c>
      <c r="AV234" s="66">
        <f t="shared" si="369"/>
        <v>0</v>
      </c>
      <c r="AW234" s="412" t="e">
        <f t="shared" si="422"/>
        <v>#DIV/0!</v>
      </c>
      <c r="AX234" s="66">
        <f t="shared" si="423"/>
        <v>297615</v>
      </c>
      <c r="AY234" s="412">
        <f t="shared" si="424"/>
        <v>3.3483973995019216</v>
      </c>
      <c r="AZ234" s="506"/>
      <c r="BA234" s="419"/>
      <c r="BB234" s="419"/>
      <c r="BC234" s="407"/>
      <c r="BD234" s="419">
        <f t="shared" si="387"/>
        <v>0</v>
      </c>
      <c r="BE234" s="419">
        <f t="shared" si="388"/>
        <v>0</v>
      </c>
      <c r="BF234" s="407" t="e">
        <f t="shared" si="425"/>
        <v>#DIV/0!</v>
      </c>
      <c r="BG234" s="419">
        <f t="shared" si="463"/>
        <v>368770</v>
      </c>
      <c r="BH234" s="407">
        <f t="shared" si="426"/>
        <v>4.1489458159512242</v>
      </c>
      <c r="BI234" s="407">
        <f t="shared" si="427"/>
        <v>0.50803418154504787</v>
      </c>
      <c r="BJ234" s="508"/>
      <c r="BK234" s="510"/>
      <c r="BL234" s="49"/>
      <c r="BM234" s="50"/>
      <c r="BN234" s="52">
        <f t="shared" si="428"/>
        <v>0</v>
      </c>
      <c r="BO234" s="52">
        <f t="shared" si="370"/>
        <v>0</v>
      </c>
      <c r="BP234" s="406" t="e">
        <f t="shared" si="429"/>
        <v>#DIV/0!</v>
      </c>
      <c r="BQ234" s="52">
        <f t="shared" si="430"/>
        <v>37700</v>
      </c>
      <c r="BR234" s="406">
        <f t="shared" si="431"/>
        <v>0.42415396388361626</v>
      </c>
      <c r="BS234" s="512"/>
      <c r="BT234" s="409"/>
      <c r="BU234" s="43"/>
      <c r="BV234" s="43">
        <f t="shared" si="457"/>
        <v>0</v>
      </c>
      <c r="BW234" s="43">
        <f t="shared" si="458"/>
        <v>0</v>
      </c>
      <c r="BX234" s="42" t="e">
        <f t="shared" si="432"/>
        <v>#DIV/0!</v>
      </c>
      <c r="BY234" s="43">
        <f t="shared" si="459"/>
        <v>19437</v>
      </c>
      <c r="BZ234" s="42">
        <f t="shared" si="433"/>
        <v>0.21868118291792704</v>
      </c>
      <c r="CA234" s="514"/>
      <c r="CB234" s="392"/>
      <c r="CC234" s="298"/>
      <c r="CD234" s="298">
        <f t="shared" si="389"/>
        <v>0</v>
      </c>
      <c r="CE234" s="298">
        <f t="shared" si="371"/>
        <v>0</v>
      </c>
      <c r="CF234" s="297" t="e">
        <f t="shared" si="434"/>
        <v>#DIV/0!</v>
      </c>
      <c r="CG234" s="298">
        <f t="shared" si="435"/>
        <v>61350</v>
      </c>
      <c r="CH234" s="297">
        <f t="shared" si="436"/>
        <v>0.69023463353474424</v>
      </c>
      <c r="CI234" s="696"/>
      <c r="CJ234" s="659"/>
      <c r="CK234" s="654"/>
      <c r="CL234" s="657">
        <f t="shared" si="464"/>
        <v>0</v>
      </c>
      <c r="CM234" s="657">
        <f t="shared" si="465"/>
        <v>0</v>
      </c>
      <c r="CN234" s="659">
        <f t="shared" si="466"/>
        <v>26250</v>
      </c>
      <c r="CO234" s="464"/>
      <c r="CP234" s="465"/>
      <c r="CQ234" s="465">
        <f t="shared" si="390"/>
        <v>0</v>
      </c>
      <c r="CR234" s="465">
        <f t="shared" si="372"/>
        <v>0</v>
      </c>
      <c r="CS234" s="486" t="e">
        <f t="shared" si="437"/>
        <v>#DIV/0!</v>
      </c>
      <c r="CT234" s="465">
        <f t="shared" si="438"/>
        <v>1619</v>
      </c>
      <c r="CU234" s="486">
        <f t="shared" si="439"/>
        <v>1.821499383362267E-2</v>
      </c>
      <c r="CV234" s="697"/>
      <c r="CW234" s="427"/>
      <c r="CX234" s="427"/>
      <c r="CY234" s="427">
        <f t="shared" si="440"/>
        <v>0</v>
      </c>
      <c r="CZ234" s="427">
        <f t="shared" si="441"/>
        <v>0</v>
      </c>
      <c r="DA234" s="607" t="e">
        <f t="shared" si="456"/>
        <v>#DIV/0!</v>
      </c>
      <c r="DB234" s="607">
        <f t="shared" si="442"/>
        <v>115</v>
      </c>
      <c r="DC234" s="607">
        <f t="shared" si="391"/>
        <v>1.2938383513691211E-3</v>
      </c>
      <c r="DD234" s="611"/>
      <c r="DE234" s="471"/>
      <c r="DF234" s="473"/>
      <c r="DG234" s="473">
        <f t="shared" si="392"/>
        <v>0</v>
      </c>
      <c r="DH234" s="473">
        <f t="shared" si="373"/>
        <v>0</v>
      </c>
      <c r="DI234" s="227" t="e">
        <f t="shared" si="443"/>
        <v>#DIV/0!</v>
      </c>
      <c r="DJ234" s="473">
        <f t="shared" si="444"/>
        <v>155.19999999999999</v>
      </c>
      <c r="DK234" s="227">
        <f t="shared" si="445"/>
        <v>1.7461192359346748E-3</v>
      </c>
      <c r="DL234" s="698"/>
      <c r="DM234" s="63"/>
      <c r="DN234" s="64"/>
      <c r="DO234" s="66">
        <f t="shared" si="446"/>
        <v>0</v>
      </c>
      <c r="DP234" s="66">
        <f t="shared" si="374"/>
        <v>0</v>
      </c>
      <c r="DQ234" s="412" t="e">
        <f t="shared" si="447"/>
        <v>#DIV/0!</v>
      </c>
      <c r="DR234" s="66">
        <f t="shared" si="448"/>
        <v>18000</v>
      </c>
      <c r="DS234" s="412">
        <f t="shared" si="449"/>
        <v>0.2025138289099494</v>
      </c>
      <c r="DT234" s="506"/>
      <c r="DU234" s="596"/>
      <c r="DV234" s="596"/>
      <c r="DW234" s="596">
        <f t="shared" si="393"/>
        <v>0</v>
      </c>
      <c r="DX234" s="596">
        <f t="shared" si="375"/>
        <v>0</v>
      </c>
      <c r="DY234" s="592" t="e">
        <f t="shared" si="394"/>
        <v>#DIV/0!</v>
      </c>
      <c r="DZ234" s="596">
        <f t="shared" si="450"/>
        <v>2800</v>
      </c>
      <c r="EA234" s="592">
        <f t="shared" si="395"/>
        <v>3.1502151163769906E-2</v>
      </c>
      <c r="EB234" s="594"/>
      <c r="EC234" s="448"/>
      <c r="ED234" s="449"/>
      <c r="EE234" s="449">
        <f t="shared" si="396"/>
        <v>0</v>
      </c>
      <c r="EF234" s="449">
        <f t="shared" si="376"/>
        <v>0</v>
      </c>
      <c r="EG234" s="450" t="e">
        <f t="shared" si="454"/>
        <v>#DIV/0!</v>
      </c>
      <c r="EH234" s="449">
        <f t="shared" si="451"/>
        <v>1165</v>
      </c>
      <c r="EI234" s="450">
        <f t="shared" si="455"/>
        <v>1.3107145037782836E-2</v>
      </c>
      <c r="EJ234" s="699"/>
      <c r="EK234" s="426"/>
      <c r="EL234" s="427"/>
      <c r="EM234" s="427">
        <f t="shared" si="397"/>
        <v>0</v>
      </c>
      <c r="EN234" s="427">
        <f t="shared" si="377"/>
        <v>0</v>
      </c>
      <c r="EO234" s="427">
        <f t="shared" si="398"/>
        <v>84722</v>
      </c>
      <c r="EP234" s="456"/>
      <c r="EQ234" s="457"/>
      <c r="ER234" s="457">
        <f t="shared" si="399"/>
        <v>0</v>
      </c>
      <c r="ES234" s="457">
        <f t="shared" si="378"/>
        <v>0</v>
      </c>
      <c r="ET234" s="457">
        <f t="shared" si="400"/>
        <v>2242</v>
      </c>
      <c r="EU234" s="409"/>
      <c r="EV234" s="43"/>
      <c r="EW234" s="43">
        <f t="shared" si="401"/>
        <v>0</v>
      </c>
      <c r="EX234" s="43">
        <f t="shared" si="379"/>
        <v>0</v>
      </c>
      <c r="EY234" s="43">
        <f t="shared" si="402"/>
        <v>940</v>
      </c>
      <c r="EZ234" s="436"/>
      <c r="FA234" s="437"/>
      <c r="FB234" s="437">
        <f t="shared" si="403"/>
        <v>0</v>
      </c>
      <c r="FC234" s="437">
        <f t="shared" si="380"/>
        <v>0</v>
      </c>
      <c r="FD234" s="437">
        <f t="shared" si="404"/>
        <v>1090</v>
      </c>
      <c r="FE234" s="442"/>
      <c r="FF234" s="443"/>
      <c r="FG234" s="443">
        <f t="shared" si="405"/>
        <v>0</v>
      </c>
      <c r="FH234" s="443">
        <f t="shared" si="381"/>
        <v>0</v>
      </c>
      <c r="FI234" s="443">
        <f t="shared" si="406"/>
        <v>1200</v>
      </c>
      <c r="FJ234" s="392"/>
      <c r="FK234" s="298"/>
      <c r="FL234" s="298">
        <f t="shared" si="407"/>
        <v>0</v>
      </c>
      <c r="FM234" s="298">
        <f t="shared" si="382"/>
        <v>0</v>
      </c>
      <c r="FN234" s="498">
        <f t="shared" si="408"/>
        <v>4800</v>
      </c>
      <c r="HC234" s="402"/>
      <c r="HD234" s="52"/>
      <c r="HE234" s="52">
        <f t="shared" si="409"/>
        <v>0</v>
      </c>
      <c r="HF234" s="52">
        <f t="shared" si="383"/>
        <v>0</v>
      </c>
      <c r="HG234" s="51"/>
      <c r="HH234" s="52">
        <f t="shared" si="452"/>
        <v>2800</v>
      </c>
      <c r="HI234" s="51"/>
      <c r="HJ234" s="1044"/>
    </row>
    <row r="235" spans="1:218">
      <c r="A235" s="30">
        <v>44898</v>
      </c>
      <c r="B235" s="390"/>
      <c r="C235" s="18">
        <f t="shared" si="363"/>
        <v>88882819</v>
      </c>
      <c r="D235" s="376"/>
      <c r="E235" s="417">
        <f t="shared" si="467"/>
        <v>1061606.7599999998</v>
      </c>
      <c r="F235" s="397"/>
      <c r="G235" s="37"/>
      <c r="H235" s="37">
        <f t="shared" si="384"/>
        <v>0</v>
      </c>
      <c r="I235" s="37">
        <f t="shared" si="364"/>
        <v>0</v>
      </c>
      <c r="J235" s="37" t="e">
        <f t="shared" si="365"/>
        <v>#DIV/0!</v>
      </c>
      <c r="K235" s="37">
        <f t="shared" si="410"/>
        <v>481207</v>
      </c>
      <c r="L235" s="37">
        <f t="shared" si="366"/>
        <v>453.28177827352954</v>
      </c>
      <c r="M235" s="694"/>
      <c r="N235" s="422"/>
      <c r="O235" s="423"/>
      <c r="P235" s="423">
        <f t="shared" si="411"/>
        <v>0</v>
      </c>
      <c r="Q235" s="423">
        <f t="shared" si="412"/>
        <v>0</v>
      </c>
      <c r="R235" s="423">
        <f t="shared" si="413"/>
        <v>14025</v>
      </c>
      <c r="S235" s="68"/>
      <c r="T235" s="67">
        <v>24</v>
      </c>
      <c r="U235" s="68">
        <f t="shared" si="414"/>
        <v>0</v>
      </c>
      <c r="V235" s="68" t="e">
        <f t="shared" si="367"/>
        <v>#DIV/0!</v>
      </c>
      <c r="W235" s="423">
        <f t="shared" si="415"/>
        <v>13670.903999999999</v>
      </c>
      <c r="X235" s="68">
        <f t="shared" si="368"/>
        <v>12.877559295119788</v>
      </c>
      <c r="Y235" s="681"/>
      <c r="Z235" s="424"/>
      <c r="AA235" s="425"/>
      <c r="AB235" s="425">
        <f t="shared" si="416"/>
        <v>0</v>
      </c>
      <c r="AC235" s="425">
        <f t="shared" si="417"/>
        <v>0</v>
      </c>
      <c r="AD235" s="425">
        <f t="shared" si="418"/>
        <v>2225</v>
      </c>
      <c r="AE235" s="72"/>
      <c r="AF235" s="71">
        <v>12</v>
      </c>
      <c r="AG235" s="72">
        <f t="shared" si="419"/>
        <v>0</v>
      </c>
      <c r="AH235" s="72" t="e">
        <f t="shared" si="385"/>
        <v>#DIV/0!</v>
      </c>
      <c r="AI235" s="425">
        <f t="shared" si="420"/>
        <v>2049.9120000000016</v>
      </c>
      <c r="AJ235" s="72">
        <f t="shared" si="453"/>
        <v>1.9309522859481434</v>
      </c>
      <c r="AK235" s="682"/>
      <c r="AL235" s="491"/>
      <c r="AM235" s="491"/>
      <c r="AN235" s="492">
        <f t="shared" si="460"/>
        <v>0</v>
      </c>
      <c r="AO235" s="492">
        <f t="shared" si="461"/>
        <v>0</v>
      </c>
      <c r="AP235" s="492">
        <f t="shared" si="462"/>
        <v>83573</v>
      </c>
      <c r="AQ235" s="493">
        <f t="shared" si="386"/>
        <v>78.723123428490624</v>
      </c>
      <c r="AR235" s="695"/>
      <c r="AS235" s="413"/>
      <c r="AT235" s="64"/>
      <c r="AU235" s="66">
        <f t="shared" si="421"/>
        <v>0</v>
      </c>
      <c r="AV235" s="66">
        <f t="shared" si="369"/>
        <v>0</v>
      </c>
      <c r="AW235" s="412" t="e">
        <f t="shared" si="422"/>
        <v>#DIV/0!</v>
      </c>
      <c r="AX235" s="66">
        <f t="shared" si="423"/>
        <v>297615</v>
      </c>
      <c r="AY235" s="412">
        <f t="shared" si="424"/>
        <v>3.3483973995019216</v>
      </c>
      <c r="AZ235" s="506"/>
      <c r="BA235" s="419"/>
      <c r="BB235" s="419"/>
      <c r="BC235" s="407"/>
      <c r="BD235" s="419">
        <f t="shared" si="387"/>
        <v>0</v>
      </c>
      <c r="BE235" s="419">
        <f t="shared" si="388"/>
        <v>0</v>
      </c>
      <c r="BF235" s="407" t="e">
        <f t="shared" si="425"/>
        <v>#DIV/0!</v>
      </c>
      <c r="BG235" s="419">
        <f t="shared" si="463"/>
        <v>368770</v>
      </c>
      <c r="BH235" s="407">
        <f t="shared" si="426"/>
        <v>4.1489458159512242</v>
      </c>
      <c r="BI235" s="407">
        <f t="shared" si="427"/>
        <v>0.50803418154504787</v>
      </c>
      <c r="BJ235" s="508"/>
      <c r="BK235" s="510"/>
      <c r="BL235" s="49"/>
      <c r="BM235" s="50"/>
      <c r="BN235" s="52">
        <f t="shared" si="428"/>
        <v>0</v>
      </c>
      <c r="BO235" s="52">
        <f t="shared" si="370"/>
        <v>0</v>
      </c>
      <c r="BP235" s="406" t="e">
        <f t="shared" si="429"/>
        <v>#DIV/0!</v>
      </c>
      <c r="BQ235" s="52">
        <f t="shared" si="430"/>
        <v>37700</v>
      </c>
      <c r="BR235" s="406">
        <f t="shared" si="431"/>
        <v>0.42415396388361626</v>
      </c>
      <c r="BS235" s="512"/>
      <c r="BT235" s="409"/>
      <c r="BU235" s="43"/>
      <c r="BV235" s="43">
        <f t="shared" si="457"/>
        <v>0</v>
      </c>
      <c r="BW235" s="43">
        <f t="shared" si="458"/>
        <v>0</v>
      </c>
      <c r="BX235" s="42" t="e">
        <f t="shared" si="432"/>
        <v>#DIV/0!</v>
      </c>
      <c r="BY235" s="43">
        <f t="shared" si="459"/>
        <v>19437</v>
      </c>
      <c r="BZ235" s="42">
        <f t="shared" si="433"/>
        <v>0.21868118291792704</v>
      </c>
      <c r="CA235" s="514"/>
      <c r="CB235" s="392"/>
      <c r="CC235" s="298"/>
      <c r="CD235" s="298">
        <f t="shared" si="389"/>
        <v>0</v>
      </c>
      <c r="CE235" s="298">
        <f t="shared" si="371"/>
        <v>0</v>
      </c>
      <c r="CF235" s="297" t="e">
        <f t="shared" si="434"/>
        <v>#DIV/0!</v>
      </c>
      <c r="CG235" s="298">
        <f t="shared" si="435"/>
        <v>61350</v>
      </c>
      <c r="CH235" s="297">
        <f t="shared" si="436"/>
        <v>0.69023463353474424</v>
      </c>
      <c r="CI235" s="696"/>
      <c r="CJ235" s="659"/>
      <c r="CK235" s="654"/>
      <c r="CL235" s="657">
        <f t="shared" si="464"/>
        <v>0</v>
      </c>
      <c r="CM235" s="657">
        <f t="shared" si="465"/>
        <v>0</v>
      </c>
      <c r="CN235" s="659">
        <f t="shared" si="466"/>
        <v>26250</v>
      </c>
      <c r="CO235" s="464"/>
      <c r="CP235" s="465"/>
      <c r="CQ235" s="465">
        <f t="shared" si="390"/>
        <v>0</v>
      </c>
      <c r="CR235" s="465">
        <f t="shared" si="372"/>
        <v>0</v>
      </c>
      <c r="CS235" s="486" t="e">
        <f t="shared" si="437"/>
        <v>#DIV/0!</v>
      </c>
      <c r="CT235" s="465">
        <f t="shared" si="438"/>
        <v>1619</v>
      </c>
      <c r="CU235" s="486">
        <f t="shared" si="439"/>
        <v>1.821499383362267E-2</v>
      </c>
      <c r="CV235" s="697"/>
      <c r="CW235" s="427"/>
      <c r="CX235" s="427"/>
      <c r="CY235" s="427">
        <f t="shared" si="440"/>
        <v>0</v>
      </c>
      <c r="CZ235" s="427">
        <f t="shared" si="441"/>
        <v>0</v>
      </c>
      <c r="DA235" s="607" t="e">
        <f t="shared" si="456"/>
        <v>#DIV/0!</v>
      </c>
      <c r="DB235" s="607">
        <f t="shared" si="442"/>
        <v>115</v>
      </c>
      <c r="DC235" s="607">
        <f t="shared" si="391"/>
        <v>1.2938383513691211E-3</v>
      </c>
      <c r="DD235" s="611"/>
      <c r="DE235" s="471"/>
      <c r="DF235" s="473"/>
      <c r="DG235" s="473">
        <f t="shared" si="392"/>
        <v>0</v>
      </c>
      <c r="DH235" s="473">
        <f t="shared" si="373"/>
        <v>0</v>
      </c>
      <c r="DI235" s="227" t="e">
        <f t="shared" si="443"/>
        <v>#DIV/0!</v>
      </c>
      <c r="DJ235" s="473">
        <f t="shared" si="444"/>
        <v>155.19999999999999</v>
      </c>
      <c r="DK235" s="227">
        <f t="shared" si="445"/>
        <v>1.7461192359346748E-3</v>
      </c>
      <c r="DL235" s="698"/>
      <c r="DM235" s="63"/>
      <c r="DN235" s="64"/>
      <c r="DO235" s="66">
        <f t="shared" si="446"/>
        <v>0</v>
      </c>
      <c r="DP235" s="66">
        <f t="shared" si="374"/>
        <v>0</v>
      </c>
      <c r="DQ235" s="412" t="e">
        <f t="shared" si="447"/>
        <v>#DIV/0!</v>
      </c>
      <c r="DR235" s="66">
        <f t="shared" si="448"/>
        <v>18000</v>
      </c>
      <c r="DS235" s="412">
        <f t="shared" si="449"/>
        <v>0.2025138289099494</v>
      </c>
      <c r="DT235" s="506"/>
      <c r="DU235" s="596"/>
      <c r="DV235" s="596"/>
      <c r="DW235" s="596">
        <f t="shared" si="393"/>
        <v>0</v>
      </c>
      <c r="DX235" s="596">
        <f t="shared" si="375"/>
        <v>0</v>
      </c>
      <c r="DY235" s="592" t="e">
        <f t="shared" si="394"/>
        <v>#DIV/0!</v>
      </c>
      <c r="DZ235" s="596">
        <f t="shared" si="450"/>
        <v>2800</v>
      </c>
      <c r="EA235" s="592">
        <f t="shared" si="395"/>
        <v>3.1502151163769906E-2</v>
      </c>
      <c r="EB235" s="594"/>
      <c r="EC235" s="448"/>
      <c r="ED235" s="449"/>
      <c r="EE235" s="449">
        <f t="shared" si="396"/>
        <v>0</v>
      </c>
      <c r="EF235" s="449">
        <f t="shared" si="376"/>
        <v>0</v>
      </c>
      <c r="EG235" s="450" t="e">
        <f t="shared" si="454"/>
        <v>#DIV/0!</v>
      </c>
      <c r="EH235" s="449">
        <f t="shared" si="451"/>
        <v>1165</v>
      </c>
      <c r="EI235" s="450">
        <f t="shared" si="455"/>
        <v>1.3107145037782836E-2</v>
      </c>
      <c r="EJ235" s="699"/>
      <c r="EK235" s="426"/>
      <c r="EL235" s="427"/>
      <c r="EM235" s="427">
        <f t="shared" si="397"/>
        <v>0</v>
      </c>
      <c r="EN235" s="427">
        <f t="shared" si="377"/>
        <v>0</v>
      </c>
      <c r="EO235" s="427">
        <f t="shared" si="398"/>
        <v>84722</v>
      </c>
      <c r="EP235" s="456"/>
      <c r="EQ235" s="457"/>
      <c r="ER235" s="457">
        <f t="shared" si="399"/>
        <v>0</v>
      </c>
      <c r="ES235" s="457">
        <f t="shared" si="378"/>
        <v>0</v>
      </c>
      <c r="ET235" s="457">
        <f t="shared" si="400"/>
        <v>2242</v>
      </c>
      <c r="EU235" s="409"/>
      <c r="EV235" s="43"/>
      <c r="EW235" s="43">
        <f t="shared" si="401"/>
        <v>0</v>
      </c>
      <c r="EX235" s="43">
        <f t="shared" si="379"/>
        <v>0</v>
      </c>
      <c r="EY235" s="43">
        <f t="shared" si="402"/>
        <v>940</v>
      </c>
      <c r="EZ235" s="436"/>
      <c r="FA235" s="437"/>
      <c r="FB235" s="437">
        <f t="shared" si="403"/>
        <v>0</v>
      </c>
      <c r="FC235" s="437">
        <f t="shared" si="380"/>
        <v>0</v>
      </c>
      <c r="FD235" s="437">
        <f t="shared" si="404"/>
        <v>1090</v>
      </c>
      <c r="FE235" s="442"/>
      <c r="FF235" s="443"/>
      <c r="FG235" s="443">
        <f t="shared" si="405"/>
        <v>0</v>
      </c>
      <c r="FH235" s="443">
        <f t="shared" si="381"/>
        <v>0</v>
      </c>
      <c r="FI235" s="443">
        <f t="shared" si="406"/>
        <v>1200</v>
      </c>
      <c r="FJ235" s="392"/>
      <c r="FK235" s="298"/>
      <c r="FL235" s="298">
        <f t="shared" si="407"/>
        <v>0</v>
      </c>
      <c r="FM235" s="298">
        <f t="shared" si="382"/>
        <v>0</v>
      </c>
      <c r="FN235" s="498">
        <f t="shared" si="408"/>
        <v>4800</v>
      </c>
      <c r="HC235" s="402"/>
      <c r="HD235" s="52"/>
      <c r="HE235" s="52">
        <f t="shared" si="409"/>
        <v>0</v>
      </c>
      <c r="HF235" s="52">
        <f t="shared" si="383"/>
        <v>0</v>
      </c>
      <c r="HG235" s="51"/>
      <c r="HH235" s="52">
        <f t="shared" si="452"/>
        <v>2800</v>
      </c>
      <c r="HI235" s="51"/>
      <c r="HJ235" s="1044"/>
    </row>
    <row r="236" spans="1:218">
      <c r="A236" s="30">
        <v>44899</v>
      </c>
      <c r="B236" s="390"/>
      <c r="C236" s="18">
        <f t="shared" si="363"/>
        <v>88882819</v>
      </c>
      <c r="D236" s="376"/>
      <c r="E236" s="417">
        <f t="shared" si="467"/>
        <v>1061606.7599999998</v>
      </c>
      <c r="F236" s="397"/>
      <c r="G236" s="37"/>
      <c r="H236" s="37">
        <f t="shared" si="384"/>
        <v>0</v>
      </c>
      <c r="I236" s="37">
        <f t="shared" si="364"/>
        <v>0</v>
      </c>
      <c r="J236" s="37" t="e">
        <f t="shared" si="365"/>
        <v>#DIV/0!</v>
      </c>
      <c r="K236" s="37">
        <f t="shared" si="410"/>
        <v>481207</v>
      </c>
      <c r="L236" s="37">
        <f t="shared" si="366"/>
        <v>453.28177827352954</v>
      </c>
      <c r="M236" s="694"/>
      <c r="N236" s="422"/>
      <c r="O236" s="423"/>
      <c r="P236" s="423">
        <f t="shared" si="411"/>
        <v>0</v>
      </c>
      <c r="Q236" s="423">
        <f t="shared" si="412"/>
        <v>0</v>
      </c>
      <c r="R236" s="423">
        <f t="shared" si="413"/>
        <v>14025</v>
      </c>
      <c r="S236" s="68"/>
      <c r="T236" s="67">
        <v>24</v>
      </c>
      <c r="U236" s="68">
        <f t="shared" si="414"/>
        <v>0</v>
      </c>
      <c r="V236" s="68" t="e">
        <f t="shared" si="367"/>
        <v>#DIV/0!</v>
      </c>
      <c r="W236" s="423">
        <f t="shared" si="415"/>
        <v>13670.903999999999</v>
      </c>
      <c r="X236" s="68">
        <f t="shared" si="368"/>
        <v>12.877559295119788</v>
      </c>
      <c r="Y236" s="681"/>
      <c r="Z236" s="424"/>
      <c r="AA236" s="425"/>
      <c r="AB236" s="425">
        <f t="shared" si="416"/>
        <v>0</v>
      </c>
      <c r="AC236" s="425">
        <f t="shared" si="417"/>
        <v>0</v>
      </c>
      <c r="AD236" s="425">
        <f t="shared" si="418"/>
        <v>2225</v>
      </c>
      <c r="AE236" s="72"/>
      <c r="AF236" s="71">
        <v>12</v>
      </c>
      <c r="AG236" s="72">
        <f t="shared" si="419"/>
        <v>0</v>
      </c>
      <c r="AH236" s="72" t="e">
        <f t="shared" si="385"/>
        <v>#DIV/0!</v>
      </c>
      <c r="AI236" s="425">
        <f t="shared" si="420"/>
        <v>2049.9120000000016</v>
      </c>
      <c r="AJ236" s="72">
        <f t="shared" si="453"/>
        <v>1.9309522859481434</v>
      </c>
      <c r="AK236" s="682"/>
      <c r="AL236" s="491"/>
      <c r="AM236" s="491"/>
      <c r="AN236" s="492">
        <f t="shared" si="460"/>
        <v>0</v>
      </c>
      <c r="AO236" s="492">
        <f t="shared" si="461"/>
        <v>0</v>
      </c>
      <c r="AP236" s="492">
        <f t="shared" si="462"/>
        <v>83573</v>
      </c>
      <c r="AQ236" s="493">
        <f t="shared" si="386"/>
        <v>78.723123428490624</v>
      </c>
      <c r="AR236" s="695"/>
      <c r="AS236" s="413"/>
      <c r="AT236" s="64"/>
      <c r="AU236" s="66">
        <f t="shared" si="421"/>
        <v>0</v>
      </c>
      <c r="AV236" s="66">
        <f t="shared" si="369"/>
        <v>0</v>
      </c>
      <c r="AW236" s="412" t="e">
        <f t="shared" si="422"/>
        <v>#DIV/0!</v>
      </c>
      <c r="AX236" s="66">
        <f t="shared" si="423"/>
        <v>297615</v>
      </c>
      <c r="AY236" s="412">
        <f t="shared" si="424"/>
        <v>3.3483973995019216</v>
      </c>
      <c r="AZ236" s="506"/>
      <c r="BA236" s="419"/>
      <c r="BB236" s="419"/>
      <c r="BC236" s="407"/>
      <c r="BD236" s="419">
        <f t="shared" si="387"/>
        <v>0</v>
      </c>
      <c r="BE236" s="419">
        <f t="shared" si="388"/>
        <v>0</v>
      </c>
      <c r="BF236" s="407" t="e">
        <f t="shared" si="425"/>
        <v>#DIV/0!</v>
      </c>
      <c r="BG236" s="419">
        <f t="shared" si="463"/>
        <v>368770</v>
      </c>
      <c r="BH236" s="407">
        <f t="shared" si="426"/>
        <v>4.1489458159512242</v>
      </c>
      <c r="BI236" s="407">
        <f t="shared" si="427"/>
        <v>0.50803418154504787</v>
      </c>
      <c r="BJ236" s="508"/>
      <c r="BK236" s="510"/>
      <c r="BL236" s="49"/>
      <c r="BM236" s="50"/>
      <c r="BN236" s="52">
        <f t="shared" si="428"/>
        <v>0</v>
      </c>
      <c r="BO236" s="52">
        <f t="shared" si="370"/>
        <v>0</v>
      </c>
      <c r="BP236" s="406" t="e">
        <f t="shared" si="429"/>
        <v>#DIV/0!</v>
      </c>
      <c r="BQ236" s="52">
        <f t="shared" si="430"/>
        <v>37700</v>
      </c>
      <c r="BR236" s="406">
        <f t="shared" si="431"/>
        <v>0.42415396388361626</v>
      </c>
      <c r="BS236" s="512"/>
      <c r="BT236" s="409"/>
      <c r="BU236" s="43"/>
      <c r="BV236" s="43">
        <f t="shared" si="457"/>
        <v>0</v>
      </c>
      <c r="BW236" s="43">
        <f t="shared" si="458"/>
        <v>0</v>
      </c>
      <c r="BX236" s="42" t="e">
        <f t="shared" si="432"/>
        <v>#DIV/0!</v>
      </c>
      <c r="BY236" s="43">
        <f t="shared" si="459"/>
        <v>19437</v>
      </c>
      <c r="BZ236" s="42">
        <f t="shared" si="433"/>
        <v>0.21868118291792704</v>
      </c>
      <c r="CA236" s="514"/>
      <c r="CB236" s="392"/>
      <c r="CC236" s="298"/>
      <c r="CD236" s="298">
        <f t="shared" si="389"/>
        <v>0</v>
      </c>
      <c r="CE236" s="298">
        <f t="shared" si="371"/>
        <v>0</v>
      </c>
      <c r="CF236" s="297" t="e">
        <f t="shared" si="434"/>
        <v>#DIV/0!</v>
      </c>
      <c r="CG236" s="298">
        <f t="shared" si="435"/>
        <v>61350</v>
      </c>
      <c r="CH236" s="297">
        <f t="shared" si="436"/>
        <v>0.69023463353474424</v>
      </c>
      <c r="CI236" s="696"/>
      <c r="CJ236" s="659"/>
      <c r="CK236" s="654"/>
      <c r="CL236" s="657">
        <f t="shared" si="464"/>
        <v>0</v>
      </c>
      <c r="CM236" s="657">
        <f t="shared" si="465"/>
        <v>0</v>
      </c>
      <c r="CN236" s="659">
        <f t="shared" si="466"/>
        <v>26250</v>
      </c>
      <c r="CO236" s="464"/>
      <c r="CP236" s="465"/>
      <c r="CQ236" s="465">
        <f t="shared" si="390"/>
        <v>0</v>
      </c>
      <c r="CR236" s="465">
        <f t="shared" si="372"/>
        <v>0</v>
      </c>
      <c r="CS236" s="486" t="e">
        <f t="shared" si="437"/>
        <v>#DIV/0!</v>
      </c>
      <c r="CT236" s="465">
        <f t="shared" si="438"/>
        <v>1619</v>
      </c>
      <c r="CU236" s="486">
        <f t="shared" si="439"/>
        <v>1.821499383362267E-2</v>
      </c>
      <c r="CV236" s="697"/>
      <c r="CW236" s="427"/>
      <c r="CX236" s="427"/>
      <c r="CY236" s="427">
        <f t="shared" si="440"/>
        <v>0</v>
      </c>
      <c r="CZ236" s="427">
        <f t="shared" si="441"/>
        <v>0</v>
      </c>
      <c r="DA236" s="607" t="e">
        <f t="shared" si="456"/>
        <v>#DIV/0!</v>
      </c>
      <c r="DB236" s="607">
        <f t="shared" si="442"/>
        <v>115</v>
      </c>
      <c r="DC236" s="607">
        <f t="shared" si="391"/>
        <v>1.2938383513691211E-3</v>
      </c>
      <c r="DD236" s="611"/>
      <c r="DE236" s="471"/>
      <c r="DF236" s="473"/>
      <c r="DG236" s="473">
        <f t="shared" si="392"/>
        <v>0</v>
      </c>
      <c r="DH236" s="473">
        <f t="shared" si="373"/>
        <v>0</v>
      </c>
      <c r="DI236" s="227" t="e">
        <f t="shared" si="443"/>
        <v>#DIV/0!</v>
      </c>
      <c r="DJ236" s="473">
        <f t="shared" si="444"/>
        <v>155.19999999999999</v>
      </c>
      <c r="DK236" s="227">
        <f t="shared" si="445"/>
        <v>1.7461192359346748E-3</v>
      </c>
      <c r="DL236" s="698"/>
      <c r="DM236" s="63"/>
      <c r="DN236" s="64"/>
      <c r="DO236" s="66">
        <f t="shared" si="446"/>
        <v>0</v>
      </c>
      <c r="DP236" s="66">
        <f t="shared" si="374"/>
        <v>0</v>
      </c>
      <c r="DQ236" s="412" t="e">
        <f t="shared" si="447"/>
        <v>#DIV/0!</v>
      </c>
      <c r="DR236" s="66">
        <f t="shared" si="448"/>
        <v>18000</v>
      </c>
      <c r="DS236" s="412">
        <f t="shared" si="449"/>
        <v>0.2025138289099494</v>
      </c>
      <c r="DT236" s="506"/>
      <c r="DU236" s="596"/>
      <c r="DV236" s="596"/>
      <c r="DW236" s="596">
        <f t="shared" si="393"/>
        <v>0</v>
      </c>
      <c r="DX236" s="596">
        <f t="shared" si="375"/>
        <v>0</v>
      </c>
      <c r="DY236" s="592" t="e">
        <f t="shared" si="394"/>
        <v>#DIV/0!</v>
      </c>
      <c r="DZ236" s="596">
        <f t="shared" si="450"/>
        <v>2800</v>
      </c>
      <c r="EA236" s="592">
        <f t="shared" si="395"/>
        <v>3.1502151163769906E-2</v>
      </c>
      <c r="EB236" s="594"/>
      <c r="EC236" s="448"/>
      <c r="ED236" s="449"/>
      <c r="EE236" s="449">
        <f t="shared" si="396"/>
        <v>0</v>
      </c>
      <c r="EF236" s="449">
        <f t="shared" si="376"/>
        <v>0</v>
      </c>
      <c r="EG236" s="450" t="e">
        <f t="shared" si="454"/>
        <v>#DIV/0!</v>
      </c>
      <c r="EH236" s="449">
        <f t="shared" si="451"/>
        <v>1165</v>
      </c>
      <c r="EI236" s="450">
        <f t="shared" si="455"/>
        <v>1.3107145037782836E-2</v>
      </c>
      <c r="EJ236" s="699"/>
      <c r="EK236" s="426"/>
      <c r="EL236" s="427"/>
      <c r="EM236" s="427">
        <f t="shared" si="397"/>
        <v>0</v>
      </c>
      <c r="EN236" s="427">
        <f t="shared" si="377"/>
        <v>0</v>
      </c>
      <c r="EO236" s="427">
        <f t="shared" si="398"/>
        <v>84722</v>
      </c>
      <c r="EP236" s="456"/>
      <c r="EQ236" s="457"/>
      <c r="ER236" s="457">
        <f t="shared" si="399"/>
        <v>0</v>
      </c>
      <c r="ES236" s="457">
        <f t="shared" si="378"/>
        <v>0</v>
      </c>
      <c r="ET236" s="457">
        <f t="shared" si="400"/>
        <v>2242</v>
      </c>
      <c r="EU236" s="409"/>
      <c r="EV236" s="43"/>
      <c r="EW236" s="43">
        <f t="shared" si="401"/>
        <v>0</v>
      </c>
      <c r="EX236" s="43">
        <f t="shared" si="379"/>
        <v>0</v>
      </c>
      <c r="EY236" s="43">
        <f t="shared" si="402"/>
        <v>940</v>
      </c>
      <c r="EZ236" s="436"/>
      <c r="FA236" s="437"/>
      <c r="FB236" s="437">
        <f t="shared" si="403"/>
        <v>0</v>
      </c>
      <c r="FC236" s="437">
        <f t="shared" si="380"/>
        <v>0</v>
      </c>
      <c r="FD236" s="437">
        <f t="shared" si="404"/>
        <v>1090</v>
      </c>
      <c r="FE236" s="442"/>
      <c r="FF236" s="443"/>
      <c r="FG236" s="443">
        <f t="shared" si="405"/>
        <v>0</v>
      </c>
      <c r="FH236" s="443">
        <f t="shared" si="381"/>
        <v>0</v>
      </c>
      <c r="FI236" s="443">
        <f t="shared" si="406"/>
        <v>1200</v>
      </c>
      <c r="FJ236" s="392"/>
      <c r="FK236" s="298"/>
      <c r="FL236" s="298">
        <f t="shared" si="407"/>
        <v>0</v>
      </c>
      <c r="FM236" s="298">
        <f t="shared" si="382"/>
        <v>0</v>
      </c>
      <c r="FN236" s="498">
        <f t="shared" si="408"/>
        <v>4800</v>
      </c>
      <c r="HC236" s="402"/>
      <c r="HD236" s="52"/>
      <c r="HE236" s="52">
        <f t="shared" si="409"/>
        <v>0</v>
      </c>
      <c r="HF236" s="52">
        <f t="shared" si="383"/>
        <v>0</v>
      </c>
      <c r="HG236" s="51"/>
      <c r="HH236" s="52">
        <f t="shared" si="452"/>
        <v>2800</v>
      </c>
      <c r="HI236" s="51"/>
      <c r="HJ236" s="1044"/>
    </row>
    <row r="237" spans="1:218">
      <c r="A237" s="30">
        <v>44900</v>
      </c>
      <c r="B237" s="390"/>
      <c r="C237" s="18">
        <f t="shared" si="363"/>
        <v>88882819</v>
      </c>
      <c r="D237" s="376"/>
      <c r="E237" s="417">
        <f t="shared" si="467"/>
        <v>1061606.7599999998</v>
      </c>
      <c r="F237" s="397"/>
      <c r="G237" s="37"/>
      <c r="H237" s="37">
        <f t="shared" si="384"/>
        <v>0</v>
      </c>
      <c r="I237" s="37">
        <f t="shared" si="364"/>
        <v>0</v>
      </c>
      <c r="J237" s="37" t="e">
        <f t="shared" si="365"/>
        <v>#DIV/0!</v>
      </c>
      <c r="K237" s="37">
        <f t="shared" si="410"/>
        <v>481207</v>
      </c>
      <c r="L237" s="37">
        <f t="shared" si="366"/>
        <v>453.28177827352954</v>
      </c>
      <c r="M237" s="694"/>
      <c r="N237" s="422"/>
      <c r="O237" s="423"/>
      <c r="P237" s="423">
        <f t="shared" si="411"/>
        <v>0</v>
      </c>
      <c r="Q237" s="423">
        <f t="shared" si="412"/>
        <v>0</v>
      </c>
      <c r="R237" s="423">
        <f t="shared" si="413"/>
        <v>14025</v>
      </c>
      <c r="S237" s="68"/>
      <c r="T237" s="67">
        <v>24</v>
      </c>
      <c r="U237" s="68">
        <f t="shared" si="414"/>
        <v>0</v>
      </c>
      <c r="V237" s="68" t="e">
        <f t="shared" si="367"/>
        <v>#DIV/0!</v>
      </c>
      <c r="W237" s="423">
        <f t="shared" si="415"/>
        <v>13670.903999999999</v>
      </c>
      <c r="X237" s="68">
        <f t="shared" si="368"/>
        <v>12.877559295119788</v>
      </c>
      <c r="Y237" s="681"/>
      <c r="Z237" s="424"/>
      <c r="AA237" s="425"/>
      <c r="AB237" s="425">
        <f t="shared" si="416"/>
        <v>0</v>
      </c>
      <c r="AC237" s="425">
        <f t="shared" si="417"/>
        <v>0</v>
      </c>
      <c r="AD237" s="425">
        <f t="shared" si="418"/>
        <v>2225</v>
      </c>
      <c r="AE237" s="72"/>
      <c r="AF237" s="71">
        <v>12</v>
      </c>
      <c r="AG237" s="72">
        <f t="shared" si="419"/>
        <v>0</v>
      </c>
      <c r="AH237" s="72" t="e">
        <f t="shared" si="385"/>
        <v>#DIV/0!</v>
      </c>
      <c r="AI237" s="425">
        <f t="shared" si="420"/>
        <v>2049.9120000000016</v>
      </c>
      <c r="AJ237" s="72">
        <f t="shared" si="453"/>
        <v>1.9309522859481434</v>
      </c>
      <c r="AK237" s="682"/>
      <c r="AL237" s="491"/>
      <c r="AM237" s="491"/>
      <c r="AN237" s="492">
        <f t="shared" si="460"/>
        <v>0</v>
      </c>
      <c r="AO237" s="492">
        <f t="shared" si="461"/>
        <v>0</v>
      </c>
      <c r="AP237" s="492">
        <f t="shared" si="462"/>
        <v>83573</v>
      </c>
      <c r="AQ237" s="493">
        <f t="shared" si="386"/>
        <v>78.723123428490624</v>
      </c>
      <c r="AR237" s="695"/>
      <c r="AS237" s="413"/>
      <c r="AT237" s="64"/>
      <c r="AU237" s="66">
        <f t="shared" si="421"/>
        <v>0</v>
      </c>
      <c r="AV237" s="66">
        <f t="shared" si="369"/>
        <v>0</v>
      </c>
      <c r="AW237" s="412" t="e">
        <f t="shared" si="422"/>
        <v>#DIV/0!</v>
      </c>
      <c r="AX237" s="66">
        <f t="shared" si="423"/>
        <v>297615</v>
      </c>
      <c r="AY237" s="412">
        <f t="shared" si="424"/>
        <v>3.3483973995019216</v>
      </c>
      <c r="AZ237" s="506"/>
      <c r="BA237" s="419"/>
      <c r="BB237" s="419"/>
      <c r="BC237" s="407"/>
      <c r="BD237" s="419">
        <f t="shared" si="387"/>
        <v>0</v>
      </c>
      <c r="BE237" s="419">
        <f t="shared" si="388"/>
        <v>0</v>
      </c>
      <c r="BF237" s="407" t="e">
        <f t="shared" si="425"/>
        <v>#DIV/0!</v>
      </c>
      <c r="BG237" s="419">
        <f t="shared" si="463"/>
        <v>368770</v>
      </c>
      <c r="BH237" s="407">
        <f t="shared" si="426"/>
        <v>4.1489458159512242</v>
      </c>
      <c r="BI237" s="407">
        <f t="shared" si="427"/>
        <v>0.50803418154504787</v>
      </c>
      <c r="BJ237" s="508"/>
      <c r="BK237" s="510"/>
      <c r="BL237" s="49"/>
      <c r="BM237" s="50"/>
      <c r="BN237" s="52">
        <f t="shared" si="428"/>
        <v>0</v>
      </c>
      <c r="BO237" s="52">
        <f t="shared" si="370"/>
        <v>0</v>
      </c>
      <c r="BP237" s="406" t="e">
        <f t="shared" si="429"/>
        <v>#DIV/0!</v>
      </c>
      <c r="BQ237" s="52">
        <f t="shared" si="430"/>
        <v>37700</v>
      </c>
      <c r="BR237" s="406">
        <f t="shared" si="431"/>
        <v>0.42415396388361626</v>
      </c>
      <c r="BS237" s="512"/>
      <c r="BT237" s="409"/>
      <c r="BU237" s="43"/>
      <c r="BV237" s="43">
        <f t="shared" si="457"/>
        <v>0</v>
      </c>
      <c r="BW237" s="43">
        <f t="shared" si="458"/>
        <v>0</v>
      </c>
      <c r="BX237" s="42" t="e">
        <f t="shared" si="432"/>
        <v>#DIV/0!</v>
      </c>
      <c r="BY237" s="43">
        <f t="shared" si="459"/>
        <v>19437</v>
      </c>
      <c r="BZ237" s="42">
        <f t="shared" si="433"/>
        <v>0.21868118291792704</v>
      </c>
      <c r="CA237" s="514"/>
      <c r="CB237" s="392"/>
      <c r="CC237" s="298"/>
      <c r="CD237" s="298">
        <f t="shared" si="389"/>
        <v>0</v>
      </c>
      <c r="CE237" s="298">
        <f t="shared" si="371"/>
        <v>0</v>
      </c>
      <c r="CF237" s="297" t="e">
        <f t="shared" si="434"/>
        <v>#DIV/0!</v>
      </c>
      <c r="CG237" s="298">
        <f t="shared" si="435"/>
        <v>61350</v>
      </c>
      <c r="CH237" s="297">
        <f t="shared" si="436"/>
        <v>0.69023463353474424</v>
      </c>
      <c r="CI237" s="696"/>
      <c r="CJ237" s="659"/>
      <c r="CK237" s="654"/>
      <c r="CL237" s="657">
        <f t="shared" si="464"/>
        <v>0</v>
      </c>
      <c r="CM237" s="657">
        <f t="shared" si="465"/>
        <v>0</v>
      </c>
      <c r="CN237" s="659">
        <f t="shared" si="466"/>
        <v>26250</v>
      </c>
      <c r="CO237" s="464"/>
      <c r="CP237" s="465"/>
      <c r="CQ237" s="465">
        <f t="shared" si="390"/>
        <v>0</v>
      </c>
      <c r="CR237" s="465">
        <f t="shared" si="372"/>
        <v>0</v>
      </c>
      <c r="CS237" s="486" t="e">
        <f t="shared" si="437"/>
        <v>#DIV/0!</v>
      </c>
      <c r="CT237" s="465">
        <f t="shared" si="438"/>
        <v>1619</v>
      </c>
      <c r="CU237" s="486">
        <f t="shared" si="439"/>
        <v>1.821499383362267E-2</v>
      </c>
      <c r="CV237" s="697"/>
      <c r="CW237" s="427"/>
      <c r="CX237" s="427"/>
      <c r="CY237" s="427">
        <f t="shared" si="440"/>
        <v>0</v>
      </c>
      <c r="CZ237" s="427">
        <f t="shared" si="441"/>
        <v>0</v>
      </c>
      <c r="DA237" s="607" t="e">
        <f t="shared" si="456"/>
        <v>#DIV/0!</v>
      </c>
      <c r="DB237" s="607">
        <f t="shared" si="442"/>
        <v>115</v>
      </c>
      <c r="DC237" s="607">
        <f t="shared" si="391"/>
        <v>1.2938383513691211E-3</v>
      </c>
      <c r="DD237" s="611"/>
      <c r="DE237" s="471"/>
      <c r="DF237" s="473"/>
      <c r="DG237" s="473">
        <f t="shared" si="392"/>
        <v>0</v>
      </c>
      <c r="DH237" s="473">
        <f t="shared" si="373"/>
        <v>0</v>
      </c>
      <c r="DI237" s="227" t="e">
        <f t="shared" si="443"/>
        <v>#DIV/0!</v>
      </c>
      <c r="DJ237" s="473">
        <f t="shared" si="444"/>
        <v>155.19999999999999</v>
      </c>
      <c r="DK237" s="227">
        <f t="shared" si="445"/>
        <v>1.7461192359346748E-3</v>
      </c>
      <c r="DL237" s="698"/>
      <c r="DM237" s="63"/>
      <c r="DN237" s="64"/>
      <c r="DO237" s="66">
        <f t="shared" si="446"/>
        <v>0</v>
      </c>
      <c r="DP237" s="66">
        <f t="shared" si="374"/>
        <v>0</v>
      </c>
      <c r="DQ237" s="412" t="e">
        <f t="shared" si="447"/>
        <v>#DIV/0!</v>
      </c>
      <c r="DR237" s="66">
        <f t="shared" si="448"/>
        <v>18000</v>
      </c>
      <c r="DS237" s="412">
        <f t="shared" si="449"/>
        <v>0.2025138289099494</v>
      </c>
      <c r="DT237" s="506"/>
      <c r="DU237" s="596"/>
      <c r="DV237" s="596"/>
      <c r="DW237" s="596">
        <f t="shared" si="393"/>
        <v>0</v>
      </c>
      <c r="DX237" s="596">
        <f t="shared" si="375"/>
        <v>0</v>
      </c>
      <c r="DY237" s="592" t="e">
        <f t="shared" si="394"/>
        <v>#DIV/0!</v>
      </c>
      <c r="DZ237" s="596">
        <f t="shared" si="450"/>
        <v>2800</v>
      </c>
      <c r="EA237" s="592">
        <f t="shared" si="395"/>
        <v>3.1502151163769906E-2</v>
      </c>
      <c r="EB237" s="594"/>
      <c r="EC237" s="448"/>
      <c r="ED237" s="449"/>
      <c r="EE237" s="449">
        <f t="shared" si="396"/>
        <v>0</v>
      </c>
      <c r="EF237" s="449">
        <f t="shared" si="376"/>
        <v>0</v>
      </c>
      <c r="EG237" s="450" t="e">
        <f t="shared" si="454"/>
        <v>#DIV/0!</v>
      </c>
      <c r="EH237" s="449">
        <f t="shared" si="451"/>
        <v>1165</v>
      </c>
      <c r="EI237" s="450">
        <f t="shared" si="455"/>
        <v>1.3107145037782836E-2</v>
      </c>
      <c r="EJ237" s="699"/>
      <c r="EK237" s="426"/>
      <c r="EL237" s="427"/>
      <c r="EM237" s="427">
        <f t="shared" si="397"/>
        <v>0</v>
      </c>
      <c r="EN237" s="427">
        <f t="shared" si="377"/>
        <v>0</v>
      </c>
      <c r="EO237" s="427">
        <f t="shared" si="398"/>
        <v>84722</v>
      </c>
      <c r="EP237" s="456"/>
      <c r="EQ237" s="457"/>
      <c r="ER237" s="457">
        <f t="shared" si="399"/>
        <v>0</v>
      </c>
      <c r="ES237" s="457">
        <f t="shared" si="378"/>
        <v>0</v>
      </c>
      <c r="ET237" s="457">
        <f t="shared" si="400"/>
        <v>2242</v>
      </c>
      <c r="EU237" s="409"/>
      <c r="EV237" s="43"/>
      <c r="EW237" s="43">
        <f t="shared" si="401"/>
        <v>0</v>
      </c>
      <c r="EX237" s="43">
        <f t="shared" si="379"/>
        <v>0</v>
      </c>
      <c r="EY237" s="43">
        <f t="shared" si="402"/>
        <v>940</v>
      </c>
      <c r="EZ237" s="436"/>
      <c r="FA237" s="437"/>
      <c r="FB237" s="437">
        <f t="shared" si="403"/>
        <v>0</v>
      </c>
      <c r="FC237" s="437">
        <f t="shared" si="380"/>
        <v>0</v>
      </c>
      <c r="FD237" s="437">
        <f t="shared" si="404"/>
        <v>1090</v>
      </c>
      <c r="FE237" s="442"/>
      <c r="FF237" s="443"/>
      <c r="FG237" s="443">
        <f t="shared" si="405"/>
        <v>0</v>
      </c>
      <c r="FH237" s="443">
        <f t="shared" si="381"/>
        <v>0</v>
      </c>
      <c r="FI237" s="443">
        <f t="shared" si="406"/>
        <v>1200</v>
      </c>
      <c r="FJ237" s="392"/>
      <c r="FK237" s="298"/>
      <c r="FL237" s="298">
        <f t="shared" si="407"/>
        <v>0</v>
      </c>
      <c r="FM237" s="298">
        <f t="shared" si="382"/>
        <v>0</v>
      </c>
      <c r="FN237" s="498">
        <f t="shared" si="408"/>
        <v>4800</v>
      </c>
      <c r="HC237" s="402"/>
      <c r="HD237" s="52"/>
      <c r="HE237" s="52">
        <f t="shared" si="409"/>
        <v>0</v>
      </c>
      <c r="HF237" s="52">
        <f t="shared" si="383"/>
        <v>0</v>
      </c>
      <c r="HG237" s="51"/>
      <c r="HH237" s="52">
        <f t="shared" si="452"/>
        <v>2800</v>
      </c>
      <c r="HI237" s="51"/>
      <c r="HJ237" s="1044"/>
    </row>
    <row r="238" spans="1:218">
      <c r="A238" s="30">
        <v>44901</v>
      </c>
      <c r="B238" s="390"/>
      <c r="C238" s="18">
        <f t="shared" si="363"/>
        <v>88882819</v>
      </c>
      <c r="D238" s="376"/>
      <c r="E238" s="417">
        <f t="shared" si="467"/>
        <v>1061606.7599999998</v>
      </c>
      <c r="F238" s="397"/>
      <c r="G238" s="37"/>
      <c r="H238" s="37">
        <f t="shared" si="384"/>
        <v>0</v>
      </c>
      <c r="I238" s="37">
        <f t="shared" si="364"/>
        <v>0</v>
      </c>
      <c r="J238" s="37" t="e">
        <f t="shared" si="365"/>
        <v>#DIV/0!</v>
      </c>
      <c r="K238" s="37">
        <f t="shared" si="410"/>
        <v>481207</v>
      </c>
      <c r="L238" s="37">
        <f t="shared" si="366"/>
        <v>453.28177827352954</v>
      </c>
      <c r="M238" s="694"/>
      <c r="N238" s="422"/>
      <c r="O238" s="423"/>
      <c r="P238" s="423">
        <f t="shared" si="411"/>
        <v>0</v>
      </c>
      <c r="Q238" s="423">
        <f t="shared" si="412"/>
        <v>0</v>
      </c>
      <c r="R238" s="423">
        <f t="shared" si="413"/>
        <v>14025</v>
      </c>
      <c r="S238" s="68"/>
      <c r="T238" s="67">
        <v>24</v>
      </c>
      <c r="U238" s="68">
        <f t="shared" si="414"/>
        <v>0</v>
      </c>
      <c r="V238" s="68" t="e">
        <f t="shared" si="367"/>
        <v>#DIV/0!</v>
      </c>
      <c r="W238" s="423">
        <f t="shared" si="415"/>
        <v>13670.903999999999</v>
      </c>
      <c r="X238" s="68">
        <f t="shared" si="368"/>
        <v>12.877559295119788</v>
      </c>
      <c r="Y238" s="681"/>
      <c r="Z238" s="424"/>
      <c r="AA238" s="425"/>
      <c r="AB238" s="425">
        <f t="shared" si="416"/>
        <v>0</v>
      </c>
      <c r="AC238" s="425">
        <f t="shared" si="417"/>
        <v>0</v>
      </c>
      <c r="AD238" s="425">
        <f t="shared" si="418"/>
        <v>2225</v>
      </c>
      <c r="AE238" s="72"/>
      <c r="AF238" s="71">
        <v>12</v>
      </c>
      <c r="AG238" s="72">
        <f t="shared" si="419"/>
        <v>0</v>
      </c>
      <c r="AH238" s="72" t="e">
        <f t="shared" si="385"/>
        <v>#DIV/0!</v>
      </c>
      <c r="AI238" s="425">
        <f t="shared" si="420"/>
        <v>2049.9120000000016</v>
      </c>
      <c r="AJ238" s="72">
        <f t="shared" si="453"/>
        <v>1.9309522859481434</v>
      </c>
      <c r="AK238" s="682"/>
      <c r="AL238" s="491"/>
      <c r="AM238" s="491"/>
      <c r="AN238" s="492">
        <f t="shared" si="460"/>
        <v>0</v>
      </c>
      <c r="AO238" s="492">
        <f t="shared" si="461"/>
        <v>0</v>
      </c>
      <c r="AP238" s="492">
        <f t="shared" si="462"/>
        <v>83573</v>
      </c>
      <c r="AQ238" s="493">
        <f t="shared" si="386"/>
        <v>78.723123428490624</v>
      </c>
      <c r="AR238" s="695"/>
      <c r="AS238" s="413"/>
      <c r="AT238" s="64"/>
      <c r="AU238" s="66">
        <f t="shared" si="421"/>
        <v>0</v>
      </c>
      <c r="AV238" s="66">
        <f t="shared" si="369"/>
        <v>0</v>
      </c>
      <c r="AW238" s="412" t="e">
        <f t="shared" si="422"/>
        <v>#DIV/0!</v>
      </c>
      <c r="AX238" s="66">
        <f t="shared" si="423"/>
        <v>297615</v>
      </c>
      <c r="AY238" s="412">
        <f t="shared" si="424"/>
        <v>3.3483973995019216</v>
      </c>
      <c r="AZ238" s="506"/>
      <c r="BA238" s="419"/>
      <c r="BB238" s="419"/>
      <c r="BC238" s="407"/>
      <c r="BD238" s="419">
        <f t="shared" si="387"/>
        <v>0</v>
      </c>
      <c r="BE238" s="419">
        <f t="shared" si="388"/>
        <v>0</v>
      </c>
      <c r="BF238" s="407" t="e">
        <f t="shared" si="425"/>
        <v>#DIV/0!</v>
      </c>
      <c r="BG238" s="419">
        <f t="shared" si="463"/>
        <v>368770</v>
      </c>
      <c r="BH238" s="407">
        <f t="shared" si="426"/>
        <v>4.1489458159512242</v>
      </c>
      <c r="BI238" s="407">
        <f t="shared" si="427"/>
        <v>0.50803418154504787</v>
      </c>
      <c r="BJ238" s="508"/>
      <c r="BK238" s="510"/>
      <c r="BL238" s="49"/>
      <c r="BM238" s="50"/>
      <c r="BN238" s="52">
        <f t="shared" si="428"/>
        <v>0</v>
      </c>
      <c r="BO238" s="52">
        <f t="shared" si="370"/>
        <v>0</v>
      </c>
      <c r="BP238" s="406" t="e">
        <f t="shared" si="429"/>
        <v>#DIV/0!</v>
      </c>
      <c r="BQ238" s="52">
        <f t="shared" si="430"/>
        <v>37700</v>
      </c>
      <c r="BR238" s="406">
        <f t="shared" si="431"/>
        <v>0.42415396388361626</v>
      </c>
      <c r="BS238" s="512"/>
      <c r="BT238" s="409"/>
      <c r="BU238" s="43"/>
      <c r="BV238" s="43">
        <f t="shared" si="457"/>
        <v>0</v>
      </c>
      <c r="BW238" s="43">
        <f t="shared" si="458"/>
        <v>0</v>
      </c>
      <c r="BX238" s="42" t="e">
        <f t="shared" si="432"/>
        <v>#DIV/0!</v>
      </c>
      <c r="BY238" s="43">
        <f t="shared" si="459"/>
        <v>19437</v>
      </c>
      <c r="BZ238" s="42">
        <f t="shared" si="433"/>
        <v>0.21868118291792704</v>
      </c>
      <c r="CA238" s="514"/>
      <c r="CB238" s="392"/>
      <c r="CC238" s="298"/>
      <c r="CD238" s="298">
        <f t="shared" si="389"/>
        <v>0</v>
      </c>
      <c r="CE238" s="298">
        <f t="shared" si="371"/>
        <v>0</v>
      </c>
      <c r="CF238" s="297" t="e">
        <f t="shared" si="434"/>
        <v>#DIV/0!</v>
      </c>
      <c r="CG238" s="298">
        <f t="shared" si="435"/>
        <v>61350</v>
      </c>
      <c r="CH238" s="297">
        <f t="shared" si="436"/>
        <v>0.69023463353474424</v>
      </c>
      <c r="CI238" s="696"/>
      <c r="CJ238" s="659"/>
      <c r="CK238" s="654"/>
      <c r="CL238" s="657">
        <f t="shared" si="464"/>
        <v>0</v>
      </c>
      <c r="CM238" s="657">
        <f t="shared" si="465"/>
        <v>0</v>
      </c>
      <c r="CN238" s="659">
        <f t="shared" si="466"/>
        <v>26250</v>
      </c>
      <c r="CO238" s="464"/>
      <c r="CP238" s="465"/>
      <c r="CQ238" s="465">
        <f t="shared" si="390"/>
        <v>0</v>
      </c>
      <c r="CR238" s="465">
        <f t="shared" si="372"/>
        <v>0</v>
      </c>
      <c r="CS238" s="486" t="e">
        <f t="shared" si="437"/>
        <v>#DIV/0!</v>
      </c>
      <c r="CT238" s="465">
        <f t="shared" si="438"/>
        <v>1619</v>
      </c>
      <c r="CU238" s="486">
        <f t="shared" si="439"/>
        <v>1.821499383362267E-2</v>
      </c>
      <c r="CV238" s="697"/>
      <c r="CW238" s="427"/>
      <c r="CX238" s="427"/>
      <c r="CY238" s="427">
        <f t="shared" si="440"/>
        <v>0</v>
      </c>
      <c r="CZ238" s="427">
        <f t="shared" si="441"/>
        <v>0</v>
      </c>
      <c r="DA238" s="607" t="e">
        <f t="shared" si="456"/>
        <v>#DIV/0!</v>
      </c>
      <c r="DB238" s="607">
        <f t="shared" si="442"/>
        <v>115</v>
      </c>
      <c r="DC238" s="607">
        <f t="shared" si="391"/>
        <v>1.2938383513691211E-3</v>
      </c>
      <c r="DD238" s="611"/>
      <c r="DE238" s="471"/>
      <c r="DF238" s="473"/>
      <c r="DG238" s="473">
        <f t="shared" si="392"/>
        <v>0</v>
      </c>
      <c r="DH238" s="473">
        <f t="shared" si="373"/>
        <v>0</v>
      </c>
      <c r="DI238" s="227" t="e">
        <f t="shared" si="443"/>
        <v>#DIV/0!</v>
      </c>
      <c r="DJ238" s="473">
        <f t="shared" si="444"/>
        <v>155.19999999999999</v>
      </c>
      <c r="DK238" s="227">
        <f t="shared" si="445"/>
        <v>1.7461192359346748E-3</v>
      </c>
      <c r="DL238" s="698"/>
      <c r="DM238" s="63"/>
      <c r="DN238" s="64"/>
      <c r="DO238" s="66">
        <f t="shared" si="446"/>
        <v>0</v>
      </c>
      <c r="DP238" s="66">
        <f t="shared" si="374"/>
        <v>0</v>
      </c>
      <c r="DQ238" s="412" t="e">
        <f t="shared" si="447"/>
        <v>#DIV/0!</v>
      </c>
      <c r="DR238" s="66">
        <f t="shared" si="448"/>
        <v>18000</v>
      </c>
      <c r="DS238" s="412">
        <f t="shared" si="449"/>
        <v>0.2025138289099494</v>
      </c>
      <c r="DT238" s="506"/>
      <c r="DU238" s="596"/>
      <c r="DV238" s="596"/>
      <c r="DW238" s="596">
        <f t="shared" si="393"/>
        <v>0</v>
      </c>
      <c r="DX238" s="596">
        <f t="shared" si="375"/>
        <v>0</v>
      </c>
      <c r="DY238" s="592" t="e">
        <f t="shared" si="394"/>
        <v>#DIV/0!</v>
      </c>
      <c r="DZ238" s="596">
        <f t="shared" si="450"/>
        <v>2800</v>
      </c>
      <c r="EA238" s="592">
        <f t="shared" si="395"/>
        <v>3.1502151163769906E-2</v>
      </c>
      <c r="EB238" s="594"/>
      <c r="EC238" s="448"/>
      <c r="ED238" s="449"/>
      <c r="EE238" s="449">
        <f t="shared" si="396"/>
        <v>0</v>
      </c>
      <c r="EF238" s="449">
        <f t="shared" si="376"/>
        <v>0</v>
      </c>
      <c r="EG238" s="450" t="e">
        <f t="shared" si="454"/>
        <v>#DIV/0!</v>
      </c>
      <c r="EH238" s="449">
        <f t="shared" si="451"/>
        <v>1165</v>
      </c>
      <c r="EI238" s="450">
        <f t="shared" si="455"/>
        <v>1.3107145037782836E-2</v>
      </c>
      <c r="EJ238" s="699"/>
      <c r="EK238" s="426"/>
      <c r="EL238" s="427"/>
      <c r="EM238" s="427">
        <f t="shared" si="397"/>
        <v>0</v>
      </c>
      <c r="EN238" s="427">
        <f t="shared" si="377"/>
        <v>0</v>
      </c>
      <c r="EO238" s="427">
        <f t="shared" si="398"/>
        <v>84722</v>
      </c>
      <c r="EP238" s="456"/>
      <c r="EQ238" s="457"/>
      <c r="ER238" s="457">
        <f t="shared" si="399"/>
        <v>0</v>
      </c>
      <c r="ES238" s="457">
        <f t="shared" si="378"/>
        <v>0</v>
      </c>
      <c r="ET238" s="457">
        <f t="shared" si="400"/>
        <v>2242</v>
      </c>
      <c r="EU238" s="409"/>
      <c r="EV238" s="43"/>
      <c r="EW238" s="43">
        <f t="shared" si="401"/>
        <v>0</v>
      </c>
      <c r="EX238" s="43">
        <f t="shared" si="379"/>
        <v>0</v>
      </c>
      <c r="EY238" s="43">
        <f t="shared" si="402"/>
        <v>940</v>
      </c>
      <c r="EZ238" s="436"/>
      <c r="FA238" s="437"/>
      <c r="FB238" s="437">
        <f t="shared" si="403"/>
        <v>0</v>
      </c>
      <c r="FC238" s="437">
        <f t="shared" si="380"/>
        <v>0</v>
      </c>
      <c r="FD238" s="437">
        <f t="shared" si="404"/>
        <v>1090</v>
      </c>
      <c r="FE238" s="442"/>
      <c r="FF238" s="443"/>
      <c r="FG238" s="443">
        <f t="shared" si="405"/>
        <v>0</v>
      </c>
      <c r="FH238" s="443">
        <f t="shared" si="381"/>
        <v>0</v>
      </c>
      <c r="FI238" s="443">
        <f t="shared" si="406"/>
        <v>1200</v>
      </c>
      <c r="FJ238" s="392"/>
      <c r="FK238" s="298"/>
      <c r="FL238" s="298">
        <f t="shared" si="407"/>
        <v>0</v>
      </c>
      <c r="FM238" s="298">
        <f t="shared" si="382"/>
        <v>0</v>
      </c>
      <c r="FN238" s="498">
        <f t="shared" si="408"/>
        <v>4800</v>
      </c>
      <c r="HC238" s="402"/>
      <c r="HD238" s="52"/>
      <c r="HE238" s="52">
        <f t="shared" si="409"/>
        <v>0</v>
      </c>
      <c r="HF238" s="52">
        <f t="shared" si="383"/>
        <v>0</v>
      </c>
      <c r="HG238" s="51"/>
      <c r="HH238" s="52">
        <f t="shared" si="452"/>
        <v>2800</v>
      </c>
      <c r="HI238" s="51"/>
      <c r="HJ238" s="1044"/>
    </row>
    <row r="239" spans="1:218">
      <c r="A239" s="30">
        <v>44902</v>
      </c>
      <c r="B239" s="390"/>
      <c r="C239" s="18">
        <f t="shared" si="363"/>
        <v>88882819</v>
      </c>
      <c r="D239" s="376"/>
      <c r="E239" s="417">
        <f t="shared" si="467"/>
        <v>1061606.7599999998</v>
      </c>
      <c r="F239" s="397"/>
      <c r="G239" s="37"/>
      <c r="H239" s="37">
        <f t="shared" si="384"/>
        <v>0</v>
      </c>
      <c r="I239" s="37">
        <f t="shared" si="364"/>
        <v>0</v>
      </c>
      <c r="J239" s="37" t="e">
        <f t="shared" si="365"/>
        <v>#DIV/0!</v>
      </c>
      <c r="K239" s="37">
        <f t="shared" si="410"/>
        <v>481207</v>
      </c>
      <c r="L239" s="37">
        <f t="shared" si="366"/>
        <v>453.28177827352954</v>
      </c>
      <c r="M239" s="694"/>
      <c r="N239" s="422"/>
      <c r="O239" s="423"/>
      <c r="P239" s="423">
        <f t="shared" si="411"/>
        <v>0</v>
      </c>
      <c r="Q239" s="423">
        <f t="shared" si="412"/>
        <v>0</v>
      </c>
      <c r="R239" s="423">
        <f t="shared" si="413"/>
        <v>14025</v>
      </c>
      <c r="S239" s="68"/>
      <c r="T239" s="67">
        <v>24</v>
      </c>
      <c r="U239" s="68">
        <f t="shared" si="414"/>
        <v>0</v>
      </c>
      <c r="V239" s="68" t="e">
        <f t="shared" si="367"/>
        <v>#DIV/0!</v>
      </c>
      <c r="W239" s="423">
        <f t="shared" si="415"/>
        <v>13670.903999999999</v>
      </c>
      <c r="X239" s="68">
        <f t="shared" si="368"/>
        <v>12.877559295119788</v>
      </c>
      <c r="Y239" s="681"/>
      <c r="Z239" s="424"/>
      <c r="AA239" s="425"/>
      <c r="AB239" s="425">
        <f t="shared" si="416"/>
        <v>0</v>
      </c>
      <c r="AC239" s="425">
        <f t="shared" si="417"/>
        <v>0</v>
      </c>
      <c r="AD239" s="425">
        <f t="shared" si="418"/>
        <v>2225</v>
      </c>
      <c r="AE239" s="72"/>
      <c r="AF239" s="71">
        <v>12</v>
      </c>
      <c r="AG239" s="72">
        <f t="shared" si="419"/>
        <v>0</v>
      </c>
      <c r="AH239" s="72" t="e">
        <f t="shared" si="385"/>
        <v>#DIV/0!</v>
      </c>
      <c r="AI239" s="425">
        <f t="shared" si="420"/>
        <v>2049.9120000000016</v>
      </c>
      <c r="AJ239" s="72">
        <f t="shared" si="453"/>
        <v>1.9309522859481434</v>
      </c>
      <c r="AK239" s="682"/>
      <c r="AL239" s="491"/>
      <c r="AM239" s="491"/>
      <c r="AN239" s="492">
        <f t="shared" si="460"/>
        <v>0</v>
      </c>
      <c r="AO239" s="492">
        <f t="shared" si="461"/>
        <v>0</v>
      </c>
      <c r="AP239" s="492">
        <f t="shared" si="462"/>
        <v>83573</v>
      </c>
      <c r="AQ239" s="493">
        <f t="shared" si="386"/>
        <v>78.723123428490624</v>
      </c>
      <c r="AR239" s="695"/>
      <c r="AS239" s="413"/>
      <c r="AT239" s="64"/>
      <c r="AU239" s="66">
        <f t="shared" si="421"/>
        <v>0</v>
      </c>
      <c r="AV239" s="66">
        <f t="shared" si="369"/>
        <v>0</v>
      </c>
      <c r="AW239" s="412" t="e">
        <f t="shared" si="422"/>
        <v>#DIV/0!</v>
      </c>
      <c r="AX239" s="66">
        <f t="shared" si="423"/>
        <v>297615</v>
      </c>
      <c r="AY239" s="412">
        <f t="shared" si="424"/>
        <v>3.3483973995019216</v>
      </c>
      <c r="AZ239" s="506"/>
      <c r="BA239" s="419"/>
      <c r="BB239" s="419"/>
      <c r="BC239" s="407"/>
      <c r="BD239" s="419">
        <f t="shared" si="387"/>
        <v>0</v>
      </c>
      <c r="BE239" s="419">
        <f t="shared" si="388"/>
        <v>0</v>
      </c>
      <c r="BF239" s="407" t="e">
        <f t="shared" si="425"/>
        <v>#DIV/0!</v>
      </c>
      <c r="BG239" s="419">
        <f t="shared" si="463"/>
        <v>368770</v>
      </c>
      <c r="BH239" s="407">
        <f t="shared" si="426"/>
        <v>4.1489458159512242</v>
      </c>
      <c r="BI239" s="407">
        <f t="shared" si="427"/>
        <v>0.50803418154504787</v>
      </c>
      <c r="BJ239" s="508"/>
      <c r="BK239" s="510"/>
      <c r="BL239" s="49"/>
      <c r="BM239" s="50"/>
      <c r="BN239" s="52">
        <f t="shared" si="428"/>
        <v>0</v>
      </c>
      <c r="BO239" s="52">
        <f t="shared" si="370"/>
        <v>0</v>
      </c>
      <c r="BP239" s="406" t="e">
        <f t="shared" si="429"/>
        <v>#DIV/0!</v>
      </c>
      <c r="BQ239" s="52">
        <f t="shared" si="430"/>
        <v>37700</v>
      </c>
      <c r="BR239" s="406">
        <f t="shared" si="431"/>
        <v>0.42415396388361626</v>
      </c>
      <c r="BS239" s="512"/>
      <c r="BT239" s="409"/>
      <c r="BU239" s="43"/>
      <c r="BV239" s="43">
        <f t="shared" si="457"/>
        <v>0</v>
      </c>
      <c r="BW239" s="43">
        <f t="shared" si="458"/>
        <v>0</v>
      </c>
      <c r="BX239" s="42" t="e">
        <f t="shared" si="432"/>
        <v>#DIV/0!</v>
      </c>
      <c r="BY239" s="43">
        <f t="shared" si="459"/>
        <v>19437</v>
      </c>
      <c r="BZ239" s="42">
        <f t="shared" si="433"/>
        <v>0.21868118291792704</v>
      </c>
      <c r="CA239" s="514"/>
      <c r="CB239" s="392"/>
      <c r="CC239" s="298"/>
      <c r="CD239" s="298">
        <f t="shared" si="389"/>
        <v>0</v>
      </c>
      <c r="CE239" s="298">
        <f t="shared" si="371"/>
        <v>0</v>
      </c>
      <c r="CF239" s="297" t="e">
        <f t="shared" si="434"/>
        <v>#DIV/0!</v>
      </c>
      <c r="CG239" s="298">
        <f t="shared" si="435"/>
        <v>61350</v>
      </c>
      <c r="CH239" s="297">
        <f t="shared" si="436"/>
        <v>0.69023463353474424</v>
      </c>
      <c r="CI239" s="696"/>
      <c r="CJ239" s="659"/>
      <c r="CK239" s="654"/>
      <c r="CL239" s="657">
        <f t="shared" si="464"/>
        <v>0</v>
      </c>
      <c r="CM239" s="657">
        <f t="shared" si="465"/>
        <v>0</v>
      </c>
      <c r="CN239" s="659">
        <f t="shared" si="466"/>
        <v>26250</v>
      </c>
      <c r="CO239" s="464"/>
      <c r="CP239" s="465"/>
      <c r="CQ239" s="465">
        <f t="shared" si="390"/>
        <v>0</v>
      </c>
      <c r="CR239" s="465">
        <f t="shared" si="372"/>
        <v>0</v>
      </c>
      <c r="CS239" s="486" t="e">
        <f t="shared" si="437"/>
        <v>#DIV/0!</v>
      </c>
      <c r="CT239" s="465">
        <f t="shared" si="438"/>
        <v>1619</v>
      </c>
      <c r="CU239" s="486">
        <f t="shared" si="439"/>
        <v>1.821499383362267E-2</v>
      </c>
      <c r="CV239" s="697"/>
      <c r="CW239" s="427"/>
      <c r="CX239" s="427"/>
      <c r="CY239" s="427">
        <f t="shared" si="440"/>
        <v>0</v>
      </c>
      <c r="CZ239" s="427">
        <f t="shared" si="441"/>
        <v>0</v>
      </c>
      <c r="DA239" s="607" t="e">
        <f t="shared" si="456"/>
        <v>#DIV/0!</v>
      </c>
      <c r="DB239" s="607">
        <f t="shared" si="442"/>
        <v>115</v>
      </c>
      <c r="DC239" s="607">
        <f t="shared" si="391"/>
        <v>1.2938383513691211E-3</v>
      </c>
      <c r="DD239" s="611"/>
      <c r="DE239" s="471"/>
      <c r="DF239" s="473"/>
      <c r="DG239" s="473">
        <f t="shared" si="392"/>
        <v>0</v>
      </c>
      <c r="DH239" s="473">
        <f t="shared" si="373"/>
        <v>0</v>
      </c>
      <c r="DI239" s="227" t="e">
        <f t="shared" si="443"/>
        <v>#DIV/0!</v>
      </c>
      <c r="DJ239" s="473">
        <f t="shared" si="444"/>
        <v>155.19999999999999</v>
      </c>
      <c r="DK239" s="227">
        <f t="shared" si="445"/>
        <v>1.7461192359346748E-3</v>
      </c>
      <c r="DL239" s="698"/>
      <c r="DM239" s="63"/>
      <c r="DN239" s="64"/>
      <c r="DO239" s="66">
        <f t="shared" si="446"/>
        <v>0</v>
      </c>
      <c r="DP239" s="66">
        <f t="shared" si="374"/>
        <v>0</v>
      </c>
      <c r="DQ239" s="412" t="e">
        <f t="shared" si="447"/>
        <v>#DIV/0!</v>
      </c>
      <c r="DR239" s="66">
        <f t="shared" si="448"/>
        <v>18000</v>
      </c>
      <c r="DS239" s="412">
        <f t="shared" si="449"/>
        <v>0.2025138289099494</v>
      </c>
      <c r="DT239" s="506"/>
      <c r="DU239" s="596"/>
      <c r="DV239" s="596"/>
      <c r="DW239" s="596">
        <f t="shared" si="393"/>
        <v>0</v>
      </c>
      <c r="DX239" s="596">
        <f t="shared" si="375"/>
        <v>0</v>
      </c>
      <c r="DY239" s="592" t="e">
        <f t="shared" si="394"/>
        <v>#DIV/0!</v>
      </c>
      <c r="DZ239" s="596">
        <f t="shared" si="450"/>
        <v>2800</v>
      </c>
      <c r="EA239" s="592">
        <f t="shared" si="395"/>
        <v>3.1502151163769906E-2</v>
      </c>
      <c r="EB239" s="594"/>
      <c r="EC239" s="448"/>
      <c r="ED239" s="449"/>
      <c r="EE239" s="449">
        <f t="shared" si="396"/>
        <v>0</v>
      </c>
      <c r="EF239" s="449">
        <f t="shared" si="376"/>
        <v>0</v>
      </c>
      <c r="EG239" s="450" t="e">
        <f t="shared" si="454"/>
        <v>#DIV/0!</v>
      </c>
      <c r="EH239" s="449">
        <f t="shared" si="451"/>
        <v>1165</v>
      </c>
      <c r="EI239" s="450">
        <f t="shared" si="455"/>
        <v>1.3107145037782836E-2</v>
      </c>
      <c r="EJ239" s="699"/>
      <c r="EK239" s="426"/>
      <c r="EL239" s="427"/>
      <c r="EM239" s="427">
        <f t="shared" si="397"/>
        <v>0</v>
      </c>
      <c r="EN239" s="427">
        <f t="shared" si="377"/>
        <v>0</v>
      </c>
      <c r="EO239" s="427">
        <f t="shared" si="398"/>
        <v>84722</v>
      </c>
      <c r="EP239" s="456"/>
      <c r="EQ239" s="457"/>
      <c r="ER239" s="457">
        <f t="shared" si="399"/>
        <v>0</v>
      </c>
      <c r="ES239" s="457">
        <f t="shared" si="378"/>
        <v>0</v>
      </c>
      <c r="ET239" s="457">
        <f t="shared" si="400"/>
        <v>2242</v>
      </c>
      <c r="EU239" s="409"/>
      <c r="EV239" s="43"/>
      <c r="EW239" s="43">
        <f t="shared" si="401"/>
        <v>0</v>
      </c>
      <c r="EX239" s="43">
        <f t="shared" si="379"/>
        <v>0</v>
      </c>
      <c r="EY239" s="43">
        <f t="shared" si="402"/>
        <v>940</v>
      </c>
      <c r="EZ239" s="436"/>
      <c r="FA239" s="437"/>
      <c r="FB239" s="437">
        <f t="shared" si="403"/>
        <v>0</v>
      </c>
      <c r="FC239" s="437">
        <f t="shared" si="380"/>
        <v>0</v>
      </c>
      <c r="FD239" s="437">
        <f t="shared" si="404"/>
        <v>1090</v>
      </c>
      <c r="FE239" s="442"/>
      <c r="FF239" s="443"/>
      <c r="FG239" s="443">
        <f t="shared" si="405"/>
        <v>0</v>
      </c>
      <c r="FH239" s="443">
        <f t="shared" si="381"/>
        <v>0</v>
      </c>
      <c r="FI239" s="443">
        <f t="shared" si="406"/>
        <v>1200</v>
      </c>
      <c r="FJ239" s="392"/>
      <c r="FK239" s="298"/>
      <c r="FL239" s="298">
        <f t="shared" si="407"/>
        <v>0</v>
      </c>
      <c r="FM239" s="298">
        <f t="shared" si="382"/>
        <v>0</v>
      </c>
      <c r="FN239" s="498">
        <f t="shared" si="408"/>
        <v>4800</v>
      </c>
      <c r="HC239" s="402"/>
      <c r="HD239" s="52"/>
      <c r="HE239" s="52">
        <f t="shared" si="409"/>
        <v>0</v>
      </c>
      <c r="HF239" s="52">
        <f t="shared" si="383"/>
        <v>0</v>
      </c>
      <c r="HG239" s="51"/>
      <c r="HH239" s="52">
        <f t="shared" si="452"/>
        <v>2800</v>
      </c>
      <c r="HI239" s="51"/>
      <c r="HJ239" s="1044"/>
    </row>
    <row r="240" spans="1:218" ht="15.75" thickBot="1">
      <c r="A240" s="30">
        <v>44903</v>
      </c>
      <c r="B240" s="390"/>
      <c r="C240" s="18">
        <f t="shared" si="363"/>
        <v>88882819</v>
      </c>
      <c r="D240" s="376"/>
      <c r="E240" s="417">
        <f t="shared" si="467"/>
        <v>1061606.7599999998</v>
      </c>
      <c r="F240" s="399"/>
      <c r="G240" s="400"/>
      <c r="H240" s="400">
        <f>FB241</f>
        <v>0</v>
      </c>
      <c r="I240" s="400">
        <f t="shared" si="364"/>
        <v>0</v>
      </c>
      <c r="J240" s="400" t="e">
        <f t="shared" si="365"/>
        <v>#DIV/0!</v>
      </c>
      <c r="K240" s="400">
        <f t="shared" si="410"/>
        <v>481207</v>
      </c>
      <c r="L240" s="400">
        <f t="shared" si="366"/>
        <v>453.28177827352954</v>
      </c>
      <c r="M240" s="700"/>
      <c r="N240" s="422"/>
      <c r="O240" s="423"/>
      <c r="P240" s="423">
        <f t="shared" si="411"/>
        <v>0</v>
      </c>
      <c r="Q240" s="423">
        <f t="shared" si="412"/>
        <v>0</v>
      </c>
      <c r="R240" s="423">
        <f t="shared" si="413"/>
        <v>14025</v>
      </c>
      <c r="S240" s="111"/>
      <c r="T240" s="67">
        <v>24</v>
      </c>
      <c r="U240" s="68">
        <f t="shared" si="414"/>
        <v>0</v>
      </c>
      <c r="V240" s="68" t="e">
        <f t="shared" si="367"/>
        <v>#DIV/0!</v>
      </c>
      <c r="W240" s="423">
        <f t="shared" si="415"/>
        <v>13670.903999999999</v>
      </c>
      <c r="X240" s="68">
        <f t="shared" si="368"/>
        <v>12.877559295119788</v>
      </c>
      <c r="Y240" s="681"/>
      <c r="Z240" s="424"/>
      <c r="AA240" s="425"/>
      <c r="AB240" s="425">
        <f>EJ241</f>
        <v>0</v>
      </c>
      <c r="AC240" s="425">
        <f t="shared" si="417"/>
        <v>0</v>
      </c>
      <c r="AD240" s="425">
        <f t="shared" si="418"/>
        <v>2225</v>
      </c>
      <c r="AE240" s="72"/>
      <c r="AF240" s="71">
        <v>12</v>
      </c>
      <c r="AG240" s="72">
        <f t="shared" si="419"/>
        <v>0</v>
      </c>
      <c r="AH240" s="72" t="e">
        <f t="shared" si="385"/>
        <v>#DIV/0!</v>
      </c>
      <c r="AI240" s="425">
        <f t="shared" si="420"/>
        <v>2049.9120000000016</v>
      </c>
      <c r="AJ240" s="72">
        <f t="shared" si="453"/>
        <v>1.9309522859481434</v>
      </c>
      <c r="AK240" s="682"/>
      <c r="AL240" s="491"/>
      <c r="AM240" s="491"/>
      <c r="AN240" s="492">
        <f t="shared" si="460"/>
        <v>0</v>
      </c>
      <c r="AO240" s="492">
        <f t="shared" si="461"/>
        <v>0</v>
      </c>
      <c r="AP240" s="492">
        <f t="shared" si="462"/>
        <v>83573</v>
      </c>
      <c r="AQ240" s="493">
        <f t="shared" si="386"/>
        <v>78.723123428490624</v>
      </c>
      <c r="AR240" s="695"/>
      <c r="AS240" s="413"/>
      <c r="AT240" s="64"/>
      <c r="AU240" s="66">
        <f>CG241</f>
        <v>0</v>
      </c>
      <c r="AV240" s="66">
        <f t="shared" si="369"/>
        <v>0</v>
      </c>
      <c r="AW240" s="412" t="e">
        <f t="shared" si="422"/>
        <v>#DIV/0!</v>
      </c>
      <c r="AX240" s="66">
        <f t="shared" si="423"/>
        <v>297615</v>
      </c>
      <c r="AY240" s="412">
        <f t="shared" si="424"/>
        <v>3.3483973995019216</v>
      </c>
      <c r="AZ240" s="506"/>
      <c r="BA240" s="419"/>
      <c r="BB240" s="419"/>
      <c r="BC240" s="407"/>
      <c r="BD240" s="419">
        <f>BV241</f>
        <v>0</v>
      </c>
      <c r="BE240" s="419">
        <f t="shared" si="388"/>
        <v>0</v>
      </c>
      <c r="BF240" s="407" t="e">
        <f t="shared" si="425"/>
        <v>#DIV/0!</v>
      </c>
      <c r="BG240" s="419">
        <f t="shared" si="463"/>
        <v>368770</v>
      </c>
      <c r="BH240" s="407">
        <f t="shared" si="426"/>
        <v>4.1489458159512242</v>
      </c>
      <c r="BI240" s="407">
        <f t="shared" si="427"/>
        <v>0.50803418154504787</v>
      </c>
      <c r="BJ240" s="508"/>
      <c r="BK240" s="510"/>
      <c r="BL240" s="49"/>
      <c r="BM240" s="50"/>
      <c r="BN240" s="52">
        <f>CT241</f>
        <v>0</v>
      </c>
      <c r="BO240" s="52">
        <f t="shared" si="370"/>
        <v>0</v>
      </c>
      <c r="BP240" s="406" t="e">
        <f t="shared" si="429"/>
        <v>#DIV/0!</v>
      </c>
      <c r="BQ240" s="52">
        <f t="shared" si="430"/>
        <v>37700</v>
      </c>
      <c r="BR240" s="406">
        <f t="shared" si="431"/>
        <v>0.42415396388361626</v>
      </c>
      <c r="BS240" s="512"/>
      <c r="BT240" s="409"/>
      <c r="BU240" s="43"/>
      <c r="BV240" s="43">
        <f>DJ241</f>
        <v>0</v>
      </c>
      <c r="BW240" s="43">
        <f t="shared" si="458"/>
        <v>0</v>
      </c>
      <c r="BX240" s="42" t="e">
        <f t="shared" si="432"/>
        <v>#DIV/0!</v>
      </c>
      <c r="BY240" s="43">
        <f t="shared" si="459"/>
        <v>19437</v>
      </c>
      <c r="BZ240" s="42">
        <f t="shared" si="433"/>
        <v>0.21868118291792704</v>
      </c>
      <c r="CA240" s="514"/>
      <c r="CB240" s="392"/>
      <c r="CC240" s="298"/>
      <c r="CD240" s="298">
        <f>FG241</f>
        <v>0</v>
      </c>
      <c r="CE240" s="298">
        <f t="shared" si="371"/>
        <v>0</v>
      </c>
      <c r="CF240" s="297" t="e">
        <f t="shared" si="434"/>
        <v>#DIV/0!</v>
      </c>
      <c r="CG240" s="298">
        <f t="shared" si="435"/>
        <v>61350</v>
      </c>
      <c r="CH240" s="297">
        <f t="shared" si="436"/>
        <v>0.69023463353474424</v>
      </c>
      <c r="CI240" s="696"/>
      <c r="CJ240" s="659"/>
      <c r="CK240" s="654"/>
      <c r="CL240" s="657">
        <f t="shared" si="464"/>
        <v>0</v>
      </c>
      <c r="CM240" s="657">
        <f t="shared" si="465"/>
        <v>0</v>
      </c>
      <c r="CN240" s="659">
        <f t="shared" si="466"/>
        <v>26250</v>
      </c>
      <c r="CO240" s="464"/>
      <c r="CP240" s="465"/>
      <c r="CQ240" s="465">
        <f>HS241</f>
        <v>0</v>
      </c>
      <c r="CR240" s="465">
        <f t="shared" si="372"/>
        <v>0</v>
      </c>
      <c r="CS240" s="486" t="e">
        <f t="shared" si="437"/>
        <v>#DIV/0!</v>
      </c>
      <c r="CT240" s="465">
        <f t="shared" si="438"/>
        <v>1619</v>
      </c>
      <c r="CU240" s="486">
        <f t="shared" si="439"/>
        <v>1.821499383362267E-2</v>
      </c>
      <c r="CV240" s="697"/>
      <c r="CW240" s="427"/>
      <c r="CX240" s="427"/>
      <c r="CY240" s="427">
        <f t="shared" si="440"/>
        <v>0</v>
      </c>
      <c r="CZ240" s="427">
        <f t="shared" si="441"/>
        <v>0</v>
      </c>
      <c r="DA240" s="607" t="e">
        <f t="shared" si="456"/>
        <v>#DIV/0!</v>
      </c>
      <c r="DB240" s="607">
        <f t="shared" si="442"/>
        <v>115</v>
      </c>
      <c r="DC240" s="607">
        <f t="shared" si="391"/>
        <v>1.2938383513691211E-3</v>
      </c>
      <c r="DD240" s="611"/>
      <c r="DE240" s="471"/>
      <c r="DF240" s="473"/>
      <c r="DG240" s="473">
        <f>IA241</f>
        <v>0</v>
      </c>
      <c r="DH240" s="473">
        <f t="shared" si="373"/>
        <v>0</v>
      </c>
      <c r="DI240" s="227" t="e">
        <f t="shared" si="443"/>
        <v>#DIV/0!</v>
      </c>
      <c r="DJ240" s="473">
        <f t="shared" si="444"/>
        <v>155.19999999999999</v>
      </c>
      <c r="DK240" s="227">
        <f t="shared" si="445"/>
        <v>1.7461192359346748E-3</v>
      </c>
      <c r="DL240" s="698"/>
      <c r="DM240" s="63"/>
      <c r="DN240" s="64"/>
      <c r="DO240" s="66">
        <f>EW241</f>
        <v>0</v>
      </c>
      <c r="DP240" s="66">
        <f t="shared" si="374"/>
        <v>0</v>
      </c>
      <c r="DQ240" s="412" t="e">
        <f t="shared" si="447"/>
        <v>#DIV/0!</v>
      </c>
      <c r="DR240" s="66">
        <f t="shared" si="448"/>
        <v>18000</v>
      </c>
      <c r="DS240" s="412">
        <f t="shared" si="449"/>
        <v>0.2025138289099494</v>
      </c>
      <c r="DT240" s="506"/>
      <c r="DU240" s="596"/>
      <c r="DV240" s="596"/>
      <c r="DW240" s="596">
        <f t="shared" si="393"/>
        <v>0</v>
      </c>
      <c r="DX240" s="596">
        <f t="shared" si="375"/>
        <v>0</v>
      </c>
      <c r="DY240" s="592" t="e">
        <f t="shared" si="394"/>
        <v>#DIV/0!</v>
      </c>
      <c r="DZ240" s="596">
        <f t="shared" si="450"/>
        <v>2800</v>
      </c>
      <c r="EA240" s="592">
        <f t="shared" si="395"/>
        <v>3.1502151163769906E-2</v>
      </c>
      <c r="EB240" s="594"/>
      <c r="EC240" s="448"/>
      <c r="ED240" s="449"/>
      <c r="EE240" s="449">
        <f>GW241</f>
        <v>0</v>
      </c>
      <c r="EF240" s="449">
        <f t="shared" si="376"/>
        <v>0</v>
      </c>
      <c r="EG240" s="450" t="e">
        <f t="shared" si="454"/>
        <v>#DIV/0!</v>
      </c>
      <c r="EH240" s="449">
        <f t="shared" si="451"/>
        <v>1165</v>
      </c>
      <c r="EI240" s="450">
        <f t="shared" si="455"/>
        <v>1.3107145037782836E-2</v>
      </c>
      <c r="EJ240" s="699"/>
      <c r="EK240" s="426"/>
      <c r="EL240" s="427"/>
      <c r="EM240" s="427">
        <f>FL241</f>
        <v>0</v>
      </c>
      <c r="EN240" s="427">
        <f t="shared" si="377"/>
        <v>0</v>
      </c>
      <c r="EO240" s="427">
        <f t="shared" si="398"/>
        <v>84722</v>
      </c>
      <c r="EP240" s="456"/>
      <c r="EQ240" s="457"/>
      <c r="ER240" s="457">
        <f>HK241</f>
        <v>0</v>
      </c>
      <c r="ES240" s="457">
        <f t="shared" si="378"/>
        <v>0</v>
      </c>
      <c r="ET240" s="457">
        <f t="shared" si="400"/>
        <v>2242</v>
      </c>
      <c r="EU240" s="409"/>
      <c r="EV240" s="43"/>
      <c r="EW240" s="43">
        <f>FQ241</f>
        <v>0</v>
      </c>
      <c r="EX240" s="43">
        <f t="shared" si="379"/>
        <v>0</v>
      </c>
      <c r="EY240" s="43">
        <f t="shared" si="402"/>
        <v>940</v>
      </c>
      <c r="EZ240" s="436"/>
      <c r="FA240" s="437"/>
      <c r="FB240" s="437">
        <f>FY241</f>
        <v>0</v>
      </c>
      <c r="FC240" s="437">
        <f t="shared" si="380"/>
        <v>0</v>
      </c>
      <c r="FD240" s="437">
        <f t="shared" si="404"/>
        <v>1090</v>
      </c>
      <c r="FE240" s="442"/>
      <c r="FF240" s="443"/>
      <c r="FG240" s="443">
        <f>GG241</f>
        <v>0</v>
      </c>
      <c r="FH240" s="443">
        <f t="shared" si="381"/>
        <v>0</v>
      </c>
      <c r="FI240" s="443">
        <f t="shared" si="406"/>
        <v>1200</v>
      </c>
      <c r="FJ240" s="392"/>
      <c r="FK240" s="298"/>
      <c r="FL240" s="298">
        <f>GO241</f>
        <v>0</v>
      </c>
      <c r="FM240" s="298">
        <f t="shared" si="382"/>
        <v>0</v>
      </c>
      <c r="FN240" s="498">
        <f t="shared" si="408"/>
        <v>4800</v>
      </c>
      <c r="HC240" s="403"/>
      <c r="HD240" s="405"/>
      <c r="HE240" s="405">
        <f t="shared" si="409"/>
        <v>0</v>
      </c>
      <c r="HF240" s="405">
        <f t="shared" si="383"/>
        <v>0</v>
      </c>
      <c r="HG240" s="84"/>
      <c r="HH240" s="405">
        <f t="shared" si="452"/>
        <v>2800</v>
      </c>
      <c r="HI240" s="84"/>
      <c r="HJ240" s="1045"/>
    </row>
    <row r="241" spans="20:170">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590"/>
      <c r="AR241" s="332"/>
      <c r="AS241" s="332"/>
      <c r="AT241" s="332"/>
      <c r="AU241" s="332"/>
      <c r="AV241" s="332"/>
      <c r="AW241" s="332"/>
      <c r="AX241" s="332"/>
      <c r="AY241" s="332"/>
      <c r="AZ241" s="332"/>
      <c r="BA241" s="332"/>
      <c r="BB241" s="332"/>
      <c r="BC241" s="332"/>
      <c r="BD241" s="332"/>
      <c r="BE241" s="332"/>
      <c r="BF241" s="332"/>
      <c r="BG241" s="332"/>
      <c r="BH241" s="332"/>
      <c r="BI241" s="332"/>
      <c r="BJ241" s="332"/>
      <c r="BK241" s="332"/>
      <c r="BL241" s="332"/>
      <c r="BM241" s="332"/>
      <c r="BN241" s="332"/>
      <c r="BO241" s="332"/>
      <c r="BP241" s="332"/>
      <c r="BQ241" s="332"/>
      <c r="BR241" s="332"/>
      <c r="BS241" s="332"/>
      <c r="BT241" s="332"/>
      <c r="BU241" s="332"/>
      <c r="BV241" s="332"/>
      <c r="BW241" s="332"/>
      <c r="BX241" s="332"/>
      <c r="BY241" s="332"/>
      <c r="BZ241" s="332"/>
      <c r="CA241" s="332"/>
      <c r="CB241" s="332"/>
      <c r="CC241" s="332"/>
      <c r="CD241" s="332"/>
      <c r="CE241" s="332"/>
      <c r="CF241" s="332"/>
      <c r="CG241" s="332"/>
      <c r="CH241" s="332"/>
      <c r="CI241" s="332"/>
      <c r="CJ241" s="332"/>
      <c r="CK241" s="332"/>
      <c r="CL241" s="332"/>
      <c r="CM241" s="332"/>
      <c r="CN241" s="332"/>
      <c r="CO241" s="332"/>
      <c r="CP241" s="591"/>
      <c r="CQ241" s="591"/>
      <c r="CR241" s="591"/>
      <c r="CS241" s="591"/>
      <c r="CT241" s="332"/>
      <c r="CU241" s="332"/>
      <c r="CV241" s="332"/>
      <c r="CW241" s="332"/>
      <c r="CX241" s="332"/>
      <c r="CY241" s="332"/>
      <c r="CZ241" s="332"/>
      <c r="DA241" s="332"/>
      <c r="DB241" s="332"/>
      <c r="DC241" s="332"/>
      <c r="DD241" s="332"/>
      <c r="DE241" s="332"/>
      <c r="DF241" s="332"/>
      <c r="DG241" s="332"/>
      <c r="DH241" s="332"/>
      <c r="DI241" s="332"/>
      <c r="DJ241" s="332"/>
      <c r="DK241" s="332"/>
      <c r="DL241" s="332"/>
      <c r="DM241" s="332"/>
      <c r="DN241" s="332"/>
      <c r="DO241" s="332"/>
      <c r="DP241" s="332"/>
      <c r="DQ241" s="332"/>
      <c r="DR241" s="332"/>
      <c r="DS241" s="332"/>
      <c r="DT241" s="332"/>
      <c r="DU241" s="332"/>
      <c r="DV241" s="332"/>
      <c r="DW241" s="332"/>
      <c r="DX241" s="332"/>
      <c r="DY241" s="332"/>
      <c r="DZ241" s="332"/>
      <c r="EA241" s="332"/>
      <c r="EB241" s="332"/>
      <c r="EC241" s="332"/>
      <c r="ED241" s="332"/>
      <c r="EE241" s="332"/>
      <c r="EF241" s="332"/>
      <c r="EG241" s="332"/>
      <c r="EH241" s="332"/>
      <c r="EI241" s="332"/>
      <c r="EJ241" s="332"/>
      <c r="EK241" s="332"/>
      <c r="EL241" s="332"/>
      <c r="EM241" s="332"/>
      <c r="EN241" s="332"/>
      <c r="EO241" s="332"/>
      <c r="EP241" s="332"/>
      <c r="EQ241" s="332"/>
      <c r="ER241" s="332"/>
      <c r="ES241" s="332"/>
      <c r="ET241" s="332"/>
      <c r="EU241" s="590"/>
      <c r="EV241" s="332"/>
      <c r="EW241" s="332"/>
      <c r="EX241" s="332"/>
      <c r="EY241" s="332"/>
      <c r="EZ241" s="332"/>
      <c r="FA241" s="332"/>
      <c r="FB241" s="332"/>
      <c r="FC241" s="332"/>
      <c r="FD241" s="332"/>
      <c r="FE241" s="332"/>
      <c r="FF241" s="332"/>
      <c r="FG241" s="332"/>
      <c r="FH241" s="332"/>
      <c r="FI241" s="332"/>
      <c r="FJ241" s="332"/>
      <c r="FK241" s="332"/>
      <c r="FL241" s="332"/>
      <c r="FM241" s="332"/>
      <c r="FN241" s="332"/>
    </row>
    <row r="242" spans="20:170">
      <c r="AQ242" s="239"/>
    </row>
    <row r="243" spans="20:170">
      <c r="AQ243" s="239"/>
    </row>
    <row r="244" spans="20:170">
      <c r="AQ244" s="239"/>
    </row>
    <row r="245" spans="20:170">
      <c r="AQ245" s="239"/>
    </row>
    <row r="246" spans="20:170">
      <c r="AQ246" s="239"/>
    </row>
    <row r="247" spans="20:170">
      <c r="AQ247" s="239"/>
    </row>
    <row r="248" spans="20:170">
      <c r="AQ248" s="239"/>
    </row>
    <row r="249" spans="20:170">
      <c r="AQ249" s="239"/>
    </row>
    <row r="250" spans="20:170">
      <c r="AQ250" s="239"/>
    </row>
    <row r="251" spans="20:170">
      <c r="AQ251" s="239"/>
    </row>
    <row r="252" spans="20:170">
      <c r="AQ252" s="239"/>
    </row>
    <row r="253" spans="20:170">
      <c r="AQ253" s="239"/>
    </row>
    <row r="254" spans="20:170">
      <c r="AQ254" s="239"/>
    </row>
    <row r="255" spans="20:170">
      <c r="AQ255" s="239"/>
    </row>
    <row r="256" spans="20:170">
      <c r="AQ256" s="239"/>
    </row>
    <row r="257" spans="43:43">
      <c r="AQ257" s="239"/>
    </row>
    <row r="258" spans="43:43">
      <c r="AQ258" s="239"/>
    </row>
    <row r="259" spans="43:43">
      <c r="AQ259" s="239"/>
    </row>
    <row r="260" spans="43:43">
      <c r="AQ260" s="239"/>
    </row>
    <row r="261" spans="43:43">
      <c r="AQ261" s="239"/>
    </row>
    <row r="262" spans="43:43">
      <c r="AQ262" s="239"/>
    </row>
    <row r="263" spans="43:43">
      <c r="AQ263" s="239"/>
    </row>
    <row r="264" spans="43:43">
      <c r="AQ264" s="239"/>
    </row>
  </sheetData>
  <mergeCells count="64">
    <mergeCell ref="CV4:CV18"/>
    <mergeCell ref="DT4:DT18"/>
    <mergeCell ref="DD4:DD18"/>
    <mergeCell ref="BS4:BS18"/>
    <mergeCell ref="CJ1:CN1"/>
    <mergeCell ref="CO1:CV1"/>
    <mergeCell ref="CW1:DD1"/>
    <mergeCell ref="CA4:CA18"/>
    <mergeCell ref="CI4:CI18"/>
    <mergeCell ref="A1:A3"/>
    <mergeCell ref="M19:M49"/>
    <mergeCell ref="M4:M18"/>
    <mergeCell ref="B1:C2"/>
    <mergeCell ref="D1:E2"/>
    <mergeCell ref="Y4:Y18"/>
    <mergeCell ref="AK4:AK18"/>
    <mergeCell ref="AR4:AR18"/>
    <mergeCell ref="BK19:BK49"/>
    <mergeCell ref="BS19:BS49"/>
    <mergeCell ref="AZ19:AZ49"/>
    <mergeCell ref="BJ19:BJ49"/>
    <mergeCell ref="BJ4:BJ18"/>
    <mergeCell ref="BK4:BK18"/>
    <mergeCell ref="AZ4:AZ18"/>
    <mergeCell ref="CV50:CV79"/>
    <mergeCell ref="DD50:DD79"/>
    <mergeCell ref="DL50:DL79"/>
    <mergeCell ref="DT50:DT79"/>
    <mergeCell ref="BK50:BK79"/>
    <mergeCell ref="CV19:CV49"/>
    <mergeCell ref="DL19:DL49"/>
    <mergeCell ref="DT19:DT49"/>
    <mergeCell ref="CI19:CI49"/>
    <mergeCell ref="Y19:Y49"/>
    <mergeCell ref="AK19:AK49"/>
    <mergeCell ref="AR19:AR49"/>
    <mergeCell ref="M50:M79"/>
    <mergeCell ref="Y50:Y79"/>
    <mergeCell ref="AK50:AK79"/>
    <mergeCell ref="AR50:AR79"/>
    <mergeCell ref="AZ50:AZ79"/>
    <mergeCell ref="BJ50:BJ79"/>
    <mergeCell ref="BS50:BS79"/>
    <mergeCell ref="CA50:CA79"/>
    <mergeCell ref="CI50:CI79"/>
    <mergeCell ref="CA19:CA49"/>
    <mergeCell ref="HJ233:HJ240"/>
    <mergeCell ref="HC2:HJ2"/>
    <mergeCell ref="HJ4:HJ18"/>
    <mergeCell ref="HJ19:HJ49"/>
    <mergeCell ref="HJ50:HJ79"/>
    <mergeCell ref="HJ80:HJ110"/>
    <mergeCell ref="HJ111:HJ141"/>
    <mergeCell ref="HJ142:HJ171"/>
    <mergeCell ref="HJ172:HJ202"/>
    <mergeCell ref="HJ203:HJ232"/>
    <mergeCell ref="HC1:HJ1"/>
    <mergeCell ref="EB4:EB18"/>
    <mergeCell ref="EJ4:EJ18"/>
    <mergeCell ref="DL4:DL18"/>
    <mergeCell ref="EB50:EB79"/>
    <mergeCell ref="EJ50:EJ79"/>
    <mergeCell ref="EB19:EB49"/>
    <mergeCell ref="EJ19:EJ49"/>
  </mergeCells>
  <pageMargins left="0.51181102362204722" right="0.51181102362204722" top="0.78740157480314965" bottom="0.78740157480314965" header="0.31496062992125984" footer="0.31496062992125984"/>
  <pageSetup paperSize="9" scale="10" orientation="landscape" r:id="rId1"/>
  <ignoredErrors>
    <ignoredError sqref="AK4 AR4 M19 AK19 AR19 AZ19 BJ4 AZ4 BJ19 BS19 CA19 CI19 CV19 DT19 DL19 EB19 EJ19 CV4 CI4 DD4 M50 Y50 AK50 AR50 AZ50 BJ50 BS50 CA50 CI50 CV50 DD50 DL50 DT50 EB50 EJ50" formulaRange="1"/>
    <ignoredError sqref="BF130" evalError="1"/>
  </ignoredError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225"/>
  <sheetViews>
    <sheetView zoomScale="80" zoomScaleNormal="80" workbookViewId="0">
      <selection activeCell="A2" sqref="A2"/>
    </sheetView>
  </sheetViews>
  <sheetFormatPr defaultRowHeight="15"/>
  <cols>
    <col min="1" max="1" width="14.5703125" customWidth="1"/>
    <col min="2" max="2" width="10.7109375" customWidth="1"/>
    <col min="3" max="4" width="10.7109375" style="612" customWidth="1"/>
    <col min="5" max="5" width="12.42578125" style="612" bestFit="1" customWidth="1"/>
    <col min="6" max="6" width="9.7109375" customWidth="1"/>
    <col min="7" max="8" width="10.28515625" customWidth="1"/>
    <col min="9" max="10" width="9.7109375" customWidth="1"/>
    <col min="11" max="11" width="11" customWidth="1"/>
    <col min="12" max="13" width="9.7109375" customWidth="1"/>
    <col min="14" max="14" width="12.42578125" bestFit="1" customWidth="1"/>
    <col min="15" max="15" width="9.7109375" customWidth="1"/>
    <col min="16" max="16" width="18" bestFit="1" customWidth="1"/>
    <col min="17" max="20" width="9.7109375" customWidth="1"/>
    <col min="21" max="21" width="11.28515625" style="31" customWidth="1"/>
    <col min="22" max="24" width="9.7109375" style="31" customWidth="1"/>
    <col min="25" max="54" width="9.7109375" customWidth="1"/>
    <col min="60" max="60" width="9.140625" style="239"/>
    <col min="75" max="75" width="12.42578125" bestFit="1" customWidth="1"/>
  </cols>
  <sheetData>
    <row r="1" spans="1:84">
      <c r="B1" s="1161" t="s">
        <v>49</v>
      </c>
      <c r="C1" s="1162"/>
      <c r="D1" s="1162" t="s">
        <v>50</v>
      </c>
      <c r="E1" s="1163"/>
      <c r="F1" s="1164" t="s">
        <v>64</v>
      </c>
      <c r="G1" s="1165"/>
      <c r="H1" s="1165"/>
      <c r="I1" s="1165"/>
      <c r="J1" s="1165"/>
      <c r="K1" s="1165"/>
      <c r="L1" s="1165"/>
      <c r="M1" s="1165"/>
      <c r="N1" s="1165"/>
      <c r="O1" s="1165"/>
      <c r="P1" s="1166"/>
      <c r="Q1" s="1155" t="s">
        <v>41</v>
      </c>
      <c r="R1" s="1156"/>
      <c r="S1" s="1156"/>
      <c r="T1" s="1156"/>
      <c r="U1" s="1156"/>
      <c r="V1" s="1156"/>
      <c r="W1" s="1156"/>
      <c r="X1" s="1157"/>
      <c r="Y1" s="1167" t="s">
        <v>44</v>
      </c>
      <c r="Z1" s="1168"/>
      <c r="AA1" s="1168"/>
      <c r="AB1" s="1168"/>
      <c r="AC1" s="1168"/>
      <c r="AD1" s="1168"/>
      <c r="AE1" s="1168"/>
      <c r="AF1" s="1169"/>
      <c r="AG1" s="1170" t="s">
        <v>56</v>
      </c>
      <c r="AH1" s="1171"/>
      <c r="AI1" s="1171"/>
      <c r="AJ1" s="1171"/>
      <c r="AK1" s="1171"/>
      <c r="AL1" s="1171"/>
      <c r="AM1" s="1171"/>
      <c r="AN1" s="1172"/>
      <c r="AO1" s="1144" t="s">
        <v>55</v>
      </c>
      <c r="AP1" s="1145"/>
      <c r="AQ1" s="1145"/>
      <c r="AR1" s="1145"/>
      <c r="AS1" s="1145"/>
      <c r="AT1" s="1145"/>
      <c r="AU1" s="1146"/>
      <c r="AV1" s="1147" t="s">
        <v>60</v>
      </c>
      <c r="AW1" s="1148"/>
      <c r="AX1" s="1148"/>
      <c r="AY1" s="1148"/>
      <c r="AZ1" s="1148"/>
      <c r="BA1" s="1148"/>
      <c r="BB1" s="1148"/>
      <c r="BC1" s="1149" t="s">
        <v>58</v>
      </c>
      <c r="BD1" s="1150"/>
      <c r="BE1" s="1150"/>
      <c r="BF1" s="1150"/>
      <c r="BG1" s="1150"/>
      <c r="BH1" s="1150"/>
      <c r="BI1" s="1151"/>
      <c r="BJ1" s="1152" t="s">
        <v>57</v>
      </c>
      <c r="BK1" s="1153"/>
      <c r="BL1" s="1153"/>
      <c r="BM1" s="1153"/>
      <c r="BN1" s="1153"/>
      <c r="BO1" s="1153"/>
      <c r="BP1" s="1153"/>
      <c r="BQ1" s="1154"/>
      <c r="BR1" s="1155" t="s">
        <v>59</v>
      </c>
      <c r="BS1" s="1156"/>
      <c r="BT1" s="1156"/>
      <c r="BU1" s="1156"/>
      <c r="BV1" s="1156"/>
      <c r="BW1" s="1156"/>
      <c r="BX1" s="1157"/>
      <c r="BY1" s="1158" t="s">
        <v>93</v>
      </c>
      <c r="BZ1" s="1159"/>
      <c r="CA1" s="1159"/>
      <c r="CB1" s="1159"/>
      <c r="CC1" s="1159"/>
      <c r="CD1" s="1159"/>
      <c r="CE1" s="1159"/>
      <c r="CF1" s="1160"/>
    </row>
    <row r="2" spans="1:84" ht="99" customHeight="1" thickBot="1">
      <c r="A2" s="872">
        <v>2021</v>
      </c>
      <c r="B2" s="173" t="s">
        <v>45</v>
      </c>
      <c r="C2" s="838" t="s">
        <v>46</v>
      </c>
      <c r="D2" s="838" t="s">
        <v>47</v>
      </c>
      <c r="E2" s="839" t="s">
        <v>48</v>
      </c>
      <c r="F2" s="221" t="s">
        <v>36</v>
      </c>
      <c r="G2" s="222" t="s">
        <v>37</v>
      </c>
      <c r="H2" s="222" t="s">
        <v>138</v>
      </c>
      <c r="I2" s="223" t="s">
        <v>38</v>
      </c>
      <c r="J2" s="223" t="s">
        <v>39</v>
      </c>
      <c r="K2" s="224" t="s">
        <v>40</v>
      </c>
      <c r="L2" s="223" t="s">
        <v>43</v>
      </c>
      <c r="M2" s="225" t="s">
        <v>42</v>
      </c>
      <c r="N2" s="225" t="s">
        <v>66</v>
      </c>
      <c r="O2" s="224" t="s">
        <v>62</v>
      </c>
      <c r="P2" s="224" t="s">
        <v>65</v>
      </c>
      <c r="Q2" s="150" t="s">
        <v>36</v>
      </c>
      <c r="R2" s="151" t="s">
        <v>37</v>
      </c>
      <c r="S2" s="152" t="s">
        <v>38</v>
      </c>
      <c r="T2" s="152" t="s">
        <v>39</v>
      </c>
      <c r="U2" s="153" t="s">
        <v>40</v>
      </c>
      <c r="V2" s="152" t="s">
        <v>43</v>
      </c>
      <c r="W2" s="154" t="s">
        <v>42</v>
      </c>
      <c r="X2" s="153" t="s">
        <v>62</v>
      </c>
      <c r="Y2" s="46" t="s">
        <v>36</v>
      </c>
      <c r="Z2" s="47" t="s">
        <v>37</v>
      </c>
      <c r="AA2" s="48" t="s">
        <v>38</v>
      </c>
      <c r="AB2" s="48" t="s">
        <v>39</v>
      </c>
      <c r="AC2" s="143" t="s">
        <v>40</v>
      </c>
      <c r="AD2" s="48" t="s">
        <v>43</v>
      </c>
      <c r="AE2" s="143" t="s">
        <v>42</v>
      </c>
      <c r="AF2" s="144" t="s">
        <v>62</v>
      </c>
      <c r="AG2" s="75" t="s">
        <v>36</v>
      </c>
      <c r="AH2" s="38" t="s">
        <v>37</v>
      </c>
      <c r="AI2" s="39" t="s">
        <v>38</v>
      </c>
      <c r="AJ2" s="39" t="s">
        <v>39</v>
      </c>
      <c r="AK2" s="163" t="s">
        <v>40</v>
      </c>
      <c r="AL2" s="39" t="s">
        <v>43</v>
      </c>
      <c r="AM2" s="164" t="s">
        <v>42</v>
      </c>
      <c r="AN2" s="165" t="s">
        <v>62</v>
      </c>
      <c r="AO2" s="183" t="s">
        <v>51</v>
      </c>
      <c r="AP2" s="184" t="s">
        <v>52</v>
      </c>
      <c r="AQ2" s="185" t="s">
        <v>39</v>
      </c>
      <c r="AR2" s="184" t="s">
        <v>53</v>
      </c>
      <c r="AS2" s="184" t="s">
        <v>43</v>
      </c>
      <c r="AT2" s="190" t="s">
        <v>54</v>
      </c>
      <c r="AU2" s="191" t="s">
        <v>63</v>
      </c>
      <c r="AV2" s="195" t="s">
        <v>51</v>
      </c>
      <c r="AW2" s="196" t="s">
        <v>52</v>
      </c>
      <c r="AX2" s="197" t="s">
        <v>39</v>
      </c>
      <c r="AY2" s="196" t="s">
        <v>53</v>
      </c>
      <c r="AZ2" s="196" t="s">
        <v>43</v>
      </c>
      <c r="BA2" s="203" t="s">
        <v>54</v>
      </c>
      <c r="BB2" s="204"/>
      <c r="BC2" s="53" t="s">
        <v>36</v>
      </c>
      <c r="BD2" s="54" t="s">
        <v>37</v>
      </c>
      <c r="BE2" s="55" t="s">
        <v>38</v>
      </c>
      <c r="BF2" s="55" t="s">
        <v>39</v>
      </c>
      <c r="BG2" s="55" t="s">
        <v>43</v>
      </c>
      <c r="BH2" s="275" t="s">
        <v>42</v>
      </c>
      <c r="BI2" s="236" t="s">
        <v>63</v>
      </c>
      <c r="BJ2" s="60" t="s">
        <v>36</v>
      </c>
      <c r="BK2" s="61" t="s">
        <v>37</v>
      </c>
      <c r="BL2" s="62" t="s">
        <v>38</v>
      </c>
      <c r="BM2" s="62" t="s">
        <v>39</v>
      </c>
      <c r="BN2" s="208" t="s">
        <v>40</v>
      </c>
      <c r="BO2" s="62" t="s">
        <v>43</v>
      </c>
      <c r="BP2" s="214" t="s">
        <v>42</v>
      </c>
      <c r="BQ2" s="213" t="s">
        <v>63</v>
      </c>
      <c r="BR2" s="150" t="s">
        <v>36</v>
      </c>
      <c r="BS2" s="151" t="s">
        <v>37</v>
      </c>
      <c r="BT2" s="152" t="s">
        <v>38</v>
      </c>
      <c r="BU2" s="152" t="s">
        <v>39</v>
      </c>
      <c r="BV2" s="152" t="s">
        <v>43</v>
      </c>
      <c r="BW2" s="154" t="s">
        <v>42</v>
      </c>
      <c r="BX2" s="155" t="s">
        <v>62</v>
      </c>
      <c r="BY2" s="285" t="s">
        <v>36</v>
      </c>
      <c r="BZ2" s="286" t="s">
        <v>37</v>
      </c>
      <c r="CA2" s="287" t="s">
        <v>38</v>
      </c>
      <c r="CB2" s="287" t="s">
        <v>39</v>
      </c>
      <c r="CC2" s="288" t="s">
        <v>40</v>
      </c>
      <c r="CD2" s="287" t="s">
        <v>43</v>
      </c>
      <c r="CE2" s="289" t="s">
        <v>42</v>
      </c>
      <c r="CF2" s="290" t="s">
        <v>63</v>
      </c>
    </row>
    <row r="3" spans="1:84" ht="15.75" thickBot="1">
      <c r="A3" s="176" t="s">
        <v>266</v>
      </c>
      <c r="B3" s="177">
        <v>907.17</v>
      </c>
      <c r="C3" s="840">
        <v>907.17</v>
      </c>
      <c r="D3" s="840">
        <v>18227.46</v>
      </c>
      <c r="E3" s="841">
        <v>18227.46</v>
      </c>
      <c r="F3" s="352"/>
      <c r="G3" s="352"/>
      <c r="H3" s="351"/>
      <c r="I3" s="352"/>
      <c r="J3" s="352"/>
      <c r="K3" s="351"/>
      <c r="L3" s="352"/>
      <c r="M3" s="351"/>
      <c r="N3" s="351"/>
      <c r="O3" s="351"/>
      <c r="P3" s="351"/>
      <c r="Q3" s="156">
        <v>17094</v>
      </c>
      <c r="R3" s="157">
        <v>34930</v>
      </c>
      <c r="S3" s="157">
        <v>52024</v>
      </c>
      <c r="T3" s="158">
        <f t="shared" ref="T3:T66" si="0">Q3+R3-S3</f>
        <v>0</v>
      </c>
      <c r="U3" s="161">
        <f t="shared" ref="U3:U34" si="1">1000*T3/B3</f>
        <v>0</v>
      </c>
      <c r="V3" s="159">
        <f>T3</f>
        <v>0</v>
      </c>
      <c r="W3" s="161">
        <f>1000*V3/C3</f>
        <v>0</v>
      </c>
      <c r="X3" s="162">
        <f>W3</f>
        <v>0</v>
      </c>
      <c r="Y3" s="145">
        <v>547</v>
      </c>
      <c r="Z3" s="146"/>
      <c r="AA3" s="146">
        <v>381</v>
      </c>
      <c r="AB3" s="146">
        <f t="shared" ref="AB3:AB66" si="2">Y3+Z3-AA3</f>
        <v>166</v>
      </c>
      <c r="AC3" s="147">
        <f t="shared" ref="AC3:AC34" si="3">AB3/B3</f>
        <v>0.18298665079312587</v>
      </c>
      <c r="AD3" s="146">
        <f>AB3</f>
        <v>166</v>
      </c>
      <c r="AE3" s="147">
        <f t="shared" ref="AE3:AE66" si="4">AD3/C3</f>
        <v>0.18298665079312587</v>
      </c>
      <c r="AF3" s="148">
        <f>AE3</f>
        <v>0.18298665079312587</v>
      </c>
      <c r="AG3" s="166">
        <v>1185</v>
      </c>
      <c r="AH3" s="167"/>
      <c r="AI3" s="167">
        <v>1185</v>
      </c>
      <c r="AJ3" s="167">
        <f t="shared" ref="AJ3:AJ6" si="5">AG3+AH3-AI3</f>
        <v>0</v>
      </c>
      <c r="AK3" s="168">
        <f t="shared" ref="AK3:AK34" si="6">AJ3*1000/B3</f>
        <v>0</v>
      </c>
      <c r="AL3" s="167">
        <f>AJ3</f>
        <v>0</v>
      </c>
      <c r="AM3" s="168">
        <f>AL3*1000/C3</f>
        <v>0</v>
      </c>
      <c r="AN3" s="353">
        <f>AM3</f>
        <v>0</v>
      </c>
      <c r="AO3" s="186">
        <v>15.1</v>
      </c>
      <c r="AP3" s="187">
        <v>24</v>
      </c>
      <c r="AQ3" s="307">
        <f>AO3*AP3*0.49705</f>
        <v>180.13091999999997</v>
      </c>
      <c r="AR3" s="307">
        <f t="shared" ref="AR3:AR41" si="7">AQ3*1000/D3</f>
        <v>9.882392829280656</v>
      </c>
      <c r="AS3" s="308">
        <f>AQ3</f>
        <v>180.13091999999997</v>
      </c>
      <c r="AT3" s="189">
        <f t="shared" ref="AT3:AT66" si="8">AS3*1000/E3</f>
        <v>9.882392829280656</v>
      </c>
      <c r="AU3" s="189">
        <f>AT3</f>
        <v>9.882392829280656</v>
      </c>
      <c r="AV3" s="201">
        <v>9.8000000000000007</v>
      </c>
      <c r="AW3" s="198">
        <v>12</v>
      </c>
      <c r="AX3" s="284">
        <f>AV3*AW3*0.51673</f>
        <v>60.767448000000009</v>
      </c>
      <c r="AY3" s="284">
        <f t="shared" ref="AY3:AY41" si="9">AX3*1000/D3</f>
        <v>3.333840699691565</v>
      </c>
      <c r="AZ3" s="309">
        <f>AX3</f>
        <v>60.767448000000009</v>
      </c>
      <c r="BA3" s="202">
        <f t="shared" ref="BA3:BA66" si="10">AZ3*1000/E3</f>
        <v>3.333840699691565</v>
      </c>
      <c r="BB3" s="200">
        <f>BA3</f>
        <v>3.333840699691565</v>
      </c>
      <c r="BC3" s="232">
        <v>28132</v>
      </c>
      <c r="BD3" s="233"/>
      <c r="BE3" s="233">
        <v>28132</v>
      </c>
      <c r="BF3" s="234">
        <v>0</v>
      </c>
      <c r="BG3" s="235">
        <f>BF3</f>
        <v>0</v>
      </c>
      <c r="BH3" s="235">
        <f t="shared" ref="BH3:BH66" si="11">BG3*1000/E3</f>
        <v>0</v>
      </c>
      <c r="BI3" s="237">
        <f>BH3</f>
        <v>0</v>
      </c>
      <c r="BJ3" s="209"/>
      <c r="BK3" s="210"/>
      <c r="BL3" s="210"/>
      <c r="BM3" s="210"/>
      <c r="BN3" s="211"/>
      <c r="BO3" s="210"/>
      <c r="BP3" s="211"/>
      <c r="BQ3" s="212"/>
      <c r="BR3" s="156">
        <v>25621</v>
      </c>
      <c r="BS3" s="157"/>
      <c r="BT3" s="157">
        <v>4722</v>
      </c>
      <c r="BU3" s="281">
        <f t="shared" ref="BU3:BU8" si="12">BR3+BS3-BT3</f>
        <v>20899</v>
      </c>
      <c r="BV3" s="159">
        <f>BU3</f>
        <v>20899</v>
      </c>
      <c r="BW3" s="159">
        <f t="shared" ref="BW3:BW66" si="13">BV3*1000/E3</f>
        <v>1146.5667734286621</v>
      </c>
      <c r="BX3" s="354">
        <f>BW3</f>
        <v>1146.5667734286621</v>
      </c>
      <c r="BY3" s="291">
        <v>0</v>
      </c>
      <c r="BZ3" s="292">
        <v>2300</v>
      </c>
      <c r="CA3" s="292">
        <v>710</v>
      </c>
      <c r="CB3" s="292">
        <f t="shared" ref="CB3:CB66" si="14">BY3+BZ3-CA3</f>
        <v>1590</v>
      </c>
      <c r="CC3" s="293">
        <f t="shared" ref="CC3:CC34" si="15">CB3/B3</f>
        <v>1.7527034624160853</v>
      </c>
      <c r="CD3" s="292">
        <f>CB3</f>
        <v>1590</v>
      </c>
      <c r="CE3" s="293">
        <f t="shared" ref="CE3:CE66" si="16">CD3/C3</f>
        <v>1.7527034624160853</v>
      </c>
      <c r="CF3" s="294">
        <f>CE3</f>
        <v>1.7527034624160853</v>
      </c>
    </row>
    <row r="4" spans="1:84">
      <c r="A4" s="30">
        <v>44317</v>
      </c>
      <c r="B4" s="32">
        <v>490.10700000000003</v>
      </c>
      <c r="C4" s="842">
        <f>C3+B4</f>
        <v>1397.277</v>
      </c>
      <c r="D4" s="842">
        <v>5651.12</v>
      </c>
      <c r="E4" s="843">
        <f>E3+D4</f>
        <v>23878.579999999998</v>
      </c>
      <c r="F4" s="240">
        <f>I3</f>
        <v>0</v>
      </c>
      <c r="G4" s="240"/>
      <c r="H4" s="280"/>
      <c r="I4" s="240">
        <v>0</v>
      </c>
      <c r="J4" s="240">
        <f t="shared" ref="J4:J67" si="17">F4+G4-I4</f>
        <v>0</v>
      </c>
      <c r="K4" s="280">
        <f t="shared" ref="K4:K34" si="18">J4*1000/B4</f>
        <v>0</v>
      </c>
      <c r="L4" s="240">
        <f t="shared" ref="L4" si="19">J4</f>
        <v>0</v>
      </c>
      <c r="M4" s="280">
        <f t="shared" ref="M4:M67" si="20">L4*1000/C4</f>
        <v>0</v>
      </c>
      <c r="N4" s="280">
        <f t="shared" ref="N4:N67" si="21">M4/8.167</f>
        <v>0</v>
      </c>
      <c r="O4" s="1052">
        <f>SUM(J4:J34)/SUM(B4:B34)</f>
        <v>24.721566015289753</v>
      </c>
      <c r="P4" s="1083">
        <f>O4/8.167</f>
        <v>3.0270069811791052</v>
      </c>
      <c r="Q4" s="35">
        <f t="shared" ref="Q4:Q67" si="22">S3</f>
        <v>52024</v>
      </c>
      <c r="R4" s="35"/>
      <c r="S4" s="35">
        <v>50000</v>
      </c>
      <c r="T4" s="37">
        <f t="shared" si="0"/>
        <v>2024</v>
      </c>
      <c r="U4" s="36">
        <f t="shared" si="1"/>
        <v>4129.7104509831524</v>
      </c>
      <c r="V4" s="74">
        <f t="shared" ref="V4:V67" si="23">V3+T4</f>
        <v>2024</v>
      </c>
      <c r="W4" s="36">
        <f t="shared" ref="W4:W67" si="24">V4/C4</f>
        <v>1.448531679831558</v>
      </c>
      <c r="X4" s="1136">
        <f>SUM(T3:T34)/SUM(B4:B34)</f>
        <v>1.6813681353259622</v>
      </c>
      <c r="Y4" s="121">
        <f>AA3</f>
        <v>381</v>
      </c>
      <c r="Z4" s="122">
        <v>900</v>
      </c>
      <c r="AA4" s="122">
        <v>1180</v>
      </c>
      <c r="AB4" s="122">
        <f t="shared" si="2"/>
        <v>101</v>
      </c>
      <c r="AC4" s="123">
        <f t="shared" si="3"/>
        <v>0.20607744839392214</v>
      </c>
      <c r="AD4" s="122">
        <f t="shared" ref="AD4:AD67" si="25">AD3+AB4</f>
        <v>267</v>
      </c>
      <c r="AE4" s="123">
        <f t="shared" si="4"/>
        <v>0.19108594788291799</v>
      </c>
      <c r="AF4" s="1046">
        <f>SUM(AB3:AB34)/SUM(B4:B34)</f>
        <v>0.14228338525368386</v>
      </c>
      <c r="AG4" s="40">
        <f>AI3</f>
        <v>1185</v>
      </c>
      <c r="AH4" s="41"/>
      <c r="AI4" s="41">
        <v>1145</v>
      </c>
      <c r="AJ4" s="41">
        <f t="shared" si="5"/>
        <v>40</v>
      </c>
      <c r="AK4" s="42">
        <f t="shared" si="6"/>
        <v>81.61483104709788</v>
      </c>
      <c r="AL4" s="41">
        <f>AL3+AJ4</f>
        <v>40</v>
      </c>
      <c r="AM4" s="42">
        <f t="shared" ref="AM4:AM67" si="26">AL4/C4</f>
        <v>2.8627108297066363E-2</v>
      </c>
      <c r="AN4" s="1057">
        <f>SUM(AJ4:AJ34)/SUM(B4:B34)</f>
        <v>7.0177526415055105E-2</v>
      </c>
      <c r="AO4" s="67">
        <v>4.9000000000000004</v>
      </c>
      <c r="AP4" s="67">
        <v>24</v>
      </c>
      <c r="AQ4" s="68">
        <f>AO4*AP4*0.49705</f>
        <v>58.45308</v>
      </c>
      <c r="AR4" s="68">
        <f t="shared" si="7"/>
        <v>10.343627457919846</v>
      </c>
      <c r="AS4" s="69">
        <f>AS3+AQ4</f>
        <v>238.58399999999997</v>
      </c>
      <c r="AT4" s="140">
        <f t="shared" si="8"/>
        <v>9.9915489111999118</v>
      </c>
      <c r="AU4" s="1064">
        <f>1000*SUM(AQ4:AQ34)/SUM(D4:D34)</f>
        <v>9.3756976203340923</v>
      </c>
      <c r="AV4" s="72">
        <v>4</v>
      </c>
      <c r="AW4" s="71">
        <v>12</v>
      </c>
      <c r="AX4" s="72">
        <f>AV4*AW4*0.51673</f>
        <v>24.803040000000003</v>
      </c>
      <c r="AY4" s="72">
        <f t="shared" si="9"/>
        <v>4.389048542589788</v>
      </c>
      <c r="AZ4" s="73">
        <f>AZ3+AX4</f>
        <v>85.570488000000012</v>
      </c>
      <c r="BA4" s="192">
        <f t="shared" si="10"/>
        <v>3.5835668620160837</v>
      </c>
      <c r="BB4" s="1075">
        <f>1000*SUM(AX4:AX34)/SUM(D4:D34)</f>
        <v>3.2775587283728789</v>
      </c>
      <c r="BC4" s="56">
        <f>BE3</f>
        <v>28132</v>
      </c>
      <c r="BD4" s="56"/>
      <c r="BE4" s="56">
        <v>28132</v>
      </c>
      <c r="BF4" s="57">
        <v>0</v>
      </c>
      <c r="BG4" s="58">
        <f t="shared" ref="BG4:BG67" si="27">BG3+BF4</f>
        <v>0</v>
      </c>
      <c r="BH4" s="58">
        <f t="shared" si="11"/>
        <v>0</v>
      </c>
      <c r="BI4" s="1132">
        <f>1000*SUM(BF4:BF34)/SUM(D4:D34)</f>
        <v>141.07325683470614</v>
      </c>
      <c r="BJ4" s="63">
        <f>BL3</f>
        <v>0</v>
      </c>
      <c r="BK4" s="64">
        <v>3960</v>
      </c>
      <c r="BL4" s="64">
        <v>3960</v>
      </c>
      <c r="BM4" s="64">
        <f t="shared" ref="BM4:BM67" si="28">BJ4+BK4-BL4</f>
        <v>0</v>
      </c>
      <c r="BN4" s="65">
        <f t="shared" ref="BN4:BN34" si="29">BM4/B4</f>
        <v>0</v>
      </c>
      <c r="BO4" s="64">
        <f t="shared" ref="BO4:BO67" si="30">BO3+BM4</f>
        <v>0</v>
      </c>
      <c r="BP4" s="65">
        <f t="shared" ref="BP4:BP67" si="31">BO4/C4</f>
        <v>0</v>
      </c>
      <c r="BQ4" s="1071">
        <f>SUM(BM4:BM34)/SUM(B4:B34)</f>
        <v>0.30715580746923044</v>
      </c>
      <c r="BR4" s="117">
        <f>BT3</f>
        <v>4722</v>
      </c>
      <c r="BS4" s="118">
        <v>36400</v>
      </c>
      <c r="BT4" s="118">
        <v>37000</v>
      </c>
      <c r="BU4" s="149">
        <f t="shared" si="12"/>
        <v>4122</v>
      </c>
      <c r="BV4" s="120">
        <f t="shared" ref="BV4:BV8" si="32">BV3+BU4</f>
        <v>25021</v>
      </c>
      <c r="BW4" s="120">
        <f t="shared" si="13"/>
        <v>1047.8428784291193</v>
      </c>
      <c r="BX4" s="1063">
        <f>1000*SUM(BU4:BU34)/SUM(D4:D34)</f>
        <v>539.13917255026638</v>
      </c>
      <c r="BY4" s="295">
        <f>CA3</f>
        <v>710</v>
      </c>
      <c r="BZ4" s="296"/>
      <c r="CA4" s="296">
        <v>710</v>
      </c>
      <c r="CB4" s="296">
        <f t="shared" si="14"/>
        <v>0</v>
      </c>
      <c r="CC4" s="297">
        <f t="shared" si="15"/>
        <v>0</v>
      </c>
      <c r="CD4" s="296">
        <f>CD3+CB4</f>
        <v>1590</v>
      </c>
      <c r="CE4" s="297">
        <f t="shared" si="16"/>
        <v>1.137927554808388</v>
      </c>
      <c r="CF4" s="1061">
        <f>SUM(CB4:CB34)/SUM(B4:B34)</f>
        <v>0.19352193250864069</v>
      </c>
    </row>
    <row r="5" spans="1:84">
      <c r="A5" s="30">
        <v>44318</v>
      </c>
      <c r="B5" s="32">
        <v>456.15699999999998</v>
      </c>
      <c r="C5" s="842">
        <f>C4+B5</f>
        <v>1853.434</v>
      </c>
      <c r="D5" s="842">
        <v>5457.6</v>
      </c>
      <c r="E5" s="843">
        <f>E4+D5</f>
        <v>29336.18</v>
      </c>
      <c r="F5" s="240">
        <f t="shared" ref="F5:F34" si="33">I4</f>
        <v>0</v>
      </c>
      <c r="G5" s="240"/>
      <c r="H5" s="280"/>
      <c r="I5" s="240">
        <v>0</v>
      </c>
      <c r="J5" s="240">
        <f t="shared" si="17"/>
        <v>0</v>
      </c>
      <c r="K5" s="280">
        <f t="shared" si="18"/>
        <v>0</v>
      </c>
      <c r="L5" s="240">
        <f>L3+J5</f>
        <v>0</v>
      </c>
      <c r="M5" s="280">
        <f t="shared" si="20"/>
        <v>0</v>
      </c>
      <c r="N5" s="280">
        <f t="shared" si="21"/>
        <v>0</v>
      </c>
      <c r="O5" s="1089"/>
      <c r="P5" s="1084"/>
      <c r="Q5" s="35">
        <f t="shared" si="22"/>
        <v>50000</v>
      </c>
      <c r="R5" s="35"/>
      <c r="S5" s="35">
        <v>48000</v>
      </c>
      <c r="T5" s="37">
        <f t="shared" si="0"/>
        <v>2000</v>
      </c>
      <c r="U5" s="36">
        <f t="shared" si="1"/>
        <v>4384.4553519950368</v>
      </c>
      <c r="V5" s="74">
        <f t="shared" si="23"/>
        <v>4024</v>
      </c>
      <c r="W5" s="36">
        <f t="shared" si="24"/>
        <v>2.1711050946513337</v>
      </c>
      <c r="X5" s="1136"/>
      <c r="Y5" s="49">
        <f>AA4</f>
        <v>1180</v>
      </c>
      <c r="Z5" s="50"/>
      <c r="AA5" s="50">
        <v>1080</v>
      </c>
      <c r="AB5" s="50">
        <f t="shared" si="2"/>
        <v>100</v>
      </c>
      <c r="AC5" s="51">
        <f t="shared" si="3"/>
        <v>0.21922276759975184</v>
      </c>
      <c r="AD5" s="50">
        <f t="shared" si="25"/>
        <v>367</v>
      </c>
      <c r="AE5" s="51">
        <f t="shared" si="4"/>
        <v>0.19801082746944321</v>
      </c>
      <c r="AF5" s="1047"/>
      <c r="AG5" s="40">
        <f>AI4</f>
        <v>1145</v>
      </c>
      <c r="AH5" s="41"/>
      <c r="AI5" s="41">
        <v>1100</v>
      </c>
      <c r="AJ5" s="41">
        <f t="shared" si="5"/>
        <v>45</v>
      </c>
      <c r="AK5" s="42">
        <f t="shared" si="6"/>
        <v>98.650245419888336</v>
      </c>
      <c r="AL5" s="41">
        <f>AL4+AJ5</f>
        <v>85</v>
      </c>
      <c r="AM5" s="42">
        <f t="shared" si="26"/>
        <v>4.5860818351233443E-2</v>
      </c>
      <c r="AN5" s="1058"/>
      <c r="AO5" s="67">
        <v>4.4000000000000004</v>
      </c>
      <c r="AP5" s="67">
        <v>24</v>
      </c>
      <c r="AQ5" s="68">
        <f t="shared" ref="AQ5:AQ68" si="34">AO5*AP5*0.49705</f>
        <v>52.488480000000003</v>
      </c>
      <c r="AR5" s="68">
        <f t="shared" si="7"/>
        <v>9.6175021987686886</v>
      </c>
      <c r="AS5" s="69">
        <f>AS4+AQ5</f>
        <v>291.07247999999998</v>
      </c>
      <c r="AT5" s="140">
        <f t="shared" si="8"/>
        <v>9.9219625731775576</v>
      </c>
      <c r="AU5" s="1073"/>
      <c r="AV5" s="71">
        <v>3.7</v>
      </c>
      <c r="AW5" s="71">
        <v>12</v>
      </c>
      <c r="AX5" s="72">
        <f t="shared" ref="AX5:AX68" si="35">AV5*AW5*0.51673</f>
        <v>22.942812000000004</v>
      </c>
      <c r="AY5" s="72">
        <f t="shared" si="9"/>
        <v>4.2038280562884793</v>
      </c>
      <c r="AZ5" s="73">
        <f>AZ4+AX5</f>
        <v>108.51330000000002</v>
      </c>
      <c r="BA5" s="192">
        <f t="shared" si="10"/>
        <v>3.6989580783864846</v>
      </c>
      <c r="BB5" s="1075"/>
      <c r="BC5" s="56">
        <f t="shared" ref="BC5:BC6" si="36">BE4</f>
        <v>28132</v>
      </c>
      <c r="BD5" s="56"/>
      <c r="BE5" s="56">
        <v>28132</v>
      </c>
      <c r="BF5" s="57">
        <f t="shared" ref="BF5:BF68" si="37">BC5-BE5+BD5</f>
        <v>0</v>
      </c>
      <c r="BG5" s="58">
        <f t="shared" si="27"/>
        <v>0</v>
      </c>
      <c r="BH5" s="58">
        <f t="shared" si="11"/>
        <v>0</v>
      </c>
      <c r="BI5" s="1133"/>
      <c r="BJ5" s="63">
        <f>BL4</f>
        <v>3960</v>
      </c>
      <c r="BK5" s="64"/>
      <c r="BL5" s="64">
        <v>3960</v>
      </c>
      <c r="BM5" s="64">
        <f t="shared" si="28"/>
        <v>0</v>
      </c>
      <c r="BN5" s="65">
        <f t="shared" si="29"/>
        <v>0</v>
      </c>
      <c r="BO5" s="64">
        <f t="shared" si="30"/>
        <v>0</v>
      </c>
      <c r="BP5" s="65">
        <f t="shared" si="31"/>
        <v>0</v>
      </c>
      <c r="BQ5" s="1071"/>
      <c r="BR5" s="77">
        <f t="shared" ref="BR5:BR6" si="38">BT4</f>
        <v>37000</v>
      </c>
      <c r="BS5" s="35"/>
      <c r="BT5" s="35">
        <v>32099</v>
      </c>
      <c r="BU5" s="74">
        <f t="shared" si="12"/>
        <v>4901</v>
      </c>
      <c r="BV5" s="74">
        <f t="shared" si="32"/>
        <v>29922</v>
      </c>
      <c r="BW5" s="74">
        <f t="shared" si="13"/>
        <v>1019.9691984436964</v>
      </c>
      <c r="BX5" s="1098"/>
      <c r="BY5" s="295">
        <f>CA4</f>
        <v>710</v>
      </c>
      <c r="BZ5" s="296"/>
      <c r="CA5" s="296">
        <v>710</v>
      </c>
      <c r="CB5" s="296">
        <f t="shared" si="14"/>
        <v>0</v>
      </c>
      <c r="CC5" s="297">
        <f t="shared" si="15"/>
        <v>0</v>
      </c>
      <c r="CD5" s="296">
        <f>CD4+CB5</f>
        <v>1590</v>
      </c>
      <c r="CE5" s="297">
        <f t="shared" si="16"/>
        <v>0.85786707268777851</v>
      </c>
      <c r="CF5" s="1061"/>
    </row>
    <row r="6" spans="1:84">
      <c r="A6" s="30">
        <v>44319</v>
      </c>
      <c r="B6" s="32">
        <v>390.399</v>
      </c>
      <c r="C6" s="842">
        <f t="shared" ref="C6:C69" si="39">C5+B6</f>
        <v>2243.8330000000001</v>
      </c>
      <c r="D6" s="842">
        <v>5666.88</v>
      </c>
      <c r="E6" s="843">
        <f t="shared" ref="E6:E69" si="40">E5+D6</f>
        <v>35003.06</v>
      </c>
      <c r="F6" s="240">
        <f t="shared" si="33"/>
        <v>0</v>
      </c>
      <c r="G6" s="240"/>
      <c r="H6" s="280"/>
      <c r="I6" s="240">
        <v>0</v>
      </c>
      <c r="J6" s="240">
        <f t="shared" si="17"/>
        <v>0</v>
      </c>
      <c r="K6" s="280">
        <f t="shared" si="18"/>
        <v>0</v>
      </c>
      <c r="L6" s="240">
        <f>L5+J6</f>
        <v>0</v>
      </c>
      <c r="M6" s="280">
        <f t="shared" si="20"/>
        <v>0</v>
      </c>
      <c r="N6" s="280">
        <f t="shared" si="21"/>
        <v>0</v>
      </c>
      <c r="O6" s="1089"/>
      <c r="P6" s="1084"/>
      <c r="Q6" s="35">
        <f t="shared" si="22"/>
        <v>48000</v>
      </c>
      <c r="R6" s="35"/>
      <c r="S6" s="35">
        <v>45000</v>
      </c>
      <c r="T6" s="37">
        <f t="shared" si="0"/>
        <v>3000</v>
      </c>
      <c r="U6" s="36">
        <f t="shared" si="1"/>
        <v>7684.4459130274408</v>
      </c>
      <c r="V6" s="74">
        <f t="shared" si="23"/>
        <v>7024</v>
      </c>
      <c r="W6" s="36">
        <f t="shared" si="24"/>
        <v>3.1303577405270357</v>
      </c>
      <c r="X6" s="1136"/>
      <c r="Y6" s="49">
        <f t="shared" ref="Y6:Y34" si="41">AA5</f>
        <v>1080</v>
      </c>
      <c r="Z6" s="50"/>
      <c r="AA6" s="50">
        <v>990</v>
      </c>
      <c r="AB6" s="50">
        <f t="shared" si="2"/>
        <v>90</v>
      </c>
      <c r="AC6" s="51">
        <f t="shared" si="3"/>
        <v>0.23053337739082325</v>
      </c>
      <c r="AD6" s="50">
        <f t="shared" si="25"/>
        <v>457</v>
      </c>
      <c r="AE6" s="51">
        <f t="shared" si="4"/>
        <v>0.20366934615900559</v>
      </c>
      <c r="AF6" s="1047"/>
      <c r="AG6" s="40">
        <f t="shared" ref="AG6:AG34" si="42">AI5</f>
        <v>1100</v>
      </c>
      <c r="AH6" s="41"/>
      <c r="AI6" s="41">
        <v>1045</v>
      </c>
      <c r="AJ6" s="41">
        <f t="shared" si="5"/>
        <v>55</v>
      </c>
      <c r="AK6" s="42">
        <f t="shared" si="6"/>
        <v>140.8815084055031</v>
      </c>
      <c r="AL6" s="41">
        <f t="shared" ref="AL6:AL69" si="43">AL5+AJ6</f>
        <v>140</v>
      </c>
      <c r="AM6" s="42">
        <f t="shared" si="26"/>
        <v>6.2393235147178955E-2</v>
      </c>
      <c r="AN6" s="1058"/>
      <c r="AO6" s="67">
        <v>5.3</v>
      </c>
      <c r="AP6" s="67">
        <v>24</v>
      </c>
      <c r="AQ6" s="68">
        <f t="shared" si="34"/>
        <v>63.224759999999996</v>
      </c>
      <c r="AR6" s="68">
        <f t="shared" si="7"/>
        <v>11.156890564119937</v>
      </c>
      <c r="AS6" s="69">
        <f t="shared" ref="AS6:AS69" si="44">AS5+AQ6</f>
        <v>354.29723999999999</v>
      </c>
      <c r="AT6" s="140">
        <f t="shared" si="8"/>
        <v>10.121893343039153</v>
      </c>
      <c r="AU6" s="1073"/>
      <c r="AV6" s="71">
        <v>4.0999999999999996</v>
      </c>
      <c r="AW6" s="71">
        <v>12</v>
      </c>
      <c r="AX6" s="72">
        <f t="shared" si="35"/>
        <v>25.423116</v>
      </c>
      <c r="AY6" s="72">
        <f t="shared" si="9"/>
        <v>4.4862633406742338</v>
      </c>
      <c r="AZ6" s="73">
        <f t="shared" ref="AZ6:AZ69" si="45">AZ5+AX6</f>
        <v>133.93641600000001</v>
      </c>
      <c r="BA6" s="192">
        <f t="shared" si="10"/>
        <v>3.8264202044049864</v>
      </c>
      <c r="BB6" s="1075"/>
      <c r="BC6" s="56">
        <f t="shared" si="36"/>
        <v>28132</v>
      </c>
      <c r="BD6" s="56"/>
      <c r="BE6" s="56">
        <v>22035</v>
      </c>
      <c r="BF6" s="57">
        <f t="shared" si="37"/>
        <v>6097</v>
      </c>
      <c r="BG6" s="58">
        <f t="shared" si="27"/>
        <v>6097</v>
      </c>
      <c r="BH6" s="58">
        <f t="shared" si="11"/>
        <v>174.18477127428289</v>
      </c>
      <c r="BI6" s="1133"/>
      <c r="BJ6" s="63">
        <f t="shared" ref="BJ6" si="46">BL5</f>
        <v>3960</v>
      </c>
      <c r="BK6" s="64"/>
      <c r="BL6" s="64">
        <v>3960</v>
      </c>
      <c r="BM6" s="64">
        <f t="shared" si="28"/>
        <v>0</v>
      </c>
      <c r="BN6" s="65">
        <f t="shared" si="29"/>
        <v>0</v>
      </c>
      <c r="BO6" s="64">
        <f t="shared" si="30"/>
        <v>0</v>
      </c>
      <c r="BP6" s="65">
        <f t="shared" si="31"/>
        <v>0</v>
      </c>
      <c r="BQ6" s="1071"/>
      <c r="BR6" s="77">
        <f t="shared" si="38"/>
        <v>32099</v>
      </c>
      <c r="BS6" s="35"/>
      <c r="BT6" s="35">
        <v>26553</v>
      </c>
      <c r="BU6" s="74">
        <f t="shared" si="12"/>
        <v>5546</v>
      </c>
      <c r="BV6" s="74">
        <f t="shared" si="32"/>
        <v>35468</v>
      </c>
      <c r="BW6" s="74">
        <f t="shared" si="13"/>
        <v>1013.282838700388</v>
      </c>
      <c r="BX6" s="1098"/>
      <c r="BY6" s="295">
        <f t="shared" ref="BY6" si="47">CA5</f>
        <v>710</v>
      </c>
      <c r="BZ6" s="296"/>
      <c r="CA6" s="296">
        <v>710</v>
      </c>
      <c r="CB6" s="296">
        <f t="shared" si="14"/>
        <v>0</v>
      </c>
      <c r="CC6" s="297">
        <f t="shared" si="15"/>
        <v>0</v>
      </c>
      <c r="CD6" s="296">
        <f t="shared" ref="CD6:CD69" si="48">CD5+CB6</f>
        <v>1590</v>
      </c>
      <c r="CE6" s="297">
        <f t="shared" si="16"/>
        <v>0.70860888488581808</v>
      </c>
      <c r="CF6" s="1061"/>
    </row>
    <row r="7" spans="1:84">
      <c r="A7" s="30">
        <v>44320</v>
      </c>
      <c r="B7" s="32">
        <v>392.75299999999999</v>
      </c>
      <c r="C7" s="842">
        <f t="shared" si="39"/>
        <v>2636.5860000000002</v>
      </c>
      <c r="D7" s="842">
        <v>5408.7</v>
      </c>
      <c r="E7" s="843">
        <f t="shared" si="40"/>
        <v>40411.759999999995</v>
      </c>
      <c r="F7" s="240">
        <f t="shared" si="33"/>
        <v>0</v>
      </c>
      <c r="G7" s="240">
        <v>32500</v>
      </c>
      <c r="H7" s="280">
        <v>12.57</v>
      </c>
      <c r="I7" s="240">
        <v>0</v>
      </c>
      <c r="J7" s="240">
        <f t="shared" si="17"/>
        <v>32500</v>
      </c>
      <c r="K7" s="280">
        <f t="shared" si="18"/>
        <v>82749.208790257486</v>
      </c>
      <c r="L7" s="240">
        <f t="shared" ref="L7:L70" si="49">L6+J7</f>
        <v>32500</v>
      </c>
      <c r="M7" s="280">
        <f t="shared" si="20"/>
        <v>12326.546526455044</v>
      </c>
      <c r="N7" s="280">
        <f t="shared" si="21"/>
        <v>1509.3114395071684</v>
      </c>
      <c r="O7" s="1089"/>
      <c r="P7" s="1084"/>
      <c r="Q7" s="35">
        <f t="shared" si="22"/>
        <v>45000</v>
      </c>
      <c r="R7" s="35"/>
      <c r="S7" s="35">
        <v>43000</v>
      </c>
      <c r="T7" s="37">
        <f t="shared" si="0"/>
        <v>2000</v>
      </c>
      <c r="U7" s="36">
        <f t="shared" si="1"/>
        <v>5092.2590024773845</v>
      </c>
      <c r="V7" s="74">
        <f t="shared" si="23"/>
        <v>9024</v>
      </c>
      <c r="W7" s="36">
        <f t="shared" si="24"/>
        <v>3.4226078724532405</v>
      </c>
      <c r="X7" s="1136"/>
      <c r="Y7" s="49">
        <f t="shared" si="41"/>
        <v>990</v>
      </c>
      <c r="Z7" s="50"/>
      <c r="AA7" s="50">
        <v>900</v>
      </c>
      <c r="AB7" s="50">
        <f t="shared" si="2"/>
        <v>90</v>
      </c>
      <c r="AC7" s="51">
        <f t="shared" si="3"/>
        <v>0.22915165511148228</v>
      </c>
      <c r="AD7" s="50">
        <f t="shared" si="25"/>
        <v>547</v>
      </c>
      <c r="AE7" s="51">
        <f t="shared" si="4"/>
        <v>0.2074652599991049</v>
      </c>
      <c r="AF7" s="1047"/>
      <c r="AG7" s="40">
        <f t="shared" si="42"/>
        <v>1045</v>
      </c>
      <c r="AH7" s="41"/>
      <c r="AI7" s="41">
        <v>980</v>
      </c>
      <c r="AJ7" s="41">
        <f>AG7+AH7-AI7</f>
        <v>65</v>
      </c>
      <c r="AK7" s="42">
        <f t="shared" si="6"/>
        <v>165.498417580515</v>
      </c>
      <c r="AL7" s="41">
        <f t="shared" si="43"/>
        <v>205</v>
      </c>
      <c r="AM7" s="42">
        <f t="shared" si="26"/>
        <v>7.7752062705331818E-2</v>
      </c>
      <c r="AN7" s="1058"/>
      <c r="AO7" s="67">
        <v>4.9000000000000004</v>
      </c>
      <c r="AP7" s="67">
        <v>24</v>
      </c>
      <c r="AQ7" s="68">
        <f t="shared" si="34"/>
        <v>58.45308</v>
      </c>
      <c r="AR7" s="68">
        <f t="shared" si="7"/>
        <v>10.807232791613512</v>
      </c>
      <c r="AS7" s="69">
        <f t="shared" si="44"/>
        <v>412.75031999999999</v>
      </c>
      <c r="AT7" s="140">
        <f t="shared" si="8"/>
        <v>10.213619005952724</v>
      </c>
      <c r="AU7" s="1073"/>
      <c r="AV7" s="71">
        <v>3.9</v>
      </c>
      <c r="AW7" s="71">
        <v>12</v>
      </c>
      <c r="AX7" s="72">
        <f t="shared" si="35"/>
        <v>24.182963999999998</v>
      </c>
      <c r="AY7" s="72">
        <f t="shared" si="9"/>
        <v>4.471123190415442</v>
      </c>
      <c r="AZ7" s="73">
        <f t="shared" si="45"/>
        <v>158.11938000000001</v>
      </c>
      <c r="BA7" s="192">
        <f t="shared" si="10"/>
        <v>3.9127070931827772</v>
      </c>
      <c r="BB7" s="1075"/>
      <c r="BC7" s="56">
        <f>BE6</f>
        <v>22035</v>
      </c>
      <c r="BD7" s="56"/>
      <c r="BE7" s="56">
        <v>22035</v>
      </c>
      <c r="BF7" s="57">
        <f t="shared" si="37"/>
        <v>0</v>
      </c>
      <c r="BG7" s="58">
        <f t="shared" si="27"/>
        <v>6097</v>
      </c>
      <c r="BH7" s="58">
        <f t="shared" si="11"/>
        <v>150.87192441012223</v>
      </c>
      <c r="BI7" s="1133"/>
      <c r="BJ7" s="63">
        <f>BL6</f>
        <v>3960</v>
      </c>
      <c r="BK7" s="64"/>
      <c r="BL7" s="64">
        <v>3400</v>
      </c>
      <c r="BM7" s="64">
        <f t="shared" si="28"/>
        <v>560</v>
      </c>
      <c r="BN7" s="65">
        <f t="shared" si="29"/>
        <v>1.4258325206936675</v>
      </c>
      <c r="BO7" s="64">
        <f t="shared" si="30"/>
        <v>560</v>
      </c>
      <c r="BP7" s="65">
        <f t="shared" si="31"/>
        <v>0.21239587860968689</v>
      </c>
      <c r="BQ7" s="1071"/>
      <c r="BR7" s="77">
        <f>BT6</f>
        <v>26553</v>
      </c>
      <c r="BS7" s="35"/>
      <c r="BT7" s="35">
        <v>22857</v>
      </c>
      <c r="BU7" s="74">
        <f t="shared" si="12"/>
        <v>3696</v>
      </c>
      <c r="BV7" s="74">
        <f t="shared" si="32"/>
        <v>39164</v>
      </c>
      <c r="BW7" s="74">
        <f t="shared" si="13"/>
        <v>969.12383919928266</v>
      </c>
      <c r="BX7" s="1098"/>
      <c r="BY7" s="295">
        <f>CA6</f>
        <v>710</v>
      </c>
      <c r="BZ7" s="296"/>
      <c r="CA7" s="296">
        <v>710</v>
      </c>
      <c r="CB7" s="296">
        <f t="shared" si="14"/>
        <v>0</v>
      </c>
      <c r="CC7" s="297">
        <f t="shared" si="15"/>
        <v>0</v>
      </c>
      <c r="CD7" s="296">
        <f t="shared" si="48"/>
        <v>1590</v>
      </c>
      <c r="CE7" s="297">
        <f t="shared" si="16"/>
        <v>0.60305258390964678</v>
      </c>
      <c r="CF7" s="1061"/>
    </row>
    <row r="8" spans="1:84">
      <c r="A8" s="30">
        <v>44321</v>
      </c>
      <c r="B8" s="32">
        <v>479.351</v>
      </c>
      <c r="C8" s="842">
        <f t="shared" si="39"/>
        <v>3115.9370000000004</v>
      </c>
      <c r="D8" s="842">
        <v>6061.48</v>
      </c>
      <c r="E8" s="843">
        <f t="shared" si="40"/>
        <v>46473.239999999991</v>
      </c>
      <c r="F8" s="240">
        <f t="shared" si="33"/>
        <v>0</v>
      </c>
      <c r="G8" s="240"/>
      <c r="H8" s="280"/>
      <c r="I8" s="240">
        <v>0</v>
      </c>
      <c r="J8" s="240">
        <f t="shared" si="17"/>
        <v>0</v>
      </c>
      <c r="K8" s="280">
        <f t="shared" si="18"/>
        <v>0</v>
      </c>
      <c r="L8" s="240">
        <f t="shared" si="49"/>
        <v>32500</v>
      </c>
      <c r="M8" s="280">
        <f t="shared" si="20"/>
        <v>10430.249392076925</v>
      </c>
      <c r="N8" s="280">
        <f t="shared" si="21"/>
        <v>1277.1212675495194</v>
      </c>
      <c r="O8" s="1089"/>
      <c r="P8" s="1084"/>
      <c r="Q8" s="35">
        <f t="shared" si="22"/>
        <v>43000</v>
      </c>
      <c r="R8" s="35"/>
      <c r="S8" s="35">
        <v>40649</v>
      </c>
      <c r="T8" s="35">
        <f t="shared" si="0"/>
        <v>2351</v>
      </c>
      <c r="U8" s="36">
        <f t="shared" si="1"/>
        <v>4904.5480243078664</v>
      </c>
      <c r="V8" s="74">
        <f t="shared" si="23"/>
        <v>11375</v>
      </c>
      <c r="W8" s="36">
        <f t="shared" si="24"/>
        <v>3.6505872872269238</v>
      </c>
      <c r="X8" s="1136"/>
      <c r="Y8" s="49">
        <f t="shared" si="41"/>
        <v>900</v>
      </c>
      <c r="Z8" s="50"/>
      <c r="AA8" s="50">
        <f>815+60</f>
        <v>875</v>
      </c>
      <c r="AB8" s="50">
        <f t="shared" si="2"/>
        <v>25</v>
      </c>
      <c r="AC8" s="51">
        <f t="shared" si="3"/>
        <v>5.2153849684260595E-2</v>
      </c>
      <c r="AD8" s="50">
        <f t="shared" si="25"/>
        <v>572</v>
      </c>
      <c r="AE8" s="51">
        <f t="shared" si="4"/>
        <v>0.18357238930055386</v>
      </c>
      <c r="AF8" s="1047"/>
      <c r="AG8" s="40">
        <f t="shared" si="42"/>
        <v>980</v>
      </c>
      <c r="AH8" s="41"/>
      <c r="AI8" s="41">
        <v>925</v>
      </c>
      <c r="AJ8" s="41">
        <f>AG8+AH8-AI8</f>
        <v>55</v>
      </c>
      <c r="AK8" s="42">
        <f t="shared" si="6"/>
        <v>114.7384693053733</v>
      </c>
      <c r="AL8" s="41">
        <f t="shared" si="43"/>
        <v>260</v>
      </c>
      <c r="AM8" s="42">
        <f t="shared" si="26"/>
        <v>8.3441995136615391E-2</v>
      </c>
      <c r="AN8" s="1058"/>
      <c r="AO8" s="311">
        <v>4.5</v>
      </c>
      <c r="AP8" s="67">
        <v>24</v>
      </c>
      <c r="AQ8" s="68">
        <f t="shared" si="34"/>
        <v>53.681399999999996</v>
      </c>
      <c r="AR8" s="68">
        <f t="shared" si="7"/>
        <v>8.8561539426014768</v>
      </c>
      <c r="AS8" s="69">
        <f t="shared" si="44"/>
        <v>466.43171999999998</v>
      </c>
      <c r="AT8" s="140">
        <f t="shared" si="8"/>
        <v>10.036565559018483</v>
      </c>
      <c r="AU8" s="1073"/>
      <c r="AV8" s="71">
        <v>4.3</v>
      </c>
      <c r="AW8" s="71">
        <v>12</v>
      </c>
      <c r="AX8" s="72">
        <f t="shared" si="35"/>
        <v>26.663267999999999</v>
      </c>
      <c r="AY8" s="72">
        <f t="shared" si="9"/>
        <v>4.3988049123316424</v>
      </c>
      <c r="AZ8" s="73">
        <f t="shared" si="45"/>
        <v>184.78264799999999</v>
      </c>
      <c r="BA8" s="192">
        <f t="shared" si="10"/>
        <v>3.9761085734500119</v>
      </c>
      <c r="BB8" s="1075"/>
      <c r="BC8" s="56">
        <f t="shared" ref="BC8:BC34" si="50">BE7</f>
        <v>22035</v>
      </c>
      <c r="BD8" s="56"/>
      <c r="BE8" s="56">
        <v>22035</v>
      </c>
      <c r="BF8" s="57">
        <f t="shared" si="37"/>
        <v>0</v>
      </c>
      <c r="BG8" s="58">
        <f t="shared" si="27"/>
        <v>6097</v>
      </c>
      <c r="BH8" s="58">
        <f t="shared" si="11"/>
        <v>131.19377947395105</v>
      </c>
      <c r="BI8" s="1133"/>
      <c r="BJ8" s="63">
        <f t="shared" ref="BJ8:BJ34" si="51">BL7</f>
        <v>3400</v>
      </c>
      <c r="BK8" s="64"/>
      <c r="BL8" s="64">
        <v>3120</v>
      </c>
      <c r="BM8" s="64">
        <f t="shared" si="28"/>
        <v>280</v>
      </c>
      <c r="BN8" s="65">
        <f t="shared" si="29"/>
        <v>0.58412311646371862</v>
      </c>
      <c r="BO8" s="64">
        <f t="shared" si="30"/>
        <v>840</v>
      </c>
      <c r="BP8" s="65">
        <f t="shared" si="31"/>
        <v>0.26958183044137279</v>
      </c>
      <c r="BQ8" s="1071"/>
      <c r="BR8" s="77">
        <f t="shared" ref="BR8:BR34" si="52">BT7</f>
        <v>22857</v>
      </c>
      <c r="BS8" s="35"/>
      <c r="BT8" s="35">
        <v>19160</v>
      </c>
      <c r="BU8" s="74">
        <f t="shared" si="12"/>
        <v>3697</v>
      </c>
      <c r="BV8" s="74">
        <f t="shared" si="32"/>
        <v>42861</v>
      </c>
      <c r="BW8" s="74">
        <f t="shared" si="13"/>
        <v>922.27268854076044</v>
      </c>
      <c r="BX8" s="1098"/>
      <c r="BY8" s="295">
        <f t="shared" ref="BY8:BY34" si="53">CA7</f>
        <v>710</v>
      </c>
      <c r="BZ8" s="296"/>
      <c r="CA8" s="296">
        <v>710</v>
      </c>
      <c r="CB8" s="296">
        <f t="shared" si="14"/>
        <v>0</v>
      </c>
      <c r="CC8" s="297">
        <f t="shared" si="15"/>
        <v>0</v>
      </c>
      <c r="CD8" s="296">
        <f t="shared" si="48"/>
        <v>1590</v>
      </c>
      <c r="CE8" s="297">
        <f t="shared" si="16"/>
        <v>0.51027989333545565</v>
      </c>
      <c r="CF8" s="1061"/>
    </row>
    <row r="9" spans="1:84">
      <c r="A9" s="30">
        <v>44322</v>
      </c>
      <c r="B9" s="32">
        <v>518.928</v>
      </c>
      <c r="C9" s="842">
        <f t="shared" si="39"/>
        <v>3634.8650000000002</v>
      </c>
      <c r="D9" s="842">
        <v>6029.04</v>
      </c>
      <c r="E9" s="843">
        <f t="shared" si="40"/>
        <v>52502.279999999992</v>
      </c>
      <c r="F9" s="240">
        <f t="shared" si="33"/>
        <v>0</v>
      </c>
      <c r="G9" s="240">
        <v>32700</v>
      </c>
      <c r="H9" s="280">
        <v>8.24</v>
      </c>
      <c r="I9" s="240">
        <v>10000</v>
      </c>
      <c r="J9" s="240">
        <f t="shared" si="17"/>
        <v>22700</v>
      </c>
      <c r="K9" s="280">
        <f t="shared" si="18"/>
        <v>43744.026146209108</v>
      </c>
      <c r="L9" s="240">
        <f t="shared" si="49"/>
        <v>55200</v>
      </c>
      <c r="M9" s="280">
        <f t="shared" si="20"/>
        <v>15186.258636840706</v>
      </c>
      <c r="N9" s="280">
        <f t="shared" si="21"/>
        <v>1859.4659773283588</v>
      </c>
      <c r="O9" s="1089"/>
      <c r="P9" s="1084"/>
      <c r="Q9" s="35">
        <f t="shared" si="22"/>
        <v>40649</v>
      </c>
      <c r="R9" s="35"/>
      <c r="S9" s="35">
        <v>39862</v>
      </c>
      <c r="T9" s="35">
        <f t="shared" si="0"/>
        <v>787</v>
      </c>
      <c r="U9" s="36">
        <f t="shared" si="1"/>
        <v>1516.58804304258</v>
      </c>
      <c r="V9" s="74">
        <f t="shared" si="23"/>
        <v>12162</v>
      </c>
      <c r="W9" s="36">
        <f t="shared" si="24"/>
        <v>3.3459289409647948</v>
      </c>
      <c r="X9" s="1136"/>
      <c r="Y9" s="49">
        <f t="shared" si="41"/>
        <v>875</v>
      </c>
      <c r="Z9" s="52"/>
      <c r="AA9" s="50">
        <f>725+65</f>
        <v>790</v>
      </c>
      <c r="AB9" s="50">
        <f t="shared" si="2"/>
        <v>85</v>
      </c>
      <c r="AC9" s="51">
        <f t="shared" si="3"/>
        <v>0.16379921684703852</v>
      </c>
      <c r="AD9" s="50">
        <f t="shared" si="25"/>
        <v>657</v>
      </c>
      <c r="AE9" s="51">
        <f t="shared" si="4"/>
        <v>0.18074949138413668</v>
      </c>
      <c r="AF9" s="1047"/>
      <c r="AG9" s="40">
        <f t="shared" si="42"/>
        <v>925</v>
      </c>
      <c r="AH9" s="43"/>
      <c r="AI9" s="41">
        <v>885</v>
      </c>
      <c r="AJ9" s="41">
        <f>AG9+AH9-AI9</f>
        <v>40</v>
      </c>
      <c r="AK9" s="42">
        <f t="shared" si="6"/>
        <v>77.081984398606352</v>
      </c>
      <c r="AL9" s="41">
        <f t="shared" si="43"/>
        <v>300</v>
      </c>
      <c r="AM9" s="42">
        <f t="shared" si="26"/>
        <v>8.2534014330656019E-2</v>
      </c>
      <c r="AN9" s="1058"/>
      <c r="AO9" s="67">
        <v>4.5</v>
      </c>
      <c r="AP9" s="67">
        <v>24</v>
      </c>
      <c r="AQ9" s="68">
        <f t="shared" si="34"/>
        <v>53.681399999999996</v>
      </c>
      <c r="AR9" s="68">
        <f t="shared" si="7"/>
        <v>8.903805580988017</v>
      </c>
      <c r="AS9" s="69">
        <f t="shared" si="44"/>
        <v>520.11311999999998</v>
      </c>
      <c r="AT9" s="140">
        <f t="shared" si="8"/>
        <v>9.9064863468786513</v>
      </c>
      <c r="AU9" s="1073"/>
      <c r="AV9" s="71">
        <v>4.3</v>
      </c>
      <c r="AW9" s="71">
        <v>12</v>
      </c>
      <c r="AX9" s="72">
        <f t="shared" si="35"/>
        <v>26.663267999999999</v>
      </c>
      <c r="AY9" s="72">
        <f t="shared" si="9"/>
        <v>4.4224732295688867</v>
      </c>
      <c r="AZ9" s="73">
        <f t="shared" si="45"/>
        <v>211.44591599999998</v>
      </c>
      <c r="BA9" s="192">
        <f t="shared" si="10"/>
        <v>4.0273663543754674</v>
      </c>
      <c r="BB9" s="1075"/>
      <c r="BC9" s="56">
        <f t="shared" si="50"/>
        <v>22035</v>
      </c>
      <c r="BD9" s="56"/>
      <c r="BE9" s="56">
        <v>22035</v>
      </c>
      <c r="BF9" s="57">
        <f t="shared" si="37"/>
        <v>0</v>
      </c>
      <c r="BG9" s="58">
        <f t="shared" si="27"/>
        <v>6097</v>
      </c>
      <c r="BH9" s="58">
        <f t="shared" si="11"/>
        <v>116.12829004759415</v>
      </c>
      <c r="BI9" s="1133"/>
      <c r="BJ9" s="63">
        <f t="shared" si="51"/>
        <v>3120</v>
      </c>
      <c r="BK9" s="66"/>
      <c r="BL9" s="64">
        <v>2940</v>
      </c>
      <c r="BM9" s="64">
        <f t="shared" si="28"/>
        <v>180</v>
      </c>
      <c r="BN9" s="65">
        <f t="shared" si="29"/>
        <v>0.34686892979372863</v>
      </c>
      <c r="BO9" s="64">
        <f t="shared" si="30"/>
        <v>1020</v>
      </c>
      <c r="BP9" s="65">
        <f t="shared" si="31"/>
        <v>0.28061564872423045</v>
      </c>
      <c r="BQ9" s="1071"/>
      <c r="BR9" s="77">
        <f t="shared" si="52"/>
        <v>19160</v>
      </c>
      <c r="BS9" s="35"/>
      <c r="BT9" s="35">
        <v>16388</v>
      </c>
      <c r="BU9" s="74">
        <f>BR9+BS9-BT9</f>
        <v>2772</v>
      </c>
      <c r="BV9" s="74">
        <f>BV8+BU9</f>
        <v>45633</v>
      </c>
      <c r="BW9" s="74">
        <f t="shared" si="13"/>
        <v>869.16225352498986</v>
      </c>
      <c r="BX9" s="1098"/>
      <c r="BY9" s="295">
        <f t="shared" si="53"/>
        <v>710</v>
      </c>
      <c r="BZ9" s="298"/>
      <c r="CA9" s="296">
        <v>710</v>
      </c>
      <c r="CB9" s="296">
        <f t="shared" si="14"/>
        <v>0</v>
      </c>
      <c r="CC9" s="297">
        <f t="shared" si="15"/>
        <v>0</v>
      </c>
      <c r="CD9" s="296">
        <f t="shared" si="48"/>
        <v>1590</v>
      </c>
      <c r="CE9" s="297">
        <f t="shared" si="16"/>
        <v>0.43743027595247691</v>
      </c>
      <c r="CF9" s="1061"/>
    </row>
    <row r="10" spans="1:84">
      <c r="A10" s="30">
        <v>44323</v>
      </c>
      <c r="B10" s="32">
        <v>497.63499999999999</v>
      </c>
      <c r="C10" s="842">
        <f t="shared" si="39"/>
        <v>4132.5</v>
      </c>
      <c r="D10" s="842">
        <v>5937.2</v>
      </c>
      <c r="E10" s="843">
        <f t="shared" si="40"/>
        <v>58439.479999999989</v>
      </c>
      <c r="F10" s="240">
        <f t="shared" si="33"/>
        <v>10000</v>
      </c>
      <c r="G10" s="240">
        <v>28125</v>
      </c>
      <c r="H10" s="280">
        <v>8.17</v>
      </c>
      <c r="I10" s="240">
        <v>18000</v>
      </c>
      <c r="J10" s="240">
        <f t="shared" si="17"/>
        <v>20125</v>
      </c>
      <c r="K10" s="280">
        <f t="shared" si="18"/>
        <v>40441.287288876389</v>
      </c>
      <c r="L10" s="240">
        <f t="shared" si="49"/>
        <v>75325</v>
      </c>
      <c r="M10" s="280">
        <f t="shared" si="20"/>
        <v>18227.46521476104</v>
      </c>
      <c r="N10" s="280">
        <f t="shared" si="21"/>
        <v>2231.8434204433747</v>
      </c>
      <c r="O10" s="1089"/>
      <c r="P10" s="1084"/>
      <c r="Q10" s="35">
        <f t="shared" si="22"/>
        <v>39862</v>
      </c>
      <c r="R10" s="35"/>
      <c r="S10" s="35">
        <v>39862</v>
      </c>
      <c r="T10" s="35">
        <f t="shared" si="0"/>
        <v>0</v>
      </c>
      <c r="U10" s="36">
        <f t="shared" si="1"/>
        <v>0</v>
      </c>
      <c r="V10" s="74">
        <f t="shared" si="23"/>
        <v>12162</v>
      </c>
      <c r="W10" s="36">
        <f t="shared" si="24"/>
        <v>2.9430127041742287</v>
      </c>
      <c r="X10" s="1136"/>
      <c r="Y10" s="49">
        <f t="shared" si="41"/>
        <v>790</v>
      </c>
      <c r="Z10" s="52"/>
      <c r="AA10" s="52">
        <f>671+110</f>
        <v>781</v>
      </c>
      <c r="AB10" s="50">
        <f t="shared" si="2"/>
        <v>9</v>
      </c>
      <c r="AC10" s="51">
        <f t="shared" si="3"/>
        <v>1.8085544626081366E-2</v>
      </c>
      <c r="AD10" s="50">
        <f t="shared" si="25"/>
        <v>666</v>
      </c>
      <c r="AE10" s="51">
        <f t="shared" si="4"/>
        <v>0.16116152450090745</v>
      </c>
      <c r="AF10" s="1047"/>
      <c r="AG10" s="40">
        <f t="shared" si="42"/>
        <v>885</v>
      </c>
      <c r="AH10" s="43"/>
      <c r="AI10" s="43">
        <v>845</v>
      </c>
      <c r="AJ10" s="41">
        <f t="shared" ref="AJ10:AJ73" si="54">AG10+AH10-AI10</f>
        <v>40</v>
      </c>
      <c r="AK10" s="42">
        <f t="shared" si="6"/>
        <v>80.380198338139394</v>
      </c>
      <c r="AL10" s="41">
        <f t="shared" si="43"/>
        <v>340</v>
      </c>
      <c r="AM10" s="42">
        <f t="shared" si="26"/>
        <v>8.22746521476104E-2</v>
      </c>
      <c r="AN10" s="1058"/>
      <c r="AO10" s="355">
        <v>4.4000000000000004</v>
      </c>
      <c r="AP10" s="67">
        <v>24</v>
      </c>
      <c r="AQ10" s="68">
        <f t="shared" si="34"/>
        <v>52.488480000000003</v>
      </c>
      <c r="AR10" s="68">
        <f t="shared" si="7"/>
        <v>8.8406117361719332</v>
      </c>
      <c r="AS10" s="69">
        <f t="shared" si="44"/>
        <v>572.60159999999996</v>
      </c>
      <c r="AT10" s="140">
        <f t="shared" si="8"/>
        <v>9.7981980674708282</v>
      </c>
      <c r="AU10" s="1073"/>
      <c r="AV10" s="356">
        <v>3.1</v>
      </c>
      <c r="AW10" s="71">
        <v>12</v>
      </c>
      <c r="AX10" s="72">
        <f t="shared" si="35"/>
        <v>19.222356000000001</v>
      </c>
      <c r="AY10" s="72">
        <f t="shared" si="9"/>
        <v>3.2376130162366099</v>
      </c>
      <c r="AZ10" s="73">
        <f t="shared" si="45"/>
        <v>230.66827199999997</v>
      </c>
      <c r="BA10" s="192">
        <f t="shared" si="10"/>
        <v>3.9471308095143902</v>
      </c>
      <c r="BB10" s="1075"/>
      <c r="BC10" s="56">
        <f t="shared" si="50"/>
        <v>22035</v>
      </c>
      <c r="BD10" s="56"/>
      <c r="BE10" s="56">
        <v>22035</v>
      </c>
      <c r="BF10" s="57">
        <f t="shared" si="37"/>
        <v>0</v>
      </c>
      <c r="BG10" s="58">
        <f t="shared" si="27"/>
        <v>6097</v>
      </c>
      <c r="BH10" s="58">
        <f t="shared" si="11"/>
        <v>104.33015488844187</v>
      </c>
      <c r="BI10" s="1133"/>
      <c r="BJ10" s="63">
        <f t="shared" si="51"/>
        <v>2940</v>
      </c>
      <c r="BK10" s="66"/>
      <c r="BL10" s="64">
        <v>2760</v>
      </c>
      <c r="BM10" s="64">
        <f t="shared" si="28"/>
        <v>180</v>
      </c>
      <c r="BN10" s="65">
        <f t="shared" si="29"/>
        <v>0.3617108925216273</v>
      </c>
      <c r="BO10" s="64">
        <f t="shared" si="30"/>
        <v>1200</v>
      </c>
      <c r="BP10" s="65">
        <f t="shared" si="31"/>
        <v>0.29038112522686027</v>
      </c>
      <c r="BQ10" s="1071"/>
      <c r="BR10" s="77">
        <f t="shared" si="52"/>
        <v>16388</v>
      </c>
      <c r="BS10" s="35"/>
      <c r="BT10" s="35">
        <v>14539</v>
      </c>
      <c r="BU10" s="74">
        <f t="shared" ref="BU10:BU73" si="55">BR10+BS10-BT10</f>
        <v>1849</v>
      </c>
      <c r="BV10" s="74">
        <f t="shared" ref="BV10:BV73" si="56">BV9+BU10</f>
        <v>47482</v>
      </c>
      <c r="BW10" s="74">
        <f t="shared" si="13"/>
        <v>812.49867384172501</v>
      </c>
      <c r="BX10" s="1098"/>
      <c r="BY10" s="295">
        <f t="shared" si="53"/>
        <v>710</v>
      </c>
      <c r="BZ10" s="298"/>
      <c r="CA10" s="296">
        <v>710</v>
      </c>
      <c r="CB10" s="296">
        <f t="shared" si="14"/>
        <v>0</v>
      </c>
      <c r="CC10" s="297">
        <f t="shared" si="15"/>
        <v>0</v>
      </c>
      <c r="CD10" s="296">
        <f t="shared" si="48"/>
        <v>1590</v>
      </c>
      <c r="CE10" s="297">
        <f t="shared" si="16"/>
        <v>0.38475499092558985</v>
      </c>
      <c r="CF10" s="1061"/>
    </row>
    <row r="11" spans="1:84">
      <c r="A11" s="30">
        <v>44324</v>
      </c>
      <c r="B11" s="32">
        <v>512.15200000000004</v>
      </c>
      <c r="C11" s="842">
        <f t="shared" si="39"/>
        <v>4644.652</v>
      </c>
      <c r="D11" s="842">
        <v>6395.94</v>
      </c>
      <c r="E11" s="843">
        <f t="shared" si="40"/>
        <v>64835.419999999991</v>
      </c>
      <c r="F11" s="240">
        <f t="shared" si="33"/>
        <v>18000</v>
      </c>
      <c r="G11" s="240">
        <v>32100</v>
      </c>
      <c r="H11" s="280">
        <v>8.23</v>
      </c>
      <c r="I11" s="240">
        <v>22000</v>
      </c>
      <c r="J11" s="240">
        <f t="shared" si="17"/>
        <v>28100</v>
      </c>
      <c r="K11" s="280">
        <f t="shared" si="18"/>
        <v>54866.524000687292</v>
      </c>
      <c r="L11" s="240">
        <f t="shared" si="49"/>
        <v>103425</v>
      </c>
      <c r="M11" s="280">
        <f t="shared" si="20"/>
        <v>22267.545555619668</v>
      </c>
      <c r="N11" s="280">
        <f t="shared" si="21"/>
        <v>2726.526944486307</v>
      </c>
      <c r="O11" s="1089"/>
      <c r="P11" s="1084"/>
      <c r="Q11" s="35">
        <f t="shared" si="22"/>
        <v>39862</v>
      </c>
      <c r="R11" s="35"/>
      <c r="S11" s="35">
        <v>39599</v>
      </c>
      <c r="T11" s="35">
        <f t="shared" si="0"/>
        <v>263</v>
      </c>
      <c r="U11" s="36">
        <f t="shared" si="1"/>
        <v>513.51942392102342</v>
      </c>
      <c r="V11" s="74">
        <f t="shared" si="23"/>
        <v>12425</v>
      </c>
      <c r="W11" s="36">
        <f t="shared" si="24"/>
        <v>2.675119686038911</v>
      </c>
      <c r="X11" s="1136"/>
      <c r="Y11" s="49">
        <f t="shared" si="41"/>
        <v>781</v>
      </c>
      <c r="Z11" s="52"/>
      <c r="AA11" s="52">
        <f>632+60</f>
        <v>692</v>
      </c>
      <c r="AB11" s="50">
        <f t="shared" si="2"/>
        <v>89</v>
      </c>
      <c r="AC11" s="51">
        <f t="shared" si="3"/>
        <v>0.1737765350911448</v>
      </c>
      <c r="AD11" s="50">
        <f t="shared" si="25"/>
        <v>755</v>
      </c>
      <c r="AE11" s="51">
        <f t="shared" si="4"/>
        <v>0.1625525443025656</v>
      </c>
      <c r="AF11" s="1047"/>
      <c r="AG11" s="40">
        <f t="shared" si="42"/>
        <v>845</v>
      </c>
      <c r="AH11" s="43"/>
      <c r="AI11" s="43">
        <v>825</v>
      </c>
      <c r="AJ11" s="41">
        <f t="shared" si="54"/>
        <v>20</v>
      </c>
      <c r="AK11" s="42">
        <f t="shared" si="6"/>
        <v>39.050906762055014</v>
      </c>
      <c r="AL11" s="41">
        <f t="shared" si="43"/>
        <v>360</v>
      </c>
      <c r="AM11" s="42">
        <f t="shared" si="26"/>
        <v>7.7508497945594196E-2</v>
      </c>
      <c r="AN11" s="1058"/>
      <c r="AO11" s="355">
        <v>4.2</v>
      </c>
      <c r="AP11" s="67">
        <v>24</v>
      </c>
      <c r="AQ11" s="68">
        <f t="shared" si="34"/>
        <v>50.102640000000008</v>
      </c>
      <c r="AR11" s="68">
        <f t="shared" si="7"/>
        <v>7.8335068809275903</v>
      </c>
      <c r="AS11" s="69">
        <f t="shared" si="44"/>
        <v>622.70424000000003</v>
      </c>
      <c r="AT11" s="140">
        <f t="shared" si="8"/>
        <v>9.6043835298668547</v>
      </c>
      <c r="AU11" s="1073"/>
      <c r="AV11" s="356">
        <v>3</v>
      </c>
      <c r="AW11" s="71">
        <v>12</v>
      </c>
      <c r="AX11" s="72">
        <f t="shared" si="35"/>
        <v>18.60228</v>
      </c>
      <c r="AY11" s="72">
        <f t="shared" si="9"/>
        <v>2.9084512987926714</v>
      </c>
      <c r="AZ11" s="73">
        <f t="shared" si="45"/>
        <v>249.27055199999998</v>
      </c>
      <c r="BA11" s="192">
        <f t="shared" si="10"/>
        <v>3.8446662642117535</v>
      </c>
      <c r="BB11" s="1075"/>
      <c r="BC11" s="56">
        <f t="shared" si="50"/>
        <v>22035</v>
      </c>
      <c r="BD11" s="56"/>
      <c r="BE11" s="56">
        <v>22035</v>
      </c>
      <c r="BF11" s="57">
        <f t="shared" si="37"/>
        <v>0</v>
      </c>
      <c r="BG11" s="58">
        <f t="shared" si="27"/>
        <v>6097</v>
      </c>
      <c r="BH11" s="58">
        <f t="shared" si="11"/>
        <v>94.038104480544746</v>
      </c>
      <c r="BI11" s="1133"/>
      <c r="BJ11" s="63">
        <f t="shared" si="51"/>
        <v>2760</v>
      </c>
      <c r="BK11" s="66"/>
      <c r="BL11" s="66">
        <v>2640</v>
      </c>
      <c r="BM11" s="64">
        <f t="shared" si="28"/>
        <v>120</v>
      </c>
      <c r="BN11" s="65">
        <f t="shared" si="29"/>
        <v>0.23430544057233008</v>
      </c>
      <c r="BO11" s="64">
        <f t="shared" si="30"/>
        <v>1320</v>
      </c>
      <c r="BP11" s="65">
        <f t="shared" si="31"/>
        <v>0.28419782580051206</v>
      </c>
      <c r="BQ11" s="1071"/>
      <c r="BR11" s="77">
        <f t="shared" si="52"/>
        <v>14539</v>
      </c>
      <c r="BS11" s="35"/>
      <c r="BT11" s="35">
        <v>12690</v>
      </c>
      <c r="BU11" s="74">
        <f t="shared" si="55"/>
        <v>1849</v>
      </c>
      <c r="BV11" s="74">
        <f t="shared" si="56"/>
        <v>49331</v>
      </c>
      <c r="BW11" s="74">
        <f t="shared" si="13"/>
        <v>760.86497164667105</v>
      </c>
      <c r="BX11" s="1098"/>
      <c r="BY11" s="295">
        <f t="shared" si="53"/>
        <v>710</v>
      </c>
      <c r="BZ11" s="298"/>
      <c r="CA11" s="296">
        <v>710</v>
      </c>
      <c r="CB11" s="296">
        <f t="shared" si="14"/>
        <v>0</v>
      </c>
      <c r="CC11" s="297">
        <f t="shared" si="15"/>
        <v>0</v>
      </c>
      <c r="CD11" s="296">
        <f t="shared" si="48"/>
        <v>1590</v>
      </c>
      <c r="CE11" s="297">
        <f t="shared" si="16"/>
        <v>0.34232919925970773</v>
      </c>
      <c r="CF11" s="1061"/>
    </row>
    <row r="12" spans="1:84">
      <c r="A12" s="30">
        <v>44325</v>
      </c>
      <c r="B12" s="32">
        <v>486.1</v>
      </c>
      <c r="C12" s="842">
        <f t="shared" si="39"/>
        <v>5130.7520000000004</v>
      </c>
      <c r="D12" s="842">
        <v>5830.44</v>
      </c>
      <c r="E12" s="843">
        <f t="shared" si="40"/>
        <v>70665.859999999986</v>
      </c>
      <c r="F12" s="240">
        <f t="shared" si="33"/>
        <v>22000</v>
      </c>
      <c r="G12" s="240">
        <v>31625</v>
      </c>
      <c r="H12" s="280">
        <v>9.01</v>
      </c>
      <c r="I12" s="240">
        <v>22000</v>
      </c>
      <c r="J12" s="240">
        <f t="shared" si="17"/>
        <v>31625</v>
      </c>
      <c r="K12" s="280">
        <f t="shared" si="18"/>
        <v>65058.629911540833</v>
      </c>
      <c r="L12" s="240">
        <f t="shared" si="49"/>
        <v>135050</v>
      </c>
      <c r="M12" s="280">
        <f t="shared" si="20"/>
        <v>26321.677602035725</v>
      </c>
      <c r="N12" s="280">
        <f t="shared" si="21"/>
        <v>3222.9310153098722</v>
      </c>
      <c r="O12" s="1089"/>
      <c r="P12" s="1084"/>
      <c r="Q12" s="35">
        <f t="shared" si="22"/>
        <v>39599</v>
      </c>
      <c r="R12" s="35"/>
      <c r="S12" s="35">
        <v>39599</v>
      </c>
      <c r="T12" s="35">
        <f t="shared" si="0"/>
        <v>0</v>
      </c>
      <c r="U12" s="36">
        <f t="shared" si="1"/>
        <v>0</v>
      </c>
      <c r="V12" s="74">
        <f t="shared" si="23"/>
        <v>12425</v>
      </c>
      <c r="W12" s="36">
        <f t="shared" si="24"/>
        <v>2.4216723006685958</v>
      </c>
      <c r="X12" s="1136"/>
      <c r="Y12" s="49">
        <f t="shared" si="41"/>
        <v>692</v>
      </c>
      <c r="Z12" s="52">
        <v>900</v>
      </c>
      <c r="AA12" s="52">
        <f>1414+115</f>
        <v>1529</v>
      </c>
      <c r="AB12" s="50">
        <f t="shared" si="2"/>
        <v>63</v>
      </c>
      <c r="AC12" s="51">
        <f t="shared" si="3"/>
        <v>0.12960296235342522</v>
      </c>
      <c r="AD12" s="50">
        <f t="shared" si="25"/>
        <v>818</v>
      </c>
      <c r="AE12" s="51">
        <f t="shared" si="4"/>
        <v>0.15943082027741742</v>
      </c>
      <c r="AF12" s="1047"/>
      <c r="AG12" s="40">
        <f t="shared" si="42"/>
        <v>825</v>
      </c>
      <c r="AH12" s="43"/>
      <c r="AI12" s="43">
        <v>805</v>
      </c>
      <c r="AJ12" s="41">
        <f t="shared" si="54"/>
        <v>20</v>
      </c>
      <c r="AK12" s="42">
        <f t="shared" si="6"/>
        <v>41.143797572515943</v>
      </c>
      <c r="AL12" s="41">
        <f t="shared" si="43"/>
        <v>380</v>
      </c>
      <c r="AM12" s="42">
        <f t="shared" si="26"/>
        <v>7.4063217243788046E-2</v>
      </c>
      <c r="AN12" s="1058"/>
      <c r="AO12" s="355">
        <v>4.2</v>
      </c>
      <c r="AP12" s="67">
        <v>24</v>
      </c>
      <c r="AQ12" s="68">
        <f t="shared" si="34"/>
        <v>50.102640000000008</v>
      </c>
      <c r="AR12" s="68">
        <f t="shared" si="7"/>
        <v>8.5932862699899175</v>
      </c>
      <c r="AS12" s="69">
        <f t="shared" si="44"/>
        <v>672.80688000000009</v>
      </c>
      <c r="AT12" s="140">
        <f t="shared" si="8"/>
        <v>9.52096075813696</v>
      </c>
      <c r="AU12" s="1073"/>
      <c r="AV12" s="356">
        <v>2.9</v>
      </c>
      <c r="AW12" s="71">
        <v>12</v>
      </c>
      <c r="AX12" s="72">
        <f t="shared" si="35"/>
        <v>17.982203999999999</v>
      </c>
      <c r="AY12" s="72">
        <f t="shared" si="9"/>
        <v>3.0841933027352995</v>
      </c>
      <c r="AZ12" s="73">
        <f t="shared" si="45"/>
        <v>267.25275599999998</v>
      </c>
      <c r="BA12" s="192">
        <f t="shared" si="10"/>
        <v>3.7819217936355694</v>
      </c>
      <c r="BB12" s="1075"/>
      <c r="BC12" s="56">
        <f t="shared" si="50"/>
        <v>22035</v>
      </c>
      <c r="BD12" s="56"/>
      <c r="BE12" s="56">
        <v>22035</v>
      </c>
      <c r="BF12" s="57">
        <f t="shared" si="37"/>
        <v>0</v>
      </c>
      <c r="BG12" s="58">
        <f t="shared" si="27"/>
        <v>6097</v>
      </c>
      <c r="BH12" s="58">
        <f t="shared" si="11"/>
        <v>86.279286772990545</v>
      </c>
      <c r="BI12" s="1133"/>
      <c r="BJ12" s="63">
        <f t="shared" si="51"/>
        <v>2640</v>
      </c>
      <c r="BK12" s="66"/>
      <c r="BL12" s="66">
        <v>2520</v>
      </c>
      <c r="BM12" s="64">
        <f t="shared" si="28"/>
        <v>120</v>
      </c>
      <c r="BN12" s="65">
        <f t="shared" si="29"/>
        <v>0.24686278543509566</v>
      </c>
      <c r="BO12" s="64">
        <f t="shared" si="30"/>
        <v>1440</v>
      </c>
      <c r="BP12" s="65">
        <f t="shared" si="31"/>
        <v>0.28066061271330206</v>
      </c>
      <c r="BQ12" s="1071"/>
      <c r="BR12" s="77">
        <f t="shared" si="52"/>
        <v>12690</v>
      </c>
      <c r="BS12" s="35"/>
      <c r="BT12" s="35">
        <v>8000</v>
      </c>
      <c r="BU12" s="74">
        <f t="shared" si="55"/>
        <v>4690</v>
      </c>
      <c r="BV12" s="74">
        <f t="shared" si="56"/>
        <v>54021</v>
      </c>
      <c r="BW12" s="74">
        <f t="shared" si="13"/>
        <v>764.45683955448942</v>
      </c>
      <c r="BX12" s="1098"/>
      <c r="BY12" s="295">
        <f t="shared" si="53"/>
        <v>710</v>
      </c>
      <c r="BZ12" s="298"/>
      <c r="CA12" s="296">
        <v>710</v>
      </c>
      <c r="CB12" s="296">
        <f t="shared" si="14"/>
        <v>0</v>
      </c>
      <c r="CC12" s="297">
        <f t="shared" si="15"/>
        <v>0</v>
      </c>
      <c r="CD12" s="296">
        <f t="shared" si="48"/>
        <v>1590</v>
      </c>
      <c r="CE12" s="297">
        <f t="shared" si="16"/>
        <v>0.30989609320427103</v>
      </c>
      <c r="CF12" s="1061"/>
    </row>
    <row r="13" spans="1:84">
      <c r="A13" s="30">
        <v>44326</v>
      </c>
      <c r="B13" s="32">
        <v>497.85399999999998</v>
      </c>
      <c r="C13" s="842">
        <f t="shared" si="39"/>
        <v>5628.6060000000007</v>
      </c>
      <c r="D13" s="842">
        <v>5317.98</v>
      </c>
      <c r="E13" s="843">
        <f t="shared" si="40"/>
        <v>75983.839999999982</v>
      </c>
      <c r="F13" s="240">
        <f t="shared" si="33"/>
        <v>22000</v>
      </c>
      <c r="G13" s="240"/>
      <c r="H13" s="280"/>
      <c r="I13" s="240">
        <v>0</v>
      </c>
      <c r="J13" s="240">
        <f t="shared" si="17"/>
        <v>22000</v>
      </c>
      <c r="K13" s="280">
        <f t="shared" si="18"/>
        <v>44189.662029430314</v>
      </c>
      <c r="L13" s="240">
        <f t="shared" si="49"/>
        <v>157050</v>
      </c>
      <c r="M13" s="280">
        <f t="shared" si="20"/>
        <v>27902.112885499533</v>
      </c>
      <c r="N13" s="280">
        <f t="shared" si="21"/>
        <v>3416.4458045181259</v>
      </c>
      <c r="O13" s="1089"/>
      <c r="P13" s="1084"/>
      <c r="Q13" s="35">
        <f t="shared" si="22"/>
        <v>39599</v>
      </c>
      <c r="R13" s="35"/>
      <c r="S13" s="35">
        <v>38808</v>
      </c>
      <c r="T13" s="35">
        <f t="shared" si="0"/>
        <v>791</v>
      </c>
      <c r="U13" s="36">
        <f t="shared" si="1"/>
        <v>1588.8192120581537</v>
      </c>
      <c r="V13" s="74">
        <f t="shared" si="23"/>
        <v>13216</v>
      </c>
      <c r="W13" s="36">
        <f t="shared" si="24"/>
        <v>2.3480058828065062</v>
      </c>
      <c r="X13" s="1136"/>
      <c r="Y13" s="49">
        <f t="shared" si="41"/>
        <v>1529</v>
      </c>
      <c r="Z13" s="50"/>
      <c r="AA13" s="50">
        <f>1401+65</f>
        <v>1466</v>
      </c>
      <c r="AB13" s="50">
        <f t="shared" si="2"/>
        <v>63</v>
      </c>
      <c r="AC13" s="51">
        <f t="shared" si="3"/>
        <v>0.12654312308427773</v>
      </c>
      <c r="AD13" s="50">
        <f t="shared" si="25"/>
        <v>881</v>
      </c>
      <c r="AE13" s="51">
        <f t="shared" si="4"/>
        <v>0.15652188126154148</v>
      </c>
      <c r="AF13" s="1047"/>
      <c r="AG13" s="40">
        <f t="shared" si="42"/>
        <v>805</v>
      </c>
      <c r="AH13" s="41"/>
      <c r="AI13" s="41">
        <v>785</v>
      </c>
      <c r="AJ13" s="41">
        <f t="shared" si="54"/>
        <v>20</v>
      </c>
      <c r="AK13" s="42">
        <f t="shared" si="6"/>
        <v>40.172420026754835</v>
      </c>
      <c r="AL13" s="41">
        <f t="shared" si="43"/>
        <v>400</v>
      </c>
      <c r="AM13" s="42">
        <f t="shared" si="26"/>
        <v>7.1065553353707817E-2</v>
      </c>
      <c r="AN13" s="1058"/>
      <c r="AO13" s="67">
        <v>4.3</v>
      </c>
      <c r="AP13" s="67">
        <v>24</v>
      </c>
      <c r="AQ13" s="68">
        <f t="shared" si="34"/>
        <v>51.295559999999995</v>
      </c>
      <c r="AR13" s="68">
        <f t="shared" si="7"/>
        <v>9.6456850157390583</v>
      </c>
      <c r="AS13" s="69">
        <f t="shared" si="44"/>
        <v>724.10244000000012</v>
      </c>
      <c r="AT13" s="140">
        <f t="shared" si="8"/>
        <v>9.5296899972415225</v>
      </c>
      <c r="AU13" s="1073"/>
      <c r="AV13" s="71">
        <v>2.5</v>
      </c>
      <c r="AW13" s="71">
        <v>12</v>
      </c>
      <c r="AX13" s="72">
        <f t="shared" si="35"/>
        <v>15.501900000000001</v>
      </c>
      <c r="AY13" s="72">
        <f t="shared" si="9"/>
        <v>2.91499779991651</v>
      </c>
      <c r="AZ13" s="73">
        <f t="shared" si="45"/>
        <v>282.75465599999995</v>
      </c>
      <c r="BA13" s="192">
        <f t="shared" si="10"/>
        <v>3.7212472546794162</v>
      </c>
      <c r="BB13" s="1075"/>
      <c r="BC13" s="56">
        <f t="shared" si="50"/>
        <v>22035</v>
      </c>
      <c r="BD13" s="56"/>
      <c r="BE13" s="56">
        <v>22035</v>
      </c>
      <c r="BF13" s="57">
        <f t="shared" si="37"/>
        <v>0</v>
      </c>
      <c r="BG13" s="58">
        <f t="shared" si="27"/>
        <v>6097</v>
      </c>
      <c r="BH13" s="58">
        <f t="shared" si="11"/>
        <v>80.240745927028712</v>
      </c>
      <c r="BI13" s="1133"/>
      <c r="BJ13" s="63">
        <f t="shared" si="51"/>
        <v>2520</v>
      </c>
      <c r="BK13" s="64"/>
      <c r="BL13" s="64">
        <v>2310</v>
      </c>
      <c r="BM13" s="64">
        <f t="shared" si="28"/>
        <v>210</v>
      </c>
      <c r="BN13" s="65">
        <f t="shared" si="29"/>
        <v>0.42181041028092575</v>
      </c>
      <c r="BO13" s="64">
        <f t="shared" si="30"/>
        <v>1650</v>
      </c>
      <c r="BP13" s="65">
        <f t="shared" si="31"/>
        <v>0.29314540758404473</v>
      </c>
      <c r="BQ13" s="1071"/>
      <c r="BR13" s="77">
        <f t="shared" si="52"/>
        <v>8000</v>
      </c>
      <c r="BS13" s="35">
        <v>36240</v>
      </c>
      <c r="BT13" s="35">
        <v>41000</v>
      </c>
      <c r="BU13" s="74">
        <f t="shared" si="55"/>
        <v>3240</v>
      </c>
      <c r="BV13" s="74">
        <f t="shared" si="56"/>
        <v>57261</v>
      </c>
      <c r="BW13" s="74">
        <f t="shared" si="13"/>
        <v>753.59444850378725</v>
      </c>
      <c r="BX13" s="1098"/>
      <c r="BY13" s="295">
        <f t="shared" si="53"/>
        <v>710</v>
      </c>
      <c r="BZ13" s="296"/>
      <c r="CA13" s="296">
        <v>660</v>
      </c>
      <c r="CB13" s="296">
        <f t="shared" si="14"/>
        <v>50</v>
      </c>
      <c r="CC13" s="297">
        <f t="shared" si="15"/>
        <v>0.10043105006688709</v>
      </c>
      <c r="CD13" s="296">
        <f t="shared" si="48"/>
        <v>1640</v>
      </c>
      <c r="CE13" s="297">
        <f t="shared" si="16"/>
        <v>0.29136876875020207</v>
      </c>
      <c r="CF13" s="1061"/>
    </row>
    <row r="14" spans="1:84">
      <c r="A14" s="30">
        <v>44327</v>
      </c>
      <c r="B14" s="32">
        <v>444.54300000000001</v>
      </c>
      <c r="C14" s="842">
        <f t="shared" si="39"/>
        <v>6073.1490000000003</v>
      </c>
      <c r="D14" s="842">
        <v>5630.16</v>
      </c>
      <c r="E14" s="843">
        <f t="shared" si="40"/>
        <v>81613.999999999985</v>
      </c>
      <c r="F14" s="240">
        <f t="shared" si="33"/>
        <v>0</v>
      </c>
      <c r="G14" s="240"/>
      <c r="H14" s="280"/>
      <c r="I14" s="240">
        <v>0</v>
      </c>
      <c r="J14" s="240">
        <f t="shared" si="17"/>
        <v>0</v>
      </c>
      <c r="K14" s="280">
        <f t="shared" si="18"/>
        <v>0</v>
      </c>
      <c r="L14" s="240">
        <f t="shared" si="49"/>
        <v>157050</v>
      </c>
      <c r="M14" s="280">
        <f t="shared" si="20"/>
        <v>25859.731088435339</v>
      </c>
      <c r="N14" s="280">
        <f t="shared" si="21"/>
        <v>3166.368444769847</v>
      </c>
      <c r="O14" s="1089"/>
      <c r="P14" s="1084"/>
      <c r="Q14" s="35">
        <f t="shared" si="22"/>
        <v>38808</v>
      </c>
      <c r="R14" s="35"/>
      <c r="S14" s="35">
        <v>36682</v>
      </c>
      <c r="T14" s="35">
        <f t="shared" si="0"/>
        <v>2126</v>
      </c>
      <c r="U14" s="36">
        <f t="shared" si="1"/>
        <v>4782.4394940421962</v>
      </c>
      <c r="V14" s="74">
        <f t="shared" si="23"/>
        <v>15342</v>
      </c>
      <c r="W14" s="36">
        <f t="shared" si="24"/>
        <v>2.5262018106257558</v>
      </c>
      <c r="X14" s="1136"/>
      <c r="Y14" s="49">
        <f t="shared" si="41"/>
        <v>1466</v>
      </c>
      <c r="Z14" s="50"/>
      <c r="AA14" s="50">
        <f>1227+90</f>
        <v>1317</v>
      </c>
      <c r="AB14" s="50">
        <f t="shared" si="2"/>
        <v>149</v>
      </c>
      <c r="AC14" s="51">
        <f t="shared" si="3"/>
        <v>0.33517567479411442</v>
      </c>
      <c r="AD14" s="50">
        <f t="shared" si="25"/>
        <v>1030</v>
      </c>
      <c r="AE14" s="51">
        <f t="shared" si="4"/>
        <v>0.1695990004526482</v>
      </c>
      <c r="AF14" s="1047"/>
      <c r="AG14" s="40">
        <f t="shared" si="42"/>
        <v>785</v>
      </c>
      <c r="AH14" s="41"/>
      <c r="AI14" s="41">
        <v>765</v>
      </c>
      <c r="AJ14" s="41">
        <f t="shared" si="54"/>
        <v>20</v>
      </c>
      <c r="AK14" s="42">
        <f t="shared" si="6"/>
        <v>44.990023462297238</v>
      </c>
      <c r="AL14" s="41">
        <f t="shared" si="43"/>
        <v>420</v>
      </c>
      <c r="AM14" s="42">
        <f t="shared" si="26"/>
        <v>6.915687397098276E-2</v>
      </c>
      <c r="AN14" s="1058"/>
      <c r="AO14" s="67">
        <v>4.3</v>
      </c>
      <c r="AP14" s="67">
        <v>24</v>
      </c>
      <c r="AQ14" s="68">
        <f t="shared" si="34"/>
        <v>51.295559999999995</v>
      </c>
      <c r="AR14" s="68">
        <f t="shared" si="7"/>
        <v>9.1108529775352736</v>
      </c>
      <c r="AS14" s="69">
        <f t="shared" si="44"/>
        <v>775.39800000000014</v>
      </c>
      <c r="AT14" s="140">
        <f t="shared" si="8"/>
        <v>9.5007964319847122</v>
      </c>
      <c r="AU14" s="1073"/>
      <c r="AV14" s="71">
        <v>2.7</v>
      </c>
      <c r="AW14" s="71">
        <v>12</v>
      </c>
      <c r="AX14" s="72">
        <f t="shared" si="35"/>
        <v>16.742052000000005</v>
      </c>
      <c r="AY14" s="72">
        <f t="shared" si="9"/>
        <v>2.9736369836736443</v>
      </c>
      <c r="AZ14" s="73">
        <f t="shared" si="45"/>
        <v>299.49670799999996</v>
      </c>
      <c r="BA14" s="192">
        <f t="shared" si="10"/>
        <v>3.6696731933246753</v>
      </c>
      <c r="BB14" s="1075"/>
      <c r="BC14" s="56">
        <f t="shared" si="50"/>
        <v>22035</v>
      </c>
      <c r="BD14" s="56"/>
      <c r="BE14" s="56">
        <v>20240</v>
      </c>
      <c r="BF14" s="57">
        <f t="shared" si="37"/>
        <v>1795</v>
      </c>
      <c r="BG14" s="58">
        <f t="shared" si="27"/>
        <v>7892</v>
      </c>
      <c r="BH14" s="58">
        <f t="shared" si="11"/>
        <v>96.699095743377384</v>
      </c>
      <c r="BI14" s="1133"/>
      <c r="BJ14" s="63">
        <f t="shared" si="51"/>
        <v>2310</v>
      </c>
      <c r="BK14" s="64"/>
      <c r="BL14" s="64">
        <v>2100</v>
      </c>
      <c r="BM14" s="64">
        <f t="shared" si="28"/>
        <v>210</v>
      </c>
      <c r="BN14" s="65">
        <f t="shared" si="29"/>
        <v>0.47239524635412095</v>
      </c>
      <c r="BO14" s="64">
        <f t="shared" si="30"/>
        <v>1860</v>
      </c>
      <c r="BP14" s="65">
        <f t="shared" si="31"/>
        <v>0.30626615615720937</v>
      </c>
      <c r="BQ14" s="1071"/>
      <c r="BR14" s="77">
        <f t="shared" si="52"/>
        <v>41000</v>
      </c>
      <c r="BS14" s="35"/>
      <c r="BT14" s="35">
        <v>36720</v>
      </c>
      <c r="BU14" s="74">
        <f t="shared" si="55"/>
        <v>4280</v>
      </c>
      <c r="BV14" s="74">
        <f t="shared" si="56"/>
        <v>61541</v>
      </c>
      <c r="BW14" s="74">
        <f t="shared" si="13"/>
        <v>754.04955032224882</v>
      </c>
      <c r="BX14" s="1098"/>
      <c r="BY14" s="295">
        <f t="shared" si="53"/>
        <v>660</v>
      </c>
      <c r="BZ14" s="296"/>
      <c r="CA14" s="296">
        <v>490</v>
      </c>
      <c r="CB14" s="296">
        <f t="shared" si="14"/>
        <v>170</v>
      </c>
      <c r="CC14" s="297">
        <f t="shared" si="15"/>
        <v>0.38241519942952651</v>
      </c>
      <c r="CD14" s="296">
        <f t="shared" si="48"/>
        <v>1810</v>
      </c>
      <c r="CE14" s="297">
        <f t="shared" si="16"/>
        <v>0.2980331949701876</v>
      </c>
      <c r="CF14" s="1061"/>
    </row>
    <row r="15" spans="1:84">
      <c r="A15" s="30">
        <v>44328</v>
      </c>
      <c r="B15" s="32">
        <v>479.99900000000002</v>
      </c>
      <c r="C15" s="842">
        <f t="shared" si="39"/>
        <v>6553.1480000000001</v>
      </c>
      <c r="D15" s="842">
        <v>3287.76</v>
      </c>
      <c r="E15" s="843">
        <f t="shared" si="40"/>
        <v>84901.75999999998</v>
      </c>
      <c r="F15" s="240">
        <f t="shared" si="33"/>
        <v>0</v>
      </c>
      <c r="G15" s="240">
        <v>31760</v>
      </c>
      <c r="H15" s="280">
        <v>10.58</v>
      </c>
      <c r="I15" s="240">
        <v>20000</v>
      </c>
      <c r="J15" s="240">
        <f t="shared" si="17"/>
        <v>11760</v>
      </c>
      <c r="K15" s="280">
        <f t="shared" si="18"/>
        <v>24500.051041773004</v>
      </c>
      <c r="L15" s="240">
        <f t="shared" si="49"/>
        <v>168810</v>
      </c>
      <c r="M15" s="280">
        <f t="shared" si="20"/>
        <v>25760.13848611385</v>
      </c>
      <c r="N15" s="280">
        <f t="shared" si="21"/>
        <v>3154.1739299759829</v>
      </c>
      <c r="O15" s="1089"/>
      <c r="P15" s="1084"/>
      <c r="Q15" s="35">
        <f t="shared" si="22"/>
        <v>36682</v>
      </c>
      <c r="R15" s="35"/>
      <c r="S15" s="35">
        <v>35878</v>
      </c>
      <c r="T15" s="35">
        <f t="shared" si="0"/>
        <v>804</v>
      </c>
      <c r="U15" s="36">
        <f t="shared" si="1"/>
        <v>1675.0034895906033</v>
      </c>
      <c r="V15" s="74">
        <f t="shared" si="23"/>
        <v>16146</v>
      </c>
      <c r="W15" s="36">
        <f t="shared" si="24"/>
        <v>2.463854013368842</v>
      </c>
      <c r="X15" s="1136"/>
      <c r="Y15" s="49">
        <f t="shared" si="41"/>
        <v>1317</v>
      </c>
      <c r="Z15" s="50"/>
      <c r="AA15" s="50">
        <f>1077+75</f>
        <v>1152</v>
      </c>
      <c r="AB15" s="50">
        <f t="shared" si="2"/>
        <v>165</v>
      </c>
      <c r="AC15" s="51">
        <f t="shared" si="3"/>
        <v>0.34375071614732527</v>
      </c>
      <c r="AD15" s="50">
        <f t="shared" si="25"/>
        <v>1195</v>
      </c>
      <c r="AE15" s="51">
        <f t="shared" si="4"/>
        <v>0.18235510627869231</v>
      </c>
      <c r="AF15" s="1047"/>
      <c r="AG15" s="40">
        <f t="shared" si="42"/>
        <v>765</v>
      </c>
      <c r="AH15" s="41"/>
      <c r="AI15" s="41">
        <v>725</v>
      </c>
      <c r="AJ15" s="41">
        <f t="shared" si="54"/>
        <v>40</v>
      </c>
      <c r="AK15" s="42">
        <f t="shared" si="6"/>
        <v>83.333506944806132</v>
      </c>
      <c r="AL15" s="41">
        <f t="shared" si="43"/>
        <v>460</v>
      </c>
      <c r="AM15" s="42">
        <f t="shared" si="26"/>
        <v>7.0195271036149337E-2</v>
      </c>
      <c r="AN15" s="1058"/>
      <c r="AO15" s="311">
        <v>3</v>
      </c>
      <c r="AP15" s="67">
        <v>24</v>
      </c>
      <c r="AQ15" s="68">
        <f t="shared" si="34"/>
        <v>35.787599999999998</v>
      </c>
      <c r="AR15" s="68">
        <f t="shared" si="7"/>
        <v>10.885101102270237</v>
      </c>
      <c r="AS15" s="69">
        <f t="shared" si="44"/>
        <v>811.18560000000014</v>
      </c>
      <c r="AT15" s="140">
        <f t="shared" si="8"/>
        <v>9.5544026413586742</v>
      </c>
      <c r="AU15" s="1073"/>
      <c r="AV15" s="71">
        <v>1.9</v>
      </c>
      <c r="AW15" s="71">
        <v>12</v>
      </c>
      <c r="AX15" s="72">
        <f t="shared" si="35"/>
        <v>11.781443999999999</v>
      </c>
      <c r="AY15" s="72">
        <f t="shared" si="9"/>
        <v>3.5834257975034669</v>
      </c>
      <c r="AZ15" s="73">
        <f t="shared" si="45"/>
        <v>311.27815199999998</v>
      </c>
      <c r="BA15" s="192">
        <f t="shared" si="10"/>
        <v>3.6663333245388561</v>
      </c>
      <c r="BB15" s="1075"/>
      <c r="BC15" s="56">
        <f t="shared" si="50"/>
        <v>20240</v>
      </c>
      <c r="BD15" s="56"/>
      <c r="BE15" s="56">
        <v>20240</v>
      </c>
      <c r="BF15" s="57">
        <f t="shared" si="37"/>
        <v>0</v>
      </c>
      <c r="BG15" s="58">
        <f t="shared" si="27"/>
        <v>7892</v>
      </c>
      <c r="BH15" s="58">
        <f t="shared" si="11"/>
        <v>92.954492345035035</v>
      </c>
      <c r="BI15" s="1133"/>
      <c r="BJ15" s="63">
        <f t="shared" si="51"/>
        <v>2100</v>
      </c>
      <c r="BK15" s="64"/>
      <c r="BL15" s="64">
        <v>2016</v>
      </c>
      <c r="BM15" s="64">
        <f t="shared" si="28"/>
        <v>84</v>
      </c>
      <c r="BN15" s="65">
        <f t="shared" si="29"/>
        <v>0.17500036458409288</v>
      </c>
      <c r="BO15" s="64">
        <f t="shared" si="30"/>
        <v>1944</v>
      </c>
      <c r="BP15" s="65">
        <f t="shared" si="31"/>
        <v>0.29665131933537897</v>
      </c>
      <c r="BQ15" s="1071"/>
      <c r="BR15" s="77">
        <f t="shared" si="52"/>
        <v>36720</v>
      </c>
      <c r="BS15" s="35"/>
      <c r="BT15" s="35">
        <v>33023</v>
      </c>
      <c r="BU15" s="74">
        <f t="shared" si="55"/>
        <v>3697</v>
      </c>
      <c r="BV15" s="74">
        <f t="shared" si="56"/>
        <v>65238</v>
      </c>
      <c r="BW15" s="74">
        <f t="shared" si="13"/>
        <v>768.39396497787584</v>
      </c>
      <c r="BX15" s="1098"/>
      <c r="BY15" s="295">
        <f t="shared" si="53"/>
        <v>490</v>
      </c>
      <c r="BZ15" s="296"/>
      <c r="CA15" s="296">
        <v>440</v>
      </c>
      <c r="CB15" s="296">
        <f t="shared" si="14"/>
        <v>50</v>
      </c>
      <c r="CC15" s="297">
        <f t="shared" si="15"/>
        <v>0.10416688368100767</v>
      </c>
      <c r="CD15" s="296">
        <f t="shared" si="48"/>
        <v>1860</v>
      </c>
      <c r="CE15" s="297">
        <f t="shared" si="16"/>
        <v>0.28383305245051693</v>
      </c>
      <c r="CF15" s="1061"/>
    </row>
    <row r="16" spans="1:84">
      <c r="A16" s="30">
        <v>44329</v>
      </c>
      <c r="B16" s="32">
        <v>188.505</v>
      </c>
      <c r="C16" s="842">
        <f t="shared" si="39"/>
        <v>6741.6530000000002</v>
      </c>
      <c r="D16" s="842">
        <v>4814.72</v>
      </c>
      <c r="E16" s="843">
        <f t="shared" si="40"/>
        <v>89716.479999999981</v>
      </c>
      <c r="F16" s="240">
        <f t="shared" si="33"/>
        <v>20000</v>
      </c>
      <c r="G16" s="240"/>
      <c r="H16" s="280"/>
      <c r="I16" s="240">
        <v>2000</v>
      </c>
      <c r="J16" s="240">
        <f t="shared" si="17"/>
        <v>18000</v>
      </c>
      <c r="K16" s="280">
        <f t="shared" si="18"/>
        <v>95488.183337312017</v>
      </c>
      <c r="L16" s="240">
        <f t="shared" si="49"/>
        <v>186810</v>
      </c>
      <c r="M16" s="280">
        <f t="shared" si="20"/>
        <v>27709.821315336165</v>
      </c>
      <c r="N16" s="280">
        <f t="shared" si="21"/>
        <v>3392.9008589856944</v>
      </c>
      <c r="O16" s="1089"/>
      <c r="P16" s="1084"/>
      <c r="Q16" s="35">
        <f t="shared" si="22"/>
        <v>35878</v>
      </c>
      <c r="R16" s="35"/>
      <c r="S16" s="35">
        <v>35878</v>
      </c>
      <c r="T16" s="35">
        <f t="shared" si="0"/>
        <v>0</v>
      </c>
      <c r="U16" s="36">
        <f t="shared" si="1"/>
        <v>0</v>
      </c>
      <c r="V16" s="74">
        <f t="shared" si="23"/>
        <v>16146</v>
      </c>
      <c r="W16" s="36">
        <f t="shared" si="24"/>
        <v>2.3949615917639191</v>
      </c>
      <c r="X16" s="1136"/>
      <c r="Y16" s="49">
        <f t="shared" si="41"/>
        <v>1152</v>
      </c>
      <c r="Z16" s="50"/>
      <c r="AA16" s="50">
        <f>1077+75</f>
        <v>1152</v>
      </c>
      <c r="AB16" s="50">
        <f t="shared" si="2"/>
        <v>0</v>
      </c>
      <c r="AC16" s="51">
        <f t="shared" si="3"/>
        <v>0</v>
      </c>
      <c r="AD16" s="50">
        <f t="shared" si="25"/>
        <v>1195</v>
      </c>
      <c r="AE16" s="51">
        <f t="shared" si="4"/>
        <v>0.17725623077900923</v>
      </c>
      <c r="AF16" s="1047"/>
      <c r="AG16" s="40">
        <f t="shared" si="42"/>
        <v>725</v>
      </c>
      <c r="AH16" s="41"/>
      <c r="AI16" s="41">
        <v>695</v>
      </c>
      <c r="AJ16" s="41">
        <f t="shared" si="54"/>
        <v>30</v>
      </c>
      <c r="AK16" s="42">
        <f t="shared" si="6"/>
        <v>159.14697222885334</v>
      </c>
      <c r="AL16" s="41">
        <f t="shared" si="43"/>
        <v>490</v>
      </c>
      <c r="AM16" s="42">
        <f t="shared" si="26"/>
        <v>7.2682471198087475E-2</v>
      </c>
      <c r="AN16" s="1058"/>
      <c r="AO16" s="67">
        <v>4.2</v>
      </c>
      <c r="AP16" s="67">
        <v>24</v>
      </c>
      <c r="AQ16" s="68">
        <f t="shared" si="34"/>
        <v>50.102640000000008</v>
      </c>
      <c r="AR16" s="68">
        <f t="shared" si="7"/>
        <v>10.406137843945235</v>
      </c>
      <c r="AS16" s="69">
        <f t="shared" si="44"/>
        <v>861.28824000000009</v>
      </c>
      <c r="AT16" s="140">
        <f t="shared" si="8"/>
        <v>9.6001118189211194</v>
      </c>
      <c r="AU16" s="1073"/>
      <c r="AV16" s="216">
        <v>2.2999999999999998</v>
      </c>
      <c r="AW16" s="71">
        <v>12</v>
      </c>
      <c r="AX16" s="72">
        <f t="shared" si="35"/>
        <v>14.261747999999999</v>
      </c>
      <c r="AY16" s="72">
        <f t="shared" si="9"/>
        <v>2.9621136847002525</v>
      </c>
      <c r="AZ16" s="73">
        <f t="shared" si="45"/>
        <v>325.53989999999999</v>
      </c>
      <c r="BA16" s="192">
        <f t="shared" si="10"/>
        <v>3.6285407095775497</v>
      </c>
      <c r="BB16" s="1075"/>
      <c r="BC16" s="56">
        <f t="shared" si="50"/>
        <v>20240</v>
      </c>
      <c r="BD16" s="56"/>
      <c r="BE16" s="56">
        <v>20240</v>
      </c>
      <c r="BF16" s="57">
        <f t="shared" si="37"/>
        <v>0</v>
      </c>
      <c r="BG16" s="58">
        <f t="shared" si="27"/>
        <v>7892</v>
      </c>
      <c r="BH16" s="58">
        <f t="shared" si="11"/>
        <v>87.96600134111371</v>
      </c>
      <c r="BI16" s="1133"/>
      <c r="BJ16" s="63">
        <f t="shared" si="51"/>
        <v>2016</v>
      </c>
      <c r="BK16" s="64"/>
      <c r="BL16" s="64">
        <v>1920</v>
      </c>
      <c r="BM16" s="64">
        <f t="shared" si="28"/>
        <v>96</v>
      </c>
      <c r="BN16" s="65">
        <f t="shared" si="29"/>
        <v>0.50927031113233068</v>
      </c>
      <c r="BO16" s="64">
        <f t="shared" si="30"/>
        <v>2040</v>
      </c>
      <c r="BP16" s="65">
        <f t="shared" si="31"/>
        <v>0.30259641070224169</v>
      </c>
      <c r="BQ16" s="1071"/>
      <c r="BR16" s="77">
        <f t="shared" si="52"/>
        <v>33023</v>
      </c>
      <c r="BS16" s="317"/>
      <c r="BT16" s="35">
        <v>33023</v>
      </c>
      <c r="BU16" s="74">
        <f t="shared" si="55"/>
        <v>0</v>
      </c>
      <c r="BV16" s="74">
        <f t="shared" si="56"/>
        <v>65238</v>
      </c>
      <c r="BW16" s="74">
        <f t="shared" si="13"/>
        <v>727.15737398524789</v>
      </c>
      <c r="BX16" s="1098"/>
      <c r="BY16" s="295">
        <f t="shared" si="53"/>
        <v>440</v>
      </c>
      <c r="BZ16" s="296"/>
      <c r="CA16" s="296">
        <v>280</v>
      </c>
      <c r="CB16" s="296">
        <f t="shared" si="14"/>
        <v>160</v>
      </c>
      <c r="CC16" s="297">
        <f t="shared" si="15"/>
        <v>0.84878385188721783</v>
      </c>
      <c r="CD16" s="296">
        <f t="shared" si="48"/>
        <v>2020</v>
      </c>
      <c r="CE16" s="297">
        <f t="shared" si="16"/>
        <v>0.29962977922476874</v>
      </c>
      <c r="CF16" s="1061"/>
    </row>
    <row r="17" spans="1:84">
      <c r="A17" s="30">
        <v>44330</v>
      </c>
      <c r="B17" s="32">
        <v>494.3</v>
      </c>
      <c r="C17" s="842">
        <f t="shared" si="39"/>
        <v>7235.9530000000004</v>
      </c>
      <c r="D17" s="842">
        <v>5247.36</v>
      </c>
      <c r="E17" s="843">
        <f t="shared" si="40"/>
        <v>94963.839999999982</v>
      </c>
      <c r="F17" s="240">
        <f t="shared" si="33"/>
        <v>2000</v>
      </c>
      <c r="G17" s="240"/>
      <c r="H17" s="280"/>
      <c r="I17" s="240">
        <v>0</v>
      </c>
      <c r="J17" s="240">
        <f t="shared" si="17"/>
        <v>2000</v>
      </c>
      <c r="K17" s="280">
        <f t="shared" si="18"/>
        <v>4046.1258345134534</v>
      </c>
      <c r="L17" s="240">
        <f t="shared" si="49"/>
        <v>188810</v>
      </c>
      <c r="M17" s="280">
        <f t="shared" si="20"/>
        <v>26093.314868131398</v>
      </c>
      <c r="N17" s="280">
        <f t="shared" si="21"/>
        <v>3194.9693728580137</v>
      </c>
      <c r="O17" s="1089"/>
      <c r="P17" s="1084"/>
      <c r="Q17" s="35">
        <f t="shared" si="22"/>
        <v>35878</v>
      </c>
      <c r="R17" s="35"/>
      <c r="S17" s="35">
        <v>34002</v>
      </c>
      <c r="T17" s="35">
        <f t="shared" si="0"/>
        <v>1876</v>
      </c>
      <c r="U17" s="36">
        <f t="shared" si="1"/>
        <v>3795.2660327736194</v>
      </c>
      <c r="V17" s="74">
        <f t="shared" si="23"/>
        <v>18022</v>
      </c>
      <c r="W17" s="36">
        <f t="shared" si="24"/>
        <v>2.4906187201602883</v>
      </c>
      <c r="X17" s="1136"/>
      <c r="Y17" s="49">
        <f t="shared" si="41"/>
        <v>1152</v>
      </c>
      <c r="Z17" s="50"/>
      <c r="AA17" s="50">
        <f>1057+72</f>
        <v>1129</v>
      </c>
      <c r="AB17" s="50">
        <f t="shared" si="2"/>
        <v>23</v>
      </c>
      <c r="AC17" s="51">
        <f t="shared" si="3"/>
        <v>4.6530447096904716E-2</v>
      </c>
      <c r="AD17" s="50">
        <f t="shared" si="25"/>
        <v>1218</v>
      </c>
      <c r="AE17" s="51">
        <f t="shared" si="4"/>
        <v>0.16832613478832711</v>
      </c>
      <c r="AF17" s="1047"/>
      <c r="AG17" s="40">
        <f t="shared" si="42"/>
        <v>695</v>
      </c>
      <c r="AH17" s="41">
        <v>440</v>
      </c>
      <c r="AI17" s="41">
        <v>1100</v>
      </c>
      <c r="AJ17" s="41">
        <f t="shared" si="54"/>
        <v>35</v>
      </c>
      <c r="AK17" s="42">
        <f t="shared" si="6"/>
        <v>70.807202103985432</v>
      </c>
      <c r="AL17" s="41">
        <f t="shared" si="43"/>
        <v>525</v>
      </c>
      <c r="AM17" s="42">
        <f t="shared" si="26"/>
        <v>7.2554368443244449E-2</v>
      </c>
      <c r="AN17" s="1058"/>
      <c r="AO17" s="67">
        <v>4.2</v>
      </c>
      <c r="AP17" s="67">
        <v>24</v>
      </c>
      <c r="AQ17" s="68">
        <f t="shared" si="34"/>
        <v>50.102640000000008</v>
      </c>
      <c r="AR17" s="68">
        <f t="shared" si="7"/>
        <v>9.5481613611416041</v>
      </c>
      <c r="AS17" s="69">
        <f t="shared" si="44"/>
        <v>911.39088000000015</v>
      </c>
      <c r="AT17" s="140">
        <f t="shared" si="8"/>
        <v>9.5972412236067992</v>
      </c>
      <c r="AU17" s="1073"/>
      <c r="AV17" s="71">
        <v>2.5</v>
      </c>
      <c r="AW17" s="71">
        <v>12</v>
      </c>
      <c r="AX17" s="72">
        <f t="shared" si="35"/>
        <v>15.501900000000001</v>
      </c>
      <c r="AY17" s="72">
        <f t="shared" si="9"/>
        <v>2.9542284120014641</v>
      </c>
      <c r="AZ17" s="73">
        <f t="shared" si="45"/>
        <v>341.04179999999997</v>
      </c>
      <c r="BA17" s="192">
        <f t="shared" si="10"/>
        <v>3.5912806390306042</v>
      </c>
      <c r="BB17" s="1075"/>
      <c r="BC17" s="56">
        <f t="shared" si="50"/>
        <v>20240</v>
      </c>
      <c r="BD17" s="56"/>
      <c r="BE17" s="56">
        <v>16940</v>
      </c>
      <c r="BF17" s="57">
        <f t="shared" si="37"/>
        <v>3300</v>
      </c>
      <c r="BG17" s="58">
        <f t="shared" si="27"/>
        <v>11192</v>
      </c>
      <c r="BH17" s="58">
        <f t="shared" si="11"/>
        <v>117.855385797373</v>
      </c>
      <c r="BI17" s="1133"/>
      <c r="BJ17" s="63">
        <f t="shared" si="51"/>
        <v>1920</v>
      </c>
      <c r="BK17" s="64"/>
      <c r="BL17" s="64">
        <v>1788</v>
      </c>
      <c r="BM17" s="64">
        <f t="shared" si="28"/>
        <v>132</v>
      </c>
      <c r="BN17" s="65">
        <f t="shared" si="29"/>
        <v>0.2670443050778879</v>
      </c>
      <c r="BO17" s="64">
        <f t="shared" si="30"/>
        <v>2172</v>
      </c>
      <c r="BP17" s="65">
        <f t="shared" si="31"/>
        <v>0.30016778715947989</v>
      </c>
      <c r="BQ17" s="1071"/>
      <c r="BR17" s="77">
        <f t="shared" si="52"/>
        <v>33023</v>
      </c>
      <c r="BS17" s="35"/>
      <c r="BT17" s="35">
        <v>28402</v>
      </c>
      <c r="BU17" s="74">
        <f t="shared" si="55"/>
        <v>4621</v>
      </c>
      <c r="BV17" s="74">
        <f t="shared" si="56"/>
        <v>69859</v>
      </c>
      <c r="BW17" s="74">
        <f t="shared" si="13"/>
        <v>735.63790175292002</v>
      </c>
      <c r="BX17" s="1098"/>
      <c r="BY17" s="295">
        <f t="shared" si="53"/>
        <v>280</v>
      </c>
      <c r="BZ17" s="296"/>
      <c r="CA17" s="296">
        <v>100</v>
      </c>
      <c r="CB17" s="296">
        <f t="shared" si="14"/>
        <v>180</v>
      </c>
      <c r="CC17" s="297">
        <f t="shared" si="15"/>
        <v>0.36415132510621079</v>
      </c>
      <c r="CD17" s="296">
        <f t="shared" si="48"/>
        <v>2200</v>
      </c>
      <c r="CE17" s="297">
        <f t="shared" si="16"/>
        <v>0.30403735347645289</v>
      </c>
      <c r="CF17" s="1061"/>
    </row>
    <row r="18" spans="1:84">
      <c r="A18" s="30">
        <v>44331</v>
      </c>
      <c r="B18" s="32">
        <v>494.88799999999998</v>
      </c>
      <c r="C18" s="842">
        <f t="shared" si="39"/>
        <v>7730.8410000000003</v>
      </c>
      <c r="D18" s="842">
        <v>5760.14</v>
      </c>
      <c r="E18" s="843">
        <f t="shared" si="40"/>
        <v>100723.97999999998</v>
      </c>
      <c r="F18" s="240">
        <f t="shared" si="33"/>
        <v>0</v>
      </c>
      <c r="G18" s="240">
        <v>18600</v>
      </c>
      <c r="H18" s="280">
        <v>12.74</v>
      </c>
      <c r="I18" s="240">
        <v>1000</v>
      </c>
      <c r="J18" s="240">
        <f t="shared" si="17"/>
        <v>17600</v>
      </c>
      <c r="K18" s="280">
        <f t="shared" si="18"/>
        <v>35563.602269604438</v>
      </c>
      <c r="L18" s="240">
        <f t="shared" si="49"/>
        <v>206410</v>
      </c>
      <c r="M18" s="280">
        <f t="shared" si="20"/>
        <v>26699.553127531661</v>
      </c>
      <c r="N18" s="280">
        <f t="shared" si="21"/>
        <v>3269.1995993059459</v>
      </c>
      <c r="O18" s="1089"/>
      <c r="P18" s="1084"/>
      <c r="Q18" s="35">
        <f t="shared" si="22"/>
        <v>34002</v>
      </c>
      <c r="R18" s="35"/>
      <c r="S18" s="35">
        <v>33733</v>
      </c>
      <c r="T18" s="35">
        <f t="shared" si="0"/>
        <v>269</v>
      </c>
      <c r="U18" s="36">
        <f t="shared" si="1"/>
        <v>543.55733014338603</v>
      </c>
      <c r="V18" s="74">
        <f t="shared" si="23"/>
        <v>18291</v>
      </c>
      <c r="W18" s="36">
        <f t="shared" si="24"/>
        <v>2.3659780352486877</v>
      </c>
      <c r="X18" s="1136"/>
      <c r="Y18" s="49">
        <f t="shared" si="41"/>
        <v>1129</v>
      </c>
      <c r="Z18" s="50"/>
      <c r="AA18" s="50">
        <f>938+78</f>
        <v>1016</v>
      </c>
      <c r="AB18" s="50">
        <f t="shared" si="2"/>
        <v>113</v>
      </c>
      <c r="AC18" s="51">
        <f t="shared" si="3"/>
        <v>0.2283344918446194</v>
      </c>
      <c r="AD18" s="50">
        <f t="shared" si="25"/>
        <v>1331</v>
      </c>
      <c r="AE18" s="51">
        <f t="shared" si="4"/>
        <v>0.17216755589721738</v>
      </c>
      <c r="AF18" s="1047"/>
      <c r="AG18" s="40">
        <f t="shared" si="42"/>
        <v>1100</v>
      </c>
      <c r="AH18" s="41"/>
      <c r="AI18" s="41">
        <v>1081</v>
      </c>
      <c r="AJ18" s="41">
        <f t="shared" si="54"/>
        <v>19</v>
      </c>
      <c r="AK18" s="42">
        <f t="shared" si="6"/>
        <v>38.39252517741388</v>
      </c>
      <c r="AL18" s="41">
        <f t="shared" si="43"/>
        <v>544</v>
      </c>
      <c r="AM18" s="42">
        <f t="shared" si="26"/>
        <v>7.0367505941462252E-2</v>
      </c>
      <c r="AN18" s="1058"/>
      <c r="AO18" s="67">
        <v>4.2</v>
      </c>
      <c r="AP18" s="67">
        <v>24</v>
      </c>
      <c r="AQ18" s="68">
        <f t="shared" si="34"/>
        <v>50.102640000000008</v>
      </c>
      <c r="AR18" s="68">
        <f t="shared" si="7"/>
        <v>8.6981635863017228</v>
      </c>
      <c r="AS18" s="69">
        <f t="shared" si="44"/>
        <v>961.49352000000022</v>
      </c>
      <c r="AT18" s="140">
        <f t="shared" si="8"/>
        <v>9.5458253337487307</v>
      </c>
      <c r="AU18" s="1073"/>
      <c r="AV18" s="71">
        <v>2.9</v>
      </c>
      <c r="AW18" s="71">
        <v>12</v>
      </c>
      <c r="AX18" s="72">
        <f t="shared" si="35"/>
        <v>17.982203999999999</v>
      </c>
      <c r="AY18" s="72">
        <f t="shared" si="9"/>
        <v>3.1218345387438493</v>
      </c>
      <c r="AZ18" s="73">
        <f t="shared" si="45"/>
        <v>359.02400399999999</v>
      </c>
      <c r="BA18" s="192">
        <f t="shared" si="10"/>
        <v>3.5644342489246363</v>
      </c>
      <c r="BB18" s="1075"/>
      <c r="BC18" s="56">
        <f t="shared" si="50"/>
        <v>16940</v>
      </c>
      <c r="BD18" s="56"/>
      <c r="BE18" s="56">
        <v>16940</v>
      </c>
      <c r="BF18" s="57">
        <f t="shared" si="37"/>
        <v>0</v>
      </c>
      <c r="BG18" s="58">
        <f t="shared" si="27"/>
        <v>11192</v>
      </c>
      <c r="BH18" s="58">
        <f t="shared" si="11"/>
        <v>111.11554567244069</v>
      </c>
      <c r="BI18" s="1133"/>
      <c r="BJ18" s="63">
        <f t="shared" si="51"/>
        <v>1788</v>
      </c>
      <c r="BK18" s="64"/>
      <c r="BL18" s="64">
        <v>1680</v>
      </c>
      <c r="BM18" s="64">
        <f t="shared" si="28"/>
        <v>108</v>
      </c>
      <c r="BN18" s="65">
        <f t="shared" si="29"/>
        <v>0.21823119574529995</v>
      </c>
      <c r="BO18" s="64">
        <f t="shared" si="30"/>
        <v>2280</v>
      </c>
      <c r="BP18" s="65">
        <f t="shared" si="31"/>
        <v>0.29492263519583445</v>
      </c>
      <c r="BQ18" s="1071"/>
      <c r="BR18" s="77">
        <f t="shared" si="52"/>
        <v>28402</v>
      </c>
      <c r="BS18" s="35"/>
      <c r="BT18" s="35">
        <v>24705</v>
      </c>
      <c r="BU18" s="74">
        <f t="shared" si="55"/>
        <v>3697</v>
      </c>
      <c r="BV18" s="74">
        <f t="shared" si="56"/>
        <v>73556</v>
      </c>
      <c r="BW18" s="74">
        <f t="shared" si="13"/>
        <v>730.2729697535782</v>
      </c>
      <c r="BX18" s="1098"/>
      <c r="BY18" s="295">
        <f t="shared" si="53"/>
        <v>100</v>
      </c>
      <c r="BZ18" s="296">
        <v>2300</v>
      </c>
      <c r="CA18" s="296">
        <v>2000</v>
      </c>
      <c r="CB18" s="296">
        <f t="shared" si="14"/>
        <v>400</v>
      </c>
      <c r="CC18" s="297">
        <f t="shared" si="15"/>
        <v>0.80826368794555536</v>
      </c>
      <c r="CD18" s="296">
        <f t="shared" si="48"/>
        <v>2600</v>
      </c>
      <c r="CE18" s="297">
        <f t="shared" si="16"/>
        <v>0.33631528574963576</v>
      </c>
      <c r="CF18" s="1061"/>
    </row>
    <row r="19" spans="1:84">
      <c r="A19" s="30">
        <v>44332</v>
      </c>
      <c r="B19" s="32">
        <v>509.714</v>
      </c>
      <c r="C19" s="842">
        <f t="shared" si="39"/>
        <v>8240.5550000000003</v>
      </c>
      <c r="D19" s="842">
        <v>5715.44</v>
      </c>
      <c r="E19" s="843">
        <f t="shared" si="40"/>
        <v>106439.41999999998</v>
      </c>
      <c r="F19" s="240">
        <f t="shared" si="33"/>
        <v>1000</v>
      </c>
      <c r="G19" s="240">
        <v>18600</v>
      </c>
      <c r="H19" s="280">
        <v>11.1</v>
      </c>
      <c r="I19" s="240">
        <v>400</v>
      </c>
      <c r="J19" s="240">
        <f t="shared" si="17"/>
        <v>19200</v>
      </c>
      <c r="K19" s="280">
        <f t="shared" si="18"/>
        <v>37668.182549429679</v>
      </c>
      <c r="L19" s="240">
        <f t="shared" si="49"/>
        <v>225610</v>
      </c>
      <c r="M19" s="280">
        <f t="shared" si="20"/>
        <v>27378.010340322951</v>
      </c>
      <c r="N19" s="280">
        <f t="shared" si="21"/>
        <v>3352.2726019741585</v>
      </c>
      <c r="O19" s="1089"/>
      <c r="P19" s="1084"/>
      <c r="Q19" s="35">
        <f t="shared" si="22"/>
        <v>33733</v>
      </c>
      <c r="R19" s="35"/>
      <c r="S19" s="35">
        <v>32657</v>
      </c>
      <c r="T19" s="35">
        <f t="shared" si="0"/>
        <v>1076</v>
      </c>
      <c r="U19" s="36">
        <f t="shared" si="1"/>
        <v>2110.9877303742883</v>
      </c>
      <c r="V19" s="74">
        <f t="shared" si="23"/>
        <v>19367</v>
      </c>
      <c r="W19" s="36">
        <f t="shared" si="24"/>
        <v>2.3502057810426602</v>
      </c>
      <c r="X19" s="1136"/>
      <c r="Y19" s="49">
        <f t="shared" si="41"/>
        <v>1016</v>
      </c>
      <c r="Z19" s="50"/>
      <c r="AA19" s="50">
        <v>950</v>
      </c>
      <c r="AB19" s="50">
        <f t="shared" si="2"/>
        <v>66</v>
      </c>
      <c r="AC19" s="51">
        <f t="shared" si="3"/>
        <v>0.12948437751366454</v>
      </c>
      <c r="AD19" s="50">
        <f t="shared" si="25"/>
        <v>1397</v>
      </c>
      <c r="AE19" s="51">
        <f t="shared" si="4"/>
        <v>0.16952741653929862</v>
      </c>
      <c r="AF19" s="1047"/>
      <c r="AG19" s="40">
        <f t="shared" si="42"/>
        <v>1081</v>
      </c>
      <c r="AH19" s="41"/>
      <c r="AI19" s="41">
        <v>1042</v>
      </c>
      <c r="AJ19" s="41">
        <f t="shared" si="54"/>
        <v>39</v>
      </c>
      <c r="AK19" s="42">
        <f t="shared" si="6"/>
        <v>76.51349580352904</v>
      </c>
      <c r="AL19" s="41">
        <f t="shared" si="43"/>
        <v>583</v>
      </c>
      <c r="AM19" s="42">
        <f t="shared" si="26"/>
        <v>7.0747662020337221E-2</v>
      </c>
      <c r="AN19" s="1058"/>
      <c r="AO19" s="311">
        <v>4</v>
      </c>
      <c r="AP19" s="67">
        <v>24</v>
      </c>
      <c r="AQ19" s="68">
        <f t="shared" si="34"/>
        <v>47.716799999999999</v>
      </c>
      <c r="AR19" s="68">
        <f t="shared" si="7"/>
        <v>8.34875355178254</v>
      </c>
      <c r="AS19" s="69">
        <f t="shared" si="44"/>
        <v>1009.2103200000003</v>
      </c>
      <c r="AT19" s="140">
        <f t="shared" si="8"/>
        <v>9.4815465924184892</v>
      </c>
      <c r="AU19" s="1073"/>
      <c r="AV19" s="71">
        <v>2.9</v>
      </c>
      <c r="AW19" s="71">
        <v>12</v>
      </c>
      <c r="AX19" s="72">
        <f t="shared" si="35"/>
        <v>17.982203999999999</v>
      </c>
      <c r="AY19" s="72">
        <f t="shared" si="9"/>
        <v>3.1462501574681911</v>
      </c>
      <c r="AZ19" s="73">
        <f t="shared" si="45"/>
        <v>377.00620800000002</v>
      </c>
      <c r="BA19" s="192">
        <f t="shared" si="10"/>
        <v>3.5419791652378425</v>
      </c>
      <c r="BB19" s="1075"/>
      <c r="BC19" s="56">
        <f t="shared" si="50"/>
        <v>16940</v>
      </c>
      <c r="BD19" s="56"/>
      <c r="BE19" s="56">
        <v>16940</v>
      </c>
      <c r="BF19" s="57">
        <f t="shared" si="37"/>
        <v>0</v>
      </c>
      <c r="BG19" s="58">
        <f t="shared" si="27"/>
        <v>11192</v>
      </c>
      <c r="BH19" s="58">
        <f t="shared" si="11"/>
        <v>105.14901340123802</v>
      </c>
      <c r="BI19" s="1133"/>
      <c r="BJ19" s="63">
        <f t="shared" si="51"/>
        <v>1680</v>
      </c>
      <c r="BK19" s="64"/>
      <c r="BL19" s="64">
        <v>1560</v>
      </c>
      <c r="BM19" s="64">
        <f t="shared" si="28"/>
        <v>120</v>
      </c>
      <c r="BN19" s="65">
        <f t="shared" si="29"/>
        <v>0.23542614093393549</v>
      </c>
      <c r="BO19" s="64">
        <f t="shared" si="30"/>
        <v>2400</v>
      </c>
      <c r="BP19" s="65">
        <f t="shared" si="31"/>
        <v>0.29124251946622526</v>
      </c>
      <c r="BQ19" s="1071"/>
      <c r="BR19" s="77">
        <f t="shared" si="52"/>
        <v>24705</v>
      </c>
      <c r="BS19" s="35"/>
      <c r="BT19" s="35">
        <v>23781</v>
      </c>
      <c r="BU19" s="74">
        <f t="shared" si="55"/>
        <v>924</v>
      </c>
      <c r="BV19" s="74">
        <f t="shared" si="56"/>
        <v>74480</v>
      </c>
      <c r="BW19" s="74">
        <f t="shared" si="13"/>
        <v>699.74075394247745</v>
      </c>
      <c r="BX19" s="1098"/>
      <c r="BY19" s="295">
        <f t="shared" si="53"/>
        <v>2000</v>
      </c>
      <c r="BZ19" s="296"/>
      <c r="CA19" s="296">
        <v>1780</v>
      </c>
      <c r="CB19" s="296">
        <f t="shared" si="14"/>
        <v>220</v>
      </c>
      <c r="CC19" s="297">
        <f t="shared" si="15"/>
        <v>0.43161459171221511</v>
      </c>
      <c r="CD19" s="296">
        <f t="shared" si="48"/>
        <v>2820</v>
      </c>
      <c r="CE19" s="297">
        <f t="shared" si="16"/>
        <v>0.3422099603728147</v>
      </c>
      <c r="CF19" s="1061"/>
    </row>
    <row r="20" spans="1:84">
      <c r="A20" s="30">
        <v>44333</v>
      </c>
      <c r="B20" s="32">
        <v>527.03700000000003</v>
      </c>
      <c r="C20" s="842">
        <f t="shared" si="39"/>
        <v>8767.5920000000006</v>
      </c>
      <c r="D20" s="842">
        <v>5875.11</v>
      </c>
      <c r="E20" s="843">
        <f t="shared" si="40"/>
        <v>112314.52999999998</v>
      </c>
      <c r="F20" s="240">
        <f t="shared" si="33"/>
        <v>400</v>
      </c>
      <c r="G20" s="240">
        <v>29590</v>
      </c>
      <c r="H20" s="280">
        <v>34.86</v>
      </c>
      <c r="I20" s="240">
        <v>26900</v>
      </c>
      <c r="J20" s="240">
        <f t="shared" si="17"/>
        <v>3090</v>
      </c>
      <c r="K20" s="280">
        <f t="shared" si="18"/>
        <v>5862.9659777207289</v>
      </c>
      <c r="L20" s="240">
        <f t="shared" si="49"/>
        <v>228700</v>
      </c>
      <c r="M20" s="280">
        <f t="shared" si="20"/>
        <v>26084.69919676919</v>
      </c>
      <c r="N20" s="280">
        <f t="shared" si="21"/>
        <v>3193.9144357498703</v>
      </c>
      <c r="O20" s="1089"/>
      <c r="P20" s="1084"/>
      <c r="Q20" s="35">
        <f t="shared" si="22"/>
        <v>32657</v>
      </c>
      <c r="R20" s="35"/>
      <c r="S20" s="35">
        <v>28350</v>
      </c>
      <c r="T20" s="35">
        <f t="shared" si="0"/>
        <v>4307</v>
      </c>
      <c r="U20" s="36">
        <f t="shared" si="1"/>
        <v>8172.1017689460132</v>
      </c>
      <c r="V20" s="74">
        <f t="shared" si="23"/>
        <v>23674</v>
      </c>
      <c r="W20" s="36">
        <f t="shared" si="24"/>
        <v>2.7001712670936326</v>
      </c>
      <c r="X20" s="1136"/>
      <c r="Y20" s="49">
        <f t="shared" si="41"/>
        <v>950</v>
      </c>
      <c r="Z20" s="50"/>
      <c r="AA20" s="50">
        <v>900</v>
      </c>
      <c r="AB20" s="50">
        <f t="shared" si="2"/>
        <v>50</v>
      </c>
      <c r="AC20" s="51">
        <f t="shared" si="3"/>
        <v>9.4869999639493996E-2</v>
      </c>
      <c r="AD20" s="50">
        <f t="shared" si="25"/>
        <v>1447</v>
      </c>
      <c r="AE20" s="51">
        <f t="shared" si="4"/>
        <v>0.1650396140696328</v>
      </c>
      <c r="AF20" s="1047"/>
      <c r="AG20" s="40">
        <f t="shared" si="42"/>
        <v>1042</v>
      </c>
      <c r="AH20" s="41"/>
      <c r="AI20" s="41">
        <v>1010</v>
      </c>
      <c r="AJ20" s="41">
        <f t="shared" si="54"/>
        <v>32</v>
      </c>
      <c r="AK20" s="42">
        <f t="shared" si="6"/>
        <v>60.716799769276157</v>
      </c>
      <c r="AL20" s="41">
        <f t="shared" si="43"/>
        <v>615</v>
      </c>
      <c r="AM20" s="42">
        <f t="shared" si="26"/>
        <v>7.014468738965042E-2</v>
      </c>
      <c r="AN20" s="1058"/>
      <c r="AO20" s="67">
        <v>4.2</v>
      </c>
      <c r="AP20" s="67">
        <v>24</v>
      </c>
      <c r="AQ20" s="68">
        <f t="shared" si="34"/>
        <v>50.102640000000008</v>
      </c>
      <c r="AR20" s="68">
        <f t="shared" si="7"/>
        <v>8.5279492639286776</v>
      </c>
      <c r="AS20" s="69">
        <f t="shared" si="44"/>
        <v>1059.3129600000002</v>
      </c>
      <c r="AT20" s="140">
        <f t="shared" si="8"/>
        <v>9.4316644516074657</v>
      </c>
      <c r="AU20" s="1073"/>
      <c r="AV20" s="71">
        <v>3.1</v>
      </c>
      <c r="AW20" s="71">
        <v>12</v>
      </c>
      <c r="AX20" s="72">
        <f t="shared" si="35"/>
        <v>19.222356000000001</v>
      </c>
      <c r="AY20" s="72">
        <f t="shared" si="9"/>
        <v>3.2718291231993955</v>
      </c>
      <c r="AZ20" s="73">
        <f t="shared" si="45"/>
        <v>396.22856400000001</v>
      </c>
      <c r="BA20" s="192">
        <f t="shared" si="10"/>
        <v>3.5278477682273173</v>
      </c>
      <c r="BB20" s="1075"/>
      <c r="BC20" s="56">
        <f t="shared" si="50"/>
        <v>16940</v>
      </c>
      <c r="BD20" s="56"/>
      <c r="BE20" s="56">
        <v>16940</v>
      </c>
      <c r="BF20" s="57">
        <f t="shared" si="37"/>
        <v>0</v>
      </c>
      <c r="BG20" s="58">
        <f t="shared" si="27"/>
        <v>11192</v>
      </c>
      <c r="BH20" s="58">
        <f t="shared" si="11"/>
        <v>99.648727551101373</v>
      </c>
      <c r="BI20" s="1133"/>
      <c r="BJ20" s="63">
        <f t="shared" si="51"/>
        <v>1560</v>
      </c>
      <c r="BK20" s="64"/>
      <c r="BL20" s="64">
        <v>1428</v>
      </c>
      <c r="BM20" s="64">
        <f t="shared" si="28"/>
        <v>132</v>
      </c>
      <c r="BN20" s="65">
        <f t="shared" si="29"/>
        <v>0.25045679904826412</v>
      </c>
      <c r="BO20" s="64">
        <f t="shared" si="30"/>
        <v>2532</v>
      </c>
      <c r="BP20" s="65">
        <f t="shared" si="31"/>
        <v>0.28879081052129246</v>
      </c>
      <c r="BQ20" s="1071"/>
      <c r="BR20" s="77">
        <f t="shared" si="52"/>
        <v>23781</v>
      </c>
      <c r="BS20" s="35"/>
      <c r="BT20" s="35">
        <v>20084</v>
      </c>
      <c r="BU20" s="74">
        <f t="shared" si="55"/>
        <v>3697</v>
      </c>
      <c r="BV20" s="74">
        <f t="shared" si="56"/>
        <v>78177</v>
      </c>
      <c r="BW20" s="74">
        <f t="shared" si="13"/>
        <v>696.05419708385023</v>
      </c>
      <c r="BX20" s="1098"/>
      <c r="BY20" s="295">
        <f t="shared" si="53"/>
        <v>1780</v>
      </c>
      <c r="BZ20" s="296"/>
      <c r="CA20" s="296">
        <v>1650</v>
      </c>
      <c r="CB20" s="296">
        <f t="shared" si="14"/>
        <v>130</v>
      </c>
      <c r="CC20" s="297">
        <f t="shared" si="15"/>
        <v>0.24666199906268438</v>
      </c>
      <c r="CD20" s="296">
        <f t="shared" si="48"/>
        <v>2950</v>
      </c>
      <c r="CE20" s="297">
        <f t="shared" si="16"/>
        <v>0.33646638666580286</v>
      </c>
      <c r="CF20" s="1061"/>
    </row>
    <row r="21" spans="1:84">
      <c r="A21" s="30">
        <v>44334</v>
      </c>
      <c r="B21" s="32">
        <v>541.36300000000006</v>
      </c>
      <c r="C21" s="842">
        <f t="shared" si="39"/>
        <v>9308.9549999999999</v>
      </c>
      <c r="D21" s="842">
        <v>5762.13</v>
      </c>
      <c r="E21" s="843">
        <f t="shared" si="40"/>
        <v>118076.65999999999</v>
      </c>
      <c r="F21" s="240">
        <f t="shared" si="33"/>
        <v>26900</v>
      </c>
      <c r="G21" s="240"/>
      <c r="H21" s="280"/>
      <c r="I21" s="240">
        <v>22000</v>
      </c>
      <c r="J21" s="240">
        <f t="shared" si="17"/>
        <v>4900</v>
      </c>
      <c r="K21" s="280">
        <f t="shared" si="18"/>
        <v>9051.2281038785422</v>
      </c>
      <c r="L21" s="240">
        <f t="shared" si="49"/>
        <v>233600</v>
      </c>
      <c r="M21" s="280">
        <f t="shared" si="20"/>
        <v>25094.116364296529</v>
      </c>
      <c r="N21" s="280">
        <f t="shared" si="21"/>
        <v>3072.6235293616419</v>
      </c>
      <c r="O21" s="1089"/>
      <c r="P21" s="1084"/>
      <c r="Q21" s="35">
        <f t="shared" si="22"/>
        <v>28350</v>
      </c>
      <c r="R21" s="35"/>
      <c r="S21" s="35">
        <v>28350</v>
      </c>
      <c r="T21" s="35">
        <f t="shared" si="0"/>
        <v>0</v>
      </c>
      <c r="U21" s="36">
        <f t="shared" si="1"/>
        <v>0</v>
      </c>
      <c r="V21" s="74">
        <f t="shared" si="23"/>
        <v>23674</v>
      </c>
      <c r="W21" s="36">
        <f t="shared" si="24"/>
        <v>2.5431425976385102</v>
      </c>
      <c r="X21" s="1136"/>
      <c r="Y21" s="49">
        <f t="shared" si="41"/>
        <v>900</v>
      </c>
      <c r="Z21" s="50"/>
      <c r="AA21" s="50">
        <v>837</v>
      </c>
      <c r="AB21" s="50">
        <f t="shared" si="2"/>
        <v>63</v>
      </c>
      <c r="AC21" s="51">
        <f t="shared" si="3"/>
        <v>0.1163729327641527</v>
      </c>
      <c r="AD21" s="50">
        <f t="shared" si="25"/>
        <v>1510</v>
      </c>
      <c r="AE21" s="51">
        <f t="shared" si="4"/>
        <v>0.16220939944386883</v>
      </c>
      <c r="AF21" s="1047"/>
      <c r="AG21" s="40">
        <f t="shared" si="42"/>
        <v>1010</v>
      </c>
      <c r="AH21" s="41"/>
      <c r="AI21" s="41">
        <v>980</v>
      </c>
      <c r="AJ21" s="41">
        <f t="shared" si="54"/>
        <v>30</v>
      </c>
      <c r="AK21" s="42">
        <f t="shared" si="6"/>
        <v>55.41568226864414</v>
      </c>
      <c r="AL21" s="41">
        <f t="shared" si="43"/>
        <v>645</v>
      </c>
      <c r="AM21" s="42">
        <f t="shared" si="26"/>
        <v>6.9288120954500265E-2</v>
      </c>
      <c r="AN21" s="1058"/>
      <c r="AO21" s="67">
        <v>3.3</v>
      </c>
      <c r="AP21" s="67">
        <v>24</v>
      </c>
      <c r="AQ21" s="68">
        <f t="shared" si="34"/>
        <v>39.366359999999993</v>
      </c>
      <c r="AR21" s="68">
        <f t="shared" si="7"/>
        <v>6.8319111162018196</v>
      </c>
      <c r="AS21" s="69">
        <f t="shared" si="44"/>
        <v>1098.6793200000002</v>
      </c>
      <c r="AT21" s="140">
        <f t="shared" si="8"/>
        <v>9.3047967312083557</v>
      </c>
      <c r="AU21" s="1073"/>
      <c r="AV21" s="71">
        <v>2.9</v>
      </c>
      <c r="AW21" s="71">
        <v>12</v>
      </c>
      <c r="AX21" s="72">
        <f t="shared" si="35"/>
        <v>17.982203999999999</v>
      </c>
      <c r="AY21" s="72">
        <f t="shared" si="9"/>
        <v>3.1207563869610713</v>
      </c>
      <c r="AZ21" s="73">
        <f t="shared" si="45"/>
        <v>414.21076800000003</v>
      </c>
      <c r="BA21" s="192">
        <f t="shared" si="10"/>
        <v>3.5079817467736647</v>
      </c>
      <c r="BB21" s="1075"/>
      <c r="BC21" s="56">
        <f t="shared" si="50"/>
        <v>16940</v>
      </c>
      <c r="BD21" s="56"/>
      <c r="BE21" s="56">
        <v>16940</v>
      </c>
      <c r="BF21" s="57">
        <f t="shared" si="37"/>
        <v>0</v>
      </c>
      <c r="BG21" s="58">
        <f t="shared" si="27"/>
        <v>11192</v>
      </c>
      <c r="BH21" s="58">
        <f t="shared" si="11"/>
        <v>94.785878936616271</v>
      </c>
      <c r="BI21" s="1133"/>
      <c r="BJ21" s="63">
        <f t="shared" si="51"/>
        <v>1428</v>
      </c>
      <c r="BK21" s="64"/>
      <c r="BL21" s="64">
        <v>1250</v>
      </c>
      <c r="BM21" s="64">
        <f t="shared" si="28"/>
        <v>178</v>
      </c>
      <c r="BN21" s="65">
        <f t="shared" si="29"/>
        <v>0.3287997147939552</v>
      </c>
      <c r="BO21" s="64">
        <f t="shared" si="30"/>
        <v>2710</v>
      </c>
      <c r="BP21" s="65">
        <f t="shared" si="31"/>
        <v>0.2911175314522414</v>
      </c>
      <c r="BQ21" s="1071"/>
      <c r="BR21" s="77">
        <f t="shared" si="52"/>
        <v>20084</v>
      </c>
      <c r="BS21" s="35"/>
      <c r="BT21" s="35">
        <v>19160</v>
      </c>
      <c r="BU21" s="74">
        <f t="shared" si="55"/>
        <v>924</v>
      </c>
      <c r="BV21" s="74">
        <f t="shared" si="56"/>
        <v>79101</v>
      </c>
      <c r="BW21" s="74">
        <f t="shared" si="13"/>
        <v>669.91224175887101</v>
      </c>
      <c r="BX21" s="1098"/>
      <c r="BY21" s="295">
        <f t="shared" si="53"/>
        <v>1650</v>
      </c>
      <c r="BZ21" s="296"/>
      <c r="CA21" s="296">
        <v>1500</v>
      </c>
      <c r="CB21" s="296">
        <f t="shared" si="14"/>
        <v>150</v>
      </c>
      <c r="CC21" s="297">
        <f t="shared" si="15"/>
        <v>0.2770784113432207</v>
      </c>
      <c r="CD21" s="296">
        <f t="shared" si="48"/>
        <v>3100</v>
      </c>
      <c r="CE21" s="297">
        <f t="shared" si="16"/>
        <v>0.33301267435496251</v>
      </c>
      <c r="CF21" s="1061"/>
    </row>
    <row r="22" spans="1:84">
      <c r="A22" s="30">
        <v>44335</v>
      </c>
      <c r="B22" s="32">
        <v>528.60500000000002</v>
      </c>
      <c r="C22" s="842">
        <f t="shared" si="39"/>
        <v>9837.56</v>
      </c>
      <c r="D22" s="842">
        <v>5925.34</v>
      </c>
      <c r="E22" s="843">
        <f t="shared" si="40"/>
        <v>124001.99999999999</v>
      </c>
      <c r="F22" s="240">
        <f t="shared" si="33"/>
        <v>22000</v>
      </c>
      <c r="G22" s="240"/>
      <c r="H22" s="280"/>
      <c r="I22" s="240">
        <v>14400</v>
      </c>
      <c r="J22" s="240">
        <f t="shared" si="17"/>
        <v>7600</v>
      </c>
      <c r="K22" s="280">
        <f t="shared" si="18"/>
        <v>14377.465215047152</v>
      </c>
      <c r="L22" s="240">
        <f t="shared" si="49"/>
        <v>241200</v>
      </c>
      <c r="M22" s="280">
        <f t="shared" si="20"/>
        <v>24518.274856773427</v>
      </c>
      <c r="N22" s="280">
        <f t="shared" si="21"/>
        <v>3002.1152022497158</v>
      </c>
      <c r="O22" s="1089"/>
      <c r="P22" s="1084"/>
      <c r="Q22" s="35">
        <f t="shared" si="22"/>
        <v>28350</v>
      </c>
      <c r="R22" s="35"/>
      <c r="S22" s="35">
        <v>28350</v>
      </c>
      <c r="T22" s="35">
        <f t="shared" si="0"/>
        <v>0</v>
      </c>
      <c r="U22" s="36">
        <f t="shared" si="1"/>
        <v>0</v>
      </c>
      <c r="V22" s="74">
        <f t="shared" si="23"/>
        <v>23674</v>
      </c>
      <c r="W22" s="36">
        <f t="shared" si="24"/>
        <v>2.4064910404612525</v>
      </c>
      <c r="X22" s="1136"/>
      <c r="Y22" s="49">
        <f t="shared" si="41"/>
        <v>837</v>
      </c>
      <c r="Z22" s="50">
        <v>700</v>
      </c>
      <c r="AA22" s="50">
        <v>1491</v>
      </c>
      <c r="AB22" s="50">
        <f t="shared" si="2"/>
        <v>46</v>
      </c>
      <c r="AC22" s="51">
        <f t="shared" si="3"/>
        <v>8.7021499985811712E-2</v>
      </c>
      <c r="AD22" s="50">
        <f t="shared" si="25"/>
        <v>1556</v>
      </c>
      <c r="AE22" s="51">
        <f t="shared" si="4"/>
        <v>0.15816930214402758</v>
      </c>
      <c r="AF22" s="1047"/>
      <c r="AG22" s="40">
        <f t="shared" si="42"/>
        <v>980</v>
      </c>
      <c r="AH22" s="41"/>
      <c r="AI22" s="41">
        <v>950</v>
      </c>
      <c r="AJ22" s="41">
        <f t="shared" si="54"/>
        <v>30</v>
      </c>
      <c r="AK22" s="42">
        <f t="shared" si="6"/>
        <v>56.753152164659809</v>
      </c>
      <c r="AL22" s="41">
        <f t="shared" si="43"/>
        <v>675</v>
      </c>
      <c r="AM22" s="42">
        <f t="shared" si="26"/>
        <v>6.8614575158880864E-2</v>
      </c>
      <c r="AN22" s="1058"/>
      <c r="AO22" s="67">
        <v>1.1000000000000001</v>
      </c>
      <c r="AP22" s="67">
        <v>24</v>
      </c>
      <c r="AQ22" s="68">
        <f t="shared" si="34"/>
        <v>13.122120000000001</v>
      </c>
      <c r="AR22" s="68">
        <f t="shared" si="7"/>
        <v>2.2145767162728216</v>
      </c>
      <c r="AS22" s="69">
        <f t="shared" si="44"/>
        <v>1111.8014400000002</v>
      </c>
      <c r="AT22" s="140">
        <f t="shared" si="8"/>
        <v>8.965996032322062</v>
      </c>
      <c r="AU22" s="1073"/>
      <c r="AV22" s="216">
        <v>3</v>
      </c>
      <c r="AW22" s="71">
        <v>12</v>
      </c>
      <c r="AX22" s="72">
        <f t="shared" si="35"/>
        <v>18.60228</v>
      </c>
      <c r="AY22" s="72">
        <f t="shared" si="9"/>
        <v>3.1394451626404556</v>
      </c>
      <c r="AZ22" s="73">
        <f t="shared" si="45"/>
        <v>432.81304800000004</v>
      </c>
      <c r="BA22" s="192">
        <f t="shared" si="10"/>
        <v>3.4903715101369337</v>
      </c>
      <c r="BB22" s="1075"/>
      <c r="BC22" s="56">
        <f t="shared" si="50"/>
        <v>16940</v>
      </c>
      <c r="BD22" s="56"/>
      <c r="BE22" s="56">
        <v>15006</v>
      </c>
      <c r="BF22" s="57">
        <f t="shared" si="37"/>
        <v>1934</v>
      </c>
      <c r="BG22" s="58">
        <f t="shared" si="27"/>
        <v>13126</v>
      </c>
      <c r="BH22" s="58">
        <f t="shared" si="11"/>
        <v>105.85313140110645</v>
      </c>
      <c r="BI22" s="1133"/>
      <c r="BJ22" s="63">
        <f t="shared" si="51"/>
        <v>1250</v>
      </c>
      <c r="BK22" s="64"/>
      <c r="BL22" s="64">
        <v>1080</v>
      </c>
      <c r="BM22" s="64">
        <f t="shared" si="28"/>
        <v>170</v>
      </c>
      <c r="BN22" s="65">
        <f t="shared" si="29"/>
        <v>0.32160119559973893</v>
      </c>
      <c r="BO22" s="64">
        <f t="shared" si="30"/>
        <v>2880</v>
      </c>
      <c r="BP22" s="65">
        <f t="shared" si="31"/>
        <v>0.29275552067789168</v>
      </c>
      <c r="BQ22" s="1071"/>
      <c r="BR22" s="77">
        <f t="shared" si="52"/>
        <v>19160</v>
      </c>
      <c r="BS22" s="35"/>
      <c r="BT22" s="35">
        <v>16388</v>
      </c>
      <c r="BU22" s="74">
        <f t="shared" si="55"/>
        <v>2772</v>
      </c>
      <c r="BV22" s="74">
        <f t="shared" si="56"/>
        <v>81873</v>
      </c>
      <c r="BW22" s="74">
        <f t="shared" si="13"/>
        <v>660.25547975032669</v>
      </c>
      <c r="BX22" s="1098"/>
      <c r="BY22" s="295">
        <f t="shared" si="53"/>
        <v>1500</v>
      </c>
      <c r="BZ22" s="296"/>
      <c r="CA22" s="296">
        <v>1350</v>
      </c>
      <c r="CB22" s="296">
        <f t="shared" si="14"/>
        <v>150</v>
      </c>
      <c r="CC22" s="297">
        <f t="shared" si="15"/>
        <v>0.28376576082329907</v>
      </c>
      <c r="CD22" s="296">
        <f t="shared" si="48"/>
        <v>3250</v>
      </c>
      <c r="CE22" s="297">
        <f t="shared" si="16"/>
        <v>0.33036647298720417</v>
      </c>
      <c r="CF22" s="1061"/>
    </row>
    <row r="23" spans="1:84">
      <c r="A23" s="30">
        <v>44336</v>
      </c>
      <c r="B23" s="32">
        <v>516.53899999999999</v>
      </c>
      <c r="C23" s="842">
        <f t="shared" si="39"/>
        <v>10354.099</v>
      </c>
      <c r="D23" s="842">
        <v>5714.46</v>
      </c>
      <c r="E23" s="843">
        <f t="shared" si="40"/>
        <v>129716.45999999999</v>
      </c>
      <c r="F23" s="240">
        <f t="shared" si="33"/>
        <v>14400</v>
      </c>
      <c r="G23" s="240">
        <v>32000</v>
      </c>
      <c r="H23" s="280">
        <v>19.690000000000001</v>
      </c>
      <c r="I23" s="240">
        <v>40000</v>
      </c>
      <c r="J23" s="240">
        <f t="shared" si="17"/>
        <v>6400</v>
      </c>
      <c r="K23" s="280">
        <f t="shared" si="18"/>
        <v>12390.158342351691</v>
      </c>
      <c r="L23" s="240">
        <f t="shared" si="49"/>
        <v>247600</v>
      </c>
      <c r="M23" s="280">
        <f t="shared" si="20"/>
        <v>23913.234748866125</v>
      </c>
      <c r="N23" s="280">
        <f t="shared" si="21"/>
        <v>2928.0316822414748</v>
      </c>
      <c r="O23" s="1089"/>
      <c r="P23" s="1084"/>
      <c r="Q23" s="35">
        <f t="shared" si="22"/>
        <v>28350</v>
      </c>
      <c r="R23" s="35"/>
      <c r="S23" s="35">
        <v>28350</v>
      </c>
      <c r="T23" s="35">
        <f t="shared" si="0"/>
        <v>0</v>
      </c>
      <c r="U23" s="36">
        <f t="shared" si="1"/>
        <v>0</v>
      </c>
      <c r="V23" s="74">
        <f t="shared" si="23"/>
        <v>23674</v>
      </c>
      <c r="W23" s="36">
        <f t="shared" si="24"/>
        <v>2.2864374775632337</v>
      </c>
      <c r="X23" s="1136"/>
      <c r="Y23" s="49">
        <f t="shared" si="41"/>
        <v>1491</v>
      </c>
      <c r="Z23" s="50"/>
      <c r="AA23" s="50">
        <v>1455</v>
      </c>
      <c r="AB23" s="50">
        <f t="shared" si="2"/>
        <v>36</v>
      </c>
      <c r="AC23" s="51">
        <f t="shared" si="3"/>
        <v>6.9694640675728267E-2</v>
      </c>
      <c r="AD23" s="50">
        <f t="shared" si="25"/>
        <v>1592</v>
      </c>
      <c r="AE23" s="51">
        <f t="shared" si="4"/>
        <v>0.15375553198786296</v>
      </c>
      <c r="AF23" s="1047"/>
      <c r="AG23" s="40">
        <f t="shared" si="42"/>
        <v>950</v>
      </c>
      <c r="AH23" s="41"/>
      <c r="AI23" s="41">
        <v>930</v>
      </c>
      <c r="AJ23" s="41">
        <f t="shared" si="54"/>
        <v>20</v>
      </c>
      <c r="AK23" s="42">
        <f t="shared" si="6"/>
        <v>38.719244819849031</v>
      </c>
      <c r="AL23" s="41">
        <f t="shared" si="43"/>
        <v>695</v>
      </c>
      <c r="AM23" s="42">
        <f t="shared" si="26"/>
        <v>6.7123175082641179E-2</v>
      </c>
      <c r="AN23" s="1058"/>
      <c r="AO23" s="67">
        <v>4.5999999999999996</v>
      </c>
      <c r="AP23" s="67">
        <v>24</v>
      </c>
      <c r="AQ23" s="68">
        <f t="shared" si="34"/>
        <v>54.874319999999997</v>
      </c>
      <c r="AR23" s="68">
        <f t="shared" si="7"/>
        <v>9.6027131172499232</v>
      </c>
      <c r="AS23" s="69">
        <f t="shared" si="44"/>
        <v>1166.6757600000001</v>
      </c>
      <c r="AT23" s="140">
        <f t="shared" si="8"/>
        <v>8.9940456284422208</v>
      </c>
      <c r="AU23" s="1073"/>
      <c r="AV23" s="71">
        <v>2.8</v>
      </c>
      <c r="AW23" s="71">
        <v>12</v>
      </c>
      <c r="AX23" s="72">
        <f t="shared" si="35"/>
        <v>17.362127999999998</v>
      </c>
      <c r="AY23" s="72">
        <f t="shared" si="9"/>
        <v>3.0382797324681592</v>
      </c>
      <c r="AZ23" s="73">
        <f t="shared" si="45"/>
        <v>450.17517600000002</v>
      </c>
      <c r="BA23" s="192">
        <f t="shared" si="10"/>
        <v>3.4704552991964173</v>
      </c>
      <c r="BB23" s="1075"/>
      <c r="BC23" s="56">
        <f t="shared" si="50"/>
        <v>15006</v>
      </c>
      <c r="BD23" s="56"/>
      <c r="BE23" s="56">
        <v>15006</v>
      </c>
      <c r="BF23" s="57">
        <f t="shared" si="37"/>
        <v>0</v>
      </c>
      <c r="BG23" s="58">
        <f t="shared" si="27"/>
        <v>13126</v>
      </c>
      <c r="BH23" s="58">
        <f t="shared" si="11"/>
        <v>101.18993379868677</v>
      </c>
      <c r="BI23" s="1133"/>
      <c r="BJ23" s="63">
        <f t="shared" si="51"/>
        <v>1080</v>
      </c>
      <c r="BK23" s="64"/>
      <c r="BL23" s="64">
        <v>960</v>
      </c>
      <c r="BM23" s="64">
        <f t="shared" si="28"/>
        <v>120</v>
      </c>
      <c r="BN23" s="65">
        <f t="shared" si="29"/>
        <v>0.23231546891909421</v>
      </c>
      <c r="BO23" s="64">
        <f t="shared" si="30"/>
        <v>3000</v>
      </c>
      <c r="BP23" s="65">
        <f t="shared" si="31"/>
        <v>0.28974032409773171</v>
      </c>
      <c r="BQ23" s="1071"/>
      <c r="BR23" s="77">
        <f t="shared" si="52"/>
        <v>16388</v>
      </c>
      <c r="BS23" s="35"/>
      <c r="BT23" s="35">
        <v>13615</v>
      </c>
      <c r="BU23" s="74">
        <f t="shared" si="55"/>
        <v>2773</v>
      </c>
      <c r="BV23" s="74">
        <f t="shared" si="56"/>
        <v>84646</v>
      </c>
      <c r="BW23" s="74">
        <f t="shared" si="13"/>
        <v>652.54633066613144</v>
      </c>
      <c r="BX23" s="1098"/>
      <c r="BY23" s="295">
        <f t="shared" si="53"/>
        <v>1350</v>
      </c>
      <c r="BZ23" s="296"/>
      <c r="CA23" s="296">
        <v>1200</v>
      </c>
      <c r="CB23" s="296">
        <f t="shared" si="14"/>
        <v>150</v>
      </c>
      <c r="CC23" s="297">
        <f t="shared" si="15"/>
        <v>0.29039433614886778</v>
      </c>
      <c r="CD23" s="296">
        <f t="shared" si="48"/>
        <v>3400</v>
      </c>
      <c r="CE23" s="297">
        <f t="shared" si="16"/>
        <v>0.32837236731076264</v>
      </c>
      <c r="CF23" s="1061"/>
    </row>
    <row r="24" spans="1:84">
      <c r="A24" s="30">
        <v>44337</v>
      </c>
      <c r="B24" s="32">
        <v>472.96</v>
      </c>
      <c r="C24" s="842">
        <f t="shared" si="39"/>
        <v>10827.058999999999</v>
      </c>
      <c r="D24" s="842">
        <v>5743.38</v>
      </c>
      <c r="E24" s="843">
        <f t="shared" si="40"/>
        <v>135459.84</v>
      </c>
      <c r="F24" s="240">
        <f t="shared" si="33"/>
        <v>40000</v>
      </c>
      <c r="G24" s="240"/>
      <c r="H24" s="280"/>
      <c r="I24" s="240">
        <v>32000</v>
      </c>
      <c r="J24" s="240">
        <f t="shared" si="17"/>
        <v>8000</v>
      </c>
      <c r="K24" s="280">
        <f t="shared" si="18"/>
        <v>16914.749661705009</v>
      </c>
      <c r="L24" s="240">
        <f t="shared" si="49"/>
        <v>255600</v>
      </c>
      <c r="M24" s="280">
        <f t="shared" si="20"/>
        <v>23607.518902409232</v>
      </c>
      <c r="N24" s="280">
        <f t="shared" si="21"/>
        <v>2890.5986166780008</v>
      </c>
      <c r="O24" s="1089"/>
      <c r="P24" s="1084"/>
      <c r="Q24" s="35">
        <f t="shared" si="22"/>
        <v>28350</v>
      </c>
      <c r="R24" s="35"/>
      <c r="S24" s="35">
        <v>28350</v>
      </c>
      <c r="T24" s="35">
        <f t="shared" si="0"/>
        <v>0</v>
      </c>
      <c r="U24" s="36">
        <f t="shared" si="1"/>
        <v>0</v>
      </c>
      <c r="V24" s="74">
        <f t="shared" si="23"/>
        <v>23674</v>
      </c>
      <c r="W24" s="36">
        <f t="shared" si="24"/>
        <v>2.1865586952098441</v>
      </c>
      <c r="X24" s="1136"/>
      <c r="Y24" s="49">
        <f t="shared" si="41"/>
        <v>1455</v>
      </c>
      <c r="Z24" s="50"/>
      <c r="AA24" s="50">
        <v>1408</v>
      </c>
      <c r="AB24" s="50">
        <f t="shared" si="2"/>
        <v>47</v>
      </c>
      <c r="AC24" s="51">
        <f t="shared" si="3"/>
        <v>9.9374154262516917E-2</v>
      </c>
      <c r="AD24" s="50">
        <f t="shared" si="25"/>
        <v>1639</v>
      </c>
      <c r="AE24" s="51">
        <f t="shared" si="4"/>
        <v>0.15137998232022196</v>
      </c>
      <c r="AF24" s="1047"/>
      <c r="AG24" s="40">
        <f t="shared" si="42"/>
        <v>930</v>
      </c>
      <c r="AH24" s="41"/>
      <c r="AI24" s="41">
        <v>900</v>
      </c>
      <c r="AJ24" s="41">
        <f t="shared" si="54"/>
        <v>30</v>
      </c>
      <c r="AK24" s="42">
        <f t="shared" si="6"/>
        <v>63.43031123139378</v>
      </c>
      <c r="AL24" s="41">
        <f t="shared" si="43"/>
        <v>725</v>
      </c>
      <c r="AM24" s="42">
        <f t="shared" si="26"/>
        <v>6.6961859171544194E-2</v>
      </c>
      <c r="AN24" s="1058"/>
      <c r="AO24" s="67">
        <v>3.8</v>
      </c>
      <c r="AP24" s="67">
        <v>24</v>
      </c>
      <c r="AQ24" s="68">
        <f t="shared" si="34"/>
        <v>45.33095999999999</v>
      </c>
      <c r="AR24" s="68">
        <f t="shared" si="7"/>
        <v>7.8927321542367022</v>
      </c>
      <c r="AS24" s="69">
        <f t="shared" si="44"/>
        <v>1212.0067200000001</v>
      </c>
      <c r="AT24" s="140">
        <f t="shared" si="8"/>
        <v>8.9473508901235963</v>
      </c>
      <c r="AU24" s="1073"/>
      <c r="AV24" s="71">
        <v>0.4</v>
      </c>
      <c r="AW24" s="71">
        <v>12</v>
      </c>
      <c r="AX24" s="72">
        <f t="shared" si="35"/>
        <v>2.4803040000000003</v>
      </c>
      <c r="AY24" s="72">
        <f t="shared" si="9"/>
        <v>0.43185441325491264</v>
      </c>
      <c r="AZ24" s="73">
        <f t="shared" si="45"/>
        <v>452.65548000000001</v>
      </c>
      <c r="BA24" s="192">
        <f t="shared" si="10"/>
        <v>3.3416212509921763</v>
      </c>
      <c r="BB24" s="1075"/>
      <c r="BC24" s="56">
        <f t="shared" si="50"/>
        <v>15006</v>
      </c>
      <c r="BD24" s="56"/>
      <c r="BE24" s="56">
        <v>15006</v>
      </c>
      <c r="BF24" s="57">
        <f t="shared" si="37"/>
        <v>0</v>
      </c>
      <c r="BG24" s="58">
        <f t="shared" si="27"/>
        <v>13126</v>
      </c>
      <c r="BH24" s="58">
        <f t="shared" si="11"/>
        <v>96.899568167214724</v>
      </c>
      <c r="BI24" s="1133"/>
      <c r="BJ24" s="63">
        <f t="shared" si="51"/>
        <v>960</v>
      </c>
      <c r="BK24" s="64"/>
      <c r="BL24" s="64">
        <v>780</v>
      </c>
      <c r="BM24" s="64">
        <f t="shared" si="28"/>
        <v>180</v>
      </c>
      <c r="BN24" s="65">
        <f t="shared" si="29"/>
        <v>0.38058186738836269</v>
      </c>
      <c r="BO24" s="64">
        <f t="shared" si="30"/>
        <v>3180</v>
      </c>
      <c r="BP24" s="65">
        <f t="shared" si="31"/>
        <v>0.29370856850415245</v>
      </c>
      <c r="BQ24" s="1071"/>
      <c r="BR24" s="77">
        <f t="shared" si="52"/>
        <v>13615</v>
      </c>
      <c r="BS24" s="35"/>
      <c r="BT24" s="35">
        <v>11767</v>
      </c>
      <c r="BU24" s="74">
        <f t="shared" si="55"/>
        <v>1848</v>
      </c>
      <c r="BV24" s="74">
        <f t="shared" si="56"/>
        <v>86494</v>
      </c>
      <c r="BW24" s="74">
        <f t="shared" si="13"/>
        <v>638.52135068223913</v>
      </c>
      <c r="BX24" s="1098"/>
      <c r="BY24" s="295">
        <f t="shared" si="53"/>
        <v>1200</v>
      </c>
      <c r="BZ24" s="296"/>
      <c r="CA24" s="296">
        <v>1100</v>
      </c>
      <c r="CB24" s="296">
        <f t="shared" si="14"/>
        <v>100</v>
      </c>
      <c r="CC24" s="297">
        <f t="shared" si="15"/>
        <v>0.21143437077131261</v>
      </c>
      <c r="CD24" s="296">
        <f t="shared" si="48"/>
        <v>3500</v>
      </c>
      <c r="CE24" s="297">
        <f t="shared" si="16"/>
        <v>0.32326414772469608</v>
      </c>
      <c r="CF24" s="1061"/>
    </row>
    <row r="25" spans="1:84">
      <c r="A25" s="30">
        <v>44338</v>
      </c>
      <c r="B25" s="32">
        <v>422.92</v>
      </c>
      <c r="C25" s="842">
        <f t="shared" si="39"/>
        <v>11249.978999999999</v>
      </c>
      <c r="D25" s="842">
        <v>992.13900000000001</v>
      </c>
      <c r="E25" s="843">
        <f t="shared" si="40"/>
        <v>136451.97899999999</v>
      </c>
      <c r="F25" s="240">
        <f t="shared" si="33"/>
        <v>32000</v>
      </c>
      <c r="G25" s="240"/>
      <c r="H25" s="280"/>
      <c r="I25" s="240">
        <v>28800</v>
      </c>
      <c r="J25" s="240">
        <f t="shared" si="17"/>
        <v>3200</v>
      </c>
      <c r="K25" s="280">
        <f t="shared" si="18"/>
        <v>7566.4428260663954</v>
      </c>
      <c r="L25" s="240">
        <f t="shared" si="49"/>
        <v>258800</v>
      </c>
      <c r="M25" s="280">
        <f t="shared" si="20"/>
        <v>23004.487386154233</v>
      </c>
      <c r="N25" s="280">
        <f t="shared" si="21"/>
        <v>2816.7610366296353</v>
      </c>
      <c r="O25" s="1089"/>
      <c r="P25" s="1084"/>
      <c r="Q25" s="35">
        <f t="shared" si="22"/>
        <v>28350</v>
      </c>
      <c r="R25" s="35"/>
      <c r="S25" s="35">
        <v>28350</v>
      </c>
      <c r="T25" s="35">
        <f t="shared" si="0"/>
        <v>0</v>
      </c>
      <c r="U25" s="36">
        <f t="shared" si="1"/>
        <v>0</v>
      </c>
      <c r="V25" s="74">
        <f t="shared" si="23"/>
        <v>23674</v>
      </c>
      <c r="W25" s="36">
        <f t="shared" si="24"/>
        <v>2.1043594836932584</v>
      </c>
      <c r="X25" s="1136"/>
      <c r="Y25" s="49">
        <f t="shared" si="41"/>
        <v>1408</v>
      </c>
      <c r="Z25" s="50"/>
      <c r="AA25" s="50">
        <v>1388</v>
      </c>
      <c r="AB25" s="50">
        <f t="shared" si="2"/>
        <v>20</v>
      </c>
      <c r="AC25" s="51">
        <f t="shared" si="3"/>
        <v>4.729026766291497E-2</v>
      </c>
      <c r="AD25" s="50">
        <f t="shared" si="25"/>
        <v>1659</v>
      </c>
      <c r="AE25" s="51">
        <f t="shared" si="4"/>
        <v>0.14746694193829163</v>
      </c>
      <c r="AF25" s="1047"/>
      <c r="AG25" s="40">
        <f t="shared" si="42"/>
        <v>900</v>
      </c>
      <c r="AH25" s="41"/>
      <c r="AI25" s="41">
        <v>865</v>
      </c>
      <c r="AJ25" s="41">
        <f t="shared" si="54"/>
        <v>35</v>
      </c>
      <c r="AK25" s="42">
        <f t="shared" si="6"/>
        <v>82.757968410101199</v>
      </c>
      <c r="AL25" s="41">
        <f t="shared" si="43"/>
        <v>760</v>
      </c>
      <c r="AM25" s="42">
        <f t="shared" si="26"/>
        <v>6.755568165949466E-2</v>
      </c>
      <c r="AN25" s="1058"/>
      <c r="AO25" s="67">
        <v>4.3</v>
      </c>
      <c r="AP25" s="67">
        <v>24</v>
      </c>
      <c r="AQ25" s="68">
        <f t="shared" si="34"/>
        <v>51.295559999999995</v>
      </c>
      <c r="AR25" s="68">
        <f t="shared" si="7"/>
        <v>51.701989338187488</v>
      </c>
      <c r="AS25" s="69">
        <f t="shared" si="44"/>
        <v>1263.3022800000001</v>
      </c>
      <c r="AT25" s="140">
        <f t="shared" si="8"/>
        <v>9.2582188199703577</v>
      </c>
      <c r="AU25" s="1073"/>
      <c r="AV25" s="71">
        <v>0.6</v>
      </c>
      <c r="AW25" s="71">
        <v>12</v>
      </c>
      <c r="AX25" s="72">
        <f t="shared" si="35"/>
        <v>3.720456</v>
      </c>
      <c r="AY25" s="72">
        <f t="shared" si="9"/>
        <v>3.7499342330056575</v>
      </c>
      <c r="AZ25" s="73">
        <f t="shared" si="45"/>
        <v>456.37593600000002</v>
      </c>
      <c r="BA25" s="192">
        <f t="shared" si="10"/>
        <v>3.3445900846919931</v>
      </c>
      <c r="BB25" s="1075"/>
      <c r="BC25" s="56">
        <f t="shared" si="50"/>
        <v>15006</v>
      </c>
      <c r="BD25" s="56"/>
      <c r="BE25" s="56">
        <v>9707</v>
      </c>
      <c r="BF25" s="57">
        <f t="shared" si="37"/>
        <v>5299</v>
      </c>
      <c r="BG25" s="58">
        <f t="shared" si="27"/>
        <v>18425</v>
      </c>
      <c r="BH25" s="58">
        <f t="shared" si="11"/>
        <v>135.02918854698328</v>
      </c>
      <c r="BI25" s="1133"/>
      <c r="BJ25" s="63">
        <f t="shared" si="51"/>
        <v>780</v>
      </c>
      <c r="BK25" s="64"/>
      <c r="BL25" s="64">
        <v>744</v>
      </c>
      <c r="BM25" s="64">
        <f t="shared" si="28"/>
        <v>36</v>
      </c>
      <c r="BN25" s="65">
        <f t="shared" si="29"/>
        <v>8.512248179324694E-2</v>
      </c>
      <c r="BO25" s="64">
        <f t="shared" si="30"/>
        <v>3216</v>
      </c>
      <c r="BP25" s="65">
        <f t="shared" si="31"/>
        <v>0.28586720028544055</v>
      </c>
      <c r="BQ25" s="1071"/>
      <c r="BR25" s="77">
        <f t="shared" si="52"/>
        <v>11767</v>
      </c>
      <c r="BS25" s="35"/>
      <c r="BT25" s="35">
        <v>11767</v>
      </c>
      <c r="BU25" s="74">
        <f t="shared" si="55"/>
        <v>0</v>
      </c>
      <c r="BV25" s="74">
        <f t="shared" si="56"/>
        <v>86494</v>
      </c>
      <c r="BW25" s="74">
        <f t="shared" si="13"/>
        <v>633.8786775675859</v>
      </c>
      <c r="BX25" s="1098"/>
      <c r="BY25" s="295">
        <f t="shared" si="53"/>
        <v>1100</v>
      </c>
      <c r="BZ25" s="296"/>
      <c r="CA25" s="296">
        <v>1000</v>
      </c>
      <c r="CB25" s="296">
        <f t="shared" si="14"/>
        <v>100</v>
      </c>
      <c r="CC25" s="297">
        <f t="shared" si="15"/>
        <v>0.23645133831457485</v>
      </c>
      <c r="CD25" s="296">
        <f t="shared" si="48"/>
        <v>3600</v>
      </c>
      <c r="CE25" s="297">
        <f t="shared" si="16"/>
        <v>0.32000059733444836</v>
      </c>
      <c r="CF25" s="1061"/>
    </row>
    <row r="26" spans="1:84">
      <c r="A26" s="30">
        <v>44339</v>
      </c>
      <c r="B26" s="32">
        <v>97.984999999999999</v>
      </c>
      <c r="C26" s="842">
        <f t="shared" si="39"/>
        <v>11347.964</v>
      </c>
      <c r="D26" s="842">
        <v>4381.26</v>
      </c>
      <c r="E26" s="843">
        <f t="shared" si="40"/>
        <v>140833.239</v>
      </c>
      <c r="F26" s="240">
        <f t="shared" si="33"/>
        <v>28800</v>
      </c>
      <c r="G26" s="240"/>
      <c r="H26" s="280"/>
      <c r="I26" s="240">
        <v>22400</v>
      </c>
      <c r="J26" s="240">
        <f t="shared" si="17"/>
        <v>6400</v>
      </c>
      <c r="K26" s="280">
        <f t="shared" si="18"/>
        <v>65316.119814257283</v>
      </c>
      <c r="L26" s="240">
        <f t="shared" si="49"/>
        <v>265200</v>
      </c>
      <c r="M26" s="280">
        <f t="shared" si="20"/>
        <v>23369.830922974375</v>
      </c>
      <c r="N26" s="280">
        <f t="shared" si="21"/>
        <v>2861.4951540313918</v>
      </c>
      <c r="O26" s="1089"/>
      <c r="P26" s="1084"/>
      <c r="Q26" s="35">
        <f t="shared" si="22"/>
        <v>28350</v>
      </c>
      <c r="R26" s="35"/>
      <c r="S26" s="35">
        <v>28350</v>
      </c>
      <c r="T26" s="35">
        <f t="shared" si="0"/>
        <v>0</v>
      </c>
      <c r="U26" s="36">
        <f t="shared" si="1"/>
        <v>0</v>
      </c>
      <c r="V26" s="74">
        <f t="shared" si="23"/>
        <v>23674</v>
      </c>
      <c r="W26" s="36">
        <f t="shared" si="24"/>
        <v>2.086189205394025</v>
      </c>
      <c r="X26" s="1136"/>
      <c r="Y26" s="49">
        <f t="shared" si="41"/>
        <v>1388</v>
      </c>
      <c r="Z26" s="50"/>
      <c r="AA26" s="50">
        <v>1371</v>
      </c>
      <c r="AB26" s="50">
        <f t="shared" si="2"/>
        <v>17</v>
      </c>
      <c r="AC26" s="51">
        <f t="shared" si="3"/>
        <v>0.1734959432566209</v>
      </c>
      <c r="AD26" s="50">
        <f t="shared" si="25"/>
        <v>1676</v>
      </c>
      <c r="AE26" s="51">
        <f t="shared" si="4"/>
        <v>0.14769169165499643</v>
      </c>
      <c r="AF26" s="1047"/>
      <c r="AG26" s="40">
        <f t="shared" si="42"/>
        <v>865</v>
      </c>
      <c r="AH26" s="41"/>
      <c r="AI26" s="41">
        <v>835</v>
      </c>
      <c r="AJ26" s="41">
        <f t="shared" si="54"/>
        <v>30</v>
      </c>
      <c r="AK26" s="42">
        <f t="shared" si="6"/>
        <v>306.16931162933105</v>
      </c>
      <c r="AL26" s="41">
        <f t="shared" si="43"/>
        <v>790</v>
      </c>
      <c r="AM26" s="42">
        <f t="shared" si="26"/>
        <v>6.9616012176281133E-2</v>
      </c>
      <c r="AN26" s="1058"/>
      <c r="AO26" s="67">
        <v>4.3</v>
      </c>
      <c r="AP26" s="67">
        <v>24</v>
      </c>
      <c r="AQ26" s="68">
        <f t="shared" si="34"/>
        <v>51.295559999999995</v>
      </c>
      <c r="AR26" s="68">
        <f t="shared" si="7"/>
        <v>11.70794702893688</v>
      </c>
      <c r="AS26" s="69">
        <f t="shared" si="44"/>
        <v>1314.5978400000001</v>
      </c>
      <c r="AT26" s="140">
        <f t="shared" si="8"/>
        <v>9.3344287849546657</v>
      </c>
      <c r="AU26" s="1073"/>
      <c r="AV26" s="71">
        <v>2.1</v>
      </c>
      <c r="AW26" s="71">
        <v>12</v>
      </c>
      <c r="AX26" s="72">
        <f t="shared" si="35"/>
        <v>13.021596000000002</v>
      </c>
      <c r="AY26" s="72">
        <f t="shared" si="9"/>
        <v>2.9721121321263753</v>
      </c>
      <c r="AZ26" s="73">
        <f t="shared" si="45"/>
        <v>469.39753200000001</v>
      </c>
      <c r="BA26" s="192">
        <f t="shared" si="10"/>
        <v>3.3330024597389256</v>
      </c>
      <c r="BB26" s="1075"/>
      <c r="BC26" s="56">
        <f t="shared" si="50"/>
        <v>9707</v>
      </c>
      <c r="BD26" s="56"/>
      <c r="BE26" s="56">
        <v>9707</v>
      </c>
      <c r="BF26" s="57">
        <f t="shared" si="37"/>
        <v>0</v>
      </c>
      <c r="BG26" s="58">
        <f t="shared" si="27"/>
        <v>18425</v>
      </c>
      <c r="BH26" s="58">
        <f t="shared" si="11"/>
        <v>130.8284899987282</v>
      </c>
      <c r="BI26" s="1133"/>
      <c r="BJ26" s="63">
        <f t="shared" si="51"/>
        <v>744</v>
      </c>
      <c r="BK26" s="64"/>
      <c r="BL26" s="64">
        <v>708</v>
      </c>
      <c r="BM26" s="64">
        <f t="shared" si="28"/>
        <v>36</v>
      </c>
      <c r="BN26" s="65">
        <f t="shared" si="29"/>
        <v>0.36740317395519723</v>
      </c>
      <c r="BO26" s="64">
        <f t="shared" si="30"/>
        <v>3252</v>
      </c>
      <c r="BP26" s="65">
        <f t="shared" si="31"/>
        <v>0.28657122986995731</v>
      </c>
      <c r="BQ26" s="1071"/>
      <c r="BR26" s="77">
        <f t="shared" si="52"/>
        <v>11767</v>
      </c>
      <c r="BS26" s="35"/>
      <c r="BT26" s="35">
        <v>8540</v>
      </c>
      <c r="BU26" s="74">
        <f t="shared" si="55"/>
        <v>3227</v>
      </c>
      <c r="BV26" s="74">
        <f t="shared" si="56"/>
        <v>89721</v>
      </c>
      <c r="BW26" s="74">
        <f t="shared" si="13"/>
        <v>637.07261607467535</v>
      </c>
      <c r="BX26" s="1098"/>
      <c r="BY26" s="295">
        <f t="shared" si="53"/>
        <v>1000</v>
      </c>
      <c r="BZ26" s="296"/>
      <c r="CA26" s="296">
        <v>900</v>
      </c>
      <c r="CB26" s="296">
        <f t="shared" si="14"/>
        <v>100</v>
      </c>
      <c r="CC26" s="297">
        <f t="shared" si="15"/>
        <v>1.0205643720977702</v>
      </c>
      <c r="CD26" s="296">
        <f t="shared" si="48"/>
        <v>3700</v>
      </c>
      <c r="CE26" s="297">
        <f t="shared" si="16"/>
        <v>0.32604967728131673</v>
      </c>
      <c r="CF26" s="1061"/>
    </row>
    <row r="27" spans="1:84">
      <c r="A27" s="30">
        <v>44340</v>
      </c>
      <c r="B27" s="32">
        <v>451.22</v>
      </c>
      <c r="C27" s="842">
        <f t="shared" si="39"/>
        <v>11799.183999999999</v>
      </c>
      <c r="D27" s="842">
        <v>6383.8</v>
      </c>
      <c r="E27" s="843">
        <f t="shared" si="40"/>
        <v>147217.03899999999</v>
      </c>
      <c r="F27" s="240">
        <f t="shared" si="33"/>
        <v>22400</v>
      </c>
      <c r="G27" s="240"/>
      <c r="H27" s="280"/>
      <c r="I27" s="240">
        <v>15600</v>
      </c>
      <c r="J27" s="240">
        <f t="shared" si="17"/>
        <v>6800</v>
      </c>
      <c r="K27" s="280">
        <f t="shared" si="18"/>
        <v>15070.253978103807</v>
      </c>
      <c r="L27" s="240">
        <f t="shared" si="49"/>
        <v>272000</v>
      </c>
      <c r="M27" s="280">
        <f t="shared" si="20"/>
        <v>23052.441592571147</v>
      </c>
      <c r="N27" s="280">
        <f t="shared" si="21"/>
        <v>2822.6327406111359</v>
      </c>
      <c r="O27" s="1089"/>
      <c r="P27" s="1084"/>
      <c r="Q27" s="35">
        <f t="shared" si="22"/>
        <v>28350</v>
      </c>
      <c r="R27" s="35"/>
      <c r="S27" s="35">
        <v>28350</v>
      </c>
      <c r="T27" s="35">
        <f t="shared" si="0"/>
        <v>0</v>
      </c>
      <c r="U27" s="36">
        <f t="shared" si="1"/>
        <v>0</v>
      </c>
      <c r="V27" s="74">
        <f t="shared" si="23"/>
        <v>23674</v>
      </c>
      <c r="W27" s="36">
        <f t="shared" si="24"/>
        <v>2.006409934788711</v>
      </c>
      <c r="X27" s="1136"/>
      <c r="Y27" s="49">
        <f t="shared" si="41"/>
        <v>1371</v>
      </c>
      <c r="Z27" s="50"/>
      <c r="AA27" s="50">
        <v>1346</v>
      </c>
      <c r="AB27" s="50">
        <f t="shared" si="2"/>
        <v>25</v>
      </c>
      <c r="AC27" s="51">
        <f t="shared" si="3"/>
        <v>5.5405345507734585E-2</v>
      </c>
      <c r="AD27" s="50">
        <f t="shared" si="25"/>
        <v>1701</v>
      </c>
      <c r="AE27" s="51">
        <f t="shared" si="4"/>
        <v>0.14416251157707177</v>
      </c>
      <c r="AF27" s="1047"/>
      <c r="AG27" s="40">
        <f t="shared" si="42"/>
        <v>835</v>
      </c>
      <c r="AH27" s="41"/>
      <c r="AI27" s="41">
        <v>800</v>
      </c>
      <c r="AJ27" s="41">
        <f t="shared" si="54"/>
        <v>35</v>
      </c>
      <c r="AK27" s="42">
        <f t="shared" si="6"/>
        <v>77.567483710828412</v>
      </c>
      <c r="AL27" s="41">
        <f t="shared" si="43"/>
        <v>825</v>
      </c>
      <c r="AM27" s="42">
        <f t="shared" si="26"/>
        <v>6.9920089389232346E-2</v>
      </c>
      <c r="AN27" s="1058"/>
      <c r="AO27" s="67">
        <v>4.2</v>
      </c>
      <c r="AP27" s="67">
        <v>24</v>
      </c>
      <c r="AQ27" s="68">
        <f t="shared" si="34"/>
        <v>50.102640000000008</v>
      </c>
      <c r="AR27" s="68">
        <f t="shared" si="7"/>
        <v>7.8484037720479973</v>
      </c>
      <c r="AS27" s="69">
        <f t="shared" si="44"/>
        <v>1364.7004800000002</v>
      </c>
      <c r="AT27" s="140">
        <f t="shared" si="8"/>
        <v>9.2699900043499746</v>
      </c>
      <c r="AU27" s="1073"/>
      <c r="AV27" s="71">
        <v>3.1</v>
      </c>
      <c r="AW27" s="71">
        <v>12</v>
      </c>
      <c r="AX27" s="72">
        <f t="shared" si="35"/>
        <v>19.222356000000001</v>
      </c>
      <c r="AY27" s="72">
        <f t="shared" si="9"/>
        <v>3.01111500986873</v>
      </c>
      <c r="AZ27" s="73">
        <f t="shared" si="45"/>
        <v>488.619888</v>
      </c>
      <c r="BA27" s="192">
        <f t="shared" si="10"/>
        <v>3.319044394039198</v>
      </c>
      <c r="BB27" s="1075"/>
      <c r="BC27" s="56">
        <f t="shared" si="50"/>
        <v>9707</v>
      </c>
      <c r="BD27" s="56"/>
      <c r="BE27" s="56">
        <v>9707</v>
      </c>
      <c r="BF27" s="57">
        <f t="shared" si="37"/>
        <v>0</v>
      </c>
      <c r="BG27" s="58">
        <f t="shared" si="27"/>
        <v>18425</v>
      </c>
      <c r="BH27" s="58">
        <f t="shared" si="11"/>
        <v>125.15534971464818</v>
      </c>
      <c r="BI27" s="1133"/>
      <c r="BJ27" s="63">
        <f t="shared" si="51"/>
        <v>708</v>
      </c>
      <c r="BK27" s="64"/>
      <c r="BL27" s="64">
        <v>576</v>
      </c>
      <c r="BM27" s="64">
        <f t="shared" si="28"/>
        <v>132</v>
      </c>
      <c r="BN27" s="65">
        <f t="shared" si="29"/>
        <v>0.29254022428083859</v>
      </c>
      <c r="BO27" s="64">
        <f t="shared" si="30"/>
        <v>3384</v>
      </c>
      <c r="BP27" s="65">
        <f t="shared" si="31"/>
        <v>0.28679949393110576</v>
      </c>
      <c r="BQ27" s="1071"/>
      <c r="BR27" s="77">
        <f t="shared" si="52"/>
        <v>8540</v>
      </c>
      <c r="BS27" s="35"/>
      <c r="BT27" s="35">
        <v>5000</v>
      </c>
      <c r="BU27" s="74">
        <f t="shared" si="55"/>
        <v>3540</v>
      </c>
      <c r="BV27" s="74">
        <f t="shared" si="56"/>
        <v>93261</v>
      </c>
      <c r="BW27" s="74">
        <f t="shared" si="13"/>
        <v>633.49324666148198</v>
      </c>
      <c r="BX27" s="1098"/>
      <c r="BY27" s="295">
        <f t="shared" si="53"/>
        <v>900</v>
      </c>
      <c r="BZ27" s="296"/>
      <c r="CA27" s="296">
        <v>810</v>
      </c>
      <c r="CB27" s="296">
        <f t="shared" si="14"/>
        <v>90</v>
      </c>
      <c r="CC27" s="297">
        <f t="shared" si="15"/>
        <v>0.1994592438278445</v>
      </c>
      <c r="CD27" s="296">
        <f t="shared" si="48"/>
        <v>3790</v>
      </c>
      <c r="CE27" s="297">
        <f t="shared" si="16"/>
        <v>0.32120865307295826</v>
      </c>
      <c r="CF27" s="1061"/>
    </row>
    <row r="28" spans="1:84">
      <c r="A28" s="30">
        <v>44341</v>
      </c>
      <c r="B28" s="32">
        <v>574.08399999999995</v>
      </c>
      <c r="C28" s="842">
        <f t="shared" si="39"/>
        <v>12373.268</v>
      </c>
      <c r="D28" s="842">
        <v>5872.92</v>
      </c>
      <c r="E28" s="843">
        <f t="shared" si="40"/>
        <v>153089.959</v>
      </c>
      <c r="F28" s="240">
        <f t="shared" si="33"/>
        <v>15600</v>
      </c>
      <c r="G28" s="240"/>
      <c r="H28" s="280"/>
      <c r="I28" s="240">
        <v>6000</v>
      </c>
      <c r="J28" s="240">
        <f t="shared" si="17"/>
        <v>9600</v>
      </c>
      <c r="K28" s="280">
        <f t="shared" si="18"/>
        <v>16722.291511346772</v>
      </c>
      <c r="L28" s="240">
        <f t="shared" si="49"/>
        <v>281600</v>
      </c>
      <c r="M28" s="280">
        <f t="shared" si="20"/>
        <v>22758.740859730831</v>
      </c>
      <c r="N28" s="280">
        <f t="shared" si="21"/>
        <v>2786.6708534015957</v>
      </c>
      <c r="O28" s="1089"/>
      <c r="P28" s="1084"/>
      <c r="Q28" s="35">
        <f t="shared" si="22"/>
        <v>28350</v>
      </c>
      <c r="R28" s="35"/>
      <c r="S28" s="35">
        <v>28350</v>
      </c>
      <c r="T28" s="35">
        <f t="shared" si="0"/>
        <v>0</v>
      </c>
      <c r="U28" s="36">
        <f t="shared" si="1"/>
        <v>0</v>
      </c>
      <c r="V28" s="74">
        <f t="shared" si="23"/>
        <v>23674</v>
      </c>
      <c r="W28" s="36">
        <f t="shared" si="24"/>
        <v>1.9133182923056382</v>
      </c>
      <c r="X28" s="1136"/>
      <c r="Y28" s="49">
        <f t="shared" si="41"/>
        <v>1346</v>
      </c>
      <c r="Z28" s="50"/>
      <c r="AA28" s="50">
        <v>1255</v>
      </c>
      <c r="AB28" s="50">
        <f t="shared" si="2"/>
        <v>91</v>
      </c>
      <c r="AC28" s="51">
        <f t="shared" si="3"/>
        <v>0.15851338828464129</v>
      </c>
      <c r="AD28" s="50">
        <f t="shared" si="25"/>
        <v>1792</v>
      </c>
      <c r="AE28" s="51">
        <f t="shared" si="4"/>
        <v>0.14482835092555985</v>
      </c>
      <c r="AF28" s="1047"/>
      <c r="AG28" s="40">
        <f t="shared" si="42"/>
        <v>800</v>
      </c>
      <c r="AH28" s="41"/>
      <c r="AI28" s="41">
        <v>765</v>
      </c>
      <c r="AJ28" s="41">
        <f t="shared" si="54"/>
        <v>35</v>
      </c>
      <c r="AK28" s="42">
        <f t="shared" si="6"/>
        <v>60.966687801785113</v>
      </c>
      <c r="AL28" s="41">
        <f t="shared" si="43"/>
        <v>860</v>
      </c>
      <c r="AM28" s="42">
        <f t="shared" si="26"/>
        <v>6.9504677341507518E-2</v>
      </c>
      <c r="AN28" s="1058"/>
      <c r="AO28" s="67">
        <v>4.7</v>
      </c>
      <c r="AP28" s="67">
        <v>24</v>
      </c>
      <c r="AQ28" s="68">
        <f t="shared" si="34"/>
        <v>56.067240000000005</v>
      </c>
      <c r="AR28" s="68">
        <f t="shared" si="7"/>
        <v>9.5467399521873286</v>
      </c>
      <c r="AS28" s="69">
        <f t="shared" si="44"/>
        <v>1420.7677200000003</v>
      </c>
      <c r="AT28" s="140">
        <f t="shared" si="8"/>
        <v>9.2806068358800733</v>
      </c>
      <c r="AU28" s="1073"/>
      <c r="AV28" s="71">
        <v>3.1</v>
      </c>
      <c r="AW28" s="71">
        <v>12</v>
      </c>
      <c r="AX28" s="72">
        <f t="shared" si="35"/>
        <v>19.222356000000001</v>
      </c>
      <c r="AY28" s="72">
        <f t="shared" si="9"/>
        <v>3.2730491816677221</v>
      </c>
      <c r="AZ28" s="73">
        <f t="shared" si="45"/>
        <v>507.84224399999999</v>
      </c>
      <c r="BA28" s="192">
        <f t="shared" si="10"/>
        <v>3.3172799007673652</v>
      </c>
      <c r="BB28" s="1075"/>
      <c r="BC28" s="56">
        <f t="shared" si="50"/>
        <v>9707</v>
      </c>
      <c r="BD28" s="56">
        <v>35880</v>
      </c>
      <c r="BE28" s="56">
        <v>43890</v>
      </c>
      <c r="BF28" s="57">
        <f t="shared" si="37"/>
        <v>1697</v>
      </c>
      <c r="BG28" s="58">
        <f t="shared" si="27"/>
        <v>20122</v>
      </c>
      <c r="BH28" s="58">
        <f t="shared" si="11"/>
        <v>131.43905799857194</v>
      </c>
      <c r="BI28" s="1133"/>
      <c r="BJ28" s="63">
        <f t="shared" si="51"/>
        <v>576</v>
      </c>
      <c r="BK28" s="64"/>
      <c r="BL28" s="64">
        <v>390</v>
      </c>
      <c r="BM28" s="64">
        <f t="shared" si="28"/>
        <v>186</v>
      </c>
      <c r="BN28" s="65">
        <f t="shared" si="29"/>
        <v>0.32399439803234376</v>
      </c>
      <c r="BO28" s="64">
        <f t="shared" si="30"/>
        <v>3570</v>
      </c>
      <c r="BP28" s="65">
        <f t="shared" si="31"/>
        <v>0.28852523035951377</v>
      </c>
      <c r="BQ28" s="1071"/>
      <c r="BR28" s="77">
        <f t="shared" si="52"/>
        <v>5000</v>
      </c>
      <c r="BS28" s="35">
        <v>37000</v>
      </c>
      <c r="BT28" s="35">
        <v>39000</v>
      </c>
      <c r="BU28" s="74">
        <f t="shared" si="55"/>
        <v>3000</v>
      </c>
      <c r="BV28" s="74">
        <f t="shared" si="56"/>
        <v>96261</v>
      </c>
      <c r="BW28" s="74">
        <f t="shared" si="13"/>
        <v>628.78715644570786</v>
      </c>
      <c r="BX28" s="1098"/>
      <c r="BY28" s="295">
        <f t="shared" si="53"/>
        <v>810</v>
      </c>
      <c r="BZ28" s="296"/>
      <c r="CA28" s="296">
        <v>720</v>
      </c>
      <c r="CB28" s="296">
        <f t="shared" si="14"/>
        <v>90</v>
      </c>
      <c r="CC28" s="297">
        <f t="shared" si="15"/>
        <v>0.15677148291887599</v>
      </c>
      <c r="CD28" s="296">
        <f t="shared" si="48"/>
        <v>3880</v>
      </c>
      <c r="CE28" s="297">
        <f t="shared" si="16"/>
        <v>0.31357924195935949</v>
      </c>
      <c r="CF28" s="1061"/>
    </row>
    <row r="29" spans="1:84">
      <c r="A29" s="30">
        <v>44342</v>
      </c>
      <c r="B29" s="32">
        <v>563.59400000000005</v>
      </c>
      <c r="C29" s="842">
        <f t="shared" si="39"/>
        <v>12936.862000000001</v>
      </c>
      <c r="D29" s="842">
        <v>6399.96</v>
      </c>
      <c r="E29" s="843">
        <f t="shared" si="40"/>
        <v>159489.91899999999</v>
      </c>
      <c r="F29" s="240">
        <f t="shared" si="33"/>
        <v>6000</v>
      </c>
      <c r="G29" s="240">
        <v>34800</v>
      </c>
      <c r="H29" s="280">
        <v>36.1</v>
      </c>
      <c r="I29" s="240">
        <v>22400</v>
      </c>
      <c r="J29" s="240">
        <f t="shared" si="17"/>
        <v>18400</v>
      </c>
      <c r="K29" s="280">
        <f t="shared" si="18"/>
        <v>32647.615127201494</v>
      </c>
      <c r="L29" s="240">
        <f t="shared" si="49"/>
        <v>300000</v>
      </c>
      <c r="M29" s="280">
        <f t="shared" si="20"/>
        <v>23189.549366762974</v>
      </c>
      <c r="N29" s="280">
        <f t="shared" si="21"/>
        <v>2839.4207624296528</v>
      </c>
      <c r="O29" s="1089"/>
      <c r="P29" s="1084"/>
      <c r="Q29" s="35">
        <f t="shared" si="22"/>
        <v>28350</v>
      </c>
      <c r="R29" s="35"/>
      <c r="S29" s="35">
        <v>28350</v>
      </c>
      <c r="T29" s="35">
        <f t="shared" si="0"/>
        <v>0</v>
      </c>
      <c r="U29" s="36">
        <f t="shared" si="1"/>
        <v>0</v>
      </c>
      <c r="V29" s="74">
        <f t="shared" si="23"/>
        <v>23674</v>
      </c>
      <c r="W29" s="36">
        <f t="shared" si="24"/>
        <v>1.8299646390291555</v>
      </c>
      <c r="X29" s="1136"/>
      <c r="Y29" s="49">
        <f t="shared" si="41"/>
        <v>1255</v>
      </c>
      <c r="Z29" s="50"/>
      <c r="AA29" s="50">
        <v>1142</v>
      </c>
      <c r="AB29" s="50">
        <f t="shared" si="2"/>
        <v>113</v>
      </c>
      <c r="AC29" s="51">
        <f t="shared" si="3"/>
        <v>0.20049894072683525</v>
      </c>
      <c r="AD29" s="50">
        <f t="shared" si="25"/>
        <v>1905</v>
      </c>
      <c r="AE29" s="51">
        <f t="shared" si="4"/>
        <v>0.14725363847894488</v>
      </c>
      <c r="AF29" s="1047"/>
      <c r="AG29" s="40">
        <f t="shared" si="42"/>
        <v>765</v>
      </c>
      <c r="AH29" s="41"/>
      <c r="AI29" s="41">
        <v>725</v>
      </c>
      <c r="AJ29" s="41">
        <f t="shared" si="54"/>
        <v>40</v>
      </c>
      <c r="AK29" s="42">
        <f t="shared" si="6"/>
        <v>70.97307636348151</v>
      </c>
      <c r="AL29" s="41">
        <f t="shared" si="43"/>
        <v>900</v>
      </c>
      <c r="AM29" s="42">
        <f t="shared" si="26"/>
        <v>6.9568648100288927E-2</v>
      </c>
      <c r="AN29" s="1058"/>
      <c r="AO29" s="67">
        <v>5</v>
      </c>
      <c r="AP29" s="67">
        <v>24</v>
      </c>
      <c r="AQ29" s="68">
        <f t="shared" si="34"/>
        <v>59.646000000000001</v>
      </c>
      <c r="AR29" s="68">
        <f t="shared" si="7"/>
        <v>9.3197457484109272</v>
      </c>
      <c r="AS29" s="69">
        <f t="shared" si="44"/>
        <v>1480.4137200000002</v>
      </c>
      <c r="AT29" s="140">
        <f t="shared" si="8"/>
        <v>9.2821773895314372</v>
      </c>
      <c r="AU29" s="1073"/>
      <c r="AV29" s="71">
        <v>3.2</v>
      </c>
      <c r="AW29" s="71">
        <v>12</v>
      </c>
      <c r="AX29" s="72">
        <f t="shared" si="35"/>
        <v>19.842432000000002</v>
      </c>
      <c r="AY29" s="72">
        <f t="shared" si="9"/>
        <v>3.1003993774961094</v>
      </c>
      <c r="AZ29" s="73">
        <f t="shared" si="45"/>
        <v>527.68467599999997</v>
      </c>
      <c r="BA29" s="192">
        <f t="shared" si="10"/>
        <v>3.3085769891199206</v>
      </c>
      <c r="BB29" s="1075"/>
      <c r="BC29" s="56">
        <f t="shared" si="50"/>
        <v>43890</v>
      </c>
      <c r="BD29" s="56"/>
      <c r="BE29" s="56">
        <v>40552</v>
      </c>
      <c r="BF29" s="57">
        <f t="shared" si="37"/>
        <v>3338</v>
      </c>
      <c r="BG29" s="58">
        <f t="shared" si="27"/>
        <v>23460</v>
      </c>
      <c r="BH29" s="58">
        <f t="shared" si="11"/>
        <v>147.0939363885438</v>
      </c>
      <c r="BI29" s="1133"/>
      <c r="BJ29" s="63">
        <f t="shared" si="51"/>
        <v>390</v>
      </c>
      <c r="BK29" s="64">
        <v>1100</v>
      </c>
      <c r="BL29" s="64">
        <v>1320</v>
      </c>
      <c r="BM29" s="64">
        <f t="shared" si="28"/>
        <v>170</v>
      </c>
      <c r="BN29" s="65">
        <f t="shared" si="29"/>
        <v>0.30163557454479639</v>
      </c>
      <c r="BO29" s="64">
        <f t="shared" si="30"/>
        <v>3740</v>
      </c>
      <c r="BP29" s="65">
        <f t="shared" si="31"/>
        <v>0.28909638210564509</v>
      </c>
      <c r="BQ29" s="1071"/>
      <c r="BR29" s="77">
        <f t="shared" si="52"/>
        <v>39000</v>
      </c>
      <c r="BS29" s="35"/>
      <c r="BT29" s="35">
        <v>37000</v>
      </c>
      <c r="BU29" s="74">
        <f t="shared" si="55"/>
        <v>2000</v>
      </c>
      <c r="BV29" s="74">
        <f t="shared" si="56"/>
        <v>98261</v>
      </c>
      <c r="BW29" s="74">
        <f t="shared" si="13"/>
        <v>616.095365877012</v>
      </c>
      <c r="BX29" s="1098"/>
      <c r="BY29" s="295">
        <f t="shared" si="53"/>
        <v>720</v>
      </c>
      <c r="BZ29" s="296"/>
      <c r="CA29" s="296">
        <v>610</v>
      </c>
      <c r="CB29" s="296">
        <f t="shared" si="14"/>
        <v>110</v>
      </c>
      <c r="CC29" s="297">
        <f t="shared" si="15"/>
        <v>0.19517595999957416</v>
      </c>
      <c r="CD29" s="296">
        <f t="shared" si="48"/>
        <v>3990</v>
      </c>
      <c r="CE29" s="297">
        <f t="shared" si="16"/>
        <v>0.30842100657794758</v>
      </c>
      <c r="CF29" s="1061"/>
    </row>
    <row r="30" spans="1:84">
      <c r="A30" s="30">
        <v>44343</v>
      </c>
      <c r="B30" s="32">
        <v>565.49699999999996</v>
      </c>
      <c r="C30" s="842">
        <f t="shared" si="39"/>
        <v>13502.359</v>
      </c>
      <c r="D30" s="842">
        <v>6143.08</v>
      </c>
      <c r="E30" s="843">
        <f t="shared" si="40"/>
        <v>165632.99899999998</v>
      </c>
      <c r="F30" s="240">
        <f t="shared" si="33"/>
        <v>22400</v>
      </c>
      <c r="G30" s="240"/>
      <c r="H30" s="280"/>
      <c r="I30" s="240">
        <v>6800</v>
      </c>
      <c r="J30" s="240">
        <f t="shared" si="17"/>
        <v>15600</v>
      </c>
      <c r="K30" s="280">
        <f t="shared" si="18"/>
        <v>27586.353243253281</v>
      </c>
      <c r="L30" s="240">
        <f t="shared" si="49"/>
        <v>315600</v>
      </c>
      <c r="M30" s="280">
        <f t="shared" si="20"/>
        <v>23373.693441272004</v>
      </c>
      <c r="N30" s="280">
        <f t="shared" si="21"/>
        <v>2861.9680961518311</v>
      </c>
      <c r="O30" s="1089"/>
      <c r="P30" s="1084"/>
      <c r="Q30" s="35">
        <f t="shared" si="22"/>
        <v>28350</v>
      </c>
      <c r="R30" s="35"/>
      <c r="S30" s="35">
        <v>28350</v>
      </c>
      <c r="T30" s="35">
        <f t="shared" si="0"/>
        <v>0</v>
      </c>
      <c r="U30" s="36">
        <f t="shared" si="1"/>
        <v>0</v>
      </c>
      <c r="V30" s="74">
        <f t="shared" si="23"/>
        <v>23674</v>
      </c>
      <c r="W30" s="36">
        <f t="shared" si="24"/>
        <v>1.7533232526257079</v>
      </c>
      <c r="X30" s="1136"/>
      <c r="Y30" s="49">
        <f t="shared" si="41"/>
        <v>1142</v>
      </c>
      <c r="Z30" s="50"/>
      <c r="AA30" s="50">
        <v>1085</v>
      </c>
      <c r="AB30" s="50">
        <f t="shared" si="2"/>
        <v>57</v>
      </c>
      <c r="AC30" s="51">
        <f t="shared" si="3"/>
        <v>0.10079629069650238</v>
      </c>
      <c r="AD30" s="50">
        <f t="shared" si="25"/>
        <v>1962</v>
      </c>
      <c r="AE30" s="51">
        <f t="shared" si="4"/>
        <v>0.14530794211589249</v>
      </c>
      <c r="AF30" s="1047"/>
      <c r="AG30" s="40">
        <f t="shared" si="42"/>
        <v>725</v>
      </c>
      <c r="AH30" s="41"/>
      <c r="AI30" s="41">
        <v>705</v>
      </c>
      <c r="AJ30" s="41">
        <f t="shared" si="54"/>
        <v>20</v>
      </c>
      <c r="AK30" s="42">
        <f t="shared" si="6"/>
        <v>35.367119542632416</v>
      </c>
      <c r="AL30" s="41">
        <f t="shared" si="43"/>
        <v>920</v>
      </c>
      <c r="AM30" s="42">
        <f t="shared" si="26"/>
        <v>6.8136241970754879E-2</v>
      </c>
      <c r="AN30" s="1058"/>
      <c r="AO30" s="67">
        <v>4.9000000000000004</v>
      </c>
      <c r="AP30" s="67">
        <v>24</v>
      </c>
      <c r="AQ30" s="68">
        <f t="shared" si="34"/>
        <v>58.45308</v>
      </c>
      <c r="AR30" s="68">
        <f t="shared" si="7"/>
        <v>9.5152724691848398</v>
      </c>
      <c r="AS30" s="69">
        <f t="shared" si="44"/>
        <v>1538.8668000000002</v>
      </c>
      <c r="AT30" s="140">
        <f t="shared" si="8"/>
        <v>9.2908225371201567</v>
      </c>
      <c r="AU30" s="1073"/>
      <c r="AV30" s="216">
        <v>2.8</v>
      </c>
      <c r="AW30" s="71">
        <v>12</v>
      </c>
      <c r="AX30" s="72">
        <f t="shared" si="35"/>
        <v>17.362127999999998</v>
      </c>
      <c r="AY30" s="72">
        <f t="shared" si="9"/>
        <v>2.8262903950461329</v>
      </c>
      <c r="AZ30" s="73">
        <f t="shared" si="45"/>
        <v>545.04680399999995</v>
      </c>
      <c r="BA30" s="192">
        <f t="shared" si="10"/>
        <v>3.290689701271424</v>
      </c>
      <c r="BB30" s="1075"/>
      <c r="BC30" s="56">
        <f t="shared" si="50"/>
        <v>40552</v>
      </c>
      <c r="BD30" s="56"/>
      <c r="BE30" s="56">
        <v>40552</v>
      </c>
      <c r="BF30" s="57">
        <f t="shared" si="37"/>
        <v>0</v>
      </c>
      <c r="BG30" s="58">
        <f t="shared" si="27"/>
        <v>23460</v>
      </c>
      <c r="BH30" s="58">
        <f t="shared" si="11"/>
        <v>141.63844247002979</v>
      </c>
      <c r="BI30" s="1133"/>
      <c r="BJ30" s="63">
        <f t="shared" si="51"/>
        <v>1320</v>
      </c>
      <c r="BK30" s="64"/>
      <c r="BL30" s="64">
        <v>1130</v>
      </c>
      <c r="BM30" s="64">
        <f t="shared" si="28"/>
        <v>190</v>
      </c>
      <c r="BN30" s="65">
        <f t="shared" si="29"/>
        <v>0.33598763565500794</v>
      </c>
      <c r="BO30" s="64">
        <f t="shared" si="30"/>
        <v>3930</v>
      </c>
      <c r="BP30" s="65">
        <f t="shared" si="31"/>
        <v>0.29106025102724642</v>
      </c>
      <c r="BQ30" s="1071"/>
      <c r="BR30" s="77">
        <f t="shared" si="52"/>
        <v>37000</v>
      </c>
      <c r="BS30" s="35"/>
      <c r="BT30" s="35">
        <v>34000</v>
      </c>
      <c r="BU30" s="74">
        <f t="shared" si="55"/>
        <v>3000</v>
      </c>
      <c r="BV30" s="74">
        <f t="shared" si="56"/>
        <v>101261</v>
      </c>
      <c r="BW30" s="74">
        <f t="shared" si="13"/>
        <v>611.35764377483747</v>
      </c>
      <c r="BX30" s="1098"/>
      <c r="BY30" s="295">
        <f t="shared" si="53"/>
        <v>610</v>
      </c>
      <c r="BZ30" s="296"/>
      <c r="CA30" s="296">
        <v>520</v>
      </c>
      <c r="CB30" s="296">
        <f t="shared" si="14"/>
        <v>90</v>
      </c>
      <c r="CC30" s="297">
        <f t="shared" si="15"/>
        <v>0.15915203794184585</v>
      </c>
      <c r="CD30" s="296">
        <f t="shared" si="48"/>
        <v>4080</v>
      </c>
      <c r="CE30" s="297">
        <f t="shared" si="16"/>
        <v>0.30216942091378252</v>
      </c>
      <c r="CF30" s="1061"/>
    </row>
    <row r="31" spans="1:84">
      <c r="A31" s="30">
        <v>44344</v>
      </c>
      <c r="B31" s="32">
        <v>551.97900000000004</v>
      </c>
      <c r="C31" s="842">
        <f t="shared" si="39"/>
        <v>14054.338</v>
      </c>
      <c r="D31" s="842">
        <v>6160.5</v>
      </c>
      <c r="E31" s="843">
        <f t="shared" si="40"/>
        <v>171793.49899999998</v>
      </c>
      <c r="F31" s="240">
        <f t="shared" si="33"/>
        <v>6800</v>
      </c>
      <c r="G31" s="240">
        <v>31875</v>
      </c>
      <c r="H31" s="280">
        <v>18.68</v>
      </c>
      <c r="I31" s="240">
        <v>18000</v>
      </c>
      <c r="J31" s="240">
        <f t="shared" si="17"/>
        <v>20675</v>
      </c>
      <c r="K31" s="280">
        <f t="shared" si="18"/>
        <v>37456.135106589194</v>
      </c>
      <c r="L31" s="240">
        <f t="shared" si="49"/>
        <v>336275</v>
      </c>
      <c r="M31" s="280">
        <f t="shared" si="20"/>
        <v>23926.776202479265</v>
      </c>
      <c r="N31" s="280">
        <f t="shared" si="21"/>
        <v>2929.6897517422881</v>
      </c>
      <c r="O31" s="1089"/>
      <c r="P31" s="1084"/>
      <c r="Q31" s="35">
        <f t="shared" si="22"/>
        <v>28350</v>
      </c>
      <c r="R31" s="35"/>
      <c r="S31" s="35">
        <v>28350</v>
      </c>
      <c r="T31" s="35">
        <f t="shared" si="0"/>
        <v>0</v>
      </c>
      <c r="U31" s="36">
        <f t="shared" si="1"/>
        <v>0</v>
      </c>
      <c r="V31" s="74">
        <f t="shared" si="23"/>
        <v>23674</v>
      </c>
      <c r="W31" s="36">
        <f t="shared" si="24"/>
        <v>1.6844621212326045</v>
      </c>
      <c r="X31" s="1136"/>
      <c r="Y31" s="49">
        <f t="shared" si="41"/>
        <v>1085</v>
      </c>
      <c r="Z31" s="50"/>
      <c r="AA31" s="50">
        <v>1056</v>
      </c>
      <c r="AB31" s="50">
        <f t="shared" si="2"/>
        <v>29</v>
      </c>
      <c r="AC31" s="51">
        <f t="shared" si="3"/>
        <v>5.2538230621092467E-2</v>
      </c>
      <c r="AD31" s="50">
        <f t="shared" si="25"/>
        <v>1991</v>
      </c>
      <c r="AE31" s="51">
        <f t="shared" si="4"/>
        <v>0.14166444552564483</v>
      </c>
      <c r="AF31" s="1047"/>
      <c r="AG31" s="40">
        <f t="shared" si="42"/>
        <v>705</v>
      </c>
      <c r="AH31" s="41"/>
      <c r="AI31" s="41">
        <v>666</v>
      </c>
      <c r="AJ31" s="41">
        <f t="shared" si="54"/>
        <v>39</v>
      </c>
      <c r="AK31" s="42">
        <f t="shared" si="6"/>
        <v>70.654861869745034</v>
      </c>
      <c r="AL31" s="41">
        <f t="shared" si="43"/>
        <v>959</v>
      </c>
      <c r="AM31" s="42">
        <f t="shared" si="26"/>
        <v>6.8235159848866592E-2</v>
      </c>
      <c r="AN31" s="1058"/>
      <c r="AO31" s="67">
        <v>5.3</v>
      </c>
      <c r="AP31" s="67">
        <v>24</v>
      </c>
      <c r="AQ31" s="68">
        <f t="shared" si="34"/>
        <v>63.224759999999996</v>
      </c>
      <c r="AR31" s="68">
        <f t="shared" si="7"/>
        <v>10.262926710494277</v>
      </c>
      <c r="AS31" s="69">
        <f t="shared" si="44"/>
        <v>1602.0915600000003</v>
      </c>
      <c r="AT31" s="140">
        <f t="shared" si="8"/>
        <v>9.3256821086111099</v>
      </c>
      <c r="AU31" s="1073"/>
      <c r="AV31" s="71">
        <v>3.1</v>
      </c>
      <c r="AW31" s="71">
        <v>12</v>
      </c>
      <c r="AX31" s="72">
        <f t="shared" si="35"/>
        <v>19.222356000000001</v>
      </c>
      <c r="AY31" s="72">
        <f t="shared" si="9"/>
        <v>3.1202590698806913</v>
      </c>
      <c r="AZ31" s="73">
        <f t="shared" si="45"/>
        <v>564.26915999999994</v>
      </c>
      <c r="BA31" s="192">
        <f t="shared" si="10"/>
        <v>3.2845780735858927</v>
      </c>
      <c r="BB31" s="1075"/>
      <c r="BC31" s="56">
        <f t="shared" si="50"/>
        <v>40552</v>
      </c>
      <c r="BD31" s="59"/>
      <c r="BE31" s="56">
        <v>40552</v>
      </c>
      <c r="BF31" s="57">
        <f t="shared" si="37"/>
        <v>0</v>
      </c>
      <c r="BG31" s="58">
        <f t="shared" si="27"/>
        <v>23460</v>
      </c>
      <c r="BH31" s="58">
        <f t="shared" si="11"/>
        <v>136.55930018632429</v>
      </c>
      <c r="BI31" s="1133"/>
      <c r="BJ31" s="63">
        <f t="shared" si="51"/>
        <v>1130</v>
      </c>
      <c r="BK31" s="64"/>
      <c r="BL31" s="64">
        <v>966</v>
      </c>
      <c r="BM31" s="64">
        <f t="shared" si="28"/>
        <v>164</v>
      </c>
      <c r="BN31" s="65">
        <f t="shared" si="29"/>
        <v>0.2971127524779022</v>
      </c>
      <c r="BO31" s="64">
        <f t="shared" si="30"/>
        <v>4094</v>
      </c>
      <c r="BP31" s="65">
        <f t="shared" si="31"/>
        <v>0.29129796081466092</v>
      </c>
      <c r="BQ31" s="1071"/>
      <c r="BR31" s="77">
        <f t="shared" si="52"/>
        <v>34000</v>
      </c>
      <c r="BS31" s="35"/>
      <c r="BT31" s="35">
        <v>31174</v>
      </c>
      <c r="BU31" s="74">
        <f t="shared" si="55"/>
        <v>2826</v>
      </c>
      <c r="BV31" s="74">
        <f t="shared" si="56"/>
        <v>104087</v>
      </c>
      <c r="BW31" s="74">
        <f t="shared" si="13"/>
        <v>605.88439379769557</v>
      </c>
      <c r="BX31" s="1098"/>
      <c r="BY31" s="295">
        <f t="shared" si="53"/>
        <v>520</v>
      </c>
      <c r="BZ31" s="296"/>
      <c r="CA31" s="296">
        <v>440</v>
      </c>
      <c r="CB31" s="296">
        <f t="shared" si="14"/>
        <v>80</v>
      </c>
      <c r="CC31" s="297">
        <f t="shared" si="15"/>
        <v>0.1449330499892206</v>
      </c>
      <c r="CD31" s="296">
        <f t="shared" si="48"/>
        <v>4160</v>
      </c>
      <c r="CE31" s="297">
        <f t="shared" si="16"/>
        <v>0.29599401978236184</v>
      </c>
      <c r="CF31" s="1061"/>
    </row>
    <row r="32" spans="1:84">
      <c r="A32" s="30">
        <v>44345</v>
      </c>
      <c r="B32" s="32">
        <v>620.68499999999995</v>
      </c>
      <c r="C32" s="842">
        <f t="shared" si="39"/>
        <v>14675.022999999999</v>
      </c>
      <c r="D32" s="844">
        <v>6373.5</v>
      </c>
      <c r="E32" s="843">
        <f t="shared" si="40"/>
        <v>178166.99899999998</v>
      </c>
      <c r="F32" s="240">
        <f t="shared" si="33"/>
        <v>18000</v>
      </c>
      <c r="G32" s="240">
        <v>18090</v>
      </c>
      <c r="H32" s="280">
        <v>8.67</v>
      </c>
      <c r="I32" s="240">
        <v>19000</v>
      </c>
      <c r="J32" s="240">
        <f t="shared" si="17"/>
        <v>17090</v>
      </c>
      <c r="K32" s="280">
        <f t="shared" si="18"/>
        <v>27534.095394604352</v>
      </c>
      <c r="L32" s="240">
        <f t="shared" si="49"/>
        <v>353365</v>
      </c>
      <c r="M32" s="280">
        <f t="shared" si="20"/>
        <v>24079.348972740965</v>
      </c>
      <c r="N32" s="280">
        <f t="shared" si="21"/>
        <v>2948.3713692593324</v>
      </c>
      <c r="O32" s="1089"/>
      <c r="P32" s="1084"/>
      <c r="Q32" s="35">
        <f t="shared" si="22"/>
        <v>28350</v>
      </c>
      <c r="R32" s="35">
        <v>34390</v>
      </c>
      <c r="S32" s="35">
        <v>62000</v>
      </c>
      <c r="T32" s="35">
        <f t="shared" si="0"/>
        <v>740</v>
      </c>
      <c r="U32" s="36">
        <f t="shared" si="1"/>
        <v>1192.2311639559521</v>
      </c>
      <c r="V32" s="74">
        <f t="shared" si="23"/>
        <v>24414</v>
      </c>
      <c r="W32" s="36">
        <f t="shared" si="24"/>
        <v>1.6636430484640468</v>
      </c>
      <c r="X32" s="1136"/>
      <c r="Y32" s="49">
        <f t="shared" si="41"/>
        <v>1056</v>
      </c>
      <c r="Z32" s="50"/>
      <c r="AA32" s="50">
        <v>1020</v>
      </c>
      <c r="AB32" s="50">
        <f t="shared" si="2"/>
        <v>36</v>
      </c>
      <c r="AC32" s="51">
        <f t="shared" si="3"/>
        <v>5.8000435003262532E-2</v>
      </c>
      <c r="AD32" s="50">
        <f t="shared" si="25"/>
        <v>2027</v>
      </c>
      <c r="AE32" s="51">
        <f t="shared" si="4"/>
        <v>0.1381258482525036</v>
      </c>
      <c r="AF32" s="1047"/>
      <c r="AG32" s="40">
        <f t="shared" si="42"/>
        <v>666</v>
      </c>
      <c r="AH32" s="44"/>
      <c r="AI32" s="41">
        <v>646</v>
      </c>
      <c r="AJ32" s="41">
        <f t="shared" si="54"/>
        <v>20</v>
      </c>
      <c r="AK32" s="42">
        <f t="shared" si="6"/>
        <v>32.222463890701405</v>
      </c>
      <c r="AL32" s="41">
        <f t="shared" si="43"/>
        <v>979</v>
      </c>
      <c r="AM32" s="42">
        <f t="shared" si="26"/>
        <v>6.6711990843217078E-2</v>
      </c>
      <c r="AN32" s="1058"/>
      <c r="AO32" s="67">
        <v>5.2</v>
      </c>
      <c r="AP32" s="67">
        <v>24</v>
      </c>
      <c r="AQ32" s="68">
        <f t="shared" si="34"/>
        <v>62.031840000000003</v>
      </c>
      <c r="AR32" s="68">
        <f t="shared" si="7"/>
        <v>9.7327747705342436</v>
      </c>
      <c r="AS32" s="69">
        <f t="shared" si="44"/>
        <v>1664.1234000000004</v>
      </c>
      <c r="AT32" s="140">
        <f t="shared" si="8"/>
        <v>9.3402448789071233</v>
      </c>
      <c r="AU32" s="1073"/>
      <c r="AV32" s="71">
        <v>3.1</v>
      </c>
      <c r="AW32" s="71">
        <v>12</v>
      </c>
      <c r="AX32" s="72">
        <f t="shared" si="35"/>
        <v>19.222356000000001</v>
      </c>
      <c r="AY32" s="72">
        <f t="shared" si="9"/>
        <v>3.0159811720404801</v>
      </c>
      <c r="AZ32" s="73">
        <f t="shared" si="45"/>
        <v>583.49151599999993</v>
      </c>
      <c r="BA32" s="192">
        <f t="shared" si="10"/>
        <v>3.2749696592240407</v>
      </c>
      <c r="BB32" s="1075"/>
      <c r="BC32" s="56">
        <f t="shared" si="50"/>
        <v>40552</v>
      </c>
      <c r="BD32" s="59"/>
      <c r="BE32" s="56">
        <v>40552</v>
      </c>
      <c r="BF32" s="57">
        <f t="shared" si="37"/>
        <v>0</v>
      </c>
      <c r="BG32" s="58">
        <f t="shared" si="27"/>
        <v>23460</v>
      </c>
      <c r="BH32" s="58">
        <f t="shared" si="11"/>
        <v>131.67421650291141</v>
      </c>
      <c r="BI32" s="1133"/>
      <c r="BJ32" s="63">
        <f t="shared" si="51"/>
        <v>966</v>
      </c>
      <c r="BK32" s="64"/>
      <c r="BL32" s="64">
        <v>780</v>
      </c>
      <c r="BM32" s="64">
        <f t="shared" si="28"/>
        <v>186</v>
      </c>
      <c r="BN32" s="65">
        <f t="shared" si="29"/>
        <v>0.29966891418352309</v>
      </c>
      <c r="BO32" s="64">
        <f t="shared" si="30"/>
        <v>4280</v>
      </c>
      <c r="BP32" s="65">
        <f t="shared" si="31"/>
        <v>0.2916520130837274</v>
      </c>
      <c r="BQ32" s="1071"/>
      <c r="BR32" s="77">
        <f t="shared" si="52"/>
        <v>31174</v>
      </c>
      <c r="BS32" s="35"/>
      <c r="BT32" s="35">
        <v>27478</v>
      </c>
      <c r="BU32" s="74">
        <f t="shared" si="55"/>
        <v>3696</v>
      </c>
      <c r="BV32" s="74">
        <f t="shared" si="56"/>
        <v>107783</v>
      </c>
      <c r="BW32" s="74">
        <f t="shared" si="13"/>
        <v>604.954905257174</v>
      </c>
      <c r="BX32" s="1098"/>
      <c r="BY32" s="295">
        <f t="shared" si="53"/>
        <v>440</v>
      </c>
      <c r="BZ32" s="296"/>
      <c r="CA32" s="296">
        <v>220</v>
      </c>
      <c r="CB32" s="296">
        <f t="shared" si="14"/>
        <v>220</v>
      </c>
      <c r="CC32" s="297">
        <f t="shared" si="15"/>
        <v>0.35444710279771546</v>
      </c>
      <c r="CD32" s="296">
        <f t="shared" si="48"/>
        <v>4380</v>
      </c>
      <c r="CE32" s="297">
        <f t="shared" si="16"/>
        <v>0.29846631245484251</v>
      </c>
      <c r="CF32" s="1061"/>
    </row>
    <row r="33" spans="1:84">
      <c r="A33" s="30">
        <v>44346</v>
      </c>
      <c r="B33" s="32">
        <v>486.637</v>
      </c>
      <c r="C33" s="842">
        <f t="shared" si="39"/>
        <v>15161.66</v>
      </c>
      <c r="D33" s="844">
        <v>6190.98</v>
      </c>
      <c r="E33" s="843">
        <f t="shared" si="40"/>
        <v>184357.97899999999</v>
      </c>
      <c r="F33" s="240">
        <f t="shared" si="33"/>
        <v>19000</v>
      </c>
      <c r="G33" s="240"/>
      <c r="H33" s="280"/>
      <c r="I33" s="240">
        <v>14400</v>
      </c>
      <c r="J33" s="240">
        <f t="shared" si="17"/>
        <v>4600</v>
      </c>
      <c r="K33" s="280">
        <f t="shared" si="18"/>
        <v>9452.6310165482682</v>
      </c>
      <c r="L33" s="240">
        <f t="shared" si="49"/>
        <v>357965</v>
      </c>
      <c r="M33" s="280">
        <f t="shared" si="20"/>
        <v>23609.881767563711</v>
      </c>
      <c r="N33" s="280">
        <f t="shared" si="21"/>
        <v>2890.8879352961567</v>
      </c>
      <c r="O33" s="1089"/>
      <c r="P33" s="1084"/>
      <c r="Q33" s="35">
        <f t="shared" si="22"/>
        <v>62000</v>
      </c>
      <c r="R33" s="35"/>
      <c r="S33" s="35">
        <v>62000</v>
      </c>
      <c r="T33" s="35">
        <f t="shared" si="0"/>
        <v>0</v>
      </c>
      <c r="U33" s="36">
        <f t="shared" si="1"/>
        <v>0</v>
      </c>
      <c r="V33" s="74">
        <f t="shared" si="23"/>
        <v>24414</v>
      </c>
      <c r="W33" s="36">
        <f t="shared" si="24"/>
        <v>1.61024584379283</v>
      </c>
      <c r="X33" s="1136"/>
      <c r="Y33" s="49">
        <f t="shared" si="41"/>
        <v>1020</v>
      </c>
      <c r="Z33" s="50"/>
      <c r="AA33" s="50">
        <v>991</v>
      </c>
      <c r="AB33" s="50">
        <f t="shared" si="2"/>
        <v>29</v>
      </c>
      <c r="AC33" s="51">
        <f t="shared" si="3"/>
        <v>5.9592673799978214E-2</v>
      </c>
      <c r="AD33" s="50">
        <f t="shared" si="25"/>
        <v>2056</v>
      </c>
      <c r="AE33" s="51">
        <f t="shared" si="4"/>
        <v>0.13560520417948957</v>
      </c>
      <c r="AF33" s="1047"/>
      <c r="AG33" s="40">
        <f t="shared" si="42"/>
        <v>646</v>
      </c>
      <c r="AH33" s="44"/>
      <c r="AI33" s="41">
        <v>606</v>
      </c>
      <c r="AJ33" s="41">
        <f t="shared" si="54"/>
        <v>40</v>
      </c>
      <c r="AK33" s="42">
        <f t="shared" si="6"/>
        <v>82.196791448245818</v>
      </c>
      <c r="AL33" s="41">
        <f t="shared" si="43"/>
        <v>1019</v>
      </c>
      <c r="AM33" s="42">
        <f t="shared" si="26"/>
        <v>6.7208999542266487E-2</v>
      </c>
      <c r="AN33" s="1058"/>
      <c r="AO33" s="67">
        <v>4.7</v>
      </c>
      <c r="AP33" s="67">
        <v>24</v>
      </c>
      <c r="AQ33" s="68">
        <f t="shared" si="34"/>
        <v>56.067240000000005</v>
      </c>
      <c r="AR33" s="68">
        <f t="shared" si="7"/>
        <v>9.0562786505529029</v>
      </c>
      <c r="AS33" s="69">
        <f t="shared" si="44"/>
        <v>1720.1906400000005</v>
      </c>
      <c r="AT33" s="140">
        <f t="shared" si="8"/>
        <v>9.330708924727368</v>
      </c>
      <c r="AU33" s="1073"/>
      <c r="AV33" s="71">
        <v>3.1</v>
      </c>
      <c r="AW33" s="71">
        <v>12</v>
      </c>
      <c r="AX33" s="72">
        <f t="shared" si="35"/>
        <v>19.222356000000001</v>
      </c>
      <c r="AY33" s="72">
        <f t="shared" si="9"/>
        <v>3.1048971245263273</v>
      </c>
      <c r="AZ33" s="73">
        <f t="shared" si="45"/>
        <v>602.71387199999992</v>
      </c>
      <c r="BA33" s="192">
        <f t="shared" si="10"/>
        <v>3.2692584029682816</v>
      </c>
      <c r="BB33" s="1075"/>
      <c r="BC33" s="56">
        <f t="shared" si="50"/>
        <v>40552</v>
      </c>
      <c r="BD33" s="59"/>
      <c r="BE33" s="56">
        <v>40552</v>
      </c>
      <c r="BF33" s="57">
        <f t="shared" si="37"/>
        <v>0</v>
      </c>
      <c r="BG33" s="58">
        <f t="shared" si="27"/>
        <v>23460</v>
      </c>
      <c r="BH33" s="58">
        <f t="shared" si="11"/>
        <v>127.25242556493853</v>
      </c>
      <c r="BI33" s="1133"/>
      <c r="BJ33" s="63">
        <f t="shared" si="51"/>
        <v>780</v>
      </c>
      <c r="BK33" s="64"/>
      <c r="BL33" s="64">
        <v>600</v>
      </c>
      <c r="BM33" s="64">
        <f t="shared" si="28"/>
        <v>180</v>
      </c>
      <c r="BN33" s="65">
        <f t="shared" si="29"/>
        <v>0.36988556151710617</v>
      </c>
      <c r="BO33" s="64">
        <f t="shared" si="30"/>
        <v>4460</v>
      </c>
      <c r="BP33" s="65">
        <f t="shared" si="31"/>
        <v>0.29416304019480716</v>
      </c>
      <c r="BQ33" s="1071"/>
      <c r="BR33" s="77">
        <f t="shared" si="52"/>
        <v>27478</v>
      </c>
      <c r="BS33" s="315"/>
      <c r="BT33" s="35">
        <v>24705</v>
      </c>
      <c r="BU33" s="74">
        <f t="shared" si="55"/>
        <v>2773</v>
      </c>
      <c r="BV33" s="74">
        <f t="shared" si="56"/>
        <v>110556</v>
      </c>
      <c r="BW33" s="74">
        <f t="shared" si="13"/>
        <v>599.68112364694559</v>
      </c>
      <c r="BX33" s="1098"/>
      <c r="BY33" s="295">
        <f t="shared" si="53"/>
        <v>220</v>
      </c>
      <c r="BZ33" s="296"/>
      <c r="CA33" s="296">
        <v>220</v>
      </c>
      <c r="CB33" s="296">
        <f t="shared" si="14"/>
        <v>0</v>
      </c>
      <c r="CC33" s="297">
        <f t="shared" si="15"/>
        <v>0</v>
      </c>
      <c r="CD33" s="296">
        <f t="shared" si="48"/>
        <v>4380</v>
      </c>
      <c r="CE33" s="297">
        <f t="shared" si="16"/>
        <v>0.2888865731061111</v>
      </c>
      <c r="CF33" s="1061"/>
    </row>
    <row r="34" spans="1:84" ht="15.75" thickBot="1">
      <c r="A34" s="30">
        <v>44347</v>
      </c>
      <c r="B34" s="109">
        <v>265.82799999999997</v>
      </c>
      <c r="C34" s="845">
        <f t="shared" si="39"/>
        <v>15427.487999999999</v>
      </c>
      <c r="D34" s="846">
        <v>166.06</v>
      </c>
      <c r="E34" s="847">
        <f t="shared" si="40"/>
        <v>184524.03899999999</v>
      </c>
      <c r="F34" s="245">
        <f t="shared" si="33"/>
        <v>14400</v>
      </c>
      <c r="G34" s="231"/>
      <c r="H34" s="230"/>
      <c r="I34" s="231">
        <v>13400</v>
      </c>
      <c r="J34" s="231">
        <f t="shared" si="17"/>
        <v>1000</v>
      </c>
      <c r="K34" s="230">
        <f t="shared" si="18"/>
        <v>3761.8309583640553</v>
      </c>
      <c r="L34" s="231">
        <f t="shared" si="49"/>
        <v>358965</v>
      </c>
      <c r="M34" s="230">
        <f t="shared" si="20"/>
        <v>23267.883922515448</v>
      </c>
      <c r="N34" s="230">
        <f t="shared" si="21"/>
        <v>2849.0123573546525</v>
      </c>
      <c r="O34" s="1090"/>
      <c r="P34" s="1085"/>
      <c r="Q34" s="79">
        <f t="shared" si="22"/>
        <v>62000</v>
      </c>
      <c r="R34" s="76"/>
      <c r="S34" s="76">
        <v>62000</v>
      </c>
      <c r="T34" s="76">
        <f t="shared" si="0"/>
        <v>0</v>
      </c>
      <c r="U34" s="80">
        <f t="shared" si="1"/>
        <v>0</v>
      </c>
      <c r="V34" s="81">
        <f t="shared" si="23"/>
        <v>24414</v>
      </c>
      <c r="W34" s="80">
        <f t="shared" si="24"/>
        <v>1.582500015556648</v>
      </c>
      <c r="X34" s="1137"/>
      <c r="Y34" s="83">
        <f t="shared" si="41"/>
        <v>991</v>
      </c>
      <c r="Z34" s="82"/>
      <c r="AA34" s="82">
        <v>981</v>
      </c>
      <c r="AB34" s="82">
        <f t="shared" si="2"/>
        <v>10</v>
      </c>
      <c r="AC34" s="84">
        <f t="shared" si="3"/>
        <v>3.7618309583640555E-2</v>
      </c>
      <c r="AD34" s="82">
        <f t="shared" si="25"/>
        <v>2066</v>
      </c>
      <c r="AE34" s="84">
        <f t="shared" si="4"/>
        <v>0.13391681134349287</v>
      </c>
      <c r="AF34" s="1048"/>
      <c r="AG34" s="95">
        <f t="shared" si="42"/>
        <v>606</v>
      </c>
      <c r="AH34" s="45"/>
      <c r="AI34" s="96">
        <v>606</v>
      </c>
      <c r="AJ34" s="96">
        <f t="shared" si="54"/>
        <v>0</v>
      </c>
      <c r="AK34" s="97">
        <f t="shared" si="6"/>
        <v>0</v>
      </c>
      <c r="AL34" s="96">
        <f t="shared" si="43"/>
        <v>1019</v>
      </c>
      <c r="AM34" s="97">
        <f t="shared" si="26"/>
        <v>6.6050934539699527E-2</v>
      </c>
      <c r="AN34" s="1059"/>
      <c r="AO34" s="310">
        <v>1.6</v>
      </c>
      <c r="AP34" s="101">
        <v>24</v>
      </c>
      <c r="AQ34" s="111">
        <f t="shared" si="34"/>
        <v>19.086720000000003</v>
      </c>
      <c r="AR34" s="111">
        <f t="shared" si="7"/>
        <v>114.9386968565579</v>
      </c>
      <c r="AS34" s="112">
        <f t="shared" si="44"/>
        <v>1739.2773600000005</v>
      </c>
      <c r="AT34" s="181">
        <f t="shared" si="8"/>
        <v>9.4257494547905534</v>
      </c>
      <c r="AU34" s="1074"/>
      <c r="AV34" s="104">
        <v>0.5</v>
      </c>
      <c r="AW34" s="104">
        <v>12</v>
      </c>
      <c r="AX34" s="105">
        <f t="shared" si="35"/>
        <v>3.1003800000000004</v>
      </c>
      <c r="AY34" s="105">
        <f t="shared" si="9"/>
        <v>18.670239672407568</v>
      </c>
      <c r="AZ34" s="106">
        <f t="shared" si="45"/>
        <v>605.8142519999999</v>
      </c>
      <c r="BA34" s="193">
        <f t="shared" si="10"/>
        <v>3.2831183150071839</v>
      </c>
      <c r="BB34" s="1076"/>
      <c r="BC34" s="87">
        <f t="shared" si="50"/>
        <v>40552</v>
      </c>
      <c r="BD34" s="100"/>
      <c r="BE34" s="88">
        <v>40552</v>
      </c>
      <c r="BF34" s="358">
        <f t="shared" si="37"/>
        <v>0</v>
      </c>
      <c r="BG34" s="89">
        <f t="shared" si="27"/>
        <v>23460</v>
      </c>
      <c r="BH34" s="89">
        <f t="shared" si="11"/>
        <v>127.13790640578814</v>
      </c>
      <c r="BI34" s="1134"/>
      <c r="BJ34" s="207">
        <f t="shared" si="51"/>
        <v>600</v>
      </c>
      <c r="BK34" s="85"/>
      <c r="BL34" s="85">
        <v>600</v>
      </c>
      <c r="BM34" s="85">
        <f t="shared" si="28"/>
        <v>0</v>
      </c>
      <c r="BN34" s="86">
        <f t="shared" si="29"/>
        <v>0</v>
      </c>
      <c r="BO34" s="85">
        <f t="shared" si="30"/>
        <v>4460</v>
      </c>
      <c r="BP34" s="86">
        <f t="shared" si="31"/>
        <v>0.28909437492351314</v>
      </c>
      <c r="BQ34" s="1072"/>
      <c r="BR34" s="79">
        <f t="shared" si="52"/>
        <v>24705</v>
      </c>
      <c r="BS34" s="76"/>
      <c r="BT34" s="76">
        <v>24705</v>
      </c>
      <c r="BU34" s="81">
        <f t="shared" si="55"/>
        <v>0</v>
      </c>
      <c r="BV34" s="74">
        <f t="shared" si="56"/>
        <v>110556</v>
      </c>
      <c r="BW34" s="74">
        <f t="shared" si="13"/>
        <v>599.14144844835096</v>
      </c>
      <c r="BX34" s="1099"/>
      <c r="BY34" s="305">
        <f t="shared" si="53"/>
        <v>220</v>
      </c>
      <c r="BZ34" s="299"/>
      <c r="CA34" s="299">
        <v>200</v>
      </c>
      <c r="CB34" s="299">
        <f t="shared" si="14"/>
        <v>20</v>
      </c>
      <c r="CC34" s="300">
        <f t="shared" si="15"/>
        <v>7.523661916728111E-2</v>
      </c>
      <c r="CD34" s="299">
        <f t="shared" si="48"/>
        <v>4400</v>
      </c>
      <c r="CE34" s="300">
        <f t="shared" si="16"/>
        <v>0.28520521292902645</v>
      </c>
      <c r="CF34" s="1062"/>
    </row>
    <row r="35" spans="1:84">
      <c r="A35" s="30">
        <v>44348</v>
      </c>
      <c r="B35" s="32">
        <v>0</v>
      </c>
      <c r="C35" s="842">
        <f t="shared" si="39"/>
        <v>15427.487999999999</v>
      </c>
      <c r="D35" s="844">
        <v>1122.46</v>
      </c>
      <c r="E35" s="843">
        <f t="shared" si="40"/>
        <v>185646.49899999998</v>
      </c>
      <c r="F35" s="240">
        <f>I34</f>
        <v>13400</v>
      </c>
      <c r="G35" s="240"/>
      <c r="H35" s="280"/>
      <c r="I35" s="240">
        <v>12000</v>
      </c>
      <c r="J35" s="240">
        <f t="shared" si="17"/>
        <v>1400</v>
      </c>
      <c r="K35" s="280"/>
      <c r="L35" s="240">
        <f t="shared" si="49"/>
        <v>360365</v>
      </c>
      <c r="M35" s="280">
        <f t="shared" si="20"/>
        <v>23358.63103572014</v>
      </c>
      <c r="N35" s="280">
        <f t="shared" si="21"/>
        <v>2860.1237952393953</v>
      </c>
      <c r="O35" s="1052">
        <f>SUM(J35:J64)/SUM(B35:B64)</f>
        <v>41.879865720062313</v>
      </c>
      <c r="P35" s="1083">
        <f>O35/8.167</f>
        <v>5.1279375192925567</v>
      </c>
      <c r="Q35" s="35">
        <f t="shared" si="22"/>
        <v>62000</v>
      </c>
      <c r="R35" s="35"/>
      <c r="S35" s="35">
        <v>61542</v>
      </c>
      <c r="T35" s="35">
        <f t="shared" si="0"/>
        <v>458</v>
      </c>
      <c r="U35" s="36"/>
      <c r="V35" s="74">
        <f t="shared" si="23"/>
        <v>24872</v>
      </c>
      <c r="W35" s="36">
        <f t="shared" si="24"/>
        <v>1.6121872854478967</v>
      </c>
      <c r="X35" s="1135">
        <f>SUM(T35:T64)/SUM(B35:B64)</f>
        <v>1.6946883852927617</v>
      </c>
      <c r="Y35" s="49">
        <f>AA34</f>
        <v>981</v>
      </c>
      <c r="Z35" s="50"/>
      <c r="AA35" s="50">
        <f>886+81</f>
        <v>967</v>
      </c>
      <c r="AB35" s="50">
        <f t="shared" si="2"/>
        <v>14</v>
      </c>
      <c r="AC35" s="51"/>
      <c r="AD35" s="50">
        <f t="shared" si="25"/>
        <v>2080</v>
      </c>
      <c r="AE35" s="51">
        <f t="shared" si="4"/>
        <v>0.13482428247553976</v>
      </c>
      <c r="AF35" s="1046">
        <f>SUM(AB35:AB64)/SUM(B35:B64)</f>
        <v>0.113657946659875</v>
      </c>
      <c r="AG35" s="40">
        <f>AI34</f>
        <v>606</v>
      </c>
      <c r="AH35" s="44"/>
      <c r="AI35" s="41">
        <v>606</v>
      </c>
      <c r="AJ35" s="41">
        <f t="shared" si="54"/>
        <v>0</v>
      </c>
      <c r="AK35" s="42"/>
      <c r="AL35" s="41">
        <f t="shared" si="43"/>
        <v>1019</v>
      </c>
      <c r="AM35" s="42">
        <f t="shared" si="26"/>
        <v>6.6050934539699527E-2</v>
      </c>
      <c r="AN35" s="1057">
        <f>SUM(AJ35:AJ64)/SUM(B35:B64)</f>
        <v>6.0166945331695941E-2</v>
      </c>
      <c r="AO35" s="67">
        <v>0</v>
      </c>
      <c r="AP35" s="67">
        <v>24</v>
      </c>
      <c r="AQ35" s="68">
        <f t="shared" si="34"/>
        <v>0</v>
      </c>
      <c r="AR35" s="68">
        <f t="shared" si="7"/>
        <v>0</v>
      </c>
      <c r="AS35" s="69">
        <f t="shared" si="44"/>
        <v>1739.2773600000005</v>
      </c>
      <c r="AT35" s="140">
        <f t="shared" si="8"/>
        <v>9.3687592783529983</v>
      </c>
      <c r="AU35" s="1064">
        <f>1000*SUM(AQ35:AQ64)/SUM(D35:D64)</f>
        <v>10.702853509640786</v>
      </c>
      <c r="AV35" s="70">
        <v>0.5</v>
      </c>
      <c r="AW35" s="71">
        <v>12</v>
      </c>
      <c r="AX35" s="72">
        <f t="shared" si="35"/>
        <v>3.1003800000000004</v>
      </c>
      <c r="AY35" s="72">
        <f t="shared" si="9"/>
        <v>2.762129608182029</v>
      </c>
      <c r="AZ35" s="73">
        <f t="shared" si="45"/>
        <v>608.91463199999987</v>
      </c>
      <c r="BA35" s="192">
        <f t="shared" si="10"/>
        <v>3.2799683014760217</v>
      </c>
      <c r="BB35" s="1065">
        <f>1000*SUM(AX35:AX64)/SUM(D35:D64)</f>
        <v>3.1095466481988177</v>
      </c>
      <c r="BC35" s="90">
        <f>BE34</f>
        <v>40552</v>
      </c>
      <c r="BD35" s="59"/>
      <c r="BE35" s="56">
        <v>40552</v>
      </c>
      <c r="BF35" s="56">
        <f t="shared" si="37"/>
        <v>0</v>
      </c>
      <c r="BG35" s="58">
        <f t="shared" si="27"/>
        <v>23460</v>
      </c>
      <c r="BH35" s="58">
        <f t="shared" si="11"/>
        <v>126.36920236238876</v>
      </c>
      <c r="BI35" s="1132">
        <f>1000*SUM(BF35:BF64)/SUM(D35:D64)</f>
        <v>40.076241512514621</v>
      </c>
      <c r="BJ35" s="64">
        <f>BL34</f>
        <v>600</v>
      </c>
      <c r="BK35" s="64"/>
      <c r="BL35" s="64">
        <v>600</v>
      </c>
      <c r="BM35" s="64">
        <f t="shared" si="28"/>
        <v>0</v>
      </c>
      <c r="BN35" s="65"/>
      <c r="BO35" s="64">
        <f t="shared" si="30"/>
        <v>4460</v>
      </c>
      <c r="BP35" s="65">
        <f t="shared" si="31"/>
        <v>0.28909437492351314</v>
      </c>
      <c r="BQ35" s="1067">
        <f>SUM(BM35:BM64)/SUM(B35:B64)</f>
        <v>0.20027832010550661</v>
      </c>
      <c r="BR35" s="77">
        <f>BT34</f>
        <v>24705</v>
      </c>
      <c r="BS35" s="35"/>
      <c r="BT35" s="35">
        <v>24705</v>
      </c>
      <c r="BU35" s="74">
        <f t="shared" si="55"/>
        <v>0</v>
      </c>
      <c r="BV35" s="120">
        <f t="shared" si="56"/>
        <v>110556</v>
      </c>
      <c r="BW35" s="120">
        <f t="shared" si="13"/>
        <v>595.5189060688939</v>
      </c>
      <c r="BX35" s="1063">
        <f>1000*SUM(BU35:BU64)/SUM(D35:D64)</f>
        <v>366.85659807479959</v>
      </c>
      <c r="BY35" s="296">
        <f>CA34</f>
        <v>200</v>
      </c>
      <c r="BZ35" s="296">
        <v>1150</v>
      </c>
      <c r="CA35" s="296">
        <v>1100</v>
      </c>
      <c r="CB35" s="296">
        <f t="shared" si="14"/>
        <v>250</v>
      </c>
      <c r="CC35" s="297"/>
      <c r="CD35" s="296">
        <f t="shared" si="48"/>
        <v>4650</v>
      </c>
      <c r="CE35" s="297">
        <f t="shared" si="16"/>
        <v>0.30141005457272113</v>
      </c>
      <c r="CF35" s="1060">
        <f>SUM(CB35:CB64)/SUM(B35:B64)</f>
        <v>0.63755265233586267</v>
      </c>
    </row>
    <row r="36" spans="1:84">
      <c r="A36" s="30">
        <v>44349</v>
      </c>
      <c r="B36" s="32">
        <v>329.12700000000001</v>
      </c>
      <c r="C36" s="842">
        <f t="shared" si="39"/>
        <v>15756.615</v>
      </c>
      <c r="D36" s="844">
        <v>6253.54</v>
      </c>
      <c r="E36" s="843">
        <f t="shared" si="40"/>
        <v>191900.03899999999</v>
      </c>
      <c r="F36" s="240">
        <f>I35</f>
        <v>12000</v>
      </c>
      <c r="G36" s="240"/>
      <c r="H36" s="280"/>
      <c r="I36" s="240">
        <v>4000</v>
      </c>
      <c r="J36" s="240">
        <f t="shared" si="17"/>
        <v>8000</v>
      </c>
      <c r="K36" s="280">
        <f t="shared" ref="K36:K64" si="57">J36*1000/B36</f>
        <v>24306.726582747691</v>
      </c>
      <c r="L36" s="240">
        <f t="shared" si="49"/>
        <v>368365</v>
      </c>
      <c r="M36" s="280">
        <f t="shared" si="20"/>
        <v>23378.43502554324</v>
      </c>
      <c r="N36" s="280">
        <f t="shared" si="21"/>
        <v>2862.5486746104125</v>
      </c>
      <c r="O36" s="1089"/>
      <c r="P36" s="1084"/>
      <c r="Q36" s="35">
        <f t="shared" si="22"/>
        <v>61542</v>
      </c>
      <c r="R36" s="35"/>
      <c r="S36" s="35">
        <v>59133</v>
      </c>
      <c r="T36" s="35">
        <f t="shared" si="0"/>
        <v>2409</v>
      </c>
      <c r="U36" s="36">
        <f t="shared" ref="U36:U44" si="58">1000*T36/B36</f>
        <v>7319.3630422298993</v>
      </c>
      <c r="V36" s="74">
        <f t="shared" si="23"/>
        <v>27281</v>
      </c>
      <c r="W36" s="36">
        <f t="shared" si="24"/>
        <v>1.7313997962125749</v>
      </c>
      <c r="X36" s="1136"/>
      <c r="Y36" s="49">
        <f>AA35</f>
        <v>967</v>
      </c>
      <c r="Z36" s="50"/>
      <c r="AA36" s="50">
        <f>886+77</f>
        <v>963</v>
      </c>
      <c r="AB36" s="50">
        <f t="shared" si="2"/>
        <v>4</v>
      </c>
      <c r="AC36" s="51">
        <f t="shared" ref="AC36:AC44" si="59">AB36/B36</f>
        <v>1.2153363291373846E-2</v>
      </c>
      <c r="AD36" s="50">
        <f t="shared" si="25"/>
        <v>2084</v>
      </c>
      <c r="AE36" s="51">
        <f t="shared" si="4"/>
        <v>0.13226191031512796</v>
      </c>
      <c r="AF36" s="1047"/>
      <c r="AG36" s="40">
        <f>AI35</f>
        <v>606</v>
      </c>
      <c r="AH36" s="44"/>
      <c r="AI36" s="41">
        <v>567</v>
      </c>
      <c r="AJ36" s="41">
        <f t="shared" si="54"/>
        <v>39</v>
      </c>
      <c r="AK36" s="42">
        <f t="shared" ref="AK36:AK44" si="60">AJ36*1000/B36</f>
        <v>118.49529209089501</v>
      </c>
      <c r="AL36" s="41">
        <f t="shared" si="43"/>
        <v>1058</v>
      </c>
      <c r="AM36" s="42">
        <f t="shared" si="26"/>
        <v>6.7146401685895099E-2</v>
      </c>
      <c r="AN36" s="1058"/>
      <c r="AO36" s="67">
        <v>5.0999999999999996</v>
      </c>
      <c r="AP36" s="67">
        <v>24</v>
      </c>
      <c r="AQ36" s="68">
        <f t="shared" si="34"/>
        <v>60.838919999999995</v>
      </c>
      <c r="AR36" s="68">
        <f t="shared" si="7"/>
        <v>9.7287168547734542</v>
      </c>
      <c r="AS36" s="69">
        <f t="shared" si="44"/>
        <v>1800.1162800000004</v>
      </c>
      <c r="AT36" s="140">
        <f t="shared" si="8"/>
        <v>9.3804893911459839</v>
      </c>
      <c r="AU36" s="1073"/>
      <c r="AV36" s="70">
        <v>3.2</v>
      </c>
      <c r="AW36" s="71">
        <v>12</v>
      </c>
      <c r="AX36" s="72">
        <f t="shared" si="35"/>
        <v>19.842432000000002</v>
      </c>
      <c r="AY36" s="72">
        <f t="shared" si="9"/>
        <v>3.1729919373666755</v>
      </c>
      <c r="AZ36" s="73">
        <f t="shared" si="45"/>
        <v>628.7570639999999</v>
      </c>
      <c r="BA36" s="192">
        <f t="shared" si="10"/>
        <v>3.2764822106159133</v>
      </c>
      <c r="BB36" s="1075"/>
      <c r="BC36" s="90">
        <f>BE35</f>
        <v>40552</v>
      </c>
      <c r="BD36" s="59"/>
      <c r="BE36" s="56">
        <v>40552</v>
      </c>
      <c r="BF36" s="56">
        <f t="shared" si="37"/>
        <v>0</v>
      </c>
      <c r="BG36" s="58">
        <f t="shared" si="27"/>
        <v>23460</v>
      </c>
      <c r="BH36" s="58">
        <f t="shared" si="11"/>
        <v>122.25114764046505</v>
      </c>
      <c r="BI36" s="1133"/>
      <c r="BJ36" s="64">
        <f>BL35</f>
        <v>600</v>
      </c>
      <c r="BK36" s="64"/>
      <c r="BL36" s="64">
        <v>470</v>
      </c>
      <c r="BM36" s="64">
        <f t="shared" si="28"/>
        <v>130</v>
      </c>
      <c r="BN36" s="65">
        <f t="shared" ref="BN36:BN44" si="61">BM36/B36</f>
        <v>0.39498430696964998</v>
      </c>
      <c r="BO36" s="64">
        <f t="shared" si="30"/>
        <v>4590</v>
      </c>
      <c r="BP36" s="65">
        <f t="shared" si="31"/>
        <v>0.29130622281498914</v>
      </c>
      <c r="BQ36" s="1071"/>
      <c r="BR36" s="77">
        <f>BT35</f>
        <v>24705</v>
      </c>
      <c r="BS36" s="35">
        <v>23000</v>
      </c>
      <c r="BT36" s="35">
        <v>40416</v>
      </c>
      <c r="BU36" s="74">
        <f t="shared" si="55"/>
        <v>7289</v>
      </c>
      <c r="BV36" s="74">
        <f t="shared" si="56"/>
        <v>117845</v>
      </c>
      <c r="BW36" s="74">
        <f t="shared" si="13"/>
        <v>614.09575846933524</v>
      </c>
      <c r="BX36" s="1098"/>
      <c r="BY36" s="296">
        <f>CA35</f>
        <v>1100</v>
      </c>
      <c r="BZ36" s="296"/>
      <c r="CA36" s="296">
        <v>1000</v>
      </c>
      <c r="CB36" s="296">
        <f t="shared" si="14"/>
        <v>100</v>
      </c>
      <c r="CC36" s="297">
        <f t="shared" ref="CC36:CC44" si="62">CB36/B36</f>
        <v>0.30383408228434616</v>
      </c>
      <c r="CD36" s="296">
        <f t="shared" si="48"/>
        <v>4750</v>
      </c>
      <c r="CE36" s="297">
        <f t="shared" si="16"/>
        <v>0.30146068809830029</v>
      </c>
      <c r="CF36" s="1061"/>
    </row>
    <row r="37" spans="1:84">
      <c r="A37" s="30">
        <v>44350</v>
      </c>
      <c r="B37" s="32">
        <v>450.173</v>
      </c>
      <c r="C37" s="842">
        <f t="shared" si="39"/>
        <v>16206.788</v>
      </c>
      <c r="D37" s="844">
        <v>5598.22</v>
      </c>
      <c r="E37" s="843">
        <f t="shared" si="40"/>
        <v>197498.25899999999</v>
      </c>
      <c r="F37" s="240">
        <f t="shared" ref="F37:F100" si="63">I36</f>
        <v>4000</v>
      </c>
      <c r="G37" s="240">
        <v>18675</v>
      </c>
      <c r="H37" s="280">
        <v>9.0299999999999994</v>
      </c>
      <c r="I37" s="240">
        <v>4000</v>
      </c>
      <c r="J37" s="240">
        <f t="shared" si="17"/>
        <v>18675</v>
      </c>
      <c r="K37" s="280">
        <f t="shared" si="57"/>
        <v>41484.051686795967</v>
      </c>
      <c r="L37" s="240">
        <f t="shared" si="49"/>
        <v>387040</v>
      </c>
      <c r="M37" s="280">
        <f t="shared" si="20"/>
        <v>23881.351443604988</v>
      </c>
      <c r="N37" s="280">
        <f t="shared" si="21"/>
        <v>2924.1277633898603</v>
      </c>
      <c r="O37" s="1089"/>
      <c r="P37" s="1084"/>
      <c r="Q37" s="35">
        <f t="shared" si="22"/>
        <v>59133</v>
      </c>
      <c r="R37" s="35"/>
      <c r="S37" s="35">
        <v>56614</v>
      </c>
      <c r="T37" s="35">
        <f t="shared" si="0"/>
        <v>2519</v>
      </c>
      <c r="U37" s="36">
        <f t="shared" si="58"/>
        <v>5595.6265702296669</v>
      </c>
      <c r="V37" s="74">
        <f t="shared" si="23"/>
        <v>29800</v>
      </c>
      <c r="W37" s="36">
        <f t="shared" si="24"/>
        <v>1.8387357198724386</v>
      </c>
      <c r="X37" s="1136"/>
      <c r="Y37" s="49">
        <f t="shared" ref="Y37:Y100" si="64">AA36</f>
        <v>963</v>
      </c>
      <c r="Z37" s="50"/>
      <c r="AA37" s="50">
        <f>868+43</f>
        <v>911</v>
      </c>
      <c r="AB37" s="50">
        <f t="shared" si="2"/>
        <v>52</v>
      </c>
      <c r="AC37" s="51">
        <f t="shared" si="59"/>
        <v>0.11551114793645999</v>
      </c>
      <c r="AD37" s="50">
        <f t="shared" si="25"/>
        <v>2136</v>
      </c>
      <c r="AE37" s="51">
        <f t="shared" si="4"/>
        <v>0.13179662743783654</v>
      </c>
      <c r="AF37" s="1047"/>
      <c r="AG37" s="40">
        <f t="shared" ref="AG37:AG100" si="65">AI36</f>
        <v>567</v>
      </c>
      <c r="AH37" s="44"/>
      <c r="AI37" s="41">
        <v>548</v>
      </c>
      <c r="AJ37" s="41">
        <f t="shared" si="54"/>
        <v>19</v>
      </c>
      <c r="AK37" s="42">
        <f t="shared" si="60"/>
        <v>42.205996361398839</v>
      </c>
      <c r="AL37" s="41">
        <f t="shared" si="43"/>
        <v>1077</v>
      </c>
      <c r="AM37" s="42">
        <f t="shared" si="26"/>
        <v>6.6453636587336121E-2</v>
      </c>
      <c r="AN37" s="1058"/>
      <c r="AO37" s="67">
        <v>4.8</v>
      </c>
      <c r="AP37" s="67">
        <v>24</v>
      </c>
      <c r="AQ37" s="68">
        <f t="shared" si="34"/>
        <v>57.260159999999992</v>
      </c>
      <c r="AR37" s="68">
        <f t="shared" si="7"/>
        <v>10.228279703191369</v>
      </c>
      <c r="AS37" s="69">
        <f t="shared" si="44"/>
        <v>1857.3764400000005</v>
      </c>
      <c r="AT37" s="140">
        <f t="shared" si="8"/>
        <v>9.4045205735206032</v>
      </c>
      <c r="AU37" s="1073"/>
      <c r="AV37" s="70">
        <v>2.8</v>
      </c>
      <c r="AW37" s="71">
        <v>12</v>
      </c>
      <c r="AX37" s="72">
        <f t="shared" si="35"/>
        <v>17.362127999999998</v>
      </c>
      <c r="AY37" s="72">
        <f t="shared" si="9"/>
        <v>3.1013657912693673</v>
      </c>
      <c r="AZ37" s="73">
        <f t="shared" si="45"/>
        <v>646.11919199999988</v>
      </c>
      <c r="BA37" s="192">
        <f t="shared" si="10"/>
        <v>3.2715184188028714</v>
      </c>
      <c r="BB37" s="1075"/>
      <c r="BC37" s="90">
        <f t="shared" ref="BC37:BC64" si="66">BE36</f>
        <v>40552</v>
      </c>
      <c r="BD37" s="59"/>
      <c r="BE37" s="56">
        <v>40552</v>
      </c>
      <c r="BF37" s="56">
        <f t="shared" si="37"/>
        <v>0</v>
      </c>
      <c r="BG37" s="58">
        <f t="shared" si="27"/>
        <v>23460</v>
      </c>
      <c r="BH37" s="58">
        <f t="shared" si="11"/>
        <v>118.78585724646818</v>
      </c>
      <c r="BI37" s="1133"/>
      <c r="BJ37" s="64">
        <f t="shared" ref="BJ37:BJ100" si="67">BL36</f>
        <v>470</v>
      </c>
      <c r="BK37" s="64"/>
      <c r="BL37" s="64">
        <v>300</v>
      </c>
      <c r="BM37" s="64">
        <f t="shared" si="28"/>
        <v>170</v>
      </c>
      <c r="BN37" s="65">
        <f t="shared" si="61"/>
        <v>0.37763259902304225</v>
      </c>
      <c r="BO37" s="64">
        <f t="shared" si="30"/>
        <v>4760</v>
      </c>
      <c r="BP37" s="65">
        <f t="shared" si="31"/>
        <v>0.29370409485210763</v>
      </c>
      <c r="BQ37" s="1071"/>
      <c r="BR37" s="77">
        <f t="shared" ref="BR37:BR100" si="68">BT36</f>
        <v>40416</v>
      </c>
      <c r="BS37" s="35"/>
      <c r="BT37" s="35">
        <v>37644</v>
      </c>
      <c r="BU37" s="74">
        <f t="shared" si="55"/>
        <v>2772</v>
      </c>
      <c r="BV37" s="74">
        <f t="shared" si="56"/>
        <v>120617</v>
      </c>
      <c r="BW37" s="74">
        <f t="shared" si="13"/>
        <v>610.72437099306285</v>
      </c>
      <c r="BX37" s="1098"/>
      <c r="BY37" s="296">
        <f t="shared" ref="BY37:BY100" si="69">CA36</f>
        <v>1000</v>
      </c>
      <c r="BZ37" s="296"/>
      <c r="CA37" s="296">
        <v>640</v>
      </c>
      <c r="CB37" s="296">
        <f t="shared" si="14"/>
        <v>360</v>
      </c>
      <c r="CC37" s="297">
        <f t="shared" si="62"/>
        <v>0.7996925626370307</v>
      </c>
      <c r="CD37" s="296">
        <f t="shared" si="48"/>
        <v>5110</v>
      </c>
      <c r="CE37" s="297">
        <f t="shared" si="16"/>
        <v>0.31529998417946847</v>
      </c>
      <c r="CF37" s="1061"/>
    </row>
    <row r="38" spans="1:84">
      <c r="A38" s="30">
        <v>44351</v>
      </c>
      <c r="B38" s="32">
        <v>439.69600000000003</v>
      </c>
      <c r="C38" s="842">
        <f t="shared" si="39"/>
        <v>16646.484</v>
      </c>
      <c r="D38" s="844">
        <v>3922.04</v>
      </c>
      <c r="E38" s="843">
        <f t="shared" si="40"/>
        <v>201420.299</v>
      </c>
      <c r="F38" s="240">
        <f t="shared" si="63"/>
        <v>4000</v>
      </c>
      <c r="G38" s="240">
        <v>32500</v>
      </c>
      <c r="H38" s="280">
        <v>18.39</v>
      </c>
      <c r="I38" s="240">
        <v>16800</v>
      </c>
      <c r="J38" s="240">
        <f t="shared" si="17"/>
        <v>19700</v>
      </c>
      <c r="K38" s="280">
        <f t="shared" si="57"/>
        <v>44803.682544303338</v>
      </c>
      <c r="L38" s="240">
        <f t="shared" si="49"/>
        <v>406740</v>
      </c>
      <c r="M38" s="280">
        <f t="shared" si="20"/>
        <v>24433.988582814243</v>
      </c>
      <c r="N38" s="280">
        <f t="shared" si="21"/>
        <v>2991.7948552484686</v>
      </c>
      <c r="O38" s="1089"/>
      <c r="P38" s="1084"/>
      <c r="Q38" s="35">
        <f t="shared" si="22"/>
        <v>56614</v>
      </c>
      <c r="R38" s="35"/>
      <c r="S38" s="35">
        <v>55013</v>
      </c>
      <c r="T38" s="35">
        <f t="shared" si="0"/>
        <v>1601</v>
      </c>
      <c r="U38" s="36">
        <f t="shared" si="58"/>
        <v>3641.152068702012</v>
      </c>
      <c r="V38" s="74">
        <f t="shared" si="23"/>
        <v>31401</v>
      </c>
      <c r="W38" s="36">
        <f t="shared" si="24"/>
        <v>1.8863442874783647</v>
      </c>
      <c r="X38" s="1136"/>
      <c r="Y38" s="49">
        <f t="shared" si="64"/>
        <v>911</v>
      </c>
      <c r="Z38" s="50">
        <v>150</v>
      </c>
      <c r="AA38" s="50">
        <f>921+132</f>
        <v>1053</v>
      </c>
      <c r="AB38" s="50">
        <f t="shared" si="2"/>
        <v>8</v>
      </c>
      <c r="AC38" s="51">
        <f t="shared" si="59"/>
        <v>1.8194388850478513E-2</v>
      </c>
      <c r="AD38" s="50">
        <f t="shared" si="25"/>
        <v>2144</v>
      </c>
      <c r="AE38" s="51">
        <f t="shared" si="4"/>
        <v>0.12879596676391242</v>
      </c>
      <c r="AF38" s="1047"/>
      <c r="AG38" s="40">
        <f t="shared" si="65"/>
        <v>548</v>
      </c>
      <c r="AH38" s="44"/>
      <c r="AI38" s="41">
        <v>528</v>
      </c>
      <c r="AJ38" s="41">
        <f t="shared" si="54"/>
        <v>20</v>
      </c>
      <c r="AK38" s="42">
        <f t="shared" si="60"/>
        <v>45.48597212619628</v>
      </c>
      <c r="AL38" s="41">
        <f t="shared" si="43"/>
        <v>1097</v>
      </c>
      <c r="AM38" s="42">
        <f t="shared" si="26"/>
        <v>6.5899802024259296E-2</v>
      </c>
      <c r="AN38" s="1058"/>
      <c r="AO38" s="67">
        <v>4.7</v>
      </c>
      <c r="AP38" s="67">
        <v>24</v>
      </c>
      <c r="AQ38" s="68">
        <f t="shared" si="34"/>
        <v>56.067240000000005</v>
      </c>
      <c r="AR38" s="68">
        <f t="shared" si="7"/>
        <v>14.295427889567675</v>
      </c>
      <c r="AS38" s="69">
        <f t="shared" si="44"/>
        <v>1913.4436800000005</v>
      </c>
      <c r="AT38" s="140">
        <f t="shared" si="8"/>
        <v>9.4997559307565158</v>
      </c>
      <c r="AU38" s="1073"/>
      <c r="AV38" s="70">
        <v>2.2999999999999998</v>
      </c>
      <c r="AW38" s="71">
        <v>12</v>
      </c>
      <c r="AX38" s="72">
        <f t="shared" si="35"/>
        <v>14.261747999999999</v>
      </c>
      <c r="AY38" s="72">
        <f t="shared" si="9"/>
        <v>3.6363086556995849</v>
      </c>
      <c r="AZ38" s="73">
        <f t="shared" si="45"/>
        <v>660.3809399999999</v>
      </c>
      <c r="BA38" s="192">
        <f t="shared" si="10"/>
        <v>3.278621585205769</v>
      </c>
      <c r="BB38" s="1075"/>
      <c r="BC38" s="90">
        <f t="shared" si="66"/>
        <v>40552</v>
      </c>
      <c r="BD38" s="59"/>
      <c r="BE38" s="56">
        <v>40552</v>
      </c>
      <c r="BF38" s="56">
        <f t="shared" si="37"/>
        <v>0</v>
      </c>
      <c r="BG38" s="58">
        <f t="shared" si="27"/>
        <v>23460</v>
      </c>
      <c r="BH38" s="58">
        <f t="shared" si="11"/>
        <v>116.47286850666427</v>
      </c>
      <c r="BI38" s="1133"/>
      <c r="BJ38" s="64">
        <f t="shared" si="67"/>
        <v>300</v>
      </c>
      <c r="BK38" s="64"/>
      <c r="BL38" s="64">
        <v>0</v>
      </c>
      <c r="BM38" s="64">
        <f t="shared" si="28"/>
        <v>300</v>
      </c>
      <c r="BN38" s="65">
        <f t="shared" si="61"/>
        <v>0.6822895818929442</v>
      </c>
      <c r="BO38" s="64">
        <f t="shared" si="30"/>
        <v>5060</v>
      </c>
      <c r="BP38" s="65">
        <f t="shared" si="31"/>
        <v>0.30396809320214407</v>
      </c>
      <c r="BQ38" s="1071"/>
      <c r="BR38" s="77">
        <f t="shared" si="68"/>
        <v>37644</v>
      </c>
      <c r="BS38" s="35"/>
      <c r="BT38" s="35">
        <v>35795</v>
      </c>
      <c r="BU38" s="74">
        <f t="shared" si="55"/>
        <v>1849</v>
      </c>
      <c r="BV38" s="74">
        <f t="shared" si="56"/>
        <v>122466</v>
      </c>
      <c r="BW38" s="74">
        <f t="shared" si="13"/>
        <v>608.01220437072232</v>
      </c>
      <c r="BX38" s="1098"/>
      <c r="BY38" s="296">
        <f t="shared" si="69"/>
        <v>640</v>
      </c>
      <c r="BZ38" s="296"/>
      <c r="CA38" s="296">
        <v>360</v>
      </c>
      <c r="CB38" s="296">
        <f t="shared" si="14"/>
        <v>280</v>
      </c>
      <c r="CC38" s="297">
        <f t="shared" si="62"/>
        <v>0.63680360976674788</v>
      </c>
      <c r="CD38" s="296">
        <f t="shared" si="48"/>
        <v>5390</v>
      </c>
      <c r="CE38" s="297">
        <f t="shared" si="16"/>
        <v>0.32379209928054475</v>
      </c>
      <c r="CF38" s="1061"/>
    </row>
    <row r="39" spans="1:84">
      <c r="A39" s="30">
        <v>44352</v>
      </c>
      <c r="B39" s="32">
        <v>392.43700000000001</v>
      </c>
      <c r="C39" s="842">
        <f t="shared" si="39"/>
        <v>17038.921000000002</v>
      </c>
      <c r="D39" s="844">
        <v>5485.7</v>
      </c>
      <c r="E39" s="843">
        <f t="shared" si="40"/>
        <v>206905.99900000001</v>
      </c>
      <c r="F39" s="240">
        <f t="shared" si="63"/>
        <v>16800</v>
      </c>
      <c r="G39" s="240"/>
      <c r="H39" s="280"/>
      <c r="I39" s="240">
        <v>12000</v>
      </c>
      <c r="J39" s="240">
        <f t="shared" si="17"/>
        <v>4800</v>
      </c>
      <c r="K39" s="280">
        <f t="shared" si="57"/>
        <v>12231.262597563431</v>
      </c>
      <c r="L39" s="240">
        <f t="shared" si="49"/>
        <v>411540</v>
      </c>
      <c r="M39" s="280">
        <f t="shared" si="20"/>
        <v>24152.937853283078</v>
      </c>
      <c r="N39" s="280">
        <f t="shared" si="21"/>
        <v>2957.3818848148744</v>
      </c>
      <c r="O39" s="1089"/>
      <c r="P39" s="1084"/>
      <c r="Q39" s="35">
        <f t="shared" si="22"/>
        <v>55013</v>
      </c>
      <c r="R39" s="35"/>
      <c r="S39" s="35">
        <v>52209</v>
      </c>
      <c r="T39" s="35">
        <f t="shared" si="0"/>
        <v>2804</v>
      </c>
      <c r="U39" s="36">
        <f t="shared" si="58"/>
        <v>7145.0959007433039</v>
      </c>
      <c r="V39" s="74">
        <f t="shared" si="23"/>
        <v>34205</v>
      </c>
      <c r="W39" s="36">
        <f t="shared" si="24"/>
        <v>2.0074627964998486</v>
      </c>
      <c r="X39" s="1136"/>
      <c r="Y39" s="49">
        <f t="shared" si="64"/>
        <v>1053</v>
      </c>
      <c r="Z39" s="50">
        <v>50</v>
      </c>
      <c r="AA39" s="50">
        <f>973+120</f>
        <v>1093</v>
      </c>
      <c r="AB39" s="50">
        <f t="shared" si="2"/>
        <v>10</v>
      </c>
      <c r="AC39" s="51">
        <f t="shared" si="59"/>
        <v>2.5481797078257148E-2</v>
      </c>
      <c r="AD39" s="50">
        <f t="shared" si="25"/>
        <v>2154</v>
      </c>
      <c r="AE39" s="51">
        <f t="shared" si="4"/>
        <v>0.12641645559598519</v>
      </c>
      <c r="AF39" s="1047"/>
      <c r="AG39" s="40">
        <f t="shared" si="65"/>
        <v>528</v>
      </c>
      <c r="AH39" s="41">
        <v>1000</v>
      </c>
      <c r="AI39" s="41">
        <v>1464</v>
      </c>
      <c r="AJ39" s="41">
        <f t="shared" si="54"/>
        <v>64</v>
      </c>
      <c r="AK39" s="42">
        <f t="shared" si="60"/>
        <v>163.08350130084574</v>
      </c>
      <c r="AL39" s="41">
        <f t="shared" si="43"/>
        <v>1161</v>
      </c>
      <c r="AM39" s="42">
        <f t="shared" si="26"/>
        <v>6.8138117431262218E-2</v>
      </c>
      <c r="AN39" s="1058"/>
      <c r="AO39" s="67">
        <v>4.7</v>
      </c>
      <c r="AP39" s="67">
        <v>24</v>
      </c>
      <c r="AQ39" s="68">
        <f t="shared" si="34"/>
        <v>56.067240000000005</v>
      </c>
      <c r="AR39" s="68">
        <f t="shared" si="7"/>
        <v>10.220617241190734</v>
      </c>
      <c r="AS39" s="69">
        <f t="shared" si="44"/>
        <v>1969.5109200000006</v>
      </c>
      <c r="AT39" s="140">
        <f t="shared" si="8"/>
        <v>9.5188681310298815</v>
      </c>
      <c r="AU39" s="1073"/>
      <c r="AV39" s="70">
        <v>2.9</v>
      </c>
      <c r="AW39" s="71">
        <v>12</v>
      </c>
      <c r="AX39" s="72">
        <f t="shared" si="35"/>
        <v>17.982203999999999</v>
      </c>
      <c r="AY39" s="72">
        <f t="shared" si="9"/>
        <v>3.2780144739960257</v>
      </c>
      <c r="AZ39" s="73">
        <f t="shared" si="45"/>
        <v>678.36314399999992</v>
      </c>
      <c r="BA39" s="192">
        <f t="shared" si="10"/>
        <v>3.2786054888626013</v>
      </c>
      <c r="BB39" s="1075"/>
      <c r="BC39" s="90">
        <f t="shared" si="66"/>
        <v>40552</v>
      </c>
      <c r="BD39" s="59"/>
      <c r="BE39" s="56">
        <v>40552</v>
      </c>
      <c r="BF39" s="56">
        <f t="shared" si="37"/>
        <v>0</v>
      </c>
      <c r="BG39" s="58">
        <f t="shared" si="27"/>
        <v>23460</v>
      </c>
      <c r="BH39" s="58">
        <f t="shared" si="11"/>
        <v>113.38482264112602</v>
      </c>
      <c r="BI39" s="1133"/>
      <c r="BJ39" s="64">
        <f t="shared" si="67"/>
        <v>0</v>
      </c>
      <c r="BK39" s="64"/>
      <c r="BL39" s="64">
        <v>0</v>
      </c>
      <c r="BM39" s="64">
        <f t="shared" si="28"/>
        <v>0</v>
      </c>
      <c r="BN39" s="65">
        <f t="shared" si="61"/>
        <v>0</v>
      </c>
      <c r="BO39" s="64">
        <f t="shared" si="30"/>
        <v>5060</v>
      </c>
      <c r="BP39" s="65">
        <f t="shared" si="31"/>
        <v>0.29696716124219363</v>
      </c>
      <c r="BQ39" s="1071"/>
      <c r="BR39" s="77">
        <f t="shared" si="68"/>
        <v>35795</v>
      </c>
      <c r="BS39" s="35"/>
      <c r="BT39" s="35">
        <v>33947</v>
      </c>
      <c r="BU39" s="74">
        <f t="shared" si="55"/>
        <v>1848</v>
      </c>
      <c r="BV39" s="74">
        <f t="shared" si="56"/>
        <v>124314</v>
      </c>
      <c r="BW39" s="74">
        <f t="shared" si="13"/>
        <v>600.82356529449874</v>
      </c>
      <c r="BX39" s="1098"/>
      <c r="BY39" s="296">
        <f t="shared" si="69"/>
        <v>360</v>
      </c>
      <c r="BZ39" s="296"/>
      <c r="CA39" s="296">
        <v>40</v>
      </c>
      <c r="CB39" s="296">
        <f t="shared" si="14"/>
        <v>320</v>
      </c>
      <c r="CC39" s="297">
        <f t="shared" si="62"/>
        <v>0.81541750650422873</v>
      </c>
      <c r="CD39" s="296">
        <f t="shared" si="48"/>
        <v>5710</v>
      </c>
      <c r="CE39" s="297">
        <f t="shared" si="16"/>
        <v>0.33511511673773237</v>
      </c>
      <c r="CF39" s="1061"/>
    </row>
    <row r="40" spans="1:84">
      <c r="A40" s="30">
        <v>44353</v>
      </c>
      <c r="B40" s="265">
        <v>512.58799999999997</v>
      </c>
      <c r="C40" s="842">
        <f t="shared" si="39"/>
        <v>17551.509000000002</v>
      </c>
      <c r="D40" s="842">
        <v>6194</v>
      </c>
      <c r="E40" s="843">
        <f t="shared" si="40"/>
        <v>213099.99900000001</v>
      </c>
      <c r="F40" s="240">
        <f t="shared" si="63"/>
        <v>12000</v>
      </c>
      <c r="G40" s="240">
        <v>31850</v>
      </c>
      <c r="H40" s="280">
        <v>34.43</v>
      </c>
      <c r="I40" s="240">
        <v>36400</v>
      </c>
      <c r="J40" s="240">
        <f t="shared" si="17"/>
        <v>7450</v>
      </c>
      <c r="K40" s="280">
        <f t="shared" si="57"/>
        <v>14534.089756295505</v>
      </c>
      <c r="L40" s="240">
        <f t="shared" si="49"/>
        <v>418990</v>
      </c>
      <c r="M40" s="280">
        <f t="shared" si="20"/>
        <v>23872.02148829482</v>
      </c>
      <c r="N40" s="280">
        <f t="shared" si="21"/>
        <v>2922.9853665109367</v>
      </c>
      <c r="O40" s="1089"/>
      <c r="P40" s="1084"/>
      <c r="Q40" s="35">
        <f t="shared" si="22"/>
        <v>52209</v>
      </c>
      <c r="R40" s="35"/>
      <c r="S40" s="35">
        <v>47508</v>
      </c>
      <c r="T40" s="35">
        <f t="shared" si="0"/>
        <v>4701</v>
      </c>
      <c r="U40" s="36">
        <f t="shared" si="58"/>
        <v>9171.1081804490168</v>
      </c>
      <c r="V40" s="74">
        <f t="shared" si="23"/>
        <v>38906</v>
      </c>
      <c r="W40" s="36">
        <f t="shared" si="24"/>
        <v>2.2166755006649281</v>
      </c>
      <c r="X40" s="1136"/>
      <c r="Y40" s="49">
        <f t="shared" si="64"/>
        <v>1093</v>
      </c>
      <c r="Z40" s="50"/>
      <c r="AA40" s="50">
        <f>973+95</f>
        <v>1068</v>
      </c>
      <c r="AB40" s="50">
        <f t="shared" si="2"/>
        <v>25</v>
      </c>
      <c r="AC40" s="51">
        <f t="shared" si="59"/>
        <v>4.8772113276159414E-2</v>
      </c>
      <c r="AD40" s="50">
        <f t="shared" si="25"/>
        <v>2179</v>
      </c>
      <c r="AE40" s="51">
        <f t="shared" si="4"/>
        <v>0.12414886947897186</v>
      </c>
      <c r="AF40" s="1047"/>
      <c r="AG40" s="40">
        <f t="shared" si="65"/>
        <v>1464</v>
      </c>
      <c r="AH40" s="44"/>
      <c r="AI40" s="41">
        <v>1423</v>
      </c>
      <c r="AJ40" s="41">
        <f t="shared" si="54"/>
        <v>41</v>
      </c>
      <c r="AK40" s="42">
        <f t="shared" si="60"/>
        <v>79.986265772901433</v>
      </c>
      <c r="AL40" s="41">
        <f t="shared" si="43"/>
        <v>1202</v>
      </c>
      <c r="AM40" s="42">
        <f t="shared" si="26"/>
        <v>6.8484140024655429E-2</v>
      </c>
      <c r="AN40" s="1058"/>
      <c r="AO40" s="67">
        <v>5</v>
      </c>
      <c r="AP40" s="67">
        <v>24</v>
      </c>
      <c r="AQ40" s="68">
        <f t="shared" si="34"/>
        <v>59.646000000000001</v>
      </c>
      <c r="AR40" s="68">
        <f t="shared" si="7"/>
        <v>9.6296415886341613</v>
      </c>
      <c r="AS40" s="69">
        <f t="shared" si="44"/>
        <v>2029.1569200000006</v>
      </c>
      <c r="AT40" s="140">
        <f t="shared" si="8"/>
        <v>9.5220878907653148</v>
      </c>
      <c r="AU40" s="1073"/>
      <c r="AV40" s="70">
        <v>3.1</v>
      </c>
      <c r="AW40" s="71">
        <v>12</v>
      </c>
      <c r="AX40" s="72">
        <f t="shared" si="35"/>
        <v>19.222356000000001</v>
      </c>
      <c r="AY40" s="72">
        <f t="shared" si="9"/>
        <v>3.1033832741362608</v>
      </c>
      <c r="AZ40" s="73">
        <f t="shared" si="45"/>
        <v>697.58549999999991</v>
      </c>
      <c r="BA40" s="192">
        <f t="shared" si="10"/>
        <v>3.2735124508376927</v>
      </c>
      <c r="BB40" s="1075"/>
      <c r="BC40" s="90">
        <f t="shared" si="66"/>
        <v>40552</v>
      </c>
      <c r="BD40" s="59"/>
      <c r="BE40" s="56">
        <v>40552</v>
      </c>
      <c r="BF40" s="56">
        <f t="shared" si="37"/>
        <v>0</v>
      </c>
      <c r="BG40" s="58">
        <f t="shared" si="27"/>
        <v>23460</v>
      </c>
      <c r="BH40" s="58">
        <f t="shared" si="11"/>
        <v>110.08916053537851</v>
      </c>
      <c r="BI40" s="1133"/>
      <c r="BJ40" s="64">
        <f t="shared" si="67"/>
        <v>0</v>
      </c>
      <c r="BK40" s="64"/>
      <c r="BL40" s="64">
        <v>0</v>
      </c>
      <c r="BM40" s="64">
        <f t="shared" si="28"/>
        <v>0</v>
      </c>
      <c r="BN40" s="65">
        <f t="shared" si="61"/>
        <v>0</v>
      </c>
      <c r="BO40" s="64">
        <f t="shared" si="30"/>
        <v>5060</v>
      </c>
      <c r="BP40" s="65">
        <f t="shared" si="31"/>
        <v>0.28829429993740135</v>
      </c>
      <c r="BQ40" s="1071"/>
      <c r="BR40" s="77">
        <f t="shared" si="68"/>
        <v>33947</v>
      </c>
      <c r="BS40" s="35"/>
      <c r="BT40" s="35">
        <v>32099</v>
      </c>
      <c r="BU40" s="74">
        <f t="shared" si="55"/>
        <v>1848</v>
      </c>
      <c r="BV40" s="74">
        <f t="shared" si="56"/>
        <v>126162</v>
      </c>
      <c r="BW40" s="74">
        <f t="shared" si="13"/>
        <v>592.03191267964291</v>
      </c>
      <c r="BX40" s="1098"/>
      <c r="BY40" s="296">
        <f t="shared" si="69"/>
        <v>40</v>
      </c>
      <c r="BZ40" s="296">
        <v>2300</v>
      </c>
      <c r="CA40" s="296">
        <v>1750</v>
      </c>
      <c r="CB40" s="296">
        <f t="shared" si="14"/>
        <v>590</v>
      </c>
      <c r="CC40" s="297">
        <f t="shared" si="62"/>
        <v>1.1510218733173623</v>
      </c>
      <c r="CD40" s="296">
        <f t="shared" si="48"/>
        <v>6300</v>
      </c>
      <c r="CE40" s="297">
        <f t="shared" si="16"/>
        <v>0.35894349596949182</v>
      </c>
      <c r="CF40" s="1061"/>
    </row>
    <row r="41" spans="1:84">
      <c r="A41" s="30">
        <v>44354</v>
      </c>
      <c r="B41" s="265">
        <v>506.00799999999998</v>
      </c>
      <c r="C41" s="842">
        <f t="shared" si="39"/>
        <v>18057.517000000003</v>
      </c>
      <c r="D41" s="842">
        <v>2616.3200000000002</v>
      </c>
      <c r="E41" s="843">
        <f t="shared" si="40"/>
        <v>215716.31900000002</v>
      </c>
      <c r="F41" s="240">
        <f t="shared" si="63"/>
        <v>36400</v>
      </c>
      <c r="G41" s="240"/>
      <c r="H41" s="280"/>
      <c r="I41" s="240">
        <v>36400</v>
      </c>
      <c r="J41" s="240">
        <f t="shared" si="17"/>
        <v>0</v>
      </c>
      <c r="K41" s="280">
        <f t="shared" si="57"/>
        <v>0</v>
      </c>
      <c r="L41" s="240">
        <f t="shared" si="49"/>
        <v>418990</v>
      </c>
      <c r="M41" s="280">
        <f t="shared" si="20"/>
        <v>23203.07936024648</v>
      </c>
      <c r="N41" s="280">
        <f t="shared" si="21"/>
        <v>2841.0774287065606</v>
      </c>
      <c r="O41" s="1089"/>
      <c r="P41" s="1084"/>
      <c r="Q41" s="35">
        <f t="shared" si="22"/>
        <v>47508</v>
      </c>
      <c r="R41" s="35"/>
      <c r="S41" s="35">
        <v>44264</v>
      </c>
      <c r="T41" s="35">
        <f t="shared" si="0"/>
        <v>3244</v>
      </c>
      <c r="U41" s="36">
        <f t="shared" si="58"/>
        <v>6410.9658345322605</v>
      </c>
      <c r="V41" s="74">
        <f t="shared" si="23"/>
        <v>42150</v>
      </c>
      <c r="W41" s="36">
        <f t="shared" si="24"/>
        <v>2.3342079644726343</v>
      </c>
      <c r="X41" s="1136"/>
      <c r="Y41" s="49">
        <f t="shared" si="64"/>
        <v>1068</v>
      </c>
      <c r="Z41" s="50"/>
      <c r="AA41" s="50">
        <f>938+95</f>
        <v>1033</v>
      </c>
      <c r="AB41" s="50">
        <f t="shared" si="2"/>
        <v>35</v>
      </c>
      <c r="AC41" s="51">
        <f t="shared" si="59"/>
        <v>6.9168866895385053E-2</v>
      </c>
      <c r="AD41" s="50">
        <f t="shared" si="25"/>
        <v>2214</v>
      </c>
      <c r="AE41" s="51">
        <f t="shared" si="4"/>
        <v>0.12260821905913197</v>
      </c>
      <c r="AF41" s="1047"/>
      <c r="AG41" s="40">
        <f t="shared" si="65"/>
        <v>1423</v>
      </c>
      <c r="AH41" s="44"/>
      <c r="AI41" s="41">
        <v>1409</v>
      </c>
      <c r="AJ41" s="41">
        <f t="shared" si="54"/>
        <v>14</v>
      </c>
      <c r="AK41" s="42">
        <f t="shared" si="60"/>
        <v>27.667546758154021</v>
      </c>
      <c r="AL41" s="41">
        <f t="shared" si="43"/>
        <v>1216</v>
      </c>
      <c r="AM41" s="42">
        <f t="shared" si="26"/>
        <v>6.7340376863552154E-2</v>
      </c>
      <c r="AN41" s="1058"/>
      <c r="AO41" s="67">
        <v>2.7</v>
      </c>
      <c r="AP41" s="67">
        <v>24</v>
      </c>
      <c r="AQ41" s="68">
        <f t="shared" si="34"/>
        <v>32.208840000000002</v>
      </c>
      <c r="AR41" s="68">
        <f t="shared" si="7"/>
        <v>12.310741805283758</v>
      </c>
      <c r="AS41" s="69">
        <f t="shared" si="44"/>
        <v>2061.3657600000006</v>
      </c>
      <c r="AT41" s="140">
        <f t="shared" si="8"/>
        <v>9.5559101395569446</v>
      </c>
      <c r="AU41" s="1073"/>
      <c r="AV41" s="70">
        <v>1.5</v>
      </c>
      <c r="AW41" s="71">
        <v>12</v>
      </c>
      <c r="AX41" s="72">
        <f t="shared" si="35"/>
        <v>9.3011400000000002</v>
      </c>
      <c r="AY41" s="72">
        <f t="shared" si="9"/>
        <v>3.5550467832681014</v>
      </c>
      <c r="AZ41" s="73">
        <f t="shared" si="45"/>
        <v>706.88663999999994</v>
      </c>
      <c r="BA41" s="192">
        <f t="shared" si="10"/>
        <v>3.2769270460247371</v>
      </c>
      <c r="BB41" s="1075"/>
      <c r="BC41" s="90">
        <f t="shared" si="66"/>
        <v>40552</v>
      </c>
      <c r="BD41" s="59"/>
      <c r="BE41" s="56">
        <v>40552</v>
      </c>
      <c r="BF41" s="56">
        <f t="shared" si="37"/>
        <v>0</v>
      </c>
      <c r="BG41" s="58">
        <f t="shared" si="27"/>
        <v>23460</v>
      </c>
      <c r="BH41" s="58">
        <f t="shared" si="11"/>
        <v>108.75394179148773</v>
      </c>
      <c r="BI41" s="1133"/>
      <c r="BJ41" s="64">
        <f t="shared" si="67"/>
        <v>0</v>
      </c>
      <c r="BK41" s="64"/>
      <c r="BL41" s="64">
        <v>0</v>
      </c>
      <c r="BM41" s="64">
        <f t="shared" si="28"/>
        <v>0</v>
      </c>
      <c r="BN41" s="65">
        <f t="shared" si="61"/>
        <v>0</v>
      </c>
      <c r="BO41" s="64">
        <f t="shared" si="30"/>
        <v>5060</v>
      </c>
      <c r="BP41" s="65">
        <f t="shared" si="31"/>
        <v>0.28021571293550485</v>
      </c>
      <c r="BQ41" s="1071"/>
      <c r="BR41" s="77">
        <f t="shared" si="68"/>
        <v>32099</v>
      </c>
      <c r="BS41" s="98"/>
      <c r="BT41" s="35">
        <v>32099</v>
      </c>
      <c r="BU41" s="74">
        <f t="shared" si="55"/>
        <v>0</v>
      </c>
      <c r="BV41" s="74">
        <f t="shared" si="56"/>
        <v>126162</v>
      </c>
      <c r="BW41" s="74">
        <f t="shared" si="13"/>
        <v>584.85144093340466</v>
      </c>
      <c r="BX41" s="1098"/>
      <c r="BY41" s="296">
        <f t="shared" si="69"/>
        <v>1750</v>
      </c>
      <c r="BZ41" s="296"/>
      <c r="CA41" s="296">
        <v>1200</v>
      </c>
      <c r="CB41" s="296">
        <f t="shared" si="14"/>
        <v>550</v>
      </c>
      <c r="CC41" s="297">
        <f t="shared" si="62"/>
        <v>1.0869393369274793</v>
      </c>
      <c r="CD41" s="296">
        <f t="shared" si="48"/>
        <v>6850</v>
      </c>
      <c r="CE41" s="297">
        <f t="shared" si="16"/>
        <v>0.37934340585142456</v>
      </c>
      <c r="CF41" s="1061"/>
    </row>
    <row r="42" spans="1:84">
      <c r="A42" s="30">
        <v>44355</v>
      </c>
      <c r="B42" s="265">
        <v>57.975999999999999</v>
      </c>
      <c r="C42" s="842">
        <f t="shared" si="39"/>
        <v>18115.493000000002</v>
      </c>
      <c r="D42" s="842">
        <v>0</v>
      </c>
      <c r="E42" s="843">
        <f t="shared" si="40"/>
        <v>215716.31900000002</v>
      </c>
      <c r="F42" s="240">
        <f t="shared" si="63"/>
        <v>36400</v>
      </c>
      <c r="G42" s="240"/>
      <c r="H42" s="280"/>
      <c r="I42" s="240">
        <v>36400</v>
      </c>
      <c r="J42" s="240">
        <f t="shared" si="17"/>
        <v>0</v>
      </c>
      <c r="K42" s="280">
        <f t="shared" si="57"/>
        <v>0</v>
      </c>
      <c r="L42" s="240">
        <f t="shared" si="49"/>
        <v>418990</v>
      </c>
      <c r="M42" s="280">
        <f t="shared" si="20"/>
        <v>23128.821280215776</v>
      </c>
      <c r="N42" s="280">
        <f t="shared" si="21"/>
        <v>2831.9849737009645</v>
      </c>
      <c r="O42" s="1089"/>
      <c r="P42" s="1084"/>
      <c r="Q42" s="35">
        <f t="shared" si="22"/>
        <v>44264</v>
      </c>
      <c r="R42" s="35"/>
      <c r="S42" s="35">
        <v>44009</v>
      </c>
      <c r="T42" s="35">
        <f t="shared" si="0"/>
        <v>255</v>
      </c>
      <c r="U42" s="36">
        <f t="shared" si="58"/>
        <v>4398.3717400303576</v>
      </c>
      <c r="V42" s="74">
        <f t="shared" si="23"/>
        <v>42405</v>
      </c>
      <c r="W42" s="36">
        <f t="shared" si="24"/>
        <v>2.3408140203526338</v>
      </c>
      <c r="X42" s="1136"/>
      <c r="Y42" s="49">
        <f t="shared" si="64"/>
        <v>1033</v>
      </c>
      <c r="Z42" s="50"/>
      <c r="AA42" s="50">
        <f>938+94</f>
        <v>1032</v>
      </c>
      <c r="AB42" s="50">
        <f t="shared" si="2"/>
        <v>1</v>
      </c>
      <c r="AC42" s="51">
        <f t="shared" si="59"/>
        <v>1.7248516627570029E-2</v>
      </c>
      <c r="AD42" s="50">
        <f t="shared" si="25"/>
        <v>2215</v>
      </c>
      <c r="AE42" s="51">
        <f t="shared" si="4"/>
        <v>0.1222710306586743</v>
      </c>
      <c r="AF42" s="1047"/>
      <c r="AG42" s="40">
        <f t="shared" si="65"/>
        <v>1409</v>
      </c>
      <c r="AH42" s="44"/>
      <c r="AI42" s="41">
        <v>1394</v>
      </c>
      <c r="AJ42" s="41">
        <f t="shared" si="54"/>
        <v>15</v>
      </c>
      <c r="AK42" s="42">
        <f t="shared" si="60"/>
        <v>258.72774941355044</v>
      </c>
      <c r="AL42" s="41">
        <f t="shared" si="43"/>
        <v>1231</v>
      </c>
      <c r="AM42" s="42">
        <f t="shared" si="26"/>
        <v>6.7952884307371592E-2</v>
      </c>
      <c r="AN42" s="1058"/>
      <c r="AO42" s="67">
        <v>0</v>
      </c>
      <c r="AP42" s="67">
        <v>24</v>
      </c>
      <c r="AQ42" s="68">
        <f t="shared" si="34"/>
        <v>0</v>
      </c>
      <c r="AR42" s="68"/>
      <c r="AS42" s="69">
        <f t="shared" si="44"/>
        <v>2061.3657600000006</v>
      </c>
      <c r="AT42" s="140">
        <f t="shared" si="8"/>
        <v>9.5559101395569446</v>
      </c>
      <c r="AU42" s="1073"/>
      <c r="AV42" s="70">
        <v>0</v>
      </c>
      <c r="AW42" s="71">
        <v>12</v>
      </c>
      <c r="AX42" s="72">
        <f t="shared" si="35"/>
        <v>0</v>
      </c>
      <c r="AY42" s="72"/>
      <c r="AZ42" s="73">
        <f t="shared" si="45"/>
        <v>706.88663999999994</v>
      </c>
      <c r="BA42" s="192">
        <f t="shared" si="10"/>
        <v>3.2769270460247371</v>
      </c>
      <c r="BB42" s="1075"/>
      <c r="BC42" s="90">
        <f t="shared" si="66"/>
        <v>40552</v>
      </c>
      <c r="BD42" s="59"/>
      <c r="BE42" s="56">
        <v>40552</v>
      </c>
      <c r="BF42" s="56">
        <f t="shared" si="37"/>
        <v>0</v>
      </c>
      <c r="BG42" s="58">
        <f t="shared" si="27"/>
        <v>23460</v>
      </c>
      <c r="BH42" s="58">
        <f t="shared" si="11"/>
        <v>108.75394179148773</v>
      </c>
      <c r="BI42" s="1133"/>
      <c r="BJ42" s="64">
        <f t="shared" si="67"/>
        <v>0</v>
      </c>
      <c r="BK42" s="64"/>
      <c r="BL42" s="64">
        <v>0</v>
      </c>
      <c r="BM42" s="64">
        <f t="shared" si="28"/>
        <v>0</v>
      </c>
      <c r="BN42" s="65">
        <f t="shared" si="61"/>
        <v>0</v>
      </c>
      <c r="BO42" s="64">
        <f t="shared" si="30"/>
        <v>5060</v>
      </c>
      <c r="BP42" s="65">
        <f t="shared" si="31"/>
        <v>0.27931892331056069</v>
      </c>
      <c r="BQ42" s="1071"/>
      <c r="BR42" s="77">
        <f t="shared" si="68"/>
        <v>32099</v>
      </c>
      <c r="BS42" s="98"/>
      <c r="BT42" s="35">
        <v>32099</v>
      </c>
      <c r="BU42" s="74">
        <f t="shared" si="55"/>
        <v>0</v>
      </c>
      <c r="BV42" s="74">
        <f t="shared" si="56"/>
        <v>126162</v>
      </c>
      <c r="BW42" s="74">
        <f t="shared" si="13"/>
        <v>584.85144093340466</v>
      </c>
      <c r="BX42" s="1098"/>
      <c r="BY42" s="296">
        <f t="shared" si="69"/>
        <v>1200</v>
      </c>
      <c r="BZ42" s="296"/>
      <c r="CA42" s="296">
        <v>950</v>
      </c>
      <c r="CB42" s="296">
        <f t="shared" si="14"/>
        <v>250</v>
      </c>
      <c r="CC42" s="297">
        <f t="shared" si="62"/>
        <v>4.3121291568925075</v>
      </c>
      <c r="CD42" s="296">
        <f t="shared" si="48"/>
        <v>7100</v>
      </c>
      <c r="CE42" s="297">
        <f t="shared" si="16"/>
        <v>0.39192971452667608</v>
      </c>
      <c r="CF42" s="1061"/>
    </row>
    <row r="43" spans="1:84">
      <c r="A43" s="30">
        <v>44356</v>
      </c>
      <c r="B43" s="265">
        <v>146.78299999999999</v>
      </c>
      <c r="C43" s="842">
        <f t="shared" si="39"/>
        <v>18262.276000000002</v>
      </c>
      <c r="D43" s="842">
        <v>4232.66</v>
      </c>
      <c r="E43" s="843">
        <f t="shared" si="40"/>
        <v>219948.97900000002</v>
      </c>
      <c r="F43" s="240">
        <f t="shared" si="63"/>
        <v>36400</v>
      </c>
      <c r="G43" s="240"/>
      <c r="H43" s="280"/>
      <c r="I43" s="240">
        <v>18800</v>
      </c>
      <c r="J43" s="240">
        <f t="shared" si="17"/>
        <v>17600</v>
      </c>
      <c r="K43" s="280">
        <f t="shared" si="57"/>
        <v>119904.89361847081</v>
      </c>
      <c r="L43" s="240">
        <f t="shared" si="49"/>
        <v>436590</v>
      </c>
      <c r="M43" s="280">
        <f t="shared" si="20"/>
        <v>23906.658731912714</v>
      </c>
      <c r="N43" s="280">
        <f t="shared" si="21"/>
        <v>2927.2264885407999</v>
      </c>
      <c r="O43" s="1089"/>
      <c r="P43" s="1084"/>
      <c r="Q43" s="35">
        <f t="shared" si="22"/>
        <v>44009</v>
      </c>
      <c r="R43" s="35"/>
      <c r="S43" s="35">
        <v>44009</v>
      </c>
      <c r="T43" s="35">
        <f t="shared" si="0"/>
        <v>0</v>
      </c>
      <c r="U43" s="36">
        <f t="shared" si="58"/>
        <v>0</v>
      </c>
      <c r="V43" s="74">
        <f t="shared" si="23"/>
        <v>42405</v>
      </c>
      <c r="W43" s="36">
        <f t="shared" si="24"/>
        <v>2.3219997332205469</v>
      </c>
      <c r="X43" s="1136"/>
      <c r="Y43" s="49">
        <f t="shared" si="64"/>
        <v>1032</v>
      </c>
      <c r="Z43" s="50"/>
      <c r="AA43" s="50">
        <f>938+77</f>
        <v>1015</v>
      </c>
      <c r="AB43" s="50">
        <f t="shared" si="2"/>
        <v>17</v>
      </c>
      <c r="AC43" s="51">
        <f t="shared" si="59"/>
        <v>0.1158172267905684</v>
      </c>
      <c r="AD43" s="50">
        <f t="shared" si="25"/>
        <v>2232</v>
      </c>
      <c r="AE43" s="51">
        <f t="shared" si="4"/>
        <v>0.12221915822540409</v>
      </c>
      <c r="AF43" s="1047"/>
      <c r="AG43" s="40">
        <f t="shared" si="65"/>
        <v>1394</v>
      </c>
      <c r="AH43" s="44"/>
      <c r="AI43" s="41">
        <v>1379</v>
      </c>
      <c r="AJ43" s="41">
        <f t="shared" si="54"/>
        <v>15</v>
      </c>
      <c r="AK43" s="42">
        <f t="shared" si="60"/>
        <v>102.19167069756035</v>
      </c>
      <c r="AL43" s="41">
        <f t="shared" si="43"/>
        <v>1246</v>
      </c>
      <c r="AM43" s="42">
        <f t="shared" si="26"/>
        <v>6.8228078471708559E-2</v>
      </c>
      <c r="AN43" s="1058"/>
      <c r="AO43" s="67">
        <v>4.0999999999999996</v>
      </c>
      <c r="AP43" s="67">
        <v>24</v>
      </c>
      <c r="AQ43" s="68">
        <f t="shared" si="34"/>
        <v>48.909719999999993</v>
      </c>
      <c r="AR43" s="68">
        <f>AQ43*1000/D43</f>
        <v>11.555315097361941</v>
      </c>
      <c r="AS43" s="69">
        <f t="shared" si="44"/>
        <v>2110.2754800000007</v>
      </c>
      <c r="AT43" s="140">
        <f t="shared" si="8"/>
        <v>9.59438634175247</v>
      </c>
      <c r="AU43" s="1073"/>
      <c r="AV43" s="70">
        <v>2.1</v>
      </c>
      <c r="AW43" s="71">
        <v>12</v>
      </c>
      <c r="AX43" s="72">
        <f t="shared" si="35"/>
        <v>13.021596000000002</v>
      </c>
      <c r="AY43" s="72">
        <f>AX43*1000/D43</f>
        <v>3.0764568852683665</v>
      </c>
      <c r="AZ43" s="73">
        <f t="shared" si="45"/>
        <v>719.90823599999999</v>
      </c>
      <c r="BA43" s="192">
        <f t="shared" si="10"/>
        <v>3.2730692330242639</v>
      </c>
      <c r="BB43" s="1075"/>
      <c r="BC43" s="90">
        <f t="shared" si="66"/>
        <v>40552</v>
      </c>
      <c r="BD43" s="59"/>
      <c r="BE43" s="56">
        <v>40552</v>
      </c>
      <c r="BF43" s="56">
        <f t="shared" si="37"/>
        <v>0</v>
      </c>
      <c r="BG43" s="58">
        <f t="shared" si="27"/>
        <v>23460</v>
      </c>
      <c r="BH43" s="58">
        <f t="shared" si="11"/>
        <v>106.66109979987677</v>
      </c>
      <c r="BI43" s="1133"/>
      <c r="BJ43" s="64">
        <f t="shared" si="67"/>
        <v>0</v>
      </c>
      <c r="BK43" s="64"/>
      <c r="BL43" s="64">
        <v>0</v>
      </c>
      <c r="BM43" s="64">
        <f t="shared" si="28"/>
        <v>0</v>
      </c>
      <c r="BN43" s="65">
        <f t="shared" si="61"/>
        <v>0</v>
      </c>
      <c r="BO43" s="64">
        <f t="shared" si="30"/>
        <v>5060</v>
      </c>
      <c r="BP43" s="65">
        <f t="shared" si="31"/>
        <v>0.27707389812748418</v>
      </c>
      <c r="BQ43" s="1071"/>
      <c r="BR43" s="77">
        <f t="shared" si="68"/>
        <v>32099</v>
      </c>
      <c r="BS43" s="98"/>
      <c r="BT43" s="35">
        <v>32099</v>
      </c>
      <c r="BU43" s="74">
        <f t="shared" si="55"/>
        <v>0</v>
      </c>
      <c r="BV43" s="74">
        <f t="shared" si="56"/>
        <v>126162</v>
      </c>
      <c r="BW43" s="74">
        <f t="shared" si="13"/>
        <v>573.59666125115314</v>
      </c>
      <c r="BX43" s="1098"/>
      <c r="BY43" s="296">
        <f t="shared" si="69"/>
        <v>950</v>
      </c>
      <c r="BZ43" s="296"/>
      <c r="CA43" s="296">
        <v>700</v>
      </c>
      <c r="CB43" s="296">
        <f t="shared" si="14"/>
        <v>250</v>
      </c>
      <c r="CC43" s="297">
        <f t="shared" si="62"/>
        <v>1.7031945116260059</v>
      </c>
      <c r="CD43" s="296">
        <f t="shared" si="48"/>
        <v>7350</v>
      </c>
      <c r="CE43" s="297">
        <f t="shared" si="16"/>
        <v>0.40246900222075271</v>
      </c>
      <c r="CF43" s="1061"/>
    </row>
    <row r="44" spans="1:84">
      <c r="A44" s="30">
        <v>44357</v>
      </c>
      <c r="B44" s="32">
        <v>237.84100000000001</v>
      </c>
      <c r="C44" s="842">
        <f t="shared" si="39"/>
        <v>18500.117000000002</v>
      </c>
      <c r="D44" s="844">
        <v>377.44</v>
      </c>
      <c r="E44" s="843">
        <f t="shared" si="40"/>
        <v>220326.41900000002</v>
      </c>
      <c r="F44" s="240">
        <f t="shared" si="63"/>
        <v>18800</v>
      </c>
      <c r="G44" s="240">
        <v>31250</v>
      </c>
      <c r="H44" s="280">
        <v>18.98</v>
      </c>
      <c r="I44" s="240">
        <v>34400</v>
      </c>
      <c r="J44" s="240">
        <f t="shared" si="17"/>
        <v>15650</v>
      </c>
      <c r="K44" s="280">
        <f t="shared" si="57"/>
        <v>65800.261519250256</v>
      </c>
      <c r="L44" s="240">
        <f t="shared" si="49"/>
        <v>452240</v>
      </c>
      <c r="M44" s="280">
        <f t="shared" si="20"/>
        <v>24445.250805711119</v>
      </c>
      <c r="N44" s="280">
        <f t="shared" si="21"/>
        <v>2993.173846664763</v>
      </c>
      <c r="O44" s="1089"/>
      <c r="P44" s="1084"/>
      <c r="Q44" s="35">
        <f t="shared" si="22"/>
        <v>44009</v>
      </c>
      <c r="R44" s="35"/>
      <c r="S44" s="35">
        <v>44009</v>
      </c>
      <c r="T44" s="35">
        <f t="shared" si="0"/>
        <v>0</v>
      </c>
      <c r="U44" s="36">
        <f t="shared" si="58"/>
        <v>0</v>
      </c>
      <c r="V44" s="74">
        <f t="shared" si="23"/>
        <v>42405</v>
      </c>
      <c r="W44" s="36">
        <f t="shared" si="24"/>
        <v>2.2921476658769238</v>
      </c>
      <c r="X44" s="1136"/>
      <c r="Y44" s="49">
        <f t="shared" si="64"/>
        <v>1015</v>
      </c>
      <c r="Z44" s="50">
        <v>550</v>
      </c>
      <c r="AA44" s="50">
        <f>1401+77</f>
        <v>1478</v>
      </c>
      <c r="AB44" s="50">
        <f t="shared" si="2"/>
        <v>87</v>
      </c>
      <c r="AC44" s="51">
        <f t="shared" si="59"/>
        <v>0.36579059119327617</v>
      </c>
      <c r="AD44" s="50">
        <f t="shared" si="25"/>
        <v>2319</v>
      </c>
      <c r="AE44" s="51">
        <f t="shared" si="4"/>
        <v>0.12535055859376457</v>
      </c>
      <c r="AF44" s="1047"/>
      <c r="AG44" s="40">
        <f t="shared" si="65"/>
        <v>1379</v>
      </c>
      <c r="AH44" s="41"/>
      <c r="AI44" s="41">
        <v>1363</v>
      </c>
      <c r="AJ44" s="41">
        <f t="shared" si="54"/>
        <v>16</v>
      </c>
      <c r="AK44" s="42">
        <f t="shared" si="60"/>
        <v>67.271832863131252</v>
      </c>
      <c r="AL44" s="41">
        <f t="shared" si="43"/>
        <v>1262</v>
      </c>
      <c r="AM44" s="42">
        <f t="shared" si="26"/>
        <v>6.8215784797469106E-2</v>
      </c>
      <c r="AN44" s="1058"/>
      <c r="AO44" s="67">
        <v>0.9</v>
      </c>
      <c r="AP44" s="67">
        <v>24</v>
      </c>
      <c r="AQ44" s="68">
        <f t="shared" si="34"/>
        <v>10.736280000000001</v>
      </c>
      <c r="AR44" s="68">
        <f>AQ44*1000/D44</f>
        <v>28.444997880457823</v>
      </c>
      <c r="AS44" s="69">
        <f t="shared" si="44"/>
        <v>2121.0117600000008</v>
      </c>
      <c r="AT44" s="140">
        <f t="shared" si="8"/>
        <v>9.6266792227036575</v>
      </c>
      <c r="AU44" s="1073"/>
      <c r="AV44" s="70">
        <v>0.3</v>
      </c>
      <c r="AW44" s="71">
        <v>12</v>
      </c>
      <c r="AX44" s="72">
        <f t="shared" si="35"/>
        <v>1.860228</v>
      </c>
      <c r="AY44" s="72">
        <f>AX44*1000/D44</f>
        <v>4.9285396354387458</v>
      </c>
      <c r="AZ44" s="73">
        <f t="shared" si="45"/>
        <v>721.76846399999999</v>
      </c>
      <c r="BA44" s="192">
        <f t="shared" si="10"/>
        <v>3.2759052104414224</v>
      </c>
      <c r="BB44" s="1075"/>
      <c r="BC44" s="90">
        <f t="shared" si="66"/>
        <v>40552</v>
      </c>
      <c r="BD44" s="59"/>
      <c r="BE44" s="56">
        <v>40552</v>
      </c>
      <c r="BF44" s="56">
        <f t="shared" si="37"/>
        <v>0</v>
      </c>
      <c r="BG44" s="58">
        <f t="shared" si="27"/>
        <v>23460</v>
      </c>
      <c r="BH44" s="58">
        <f t="shared" si="11"/>
        <v>106.47837924511448</v>
      </c>
      <c r="BI44" s="1133"/>
      <c r="BJ44" s="64">
        <f t="shared" si="67"/>
        <v>0</v>
      </c>
      <c r="BK44" s="64"/>
      <c r="BL44" s="64">
        <v>0</v>
      </c>
      <c r="BM44" s="64">
        <f t="shared" si="28"/>
        <v>0</v>
      </c>
      <c r="BN44" s="65">
        <f t="shared" si="61"/>
        <v>0</v>
      </c>
      <c r="BO44" s="64">
        <f t="shared" si="30"/>
        <v>5060</v>
      </c>
      <c r="BP44" s="65">
        <f t="shared" si="31"/>
        <v>0.2735117837362866</v>
      </c>
      <c r="BQ44" s="1071"/>
      <c r="BR44" s="77">
        <f t="shared" si="68"/>
        <v>32099</v>
      </c>
      <c r="BS44" s="98"/>
      <c r="BT44" s="35">
        <v>32099</v>
      </c>
      <c r="BU44" s="74">
        <f t="shared" si="55"/>
        <v>0</v>
      </c>
      <c r="BV44" s="74">
        <f t="shared" si="56"/>
        <v>126162</v>
      </c>
      <c r="BW44" s="74">
        <f t="shared" si="13"/>
        <v>572.6140359046093</v>
      </c>
      <c r="BX44" s="1098"/>
      <c r="BY44" s="296">
        <f t="shared" si="69"/>
        <v>700</v>
      </c>
      <c r="BZ44" s="296">
        <v>1150</v>
      </c>
      <c r="CA44" s="296">
        <v>1500</v>
      </c>
      <c r="CB44" s="296">
        <f t="shared" si="14"/>
        <v>350</v>
      </c>
      <c r="CC44" s="297">
        <f t="shared" si="62"/>
        <v>1.4715713438809961</v>
      </c>
      <c r="CD44" s="296">
        <f t="shared" si="48"/>
        <v>7700</v>
      </c>
      <c r="CE44" s="297">
        <f t="shared" si="16"/>
        <v>0.41621358394652308</v>
      </c>
      <c r="CF44" s="1061"/>
    </row>
    <row r="45" spans="1:84">
      <c r="A45" s="30">
        <v>44358</v>
      </c>
      <c r="B45" s="32">
        <v>0</v>
      </c>
      <c r="C45" s="842">
        <f t="shared" si="39"/>
        <v>18500.117000000002</v>
      </c>
      <c r="D45" s="844">
        <v>0</v>
      </c>
      <c r="E45" s="843">
        <f t="shared" si="40"/>
        <v>220326.41900000002</v>
      </c>
      <c r="F45" s="240">
        <f t="shared" si="63"/>
        <v>34400</v>
      </c>
      <c r="G45" s="240"/>
      <c r="H45" s="280"/>
      <c r="I45" s="240">
        <v>34400</v>
      </c>
      <c r="J45" s="240">
        <f t="shared" si="17"/>
        <v>0</v>
      </c>
      <c r="K45" s="280"/>
      <c r="L45" s="240">
        <f t="shared" si="49"/>
        <v>452240</v>
      </c>
      <c r="M45" s="280">
        <f t="shared" si="20"/>
        <v>24445.250805711119</v>
      </c>
      <c r="N45" s="280">
        <f t="shared" si="21"/>
        <v>2993.173846664763</v>
      </c>
      <c r="O45" s="1089"/>
      <c r="P45" s="1084"/>
      <c r="Q45" s="35">
        <f t="shared" si="22"/>
        <v>44009</v>
      </c>
      <c r="R45" s="35"/>
      <c r="S45" s="35">
        <v>44009</v>
      </c>
      <c r="T45" s="35">
        <f t="shared" si="0"/>
        <v>0</v>
      </c>
      <c r="U45" s="36"/>
      <c r="V45" s="74">
        <f t="shared" si="23"/>
        <v>42405</v>
      </c>
      <c r="W45" s="36">
        <f t="shared" si="24"/>
        <v>2.2921476658769238</v>
      </c>
      <c r="X45" s="1136"/>
      <c r="Y45" s="49">
        <f t="shared" si="64"/>
        <v>1478</v>
      </c>
      <c r="Z45" s="50"/>
      <c r="AA45" s="50">
        <f>1401+77</f>
        <v>1478</v>
      </c>
      <c r="AB45" s="50">
        <f t="shared" si="2"/>
        <v>0</v>
      </c>
      <c r="AC45" s="51"/>
      <c r="AD45" s="50">
        <f t="shared" si="25"/>
        <v>2319</v>
      </c>
      <c r="AE45" s="51">
        <f t="shared" si="4"/>
        <v>0.12535055859376457</v>
      </c>
      <c r="AF45" s="1047"/>
      <c r="AG45" s="40">
        <f t="shared" si="65"/>
        <v>1363</v>
      </c>
      <c r="AH45" s="41"/>
      <c r="AI45" s="41">
        <v>1363</v>
      </c>
      <c r="AJ45" s="41">
        <f t="shared" si="54"/>
        <v>0</v>
      </c>
      <c r="AK45" s="42"/>
      <c r="AL45" s="41">
        <f t="shared" si="43"/>
        <v>1262</v>
      </c>
      <c r="AM45" s="42">
        <f t="shared" si="26"/>
        <v>6.8215784797469106E-2</v>
      </c>
      <c r="AN45" s="1058"/>
      <c r="AO45" s="311">
        <v>0</v>
      </c>
      <c r="AP45" s="67">
        <v>24</v>
      </c>
      <c r="AQ45" s="68">
        <f t="shared" si="34"/>
        <v>0</v>
      </c>
      <c r="AR45" s="68"/>
      <c r="AS45" s="69">
        <f t="shared" si="44"/>
        <v>2121.0117600000008</v>
      </c>
      <c r="AT45" s="140">
        <f t="shared" si="8"/>
        <v>9.6266792227036575</v>
      </c>
      <c r="AU45" s="1073"/>
      <c r="AV45" s="70">
        <v>0</v>
      </c>
      <c r="AW45" s="71">
        <v>12</v>
      </c>
      <c r="AX45" s="72">
        <f t="shared" si="35"/>
        <v>0</v>
      </c>
      <c r="AY45" s="72"/>
      <c r="AZ45" s="73">
        <f t="shared" si="45"/>
        <v>721.76846399999999</v>
      </c>
      <c r="BA45" s="192">
        <f t="shared" si="10"/>
        <v>3.2759052104414224</v>
      </c>
      <c r="BB45" s="1075"/>
      <c r="BC45" s="90">
        <f t="shared" si="66"/>
        <v>40552</v>
      </c>
      <c r="BD45" s="59"/>
      <c r="BE45" s="56">
        <v>40552</v>
      </c>
      <c r="BF45" s="56">
        <f t="shared" si="37"/>
        <v>0</v>
      </c>
      <c r="BG45" s="58">
        <f t="shared" si="27"/>
        <v>23460</v>
      </c>
      <c r="BH45" s="58">
        <f t="shared" si="11"/>
        <v>106.47837924511448</v>
      </c>
      <c r="BI45" s="1133"/>
      <c r="BJ45" s="64">
        <f t="shared" si="67"/>
        <v>0</v>
      </c>
      <c r="BK45" s="64"/>
      <c r="BL45" s="64">
        <v>0</v>
      </c>
      <c r="BM45" s="64">
        <f t="shared" si="28"/>
        <v>0</v>
      </c>
      <c r="BN45" s="65"/>
      <c r="BO45" s="64">
        <f t="shared" si="30"/>
        <v>5060</v>
      </c>
      <c r="BP45" s="65">
        <f t="shared" si="31"/>
        <v>0.2735117837362866</v>
      </c>
      <c r="BQ45" s="1071"/>
      <c r="BR45" s="77">
        <f t="shared" si="68"/>
        <v>32099</v>
      </c>
      <c r="BS45" s="98"/>
      <c r="BT45" s="35">
        <v>32099</v>
      </c>
      <c r="BU45" s="74">
        <f t="shared" si="55"/>
        <v>0</v>
      </c>
      <c r="BV45" s="74">
        <f t="shared" si="56"/>
        <v>126162</v>
      </c>
      <c r="BW45" s="74">
        <f t="shared" si="13"/>
        <v>572.6140359046093</v>
      </c>
      <c r="BX45" s="1098"/>
      <c r="BY45" s="296">
        <f t="shared" si="69"/>
        <v>1500</v>
      </c>
      <c r="BZ45" s="296"/>
      <c r="CA45" s="296">
        <v>1230</v>
      </c>
      <c r="CB45" s="296">
        <f t="shared" si="14"/>
        <v>270</v>
      </c>
      <c r="CC45" s="297"/>
      <c r="CD45" s="296">
        <f t="shared" si="48"/>
        <v>7970</v>
      </c>
      <c r="CE45" s="297">
        <f t="shared" si="16"/>
        <v>0.43080808624075184</v>
      </c>
      <c r="CF45" s="1061"/>
    </row>
    <row r="46" spans="1:84">
      <c r="A46" s="30">
        <v>44359</v>
      </c>
      <c r="B46" s="32">
        <v>0</v>
      </c>
      <c r="C46" s="842">
        <f t="shared" si="39"/>
        <v>18500.117000000002</v>
      </c>
      <c r="D46" s="844">
        <v>830.14</v>
      </c>
      <c r="E46" s="843">
        <f t="shared" si="40"/>
        <v>221156.55900000004</v>
      </c>
      <c r="F46" s="240">
        <f t="shared" si="63"/>
        <v>34400</v>
      </c>
      <c r="G46" s="240"/>
      <c r="H46" s="280"/>
      <c r="I46" s="240">
        <v>34400</v>
      </c>
      <c r="J46" s="240">
        <f t="shared" si="17"/>
        <v>0</v>
      </c>
      <c r="K46" s="280"/>
      <c r="L46" s="240">
        <f t="shared" si="49"/>
        <v>452240</v>
      </c>
      <c r="M46" s="280">
        <f t="shared" si="20"/>
        <v>24445.250805711119</v>
      </c>
      <c r="N46" s="280">
        <f t="shared" si="21"/>
        <v>2993.173846664763</v>
      </c>
      <c r="O46" s="1089"/>
      <c r="P46" s="1084"/>
      <c r="Q46" s="35">
        <f t="shared" si="22"/>
        <v>44009</v>
      </c>
      <c r="R46" s="35"/>
      <c r="S46" s="35">
        <v>44009</v>
      </c>
      <c r="T46" s="35">
        <f t="shared" si="0"/>
        <v>0</v>
      </c>
      <c r="U46" s="36"/>
      <c r="V46" s="74">
        <f t="shared" si="23"/>
        <v>42405</v>
      </c>
      <c r="W46" s="36">
        <f t="shared" si="24"/>
        <v>2.2921476658769238</v>
      </c>
      <c r="X46" s="1136"/>
      <c r="Y46" s="49">
        <f t="shared" si="64"/>
        <v>1478</v>
      </c>
      <c r="Z46" s="50"/>
      <c r="AA46" s="50">
        <f>1401+75</f>
        <v>1476</v>
      </c>
      <c r="AB46" s="50">
        <f t="shared" si="2"/>
        <v>2</v>
      </c>
      <c r="AC46" s="51"/>
      <c r="AD46" s="50">
        <f t="shared" si="25"/>
        <v>2321</v>
      </c>
      <c r="AE46" s="51">
        <f t="shared" si="4"/>
        <v>0.12545866601816624</v>
      </c>
      <c r="AF46" s="1047"/>
      <c r="AG46" s="40">
        <f t="shared" si="65"/>
        <v>1363</v>
      </c>
      <c r="AH46" s="41"/>
      <c r="AI46" s="41">
        <v>1347</v>
      </c>
      <c r="AJ46" s="41">
        <f t="shared" si="54"/>
        <v>16</v>
      </c>
      <c r="AK46" s="42"/>
      <c r="AL46" s="41">
        <f t="shared" si="43"/>
        <v>1278</v>
      </c>
      <c r="AM46" s="42">
        <f t="shared" si="26"/>
        <v>6.9080644192682672E-2</v>
      </c>
      <c r="AN46" s="1058"/>
      <c r="AO46" s="67">
        <v>0.3</v>
      </c>
      <c r="AP46" s="67">
        <v>24</v>
      </c>
      <c r="AQ46" s="68">
        <f t="shared" si="34"/>
        <v>3.5787599999999995</v>
      </c>
      <c r="AR46" s="68">
        <f t="shared" ref="AR46:AR71" si="70">AQ46*1000/D46</f>
        <v>4.31103187414171</v>
      </c>
      <c r="AS46" s="69">
        <f t="shared" si="44"/>
        <v>2124.5905200000007</v>
      </c>
      <c r="AT46" s="140">
        <f t="shared" si="8"/>
        <v>9.6067262468123324</v>
      </c>
      <c r="AU46" s="1073"/>
      <c r="AV46" s="70">
        <v>0.3</v>
      </c>
      <c r="AW46" s="71">
        <v>12</v>
      </c>
      <c r="AX46" s="72">
        <f t="shared" si="35"/>
        <v>1.860228</v>
      </c>
      <c r="AY46" s="72">
        <f t="shared" ref="AY46:AY109" si="71">AX46*1000/D46</f>
        <v>2.2408605777338764</v>
      </c>
      <c r="AZ46" s="73">
        <f t="shared" si="45"/>
        <v>723.628692</v>
      </c>
      <c r="BA46" s="192">
        <f t="shared" si="10"/>
        <v>3.2720200353632736</v>
      </c>
      <c r="BB46" s="1075"/>
      <c r="BC46" s="90">
        <f t="shared" si="66"/>
        <v>40552</v>
      </c>
      <c r="BD46" s="59"/>
      <c r="BE46" s="56">
        <v>40552</v>
      </c>
      <c r="BF46" s="56">
        <f t="shared" si="37"/>
        <v>0</v>
      </c>
      <c r="BG46" s="58">
        <f t="shared" si="27"/>
        <v>23460</v>
      </c>
      <c r="BH46" s="58">
        <f t="shared" si="11"/>
        <v>106.07869875566293</v>
      </c>
      <c r="BI46" s="1133"/>
      <c r="BJ46" s="64">
        <f t="shared" si="67"/>
        <v>0</v>
      </c>
      <c r="BK46" s="64"/>
      <c r="BL46" s="64">
        <v>0</v>
      </c>
      <c r="BM46" s="64">
        <f t="shared" si="28"/>
        <v>0</v>
      </c>
      <c r="BN46" s="65"/>
      <c r="BO46" s="64">
        <f t="shared" si="30"/>
        <v>5060</v>
      </c>
      <c r="BP46" s="65">
        <f t="shared" si="31"/>
        <v>0.2735117837362866</v>
      </c>
      <c r="BQ46" s="1071"/>
      <c r="BR46" s="77">
        <f t="shared" si="68"/>
        <v>32099</v>
      </c>
      <c r="BS46" s="98"/>
      <c r="BT46" s="35">
        <v>32099</v>
      </c>
      <c r="BU46" s="74">
        <f t="shared" si="55"/>
        <v>0</v>
      </c>
      <c r="BV46" s="74">
        <f t="shared" si="56"/>
        <v>126162</v>
      </c>
      <c r="BW46" s="74">
        <f t="shared" si="13"/>
        <v>570.46465440801137</v>
      </c>
      <c r="BX46" s="1098"/>
      <c r="BY46" s="296">
        <f t="shared" si="69"/>
        <v>1230</v>
      </c>
      <c r="BZ46" s="296"/>
      <c r="CA46" s="296">
        <v>950</v>
      </c>
      <c r="CB46" s="296">
        <f t="shared" si="14"/>
        <v>280</v>
      </c>
      <c r="CC46" s="297"/>
      <c r="CD46" s="296">
        <f t="shared" si="48"/>
        <v>8250</v>
      </c>
      <c r="CE46" s="297">
        <f t="shared" si="16"/>
        <v>0.44594312565698901</v>
      </c>
      <c r="CF46" s="1061"/>
    </row>
    <row r="47" spans="1:84">
      <c r="A47" s="30">
        <v>44360</v>
      </c>
      <c r="B47" s="32">
        <v>200.351</v>
      </c>
      <c r="C47" s="842">
        <f t="shared" si="39"/>
        <v>18700.468000000001</v>
      </c>
      <c r="D47" s="844">
        <v>5013.0600000000004</v>
      </c>
      <c r="E47" s="843">
        <f t="shared" si="40"/>
        <v>226169.61900000004</v>
      </c>
      <c r="F47" s="240">
        <f t="shared" si="63"/>
        <v>34400</v>
      </c>
      <c r="G47" s="240"/>
      <c r="H47" s="280"/>
      <c r="I47" s="240">
        <v>34400</v>
      </c>
      <c r="J47" s="240">
        <f t="shared" si="17"/>
        <v>0</v>
      </c>
      <c r="K47" s="280">
        <f t="shared" si="57"/>
        <v>0</v>
      </c>
      <c r="L47" s="240">
        <f t="shared" si="49"/>
        <v>452240</v>
      </c>
      <c r="M47" s="280">
        <f t="shared" si="20"/>
        <v>24183.351988837927</v>
      </c>
      <c r="N47" s="280">
        <f t="shared" si="21"/>
        <v>2961.1059126775963</v>
      </c>
      <c r="O47" s="1089"/>
      <c r="P47" s="1084"/>
      <c r="Q47" s="35">
        <f t="shared" si="22"/>
        <v>44009</v>
      </c>
      <c r="R47" s="35"/>
      <c r="S47" s="35">
        <v>44009</v>
      </c>
      <c r="T47" s="35">
        <f t="shared" si="0"/>
        <v>0</v>
      </c>
      <c r="U47" s="36">
        <f t="shared" ref="U47:U93" si="72">1000*T47/B47</f>
        <v>0</v>
      </c>
      <c r="V47" s="74">
        <f t="shared" si="23"/>
        <v>42405</v>
      </c>
      <c r="W47" s="36">
        <f t="shared" si="24"/>
        <v>2.2675903084350617</v>
      </c>
      <c r="X47" s="1136"/>
      <c r="Y47" s="49">
        <f t="shared" si="64"/>
        <v>1476</v>
      </c>
      <c r="Z47" s="50"/>
      <c r="AA47" s="50">
        <f>1395+70</f>
        <v>1465</v>
      </c>
      <c r="AB47" s="50">
        <f t="shared" si="2"/>
        <v>11</v>
      </c>
      <c r="AC47" s="51">
        <f t="shared" ref="AC47:AC64" si="73">AB47/B47</f>
        <v>5.490364410459643E-2</v>
      </c>
      <c r="AD47" s="50">
        <f t="shared" si="25"/>
        <v>2332</v>
      </c>
      <c r="AE47" s="51">
        <f t="shared" si="4"/>
        <v>0.1247027614496065</v>
      </c>
      <c r="AF47" s="1047"/>
      <c r="AG47" s="40">
        <f t="shared" si="65"/>
        <v>1347</v>
      </c>
      <c r="AH47" s="41"/>
      <c r="AI47" s="41">
        <v>1315</v>
      </c>
      <c r="AJ47" s="41">
        <f t="shared" si="54"/>
        <v>32</v>
      </c>
      <c r="AK47" s="42">
        <f t="shared" ref="AK47:AK93" si="74">AJ47*1000/B47</f>
        <v>159.71969194064417</v>
      </c>
      <c r="AL47" s="41">
        <f t="shared" si="43"/>
        <v>1310</v>
      </c>
      <c r="AM47" s="42">
        <f t="shared" si="26"/>
        <v>7.005172276971891E-2</v>
      </c>
      <c r="AN47" s="1058"/>
      <c r="AO47" s="67">
        <v>4.3</v>
      </c>
      <c r="AP47" s="67">
        <v>24</v>
      </c>
      <c r="AQ47" s="68">
        <f t="shared" si="34"/>
        <v>51.295559999999995</v>
      </c>
      <c r="AR47" s="68">
        <f t="shared" si="70"/>
        <v>10.232385010352957</v>
      </c>
      <c r="AS47" s="69">
        <f t="shared" si="44"/>
        <v>2175.8860800000007</v>
      </c>
      <c r="AT47" s="140">
        <f t="shared" si="8"/>
        <v>9.6205940020617895</v>
      </c>
      <c r="AU47" s="1073"/>
      <c r="AV47" s="70">
        <v>2.4</v>
      </c>
      <c r="AW47" s="71">
        <v>12</v>
      </c>
      <c r="AX47" s="72">
        <f t="shared" si="35"/>
        <v>14.881824</v>
      </c>
      <c r="AY47" s="72">
        <f t="shared" si="71"/>
        <v>2.9686107886201243</v>
      </c>
      <c r="AZ47" s="73">
        <f t="shared" si="45"/>
        <v>738.51051600000005</v>
      </c>
      <c r="BA47" s="192">
        <f t="shared" si="10"/>
        <v>3.2652949554643764</v>
      </c>
      <c r="BB47" s="1075"/>
      <c r="BC47" s="90">
        <f t="shared" si="66"/>
        <v>40552</v>
      </c>
      <c r="BD47" s="312"/>
      <c r="BE47" s="56">
        <v>40552</v>
      </c>
      <c r="BF47" s="56">
        <f t="shared" si="37"/>
        <v>0</v>
      </c>
      <c r="BG47" s="58">
        <f t="shared" si="27"/>
        <v>23460</v>
      </c>
      <c r="BH47" s="58">
        <f t="shared" si="11"/>
        <v>103.7274595223154</v>
      </c>
      <c r="BI47" s="1133"/>
      <c r="BJ47" s="64">
        <f t="shared" si="67"/>
        <v>0</v>
      </c>
      <c r="BK47" s="64">
        <v>2200</v>
      </c>
      <c r="BL47" s="374">
        <v>2160</v>
      </c>
      <c r="BM47" s="64">
        <f t="shared" si="28"/>
        <v>40</v>
      </c>
      <c r="BN47" s="65">
        <f t="shared" ref="BN47:BN93" si="75">BM47/B47</f>
        <v>0.19964961492580521</v>
      </c>
      <c r="BO47" s="64">
        <f t="shared" si="30"/>
        <v>5100</v>
      </c>
      <c r="BP47" s="65">
        <f t="shared" si="31"/>
        <v>0.27272044742409657</v>
      </c>
      <c r="BQ47" s="1071"/>
      <c r="BR47" s="77">
        <f t="shared" si="68"/>
        <v>32099</v>
      </c>
      <c r="BS47" s="98"/>
      <c r="BT47" s="35">
        <v>32099</v>
      </c>
      <c r="BU47" s="74">
        <f t="shared" si="55"/>
        <v>0</v>
      </c>
      <c r="BV47" s="74">
        <f t="shared" si="56"/>
        <v>126162</v>
      </c>
      <c r="BW47" s="74">
        <f t="shared" si="13"/>
        <v>557.82027912422654</v>
      </c>
      <c r="BX47" s="1098"/>
      <c r="BY47" s="296">
        <f t="shared" si="69"/>
        <v>950</v>
      </c>
      <c r="BZ47" s="296"/>
      <c r="CA47" s="298">
        <v>710</v>
      </c>
      <c r="CB47" s="296">
        <f t="shared" si="14"/>
        <v>240</v>
      </c>
      <c r="CC47" s="297">
        <f t="shared" ref="CC47:CC93" si="76">CB47/B47</f>
        <v>1.1978976895548312</v>
      </c>
      <c r="CD47" s="296">
        <f t="shared" si="48"/>
        <v>8490</v>
      </c>
      <c r="CE47" s="297">
        <f t="shared" si="16"/>
        <v>0.45399933306481954</v>
      </c>
      <c r="CF47" s="1061"/>
    </row>
    <row r="48" spans="1:84">
      <c r="A48" s="30">
        <v>44361</v>
      </c>
      <c r="B48" s="32">
        <v>482.93</v>
      </c>
      <c r="C48" s="842">
        <f t="shared" si="39"/>
        <v>19183.398000000001</v>
      </c>
      <c r="D48" s="844">
        <v>6027.86</v>
      </c>
      <c r="E48" s="843">
        <f t="shared" si="40"/>
        <v>232197.47900000002</v>
      </c>
      <c r="F48" s="240">
        <f t="shared" si="63"/>
        <v>34400</v>
      </c>
      <c r="G48" s="240">
        <v>17845</v>
      </c>
      <c r="H48" s="280">
        <v>10.67</v>
      </c>
      <c r="I48" s="240">
        <v>42000</v>
      </c>
      <c r="J48" s="240">
        <f t="shared" si="17"/>
        <v>10245</v>
      </c>
      <c r="K48" s="280">
        <f t="shared" si="57"/>
        <v>21214.254653883585</v>
      </c>
      <c r="L48" s="240">
        <f t="shared" si="49"/>
        <v>462485</v>
      </c>
      <c r="M48" s="280">
        <f t="shared" si="20"/>
        <v>24108.606827632935</v>
      </c>
      <c r="N48" s="280">
        <f t="shared" si="21"/>
        <v>2951.9538175135222</v>
      </c>
      <c r="O48" s="1089"/>
      <c r="P48" s="1084"/>
      <c r="Q48" s="35">
        <f t="shared" si="22"/>
        <v>44009</v>
      </c>
      <c r="R48" s="35"/>
      <c r="S48" s="35">
        <v>44009</v>
      </c>
      <c r="T48" s="35">
        <f t="shared" si="0"/>
        <v>0</v>
      </c>
      <c r="U48" s="36">
        <f t="shared" si="72"/>
        <v>0</v>
      </c>
      <c r="V48" s="74">
        <f t="shared" si="23"/>
        <v>42405</v>
      </c>
      <c r="W48" s="36">
        <f t="shared" si="24"/>
        <v>2.2105051461685776</v>
      </c>
      <c r="X48" s="1136"/>
      <c r="Y48" s="49">
        <f t="shared" si="64"/>
        <v>1465</v>
      </c>
      <c r="Z48" s="50"/>
      <c r="AA48" s="50">
        <f>1351+91</f>
        <v>1442</v>
      </c>
      <c r="AB48" s="50">
        <f t="shared" si="2"/>
        <v>23</v>
      </c>
      <c r="AC48" s="51">
        <f t="shared" si="73"/>
        <v>4.7625949930631767E-2</v>
      </c>
      <c r="AD48" s="50">
        <f t="shared" si="25"/>
        <v>2355</v>
      </c>
      <c r="AE48" s="51">
        <f t="shared" si="4"/>
        <v>0.122762401113713</v>
      </c>
      <c r="AF48" s="1047"/>
      <c r="AG48" s="40">
        <f t="shared" si="65"/>
        <v>1315</v>
      </c>
      <c r="AH48" s="41"/>
      <c r="AI48" s="41">
        <v>1281</v>
      </c>
      <c r="AJ48" s="41">
        <f t="shared" si="54"/>
        <v>34</v>
      </c>
      <c r="AK48" s="42">
        <f t="shared" si="74"/>
        <v>70.403578158325217</v>
      </c>
      <c r="AL48" s="41">
        <f t="shared" si="43"/>
        <v>1344</v>
      </c>
      <c r="AM48" s="42">
        <f t="shared" si="26"/>
        <v>7.0060580508208181E-2</v>
      </c>
      <c r="AN48" s="1058"/>
      <c r="AO48" s="67">
        <v>5.4</v>
      </c>
      <c r="AP48" s="67">
        <v>24</v>
      </c>
      <c r="AQ48" s="68">
        <f t="shared" si="34"/>
        <v>64.417680000000004</v>
      </c>
      <c r="AR48" s="68">
        <f t="shared" si="70"/>
        <v>10.686658283370884</v>
      </c>
      <c r="AS48" s="69">
        <f t="shared" si="44"/>
        <v>2240.3037600000007</v>
      </c>
      <c r="AT48" s="140">
        <f t="shared" si="8"/>
        <v>9.6482690925339476</v>
      </c>
      <c r="AU48" s="1073"/>
      <c r="AV48" s="70">
        <v>3.1</v>
      </c>
      <c r="AW48" s="71">
        <v>12</v>
      </c>
      <c r="AX48" s="72">
        <f t="shared" si="35"/>
        <v>19.222356000000001</v>
      </c>
      <c r="AY48" s="72">
        <f t="shared" si="71"/>
        <v>3.1889187870985722</v>
      </c>
      <c r="AZ48" s="73">
        <f t="shared" si="45"/>
        <v>757.73287200000004</v>
      </c>
      <c r="BA48" s="192">
        <f t="shared" si="10"/>
        <v>3.2633122257111156</v>
      </c>
      <c r="BB48" s="1075"/>
      <c r="BC48" s="90">
        <f t="shared" si="66"/>
        <v>40552</v>
      </c>
      <c r="BD48" s="59"/>
      <c r="BE48" s="56">
        <v>40552</v>
      </c>
      <c r="BF48" s="56">
        <f t="shared" si="37"/>
        <v>0</v>
      </c>
      <c r="BG48" s="58">
        <f t="shared" si="27"/>
        <v>23460</v>
      </c>
      <c r="BH48" s="58">
        <f t="shared" si="11"/>
        <v>101.03468866688254</v>
      </c>
      <c r="BI48" s="1133"/>
      <c r="BJ48" s="64">
        <f t="shared" si="67"/>
        <v>2160</v>
      </c>
      <c r="BK48" s="64"/>
      <c r="BL48" s="374">
        <v>2050</v>
      </c>
      <c r="BM48" s="64">
        <f t="shared" si="28"/>
        <v>110</v>
      </c>
      <c r="BN48" s="65">
        <f t="shared" si="75"/>
        <v>0.22777628227693456</v>
      </c>
      <c r="BO48" s="64">
        <f t="shared" si="30"/>
        <v>5210</v>
      </c>
      <c r="BP48" s="65">
        <f t="shared" si="31"/>
        <v>0.27158900628553917</v>
      </c>
      <c r="BQ48" s="1071"/>
      <c r="BR48" s="77">
        <f t="shared" si="68"/>
        <v>32099</v>
      </c>
      <c r="BS48" s="98"/>
      <c r="BT48" s="35">
        <v>27478</v>
      </c>
      <c r="BU48" s="74">
        <f t="shared" si="55"/>
        <v>4621</v>
      </c>
      <c r="BV48" s="74">
        <f t="shared" si="56"/>
        <v>130783</v>
      </c>
      <c r="BW48" s="74">
        <f t="shared" si="13"/>
        <v>563.24039590455664</v>
      </c>
      <c r="BX48" s="1098"/>
      <c r="BY48" s="296">
        <f t="shared" si="69"/>
        <v>710</v>
      </c>
      <c r="BZ48" s="296"/>
      <c r="CA48" s="298">
        <v>390</v>
      </c>
      <c r="CB48" s="296">
        <f t="shared" si="14"/>
        <v>320</v>
      </c>
      <c r="CC48" s="297">
        <f t="shared" si="76"/>
        <v>0.66262191207835508</v>
      </c>
      <c r="CD48" s="296">
        <f t="shared" si="48"/>
        <v>8810</v>
      </c>
      <c r="CE48" s="297">
        <f t="shared" si="16"/>
        <v>0.45925127550395395</v>
      </c>
      <c r="CF48" s="1061"/>
    </row>
    <row r="49" spans="1:84">
      <c r="A49" s="30">
        <v>44362</v>
      </c>
      <c r="B49" s="32">
        <v>520.37099999999998</v>
      </c>
      <c r="C49" s="842">
        <f t="shared" si="39"/>
        <v>19703.769</v>
      </c>
      <c r="D49" s="844">
        <v>4904.3</v>
      </c>
      <c r="E49" s="843">
        <f t="shared" si="40"/>
        <v>237101.77900000001</v>
      </c>
      <c r="F49" s="240">
        <f t="shared" si="63"/>
        <v>42000</v>
      </c>
      <c r="G49" s="240">
        <v>18260</v>
      </c>
      <c r="H49" s="280">
        <v>8.14</v>
      </c>
      <c r="I49" s="240">
        <v>42000</v>
      </c>
      <c r="J49" s="240">
        <f t="shared" si="17"/>
        <v>18260</v>
      </c>
      <c r="K49" s="280">
        <f t="shared" si="57"/>
        <v>35090.34900100121</v>
      </c>
      <c r="L49" s="240">
        <f t="shared" si="49"/>
        <v>480745</v>
      </c>
      <c r="M49" s="280">
        <f t="shared" si="20"/>
        <v>24398.631551151459</v>
      </c>
      <c r="N49" s="280">
        <f t="shared" si="21"/>
        <v>2987.4655995042804</v>
      </c>
      <c r="O49" s="1089"/>
      <c r="P49" s="1084"/>
      <c r="Q49" s="35">
        <f t="shared" si="22"/>
        <v>44009</v>
      </c>
      <c r="R49" s="35"/>
      <c r="S49" s="35">
        <v>44009</v>
      </c>
      <c r="T49" s="35">
        <f t="shared" si="0"/>
        <v>0</v>
      </c>
      <c r="U49" s="36">
        <f t="shared" si="72"/>
        <v>0</v>
      </c>
      <c r="V49" s="74">
        <f t="shared" si="23"/>
        <v>42405</v>
      </c>
      <c r="W49" s="36">
        <f t="shared" si="24"/>
        <v>2.1521263266941468</v>
      </c>
      <c r="X49" s="1136"/>
      <c r="Y49" s="49">
        <f t="shared" si="64"/>
        <v>1442</v>
      </c>
      <c r="Z49" s="50"/>
      <c r="AA49" s="50">
        <f>1268+108</f>
        <v>1376</v>
      </c>
      <c r="AB49" s="50">
        <f t="shared" si="2"/>
        <v>66</v>
      </c>
      <c r="AC49" s="51">
        <f t="shared" si="73"/>
        <v>0.1268325867506068</v>
      </c>
      <c r="AD49" s="50">
        <f t="shared" si="25"/>
        <v>2421</v>
      </c>
      <c r="AE49" s="51">
        <f t="shared" si="4"/>
        <v>0.1228698935721384</v>
      </c>
      <c r="AF49" s="1047"/>
      <c r="AG49" s="40">
        <f t="shared" si="65"/>
        <v>1281</v>
      </c>
      <c r="AH49" s="41"/>
      <c r="AI49" s="41">
        <v>1264</v>
      </c>
      <c r="AJ49" s="41">
        <f t="shared" si="54"/>
        <v>17</v>
      </c>
      <c r="AK49" s="42">
        <f t="shared" si="74"/>
        <v>32.668999617580532</v>
      </c>
      <c r="AL49" s="41">
        <f t="shared" si="43"/>
        <v>1361</v>
      </c>
      <c r="AM49" s="42">
        <f t="shared" si="26"/>
        <v>6.9073079368723825E-2</v>
      </c>
      <c r="AN49" s="1058"/>
      <c r="AO49" s="311">
        <v>4.5999999999999996</v>
      </c>
      <c r="AP49" s="67">
        <v>24</v>
      </c>
      <c r="AQ49" s="68">
        <f t="shared" si="34"/>
        <v>54.874319999999997</v>
      </c>
      <c r="AR49" s="68">
        <f t="shared" si="70"/>
        <v>11.189021878759455</v>
      </c>
      <c r="AS49" s="69">
        <f t="shared" si="44"/>
        <v>2295.1780800000006</v>
      </c>
      <c r="AT49" s="140">
        <f t="shared" si="8"/>
        <v>9.6801385872351489</v>
      </c>
      <c r="AU49" s="1073"/>
      <c r="AV49" s="70">
        <v>2.7</v>
      </c>
      <c r="AW49" s="71">
        <v>12</v>
      </c>
      <c r="AX49" s="72">
        <f t="shared" si="35"/>
        <v>16.742052000000005</v>
      </c>
      <c r="AY49" s="72">
        <f t="shared" si="71"/>
        <v>3.4137495667067679</v>
      </c>
      <c r="AZ49" s="73">
        <f t="shared" si="45"/>
        <v>774.4749240000001</v>
      </c>
      <c r="BA49" s="192">
        <f t="shared" si="10"/>
        <v>3.266423926747509</v>
      </c>
      <c r="BB49" s="1075"/>
      <c r="BC49" s="90">
        <f t="shared" si="66"/>
        <v>40552</v>
      </c>
      <c r="BD49" s="59"/>
      <c r="BE49" s="56">
        <v>40552</v>
      </c>
      <c r="BF49" s="56">
        <f t="shared" si="37"/>
        <v>0</v>
      </c>
      <c r="BG49" s="58">
        <f t="shared" si="27"/>
        <v>23460</v>
      </c>
      <c r="BH49" s="58">
        <f t="shared" si="11"/>
        <v>98.944850177610846</v>
      </c>
      <c r="BI49" s="1133"/>
      <c r="BJ49" s="64">
        <f t="shared" si="67"/>
        <v>2050</v>
      </c>
      <c r="BK49" s="64"/>
      <c r="BL49" s="374">
        <v>1850</v>
      </c>
      <c r="BM49" s="64">
        <f t="shared" si="28"/>
        <v>200</v>
      </c>
      <c r="BN49" s="65">
        <f t="shared" si="75"/>
        <v>0.38434117197153572</v>
      </c>
      <c r="BO49" s="64">
        <f t="shared" si="30"/>
        <v>5410</v>
      </c>
      <c r="BP49" s="65">
        <f t="shared" si="31"/>
        <v>0.27456675928346502</v>
      </c>
      <c r="BQ49" s="1071"/>
      <c r="BR49" s="77">
        <f t="shared" si="68"/>
        <v>27478</v>
      </c>
      <c r="BS49" s="98"/>
      <c r="BT49" s="35">
        <v>24705</v>
      </c>
      <c r="BU49" s="74">
        <f t="shared" si="55"/>
        <v>2773</v>
      </c>
      <c r="BV49" s="74">
        <f t="shared" si="56"/>
        <v>133556</v>
      </c>
      <c r="BW49" s="74">
        <f t="shared" si="13"/>
        <v>563.28552473661534</v>
      </c>
      <c r="BX49" s="1098"/>
      <c r="BY49" s="296">
        <f t="shared" si="69"/>
        <v>390</v>
      </c>
      <c r="BZ49" s="296">
        <v>2300</v>
      </c>
      <c r="CA49" s="298">
        <v>2190</v>
      </c>
      <c r="CB49" s="296">
        <f t="shared" si="14"/>
        <v>500</v>
      </c>
      <c r="CC49" s="297">
        <f t="shared" si="76"/>
        <v>0.96085292992883931</v>
      </c>
      <c r="CD49" s="296">
        <f t="shared" si="48"/>
        <v>9310</v>
      </c>
      <c r="CE49" s="297">
        <f t="shared" si="16"/>
        <v>0.47249843418282056</v>
      </c>
      <c r="CF49" s="1061"/>
    </row>
    <row r="50" spans="1:84">
      <c r="A50" s="30">
        <v>44363</v>
      </c>
      <c r="B50" s="32">
        <v>509.01900000000001</v>
      </c>
      <c r="C50" s="842">
        <f t="shared" si="39"/>
        <v>20212.788</v>
      </c>
      <c r="D50" s="844">
        <v>6963.32</v>
      </c>
      <c r="E50" s="843">
        <f t="shared" si="40"/>
        <v>244065.09900000002</v>
      </c>
      <c r="F50" s="240">
        <f t="shared" si="63"/>
        <v>42000</v>
      </c>
      <c r="G50" s="240"/>
      <c r="H50" s="280"/>
      <c r="I50" s="240">
        <v>15000</v>
      </c>
      <c r="J50" s="240">
        <f t="shared" si="17"/>
        <v>27000</v>
      </c>
      <c r="K50" s="280">
        <f t="shared" si="57"/>
        <v>53043.206638651995</v>
      </c>
      <c r="L50" s="240">
        <f t="shared" si="49"/>
        <v>507745</v>
      </c>
      <c r="M50" s="280">
        <f t="shared" si="20"/>
        <v>25119.988395465287</v>
      </c>
      <c r="N50" s="280">
        <f t="shared" si="21"/>
        <v>3075.7914038772237</v>
      </c>
      <c r="O50" s="1089"/>
      <c r="P50" s="1084"/>
      <c r="Q50" s="35">
        <f t="shared" si="22"/>
        <v>44009</v>
      </c>
      <c r="R50" s="35"/>
      <c r="S50" s="35">
        <v>44009</v>
      </c>
      <c r="T50" s="35">
        <f t="shared" si="0"/>
        <v>0</v>
      </c>
      <c r="U50" s="36">
        <f t="shared" si="72"/>
        <v>0</v>
      </c>
      <c r="V50" s="74">
        <f t="shared" si="23"/>
        <v>42405</v>
      </c>
      <c r="W50" s="36">
        <f t="shared" si="24"/>
        <v>2.0979292911002676</v>
      </c>
      <c r="X50" s="1136"/>
      <c r="Y50" s="49">
        <f t="shared" si="64"/>
        <v>1376</v>
      </c>
      <c r="Z50" s="50"/>
      <c r="AA50" s="50">
        <f>1281+80</f>
        <v>1361</v>
      </c>
      <c r="AB50" s="50">
        <f t="shared" si="2"/>
        <v>15</v>
      </c>
      <c r="AC50" s="51">
        <f t="shared" si="73"/>
        <v>2.9468448132584441E-2</v>
      </c>
      <c r="AD50" s="50">
        <f t="shared" si="25"/>
        <v>2436</v>
      </c>
      <c r="AE50" s="51">
        <f t="shared" si="4"/>
        <v>0.12051776330904969</v>
      </c>
      <c r="AF50" s="1047"/>
      <c r="AG50" s="40">
        <f t="shared" si="65"/>
        <v>1264</v>
      </c>
      <c r="AH50" s="41"/>
      <c r="AI50" s="41">
        <v>1246</v>
      </c>
      <c r="AJ50" s="41">
        <f t="shared" si="54"/>
        <v>18</v>
      </c>
      <c r="AK50" s="42">
        <f t="shared" si="74"/>
        <v>35.36213775910133</v>
      </c>
      <c r="AL50" s="41">
        <f t="shared" si="43"/>
        <v>1379</v>
      </c>
      <c r="AM50" s="42">
        <f t="shared" si="26"/>
        <v>6.8224136126099968E-2</v>
      </c>
      <c r="AN50" s="1058"/>
      <c r="AO50" s="311">
        <v>5.4</v>
      </c>
      <c r="AP50" s="67">
        <v>24</v>
      </c>
      <c r="AQ50" s="68">
        <f t="shared" si="34"/>
        <v>64.417680000000004</v>
      </c>
      <c r="AR50" s="68">
        <f t="shared" si="70"/>
        <v>9.2510009593125133</v>
      </c>
      <c r="AS50" s="69">
        <f t="shared" si="44"/>
        <v>2359.5957600000006</v>
      </c>
      <c r="AT50" s="140">
        <f t="shared" si="8"/>
        <v>9.6678950397574077</v>
      </c>
      <c r="AU50" s="1073"/>
      <c r="AV50" s="70">
        <v>3.2</v>
      </c>
      <c r="AW50" s="71">
        <v>12</v>
      </c>
      <c r="AX50" s="72">
        <f t="shared" si="35"/>
        <v>19.842432000000002</v>
      </c>
      <c r="AY50" s="72">
        <f t="shared" si="71"/>
        <v>2.8495648627378896</v>
      </c>
      <c r="AZ50" s="73">
        <f t="shared" si="45"/>
        <v>794.31735600000013</v>
      </c>
      <c r="BA50" s="192">
        <f t="shared" si="10"/>
        <v>3.2545306938785217</v>
      </c>
      <c r="BB50" s="1075"/>
      <c r="BC50" s="90">
        <f t="shared" si="66"/>
        <v>40552</v>
      </c>
      <c r="BD50" s="59"/>
      <c r="BE50" s="56">
        <v>38272</v>
      </c>
      <c r="BF50" s="56">
        <f t="shared" si="37"/>
        <v>2280</v>
      </c>
      <c r="BG50" s="58">
        <f t="shared" si="27"/>
        <v>25740</v>
      </c>
      <c r="BH50" s="58">
        <f t="shared" si="11"/>
        <v>105.46366565913628</v>
      </c>
      <c r="BI50" s="1133"/>
      <c r="BJ50" s="64">
        <f t="shared" si="67"/>
        <v>1850</v>
      </c>
      <c r="BK50" s="64"/>
      <c r="BL50" s="64">
        <v>1650</v>
      </c>
      <c r="BM50" s="64">
        <f t="shared" si="28"/>
        <v>200</v>
      </c>
      <c r="BN50" s="65">
        <f t="shared" si="75"/>
        <v>0.39291264176779256</v>
      </c>
      <c r="BO50" s="64">
        <f t="shared" si="30"/>
        <v>5610</v>
      </c>
      <c r="BP50" s="65">
        <f t="shared" si="31"/>
        <v>0.27754706574867355</v>
      </c>
      <c r="BQ50" s="1071"/>
      <c r="BR50" s="77">
        <f t="shared" si="68"/>
        <v>24705</v>
      </c>
      <c r="BS50" s="35"/>
      <c r="BT50" s="35">
        <v>22857</v>
      </c>
      <c r="BU50" s="74">
        <f t="shared" si="55"/>
        <v>1848</v>
      </c>
      <c r="BV50" s="74">
        <f t="shared" si="56"/>
        <v>135404</v>
      </c>
      <c r="BW50" s="74">
        <f t="shared" si="13"/>
        <v>554.7864096701511</v>
      </c>
      <c r="BX50" s="1098"/>
      <c r="BY50" s="296">
        <f t="shared" si="69"/>
        <v>2190</v>
      </c>
      <c r="BZ50" s="296"/>
      <c r="CA50" s="296">
        <v>1840</v>
      </c>
      <c r="CB50" s="296">
        <f t="shared" si="14"/>
        <v>350</v>
      </c>
      <c r="CC50" s="297">
        <f t="shared" si="76"/>
        <v>0.68759712309363696</v>
      </c>
      <c r="CD50" s="296">
        <f t="shared" si="48"/>
        <v>9660</v>
      </c>
      <c r="CE50" s="297">
        <f t="shared" si="16"/>
        <v>0.47791526829450742</v>
      </c>
      <c r="CF50" s="1061"/>
    </row>
    <row r="51" spans="1:84">
      <c r="A51" s="30">
        <v>44364</v>
      </c>
      <c r="B51" s="32">
        <v>532.923</v>
      </c>
      <c r="C51" s="842">
        <f t="shared" si="39"/>
        <v>20745.710999999999</v>
      </c>
      <c r="D51" s="842">
        <v>6930.54</v>
      </c>
      <c r="E51" s="843">
        <f t="shared" si="40"/>
        <v>250995.63900000002</v>
      </c>
      <c r="F51" s="240">
        <f t="shared" si="63"/>
        <v>15000</v>
      </c>
      <c r="G51" s="240">
        <v>31780</v>
      </c>
      <c r="H51" s="280">
        <v>6.73</v>
      </c>
      <c r="I51" s="240">
        <v>6000</v>
      </c>
      <c r="J51" s="240">
        <f t="shared" si="17"/>
        <v>40780</v>
      </c>
      <c r="K51" s="280">
        <f t="shared" si="57"/>
        <v>76521.373631837996</v>
      </c>
      <c r="L51" s="240">
        <f t="shared" si="49"/>
        <v>548525</v>
      </c>
      <c r="M51" s="280">
        <f t="shared" si="20"/>
        <v>26440.404958885236</v>
      </c>
      <c r="N51" s="280">
        <f t="shared" si="21"/>
        <v>3237.4684656404111</v>
      </c>
      <c r="O51" s="1089"/>
      <c r="P51" s="1084"/>
      <c r="Q51" s="35">
        <f t="shared" si="22"/>
        <v>44009</v>
      </c>
      <c r="R51" s="35"/>
      <c r="S51" s="35">
        <v>43242</v>
      </c>
      <c r="T51" s="35">
        <f t="shared" si="0"/>
        <v>767</v>
      </c>
      <c r="U51" s="36">
        <f t="shared" si="72"/>
        <v>1439.2323093580123</v>
      </c>
      <c r="V51" s="74">
        <f t="shared" si="23"/>
        <v>43172</v>
      </c>
      <c r="W51" s="36">
        <f t="shared" si="24"/>
        <v>2.0810084551934613</v>
      </c>
      <c r="X51" s="1136"/>
      <c r="Y51" s="49">
        <f t="shared" si="64"/>
        <v>1361</v>
      </c>
      <c r="Z51" s="50"/>
      <c r="AA51" s="50">
        <f>1153+161</f>
        <v>1314</v>
      </c>
      <c r="AB51" s="50">
        <f t="shared" si="2"/>
        <v>47</v>
      </c>
      <c r="AC51" s="51">
        <f t="shared" si="73"/>
        <v>8.8192853376566599E-2</v>
      </c>
      <c r="AD51" s="50">
        <f t="shared" si="25"/>
        <v>2483</v>
      </c>
      <c r="AE51" s="51">
        <f t="shared" si="4"/>
        <v>0.11968738984168824</v>
      </c>
      <c r="AF51" s="1047"/>
      <c r="AG51" s="40">
        <f t="shared" si="65"/>
        <v>1246</v>
      </c>
      <c r="AH51" s="41"/>
      <c r="AI51" s="41">
        <v>1193</v>
      </c>
      <c r="AJ51" s="41">
        <f t="shared" si="54"/>
        <v>53</v>
      </c>
      <c r="AK51" s="42">
        <f t="shared" si="74"/>
        <v>99.451515509745306</v>
      </c>
      <c r="AL51" s="41">
        <f t="shared" si="43"/>
        <v>1432</v>
      </c>
      <c r="AM51" s="42">
        <f t="shared" si="26"/>
        <v>6.9026315849092856E-2</v>
      </c>
      <c r="AN51" s="1058"/>
      <c r="AO51" s="311">
        <v>5.3</v>
      </c>
      <c r="AP51" s="67">
        <v>24</v>
      </c>
      <c r="AQ51" s="68">
        <f t="shared" si="34"/>
        <v>63.224759999999996</v>
      </c>
      <c r="AR51" s="68">
        <f t="shared" si="70"/>
        <v>9.1226311369676818</v>
      </c>
      <c r="AS51" s="69">
        <f t="shared" si="44"/>
        <v>2422.8205200000007</v>
      </c>
      <c r="AT51" s="140">
        <f t="shared" si="8"/>
        <v>9.6528391076946178</v>
      </c>
      <c r="AU51" s="1073"/>
      <c r="AV51" s="70">
        <v>2.9</v>
      </c>
      <c r="AW51" s="71">
        <v>12</v>
      </c>
      <c r="AX51" s="72">
        <f t="shared" si="35"/>
        <v>17.982203999999999</v>
      </c>
      <c r="AY51" s="72">
        <f t="shared" si="71"/>
        <v>2.5946324528824589</v>
      </c>
      <c r="AZ51" s="73">
        <f t="shared" si="45"/>
        <v>812.29956000000016</v>
      </c>
      <c r="BA51" s="192">
        <f t="shared" si="10"/>
        <v>3.2363094563567301</v>
      </c>
      <c r="BB51" s="1075"/>
      <c r="BC51" s="90">
        <f t="shared" si="66"/>
        <v>38272</v>
      </c>
      <c r="BD51" s="59"/>
      <c r="BE51" s="56">
        <v>38272</v>
      </c>
      <c r="BF51" s="56">
        <f t="shared" si="37"/>
        <v>0</v>
      </c>
      <c r="BG51" s="58">
        <f t="shared" si="27"/>
        <v>25740</v>
      </c>
      <c r="BH51" s="58">
        <f t="shared" si="11"/>
        <v>102.55158257948855</v>
      </c>
      <c r="BI51" s="1133"/>
      <c r="BJ51" s="64">
        <f t="shared" si="67"/>
        <v>1650</v>
      </c>
      <c r="BK51" s="64"/>
      <c r="BL51" s="64">
        <v>1450</v>
      </c>
      <c r="BM51" s="64">
        <f t="shared" si="28"/>
        <v>200</v>
      </c>
      <c r="BN51" s="65">
        <f t="shared" si="75"/>
        <v>0.37528873777262384</v>
      </c>
      <c r="BO51" s="64">
        <f t="shared" si="30"/>
        <v>5810</v>
      </c>
      <c r="BP51" s="65">
        <f t="shared" si="31"/>
        <v>0.28005788762795358</v>
      </c>
      <c r="BQ51" s="1071"/>
      <c r="BR51" s="77">
        <f t="shared" si="68"/>
        <v>22857</v>
      </c>
      <c r="BS51" s="98"/>
      <c r="BT51" s="35">
        <v>21008</v>
      </c>
      <c r="BU51" s="74">
        <f t="shared" si="55"/>
        <v>1849</v>
      </c>
      <c r="BV51" s="74">
        <f t="shared" si="56"/>
        <v>137253</v>
      </c>
      <c r="BW51" s="74">
        <f t="shared" si="13"/>
        <v>546.83420216715399</v>
      </c>
      <c r="BX51" s="1098"/>
      <c r="BY51" s="296">
        <f t="shared" si="69"/>
        <v>1840</v>
      </c>
      <c r="BZ51" s="296"/>
      <c r="CA51" s="296">
        <v>1620</v>
      </c>
      <c r="CB51" s="296">
        <f t="shared" si="14"/>
        <v>220</v>
      </c>
      <c r="CC51" s="297">
        <f t="shared" si="76"/>
        <v>0.41281761154988617</v>
      </c>
      <c r="CD51" s="296">
        <f t="shared" si="48"/>
        <v>9880</v>
      </c>
      <c r="CE51" s="297">
        <f t="shared" si="16"/>
        <v>0.47624301717111556</v>
      </c>
      <c r="CF51" s="1061"/>
    </row>
    <row r="52" spans="1:84">
      <c r="A52" s="30">
        <v>44365</v>
      </c>
      <c r="B52" s="32">
        <v>594.84100000000001</v>
      </c>
      <c r="C52" s="842">
        <f t="shared" si="39"/>
        <v>21340.552</v>
      </c>
      <c r="D52" s="844">
        <v>7202.02</v>
      </c>
      <c r="E52" s="843">
        <f t="shared" si="40"/>
        <v>258197.65900000001</v>
      </c>
      <c r="F52" s="240">
        <f t="shared" si="63"/>
        <v>6000</v>
      </c>
      <c r="G52" s="240">
        <f>32100+32200</f>
        <v>64300</v>
      </c>
      <c r="H52" s="280">
        <v>12.42</v>
      </c>
      <c r="I52" s="240">
        <v>51000</v>
      </c>
      <c r="J52" s="240">
        <f t="shared" si="17"/>
        <v>19300</v>
      </c>
      <c r="K52" s="280">
        <f t="shared" si="57"/>
        <v>32445.645138784985</v>
      </c>
      <c r="L52" s="240">
        <f t="shared" si="49"/>
        <v>567825</v>
      </c>
      <c r="M52" s="280">
        <f t="shared" si="20"/>
        <v>26607.793462886995</v>
      </c>
      <c r="N52" s="280">
        <f t="shared" si="21"/>
        <v>3257.9641805910364</v>
      </c>
      <c r="O52" s="1089"/>
      <c r="P52" s="1084"/>
      <c r="Q52" s="35">
        <f t="shared" si="22"/>
        <v>43242</v>
      </c>
      <c r="R52" s="35"/>
      <c r="S52" s="35">
        <v>41692</v>
      </c>
      <c r="T52" s="35">
        <f t="shared" si="0"/>
        <v>1550</v>
      </c>
      <c r="U52" s="36">
        <f t="shared" si="72"/>
        <v>2605.7383401614884</v>
      </c>
      <c r="V52" s="74">
        <f t="shared" si="23"/>
        <v>44722</v>
      </c>
      <c r="W52" s="36">
        <f t="shared" si="24"/>
        <v>2.0956346396288157</v>
      </c>
      <c r="X52" s="1136"/>
      <c r="Y52" s="49">
        <f t="shared" si="64"/>
        <v>1314</v>
      </c>
      <c r="Z52" s="50"/>
      <c r="AA52" s="50">
        <f>1122+127</f>
        <v>1249</v>
      </c>
      <c r="AB52" s="50">
        <f t="shared" si="2"/>
        <v>65</v>
      </c>
      <c r="AC52" s="51">
        <f t="shared" si="73"/>
        <v>0.10927289813580436</v>
      </c>
      <c r="AD52" s="50">
        <f t="shared" si="25"/>
        <v>2548</v>
      </c>
      <c r="AE52" s="51">
        <f t="shared" si="4"/>
        <v>0.11939709900662364</v>
      </c>
      <c r="AF52" s="1047"/>
      <c r="AG52" s="40">
        <f t="shared" si="65"/>
        <v>1193</v>
      </c>
      <c r="AH52" s="41"/>
      <c r="AI52" s="41">
        <v>1174</v>
      </c>
      <c r="AJ52" s="41">
        <f t="shared" si="54"/>
        <v>19</v>
      </c>
      <c r="AK52" s="42">
        <f t="shared" si="74"/>
        <v>31.941308685850505</v>
      </c>
      <c r="AL52" s="41">
        <f t="shared" si="43"/>
        <v>1451</v>
      </c>
      <c r="AM52" s="42">
        <f t="shared" si="26"/>
        <v>6.799261799788496E-2</v>
      </c>
      <c r="AN52" s="1058"/>
      <c r="AO52" s="67">
        <v>6.3</v>
      </c>
      <c r="AP52" s="67">
        <v>24</v>
      </c>
      <c r="AQ52" s="68">
        <f t="shared" si="34"/>
        <v>75.153959999999998</v>
      </c>
      <c r="AR52" s="68">
        <f t="shared" si="70"/>
        <v>10.435122368446628</v>
      </c>
      <c r="AS52" s="69">
        <f t="shared" si="44"/>
        <v>2497.9744800000008</v>
      </c>
      <c r="AT52" s="140">
        <f t="shared" si="8"/>
        <v>9.6746596761359509</v>
      </c>
      <c r="AU52" s="1073"/>
      <c r="AV52" s="70">
        <v>3.4</v>
      </c>
      <c r="AW52" s="71">
        <v>12</v>
      </c>
      <c r="AX52" s="72">
        <f t="shared" si="35"/>
        <v>21.082584000000001</v>
      </c>
      <c r="AY52" s="72">
        <f t="shared" si="71"/>
        <v>2.9273153920705575</v>
      </c>
      <c r="AZ52" s="73">
        <f t="shared" si="45"/>
        <v>833.38214400000015</v>
      </c>
      <c r="BA52" s="192">
        <f t="shared" si="10"/>
        <v>3.2276905500525865</v>
      </c>
      <c r="BB52" s="1075"/>
      <c r="BC52" s="90">
        <f t="shared" si="66"/>
        <v>38272</v>
      </c>
      <c r="BD52" s="59"/>
      <c r="BE52" s="56">
        <v>38272</v>
      </c>
      <c r="BF52" s="56">
        <f t="shared" si="37"/>
        <v>0</v>
      </c>
      <c r="BG52" s="58">
        <f t="shared" si="27"/>
        <v>25740</v>
      </c>
      <c r="BH52" s="58">
        <f t="shared" si="11"/>
        <v>99.691066525122906</v>
      </c>
      <c r="BI52" s="1133"/>
      <c r="BJ52" s="64">
        <f t="shared" si="67"/>
        <v>1450</v>
      </c>
      <c r="BK52" s="64"/>
      <c r="BL52" s="64">
        <v>1100</v>
      </c>
      <c r="BM52" s="64">
        <f t="shared" si="28"/>
        <v>350</v>
      </c>
      <c r="BN52" s="65">
        <f t="shared" si="75"/>
        <v>0.58839252842356193</v>
      </c>
      <c r="BO52" s="64">
        <f t="shared" si="30"/>
        <v>6160</v>
      </c>
      <c r="BP52" s="65">
        <f t="shared" si="31"/>
        <v>0.28865232726876044</v>
      </c>
      <c r="BQ52" s="1071"/>
      <c r="BR52" s="77">
        <f t="shared" si="68"/>
        <v>21008</v>
      </c>
      <c r="BS52" s="35"/>
      <c r="BT52" s="35">
        <v>19160</v>
      </c>
      <c r="BU52" s="74">
        <f t="shared" si="55"/>
        <v>1848</v>
      </c>
      <c r="BV52" s="74">
        <f t="shared" si="56"/>
        <v>139101</v>
      </c>
      <c r="BW52" s="74">
        <f t="shared" si="13"/>
        <v>538.73842442545151</v>
      </c>
      <c r="BX52" s="1098"/>
      <c r="BY52" s="296">
        <f t="shared" si="69"/>
        <v>1620</v>
      </c>
      <c r="BZ52" s="296"/>
      <c r="CA52" s="296">
        <v>1400</v>
      </c>
      <c r="CB52" s="296">
        <f t="shared" si="14"/>
        <v>220</v>
      </c>
      <c r="CC52" s="297">
        <f t="shared" si="76"/>
        <v>0.36984673215195318</v>
      </c>
      <c r="CD52" s="296">
        <f t="shared" si="48"/>
        <v>10100</v>
      </c>
      <c r="CE52" s="297">
        <f t="shared" si="16"/>
        <v>0.47327735477507799</v>
      </c>
      <c r="CF52" s="1061"/>
    </row>
    <row r="53" spans="1:84">
      <c r="A53" s="30">
        <v>44366</v>
      </c>
      <c r="B53" s="375">
        <v>599</v>
      </c>
      <c r="C53" s="842">
        <f t="shared" si="39"/>
        <v>21939.552</v>
      </c>
      <c r="D53" s="844">
        <v>7153.74</v>
      </c>
      <c r="E53" s="843">
        <f t="shared" si="40"/>
        <v>265351.39900000003</v>
      </c>
      <c r="F53" s="240">
        <f t="shared" si="63"/>
        <v>51000</v>
      </c>
      <c r="G53" s="240"/>
      <c r="H53" s="280"/>
      <c r="I53" s="240">
        <v>51000</v>
      </c>
      <c r="J53" s="240">
        <f t="shared" si="17"/>
        <v>0</v>
      </c>
      <c r="K53" s="280">
        <f t="shared" si="57"/>
        <v>0</v>
      </c>
      <c r="L53" s="240">
        <f t="shared" si="49"/>
        <v>567825</v>
      </c>
      <c r="M53" s="280">
        <f t="shared" si="20"/>
        <v>25881.339783054824</v>
      </c>
      <c r="N53" s="280">
        <f t="shared" si="21"/>
        <v>3169.0142993822487</v>
      </c>
      <c r="O53" s="1089"/>
      <c r="P53" s="1084"/>
      <c r="Q53" s="35">
        <f t="shared" si="22"/>
        <v>41692</v>
      </c>
      <c r="R53" s="35"/>
      <c r="S53" s="35">
        <v>41692</v>
      </c>
      <c r="T53" s="35">
        <f t="shared" si="0"/>
        <v>0</v>
      </c>
      <c r="U53" s="36">
        <f t="shared" si="72"/>
        <v>0</v>
      </c>
      <c r="V53" s="74">
        <f t="shared" si="23"/>
        <v>44722</v>
      </c>
      <c r="W53" s="36">
        <f t="shared" si="24"/>
        <v>2.0384190160309563</v>
      </c>
      <c r="X53" s="1136"/>
      <c r="Y53" s="49">
        <f t="shared" si="64"/>
        <v>1249</v>
      </c>
      <c r="Z53" s="50">
        <v>350</v>
      </c>
      <c r="AA53" s="50">
        <f>1414+75</f>
        <v>1489</v>
      </c>
      <c r="AB53" s="50">
        <f t="shared" si="2"/>
        <v>110</v>
      </c>
      <c r="AC53" s="51">
        <f t="shared" si="73"/>
        <v>0.18363939899833054</v>
      </c>
      <c r="AD53" s="50">
        <f t="shared" si="25"/>
        <v>2658</v>
      </c>
      <c r="AE53" s="51">
        <f t="shared" si="4"/>
        <v>0.12115106087854484</v>
      </c>
      <c r="AF53" s="1047"/>
      <c r="AG53" s="40">
        <f t="shared" si="65"/>
        <v>1174</v>
      </c>
      <c r="AH53" s="41"/>
      <c r="AI53" s="41">
        <v>1119</v>
      </c>
      <c r="AJ53" s="41">
        <f t="shared" si="54"/>
        <v>55</v>
      </c>
      <c r="AK53" s="42">
        <f t="shared" si="74"/>
        <v>91.819699499165282</v>
      </c>
      <c r="AL53" s="41">
        <f t="shared" si="43"/>
        <v>1506</v>
      </c>
      <c r="AM53" s="42">
        <f t="shared" si="26"/>
        <v>6.8643151874751132E-2</v>
      </c>
      <c r="AN53" s="1058"/>
      <c r="AO53" s="67">
        <v>5.6</v>
      </c>
      <c r="AP53" s="67">
        <v>24</v>
      </c>
      <c r="AQ53" s="68">
        <f t="shared" si="34"/>
        <v>66.803519999999992</v>
      </c>
      <c r="AR53" s="68">
        <f t="shared" si="70"/>
        <v>9.3382650194164167</v>
      </c>
      <c r="AS53" s="69">
        <f t="shared" si="44"/>
        <v>2564.7780000000007</v>
      </c>
      <c r="AT53" s="140">
        <f t="shared" si="8"/>
        <v>9.6655906457082619</v>
      </c>
      <c r="AU53" s="1073"/>
      <c r="AV53" s="70">
        <v>3.6</v>
      </c>
      <c r="AW53" s="71">
        <v>12</v>
      </c>
      <c r="AX53" s="72">
        <f t="shared" si="35"/>
        <v>22.322736000000003</v>
      </c>
      <c r="AY53" s="72">
        <f t="shared" si="71"/>
        <v>3.1204287547492644</v>
      </c>
      <c r="AZ53" s="73">
        <f t="shared" si="45"/>
        <v>855.70488000000012</v>
      </c>
      <c r="BA53" s="192">
        <f t="shared" si="10"/>
        <v>3.2247988261030422</v>
      </c>
      <c r="BB53" s="1075"/>
      <c r="BC53" s="90">
        <f t="shared" si="66"/>
        <v>38272</v>
      </c>
      <c r="BD53" s="59"/>
      <c r="BE53" s="56">
        <v>38272</v>
      </c>
      <c r="BF53" s="56">
        <f t="shared" si="37"/>
        <v>0</v>
      </c>
      <c r="BG53" s="58">
        <f t="shared" si="27"/>
        <v>25740</v>
      </c>
      <c r="BH53" s="58">
        <f t="shared" si="11"/>
        <v>97.003445608364771</v>
      </c>
      <c r="BI53" s="1133"/>
      <c r="BJ53" s="64">
        <f t="shared" si="67"/>
        <v>1100</v>
      </c>
      <c r="BK53" s="64"/>
      <c r="BL53" s="64">
        <v>900</v>
      </c>
      <c r="BM53" s="64">
        <f t="shared" si="28"/>
        <v>200</v>
      </c>
      <c r="BN53" s="65">
        <f t="shared" si="75"/>
        <v>0.333889816360601</v>
      </c>
      <c r="BO53" s="64">
        <f t="shared" si="30"/>
        <v>6360</v>
      </c>
      <c r="BP53" s="65">
        <f t="shared" si="31"/>
        <v>0.28988741429177772</v>
      </c>
      <c r="BQ53" s="1071"/>
      <c r="BR53" s="77">
        <f t="shared" si="68"/>
        <v>19160</v>
      </c>
      <c r="BS53" s="35"/>
      <c r="BT53" s="35">
        <v>18236</v>
      </c>
      <c r="BU53" s="74">
        <f t="shared" si="55"/>
        <v>924</v>
      </c>
      <c r="BV53" s="74">
        <f t="shared" si="56"/>
        <v>140025</v>
      </c>
      <c r="BW53" s="74">
        <f t="shared" si="13"/>
        <v>527.69648295692605</v>
      </c>
      <c r="BX53" s="1098"/>
      <c r="BY53" s="296">
        <f t="shared" si="69"/>
        <v>1400</v>
      </c>
      <c r="BZ53" s="296"/>
      <c r="CA53" s="296">
        <v>1000</v>
      </c>
      <c r="CB53" s="296">
        <f t="shared" si="14"/>
        <v>400</v>
      </c>
      <c r="CC53" s="297">
        <f t="shared" si="76"/>
        <v>0.667779632721202</v>
      </c>
      <c r="CD53" s="296">
        <f t="shared" si="48"/>
        <v>10500</v>
      </c>
      <c r="CE53" s="297">
        <f t="shared" si="16"/>
        <v>0.4785877122741613</v>
      </c>
      <c r="CF53" s="1061"/>
    </row>
    <row r="54" spans="1:84">
      <c r="A54" s="30">
        <v>44367</v>
      </c>
      <c r="B54" s="32">
        <v>637.65</v>
      </c>
      <c r="C54" s="842">
        <f t="shared" si="39"/>
        <v>22577.202000000001</v>
      </c>
      <c r="D54" s="844">
        <v>6453.12</v>
      </c>
      <c r="E54" s="843">
        <f t="shared" si="40"/>
        <v>271804.51900000003</v>
      </c>
      <c r="F54" s="240">
        <f t="shared" si="63"/>
        <v>51000</v>
      </c>
      <c r="G54" s="240">
        <v>31250</v>
      </c>
      <c r="H54" s="280">
        <v>18.32</v>
      </c>
      <c r="I54" s="240">
        <v>60000</v>
      </c>
      <c r="J54" s="240">
        <f t="shared" si="17"/>
        <v>22250</v>
      </c>
      <c r="K54" s="280">
        <f t="shared" si="57"/>
        <v>34893.750490080769</v>
      </c>
      <c r="L54" s="240">
        <f t="shared" si="49"/>
        <v>590075</v>
      </c>
      <c r="M54" s="280">
        <f t="shared" si="20"/>
        <v>26135.878130514135</v>
      </c>
      <c r="N54" s="280">
        <f t="shared" si="21"/>
        <v>3200.1809881858867</v>
      </c>
      <c r="O54" s="1089"/>
      <c r="P54" s="1084"/>
      <c r="Q54" s="35">
        <f t="shared" si="22"/>
        <v>41692</v>
      </c>
      <c r="R54" s="35"/>
      <c r="S54" s="35">
        <v>41692</v>
      </c>
      <c r="T54" s="35">
        <f t="shared" si="0"/>
        <v>0</v>
      </c>
      <c r="U54" s="36">
        <f t="shared" si="72"/>
        <v>0</v>
      </c>
      <c r="V54" s="74">
        <f t="shared" si="23"/>
        <v>44722</v>
      </c>
      <c r="W54" s="36">
        <f t="shared" si="24"/>
        <v>1.9808477596116647</v>
      </c>
      <c r="X54" s="1136"/>
      <c r="Y54" s="49">
        <f t="shared" si="64"/>
        <v>1489</v>
      </c>
      <c r="Z54" s="50"/>
      <c r="AA54" s="50">
        <v>881</v>
      </c>
      <c r="AB54" s="50">
        <f t="shared" si="2"/>
        <v>608</v>
      </c>
      <c r="AC54" s="51">
        <f t="shared" si="73"/>
        <v>0.9535011369873756</v>
      </c>
      <c r="AD54" s="50">
        <f t="shared" si="25"/>
        <v>3266</v>
      </c>
      <c r="AE54" s="51">
        <f t="shared" si="4"/>
        <v>0.1446592009054089</v>
      </c>
      <c r="AF54" s="1047"/>
      <c r="AG54" s="40">
        <f t="shared" si="65"/>
        <v>1119</v>
      </c>
      <c r="AH54" s="41"/>
      <c r="AI54" s="41">
        <v>1100</v>
      </c>
      <c r="AJ54" s="41">
        <f t="shared" si="54"/>
        <v>19</v>
      </c>
      <c r="AK54" s="42">
        <f t="shared" si="74"/>
        <v>29.796910530855484</v>
      </c>
      <c r="AL54" s="41">
        <f t="shared" si="43"/>
        <v>1525</v>
      </c>
      <c r="AM54" s="42">
        <f t="shared" si="26"/>
        <v>6.7546013894901585E-2</v>
      </c>
      <c r="AN54" s="1058"/>
      <c r="AO54" s="67">
        <v>5.7</v>
      </c>
      <c r="AP54" s="67">
        <v>24</v>
      </c>
      <c r="AQ54" s="68">
        <f t="shared" si="34"/>
        <v>67.996440000000007</v>
      </c>
      <c r="AR54" s="68">
        <f t="shared" si="70"/>
        <v>10.536986759892889</v>
      </c>
      <c r="AS54" s="69">
        <f t="shared" si="44"/>
        <v>2632.7744400000006</v>
      </c>
      <c r="AT54" s="140">
        <f t="shared" si="8"/>
        <v>9.6862791306276996</v>
      </c>
      <c r="AU54" s="1073"/>
      <c r="AV54" s="70">
        <v>3.1</v>
      </c>
      <c r="AW54" s="71">
        <v>12</v>
      </c>
      <c r="AX54" s="72">
        <f t="shared" si="35"/>
        <v>19.222356000000001</v>
      </c>
      <c r="AY54" s="72">
        <f t="shared" si="71"/>
        <v>2.9787693394822972</v>
      </c>
      <c r="AZ54" s="73">
        <f t="shared" si="45"/>
        <v>874.92723600000011</v>
      </c>
      <c r="BA54" s="192">
        <f t="shared" si="10"/>
        <v>3.2189576509579667</v>
      </c>
      <c r="BB54" s="1075"/>
      <c r="BC54" s="90">
        <f t="shared" si="66"/>
        <v>38272</v>
      </c>
      <c r="BD54" s="59"/>
      <c r="BE54" s="56">
        <v>38272</v>
      </c>
      <c r="BF54" s="56">
        <f t="shared" si="37"/>
        <v>0</v>
      </c>
      <c r="BG54" s="58">
        <f t="shared" si="27"/>
        <v>25740</v>
      </c>
      <c r="BH54" s="58">
        <f t="shared" si="11"/>
        <v>94.700412247376931</v>
      </c>
      <c r="BI54" s="1133"/>
      <c r="BJ54" s="64">
        <f t="shared" si="67"/>
        <v>900</v>
      </c>
      <c r="BK54" s="64"/>
      <c r="BL54" s="64">
        <v>800</v>
      </c>
      <c r="BM54" s="64">
        <f t="shared" si="28"/>
        <v>100</v>
      </c>
      <c r="BN54" s="65">
        <f t="shared" si="75"/>
        <v>0.1568258448992394</v>
      </c>
      <c r="BO54" s="64">
        <f t="shared" si="30"/>
        <v>6460</v>
      </c>
      <c r="BP54" s="65">
        <f t="shared" si="31"/>
        <v>0.28612934410561591</v>
      </c>
      <c r="BQ54" s="1071"/>
      <c r="BR54" s="77">
        <f t="shared" si="68"/>
        <v>18236</v>
      </c>
      <c r="BS54" s="35"/>
      <c r="BT54" s="35">
        <v>14539</v>
      </c>
      <c r="BU54" s="74">
        <f t="shared" si="55"/>
        <v>3697</v>
      </c>
      <c r="BV54" s="74">
        <f t="shared" si="56"/>
        <v>143722</v>
      </c>
      <c r="BW54" s="74">
        <f t="shared" si="13"/>
        <v>528.7697221840524</v>
      </c>
      <c r="BX54" s="1098"/>
      <c r="BY54" s="296">
        <f t="shared" si="69"/>
        <v>1000</v>
      </c>
      <c r="BZ54" s="296"/>
      <c r="CA54" s="296">
        <v>630</v>
      </c>
      <c r="CB54" s="296">
        <f t="shared" si="14"/>
        <v>370</v>
      </c>
      <c r="CC54" s="297">
        <f t="shared" si="76"/>
        <v>0.58025562612718573</v>
      </c>
      <c r="CD54" s="296">
        <f t="shared" si="48"/>
        <v>10870</v>
      </c>
      <c r="CE54" s="297">
        <f t="shared" si="16"/>
        <v>0.48145912854923295</v>
      </c>
      <c r="CF54" s="1061"/>
    </row>
    <row r="55" spans="1:84">
      <c r="A55" s="30">
        <v>44368</v>
      </c>
      <c r="B55" s="32">
        <v>441.916</v>
      </c>
      <c r="C55" s="842">
        <f t="shared" si="39"/>
        <v>23019.118000000002</v>
      </c>
      <c r="D55" s="844">
        <v>5454.18</v>
      </c>
      <c r="E55" s="843">
        <f t="shared" si="40"/>
        <v>277258.69900000002</v>
      </c>
      <c r="F55" s="240">
        <f t="shared" si="63"/>
        <v>60000</v>
      </c>
      <c r="G55" s="240">
        <v>31250</v>
      </c>
      <c r="H55" s="280">
        <v>18.34</v>
      </c>
      <c r="I55" s="240">
        <v>42000</v>
      </c>
      <c r="J55" s="240">
        <f t="shared" si="17"/>
        <v>49250</v>
      </c>
      <c r="K55" s="280">
        <f t="shared" si="57"/>
        <v>111446.51924800189</v>
      </c>
      <c r="L55" s="240">
        <f t="shared" si="49"/>
        <v>639325</v>
      </c>
      <c r="M55" s="280">
        <f t="shared" si="20"/>
        <v>27773.653186885786</v>
      </c>
      <c r="N55" s="280">
        <f t="shared" si="21"/>
        <v>3400.7166875089733</v>
      </c>
      <c r="O55" s="1089"/>
      <c r="P55" s="1084"/>
      <c r="Q55" s="35">
        <f t="shared" si="22"/>
        <v>41692</v>
      </c>
      <c r="R55" s="35"/>
      <c r="S55" s="35">
        <v>41692</v>
      </c>
      <c r="T55" s="35">
        <f t="shared" si="0"/>
        <v>0</v>
      </c>
      <c r="U55" s="36">
        <f t="shared" si="72"/>
        <v>0</v>
      </c>
      <c r="V55" s="74">
        <f t="shared" si="23"/>
        <v>44722</v>
      </c>
      <c r="W55" s="36">
        <f t="shared" si="24"/>
        <v>1.9428198769388121</v>
      </c>
      <c r="X55" s="1136"/>
      <c r="Y55" s="49">
        <f t="shared" si="64"/>
        <v>881</v>
      </c>
      <c r="Z55" s="50"/>
      <c r="AA55" s="50">
        <v>846</v>
      </c>
      <c r="AB55" s="50">
        <f t="shared" si="2"/>
        <v>35</v>
      </c>
      <c r="AC55" s="51">
        <f t="shared" si="73"/>
        <v>7.9200572054417578E-2</v>
      </c>
      <c r="AD55" s="50">
        <f t="shared" si="25"/>
        <v>3301</v>
      </c>
      <c r="AE55" s="51">
        <f t="shared" si="4"/>
        <v>0.14340254044485978</v>
      </c>
      <c r="AF55" s="1047"/>
      <c r="AG55" s="40">
        <f t="shared" si="65"/>
        <v>1100</v>
      </c>
      <c r="AH55" s="41"/>
      <c r="AI55" s="41">
        <v>1081</v>
      </c>
      <c r="AJ55" s="41">
        <f t="shared" si="54"/>
        <v>19</v>
      </c>
      <c r="AK55" s="42">
        <f t="shared" si="74"/>
        <v>42.994596258112402</v>
      </c>
      <c r="AL55" s="41">
        <f t="shared" si="43"/>
        <v>1544</v>
      </c>
      <c r="AM55" s="42">
        <f t="shared" si="26"/>
        <v>6.7074681141127995E-2</v>
      </c>
      <c r="AN55" s="1058"/>
      <c r="AO55" s="67">
        <v>5.9</v>
      </c>
      <c r="AP55" s="67">
        <v>24</v>
      </c>
      <c r="AQ55" s="68">
        <f t="shared" si="34"/>
        <v>70.382280000000009</v>
      </c>
      <c r="AR55" s="68">
        <f t="shared" si="70"/>
        <v>12.904282586933327</v>
      </c>
      <c r="AS55" s="69">
        <f t="shared" si="44"/>
        <v>2703.1567200000004</v>
      </c>
      <c r="AT55" s="140">
        <f t="shared" si="8"/>
        <v>9.7495830780047044</v>
      </c>
      <c r="AU55" s="1073"/>
      <c r="AV55" s="70">
        <v>3</v>
      </c>
      <c r="AW55" s="71">
        <v>12</v>
      </c>
      <c r="AX55" s="72">
        <f t="shared" si="35"/>
        <v>18.60228</v>
      </c>
      <c r="AY55" s="72">
        <f t="shared" si="71"/>
        <v>3.4106465133163919</v>
      </c>
      <c r="AZ55" s="73">
        <f t="shared" si="45"/>
        <v>893.52951600000006</v>
      </c>
      <c r="BA55" s="192">
        <f t="shared" si="10"/>
        <v>3.222728517527957</v>
      </c>
      <c r="BB55" s="1075"/>
      <c r="BC55" s="90">
        <f t="shared" si="66"/>
        <v>38272</v>
      </c>
      <c r="BD55" s="59"/>
      <c r="BE55" s="56">
        <v>38272</v>
      </c>
      <c r="BF55" s="56">
        <f t="shared" si="37"/>
        <v>0</v>
      </c>
      <c r="BG55" s="58">
        <f t="shared" si="27"/>
        <v>25740</v>
      </c>
      <c r="BH55" s="58">
        <f t="shared" si="11"/>
        <v>92.837483883598537</v>
      </c>
      <c r="BI55" s="1133"/>
      <c r="BJ55" s="64">
        <f t="shared" si="67"/>
        <v>800</v>
      </c>
      <c r="BK55" s="64">
        <v>1100</v>
      </c>
      <c r="BL55" s="64">
        <v>1700</v>
      </c>
      <c r="BM55" s="64">
        <f t="shared" si="28"/>
        <v>200</v>
      </c>
      <c r="BN55" s="65">
        <f t="shared" si="75"/>
        <v>0.45257469745381473</v>
      </c>
      <c r="BO55" s="64">
        <f t="shared" si="30"/>
        <v>6660</v>
      </c>
      <c r="BP55" s="65">
        <f t="shared" si="31"/>
        <v>0.28932472564761169</v>
      </c>
      <c r="BQ55" s="1071"/>
      <c r="BR55" s="77">
        <f t="shared" si="68"/>
        <v>14539</v>
      </c>
      <c r="BS55" s="35"/>
      <c r="BT55" s="35">
        <v>13615</v>
      </c>
      <c r="BU55" s="74">
        <f t="shared" si="55"/>
        <v>924</v>
      </c>
      <c r="BV55" s="74">
        <f t="shared" si="56"/>
        <v>144646</v>
      </c>
      <c r="BW55" s="74">
        <f t="shared" si="13"/>
        <v>521.70049315567189</v>
      </c>
      <c r="BX55" s="1098"/>
      <c r="BY55" s="296">
        <f t="shared" si="69"/>
        <v>630</v>
      </c>
      <c r="BZ55" s="296"/>
      <c r="CA55" s="296">
        <v>315</v>
      </c>
      <c r="CB55" s="296">
        <f t="shared" si="14"/>
        <v>315</v>
      </c>
      <c r="CC55" s="297">
        <f t="shared" si="76"/>
        <v>0.71280514848975829</v>
      </c>
      <c r="CD55" s="296">
        <f t="shared" si="48"/>
        <v>11185</v>
      </c>
      <c r="CE55" s="297">
        <f t="shared" si="16"/>
        <v>0.48590045891419464</v>
      </c>
      <c r="CF55" s="1061"/>
    </row>
    <row r="56" spans="1:84">
      <c r="A56" s="30">
        <v>44369</v>
      </c>
      <c r="B56" s="32">
        <v>363.863</v>
      </c>
      <c r="C56" s="842">
        <f t="shared" si="39"/>
        <v>23382.981000000003</v>
      </c>
      <c r="D56" s="842">
        <v>662.68</v>
      </c>
      <c r="E56" s="843">
        <f t="shared" si="40"/>
        <v>277921.37900000002</v>
      </c>
      <c r="F56" s="240">
        <f t="shared" si="63"/>
        <v>42000</v>
      </c>
      <c r="G56" s="240">
        <v>32500</v>
      </c>
      <c r="H56" s="280">
        <v>14.56</v>
      </c>
      <c r="I56" s="240">
        <v>60000</v>
      </c>
      <c r="J56" s="240">
        <f t="shared" si="17"/>
        <v>14500</v>
      </c>
      <c r="K56" s="280">
        <f t="shared" si="57"/>
        <v>39850.163385669883</v>
      </c>
      <c r="L56" s="240">
        <f t="shared" si="49"/>
        <v>653825</v>
      </c>
      <c r="M56" s="280">
        <f t="shared" si="20"/>
        <v>27961.575985542644</v>
      </c>
      <c r="N56" s="280">
        <f t="shared" si="21"/>
        <v>3423.7267032622317</v>
      </c>
      <c r="O56" s="1089"/>
      <c r="P56" s="1084"/>
      <c r="Q56" s="35">
        <f t="shared" si="22"/>
        <v>41692</v>
      </c>
      <c r="R56" s="35"/>
      <c r="S56" s="35">
        <v>41692</v>
      </c>
      <c r="T56" s="35">
        <f t="shared" si="0"/>
        <v>0</v>
      </c>
      <c r="U56" s="36">
        <f t="shared" si="72"/>
        <v>0</v>
      </c>
      <c r="V56" s="74">
        <f t="shared" si="23"/>
        <v>44722</v>
      </c>
      <c r="W56" s="36">
        <f t="shared" si="24"/>
        <v>1.9125876208854633</v>
      </c>
      <c r="X56" s="1136"/>
      <c r="Y56" s="49">
        <f t="shared" si="64"/>
        <v>846</v>
      </c>
      <c r="Z56" s="50"/>
      <c r="AA56" s="50">
        <v>817</v>
      </c>
      <c r="AB56" s="50">
        <f t="shared" si="2"/>
        <v>29</v>
      </c>
      <c r="AC56" s="51">
        <f t="shared" si="73"/>
        <v>7.9700326771339758E-2</v>
      </c>
      <c r="AD56" s="50">
        <f t="shared" si="25"/>
        <v>3330</v>
      </c>
      <c r="AE56" s="51">
        <f t="shared" si="4"/>
        <v>0.14241126911919397</v>
      </c>
      <c r="AF56" s="1047"/>
      <c r="AG56" s="40">
        <f t="shared" si="65"/>
        <v>1081</v>
      </c>
      <c r="AH56" s="41"/>
      <c r="AI56" s="41">
        <v>1080</v>
      </c>
      <c r="AJ56" s="41">
        <f t="shared" si="54"/>
        <v>1</v>
      </c>
      <c r="AK56" s="42">
        <f t="shared" si="74"/>
        <v>2.7482871300461986</v>
      </c>
      <c r="AL56" s="41">
        <f t="shared" si="43"/>
        <v>1545</v>
      </c>
      <c r="AM56" s="42">
        <f t="shared" si="26"/>
        <v>6.6073696933680093E-2</v>
      </c>
      <c r="AN56" s="1058"/>
      <c r="AO56" s="67">
        <v>0.9</v>
      </c>
      <c r="AP56" s="67">
        <v>24</v>
      </c>
      <c r="AQ56" s="68">
        <f t="shared" si="34"/>
        <v>10.736280000000001</v>
      </c>
      <c r="AR56" s="68">
        <f t="shared" si="70"/>
        <v>16.201303796704295</v>
      </c>
      <c r="AS56" s="69">
        <f t="shared" si="44"/>
        <v>2713.8930000000005</v>
      </c>
      <c r="AT56" s="140">
        <f t="shared" si="8"/>
        <v>9.7649666598696623</v>
      </c>
      <c r="AU56" s="1073"/>
      <c r="AV56" s="70">
        <v>0.4</v>
      </c>
      <c r="AW56" s="71">
        <v>12</v>
      </c>
      <c r="AX56" s="72">
        <f t="shared" si="35"/>
        <v>2.4803040000000003</v>
      </c>
      <c r="AY56" s="72">
        <f t="shared" si="71"/>
        <v>3.7428381722701762</v>
      </c>
      <c r="AZ56" s="73">
        <f t="shared" si="45"/>
        <v>896.0098200000001</v>
      </c>
      <c r="BA56" s="192">
        <f t="shared" si="10"/>
        <v>3.2239686749683263</v>
      </c>
      <c r="BB56" s="1075"/>
      <c r="BC56" s="90">
        <f t="shared" si="66"/>
        <v>38272</v>
      </c>
      <c r="BD56" s="59"/>
      <c r="BE56" s="56">
        <v>35049</v>
      </c>
      <c r="BF56" s="56">
        <f t="shared" si="37"/>
        <v>3223</v>
      </c>
      <c r="BG56" s="58">
        <f t="shared" si="27"/>
        <v>28963</v>
      </c>
      <c r="BH56" s="58">
        <f t="shared" si="11"/>
        <v>104.21292562743076</v>
      </c>
      <c r="BI56" s="1133"/>
      <c r="BJ56" s="64">
        <f t="shared" si="67"/>
        <v>1700</v>
      </c>
      <c r="BK56" s="64"/>
      <c r="BL56" s="64">
        <v>1700</v>
      </c>
      <c r="BM56" s="64">
        <f t="shared" si="28"/>
        <v>0</v>
      </c>
      <c r="BN56" s="65">
        <f t="shared" si="75"/>
        <v>0</v>
      </c>
      <c r="BO56" s="64">
        <f t="shared" si="30"/>
        <v>6660</v>
      </c>
      <c r="BP56" s="65">
        <f t="shared" si="31"/>
        <v>0.28482253823838793</v>
      </c>
      <c r="BQ56" s="1071"/>
      <c r="BR56" s="77">
        <f t="shared" si="68"/>
        <v>13615</v>
      </c>
      <c r="BS56" s="35"/>
      <c r="BT56" s="35">
        <v>13615</v>
      </c>
      <c r="BU56" s="74">
        <f t="shared" si="55"/>
        <v>0</v>
      </c>
      <c r="BV56" s="74">
        <f t="shared" si="56"/>
        <v>144646</v>
      </c>
      <c r="BW56" s="74">
        <f t="shared" si="13"/>
        <v>520.45654249578251</v>
      </c>
      <c r="BX56" s="1098"/>
      <c r="BY56" s="296">
        <f t="shared" si="69"/>
        <v>315</v>
      </c>
      <c r="BZ56" s="296"/>
      <c r="CA56" s="296">
        <v>300</v>
      </c>
      <c r="CB56" s="296">
        <f t="shared" si="14"/>
        <v>15</v>
      </c>
      <c r="CC56" s="297">
        <f t="shared" si="76"/>
        <v>4.1224306950692978E-2</v>
      </c>
      <c r="CD56" s="296">
        <f t="shared" si="48"/>
        <v>11200</v>
      </c>
      <c r="CE56" s="297">
        <f t="shared" si="16"/>
        <v>0.47898084508557737</v>
      </c>
      <c r="CF56" s="1061"/>
    </row>
    <row r="57" spans="1:84">
      <c r="A57" s="30">
        <v>44370</v>
      </c>
      <c r="B57" s="32">
        <v>158.02600000000001</v>
      </c>
      <c r="C57" s="842">
        <f t="shared" si="39"/>
        <v>23541.007000000005</v>
      </c>
      <c r="D57" s="842">
        <v>5984.88</v>
      </c>
      <c r="E57" s="843">
        <f t="shared" si="40"/>
        <v>283906.25900000002</v>
      </c>
      <c r="F57" s="240">
        <f t="shared" si="63"/>
        <v>60000</v>
      </c>
      <c r="G57" s="240">
        <v>31250</v>
      </c>
      <c r="H57" s="280">
        <v>12.75</v>
      </c>
      <c r="I57" s="240">
        <v>48000</v>
      </c>
      <c r="J57" s="240">
        <f t="shared" si="17"/>
        <v>43250</v>
      </c>
      <c r="K57" s="280">
        <f t="shared" si="57"/>
        <v>273689.13976181136</v>
      </c>
      <c r="L57" s="240">
        <f t="shared" si="49"/>
        <v>697075</v>
      </c>
      <c r="M57" s="280">
        <f t="shared" si="20"/>
        <v>29611.095226300211</v>
      </c>
      <c r="N57" s="280">
        <f t="shared" si="21"/>
        <v>3625.7004072854429</v>
      </c>
      <c r="O57" s="1089"/>
      <c r="P57" s="1084"/>
      <c r="Q57" s="35">
        <f t="shared" si="22"/>
        <v>41692</v>
      </c>
      <c r="R57" s="35"/>
      <c r="S57" s="35">
        <v>41692</v>
      </c>
      <c r="T57" s="35">
        <f t="shared" si="0"/>
        <v>0</v>
      </c>
      <c r="U57" s="36">
        <f t="shared" si="72"/>
        <v>0</v>
      </c>
      <c r="V57" s="74">
        <f t="shared" si="23"/>
        <v>44722</v>
      </c>
      <c r="W57" s="36">
        <f t="shared" si="24"/>
        <v>1.8997488085365248</v>
      </c>
      <c r="X57" s="1136"/>
      <c r="Y57" s="49">
        <f t="shared" si="64"/>
        <v>817</v>
      </c>
      <c r="Z57" s="50"/>
      <c r="AA57" s="50">
        <v>817</v>
      </c>
      <c r="AB57" s="50">
        <f t="shared" si="2"/>
        <v>0</v>
      </c>
      <c r="AC57" s="51">
        <f t="shared" si="73"/>
        <v>0</v>
      </c>
      <c r="AD57" s="50">
        <f t="shared" si="25"/>
        <v>3330</v>
      </c>
      <c r="AE57" s="51">
        <f t="shared" si="4"/>
        <v>0.14145529118614167</v>
      </c>
      <c r="AF57" s="1047"/>
      <c r="AG57" s="40">
        <f t="shared" si="65"/>
        <v>1080</v>
      </c>
      <c r="AH57" s="41"/>
      <c r="AI57" s="41">
        <v>1062</v>
      </c>
      <c r="AJ57" s="41">
        <f t="shared" si="54"/>
        <v>18</v>
      </c>
      <c r="AK57" s="42">
        <f t="shared" si="74"/>
        <v>113.9053067216787</v>
      </c>
      <c r="AL57" s="41">
        <f t="shared" si="43"/>
        <v>1563</v>
      </c>
      <c r="AM57" s="42">
        <f t="shared" si="26"/>
        <v>6.6394780817999821E-2</v>
      </c>
      <c r="AN57" s="1058"/>
      <c r="AO57" s="67">
        <v>5.9</v>
      </c>
      <c r="AP57" s="67">
        <v>24</v>
      </c>
      <c r="AQ57" s="68">
        <f t="shared" si="34"/>
        <v>70.382280000000009</v>
      </c>
      <c r="AR57" s="68">
        <f t="shared" si="70"/>
        <v>11.760015238400772</v>
      </c>
      <c r="AS57" s="69">
        <f t="shared" si="44"/>
        <v>2784.2752800000003</v>
      </c>
      <c r="AT57" s="140">
        <f t="shared" si="8"/>
        <v>9.8070232400195163</v>
      </c>
      <c r="AU57" s="1073"/>
      <c r="AV57" s="70">
        <v>2.9</v>
      </c>
      <c r="AW57" s="71">
        <v>12</v>
      </c>
      <c r="AX57" s="72">
        <f t="shared" si="35"/>
        <v>17.982203999999999</v>
      </c>
      <c r="AY57" s="72">
        <f t="shared" si="71"/>
        <v>3.0046056061274409</v>
      </c>
      <c r="AZ57" s="73">
        <f t="shared" si="45"/>
        <v>913.99202400000013</v>
      </c>
      <c r="BA57" s="192">
        <f t="shared" si="10"/>
        <v>3.2193443963487964</v>
      </c>
      <c r="BB57" s="1075"/>
      <c r="BC57" s="90">
        <f t="shared" si="66"/>
        <v>35049</v>
      </c>
      <c r="BD57" s="59"/>
      <c r="BE57" s="56">
        <v>35049</v>
      </c>
      <c r="BF57" s="56">
        <f t="shared" si="37"/>
        <v>0</v>
      </c>
      <c r="BG57" s="58">
        <f t="shared" si="27"/>
        <v>28963</v>
      </c>
      <c r="BH57" s="58">
        <f t="shared" si="11"/>
        <v>102.01606721181867</v>
      </c>
      <c r="BI57" s="1133"/>
      <c r="BJ57" s="64">
        <f t="shared" si="67"/>
        <v>1700</v>
      </c>
      <c r="BK57" s="64"/>
      <c r="BL57" s="64">
        <v>1580</v>
      </c>
      <c r="BM57" s="64">
        <f t="shared" si="28"/>
        <v>120</v>
      </c>
      <c r="BN57" s="65">
        <f t="shared" si="75"/>
        <v>0.759368711477858</v>
      </c>
      <c r="BO57" s="64">
        <f t="shared" si="30"/>
        <v>6780</v>
      </c>
      <c r="BP57" s="65">
        <f t="shared" si="31"/>
        <v>0.28800807034295511</v>
      </c>
      <c r="BQ57" s="1071"/>
      <c r="BR57" s="77">
        <f t="shared" si="68"/>
        <v>13615</v>
      </c>
      <c r="BS57" s="35"/>
      <c r="BT57" s="35">
        <v>11767</v>
      </c>
      <c r="BU57" s="74">
        <f t="shared" si="55"/>
        <v>1848</v>
      </c>
      <c r="BV57" s="74">
        <f t="shared" si="56"/>
        <v>146494</v>
      </c>
      <c r="BW57" s="74">
        <f t="shared" si="13"/>
        <v>515.99425992225122</v>
      </c>
      <c r="BX57" s="1098"/>
      <c r="BY57" s="296">
        <f t="shared" si="69"/>
        <v>300</v>
      </c>
      <c r="BZ57" s="296"/>
      <c r="CA57" s="296">
        <v>280</v>
      </c>
      <c r="CB57" s="296">
        <f t="shared" si="14"/>
        <v>20</v>
      </c>
      <c r="CC57" s="297">
        <f t="shared" si="76"/>
        <v>0.12656145191297632</v>
      </c>
      <c r="CD57" s="296">
        <f t="shared" si="48"/>
        <v>11220</v>
      </c>
      <c r="CE57" s="297">
        <f t="shared" si="16"/>
        <v>0.47661512525781063</v>
      </c>
      <c r="CF57" s="1061"/>
    </row>
    <row r="58" spans="1:84">
      <c r="A58" s="30">
        <v>44371</v>
      </c>
      <c r="B58" s="32">
        <v>606.60500000000002</v>
      </c>
      <c r="C58" s="842">
        <f t="shared" si="39"/>
        <v>24147.612000000005</v>
      </c>
      <c r="D58" s="842">
        <v>6382.34</v>
      </c>
      <c r="E58" s="843">
        <f t="shared" si="40"/>
        <v>290288.59900000005</v>
      </c>
      <c r="F58" s="240">
        <f t="shared" si="63"/>
        <v>48000</v>
      </c>
      <c r="G58" s="240"/>
      <c r="H58" s="280"/>
      <c r="I58" s="240">
        <v>30000</v>
      </c>
      <c r="J58" s="240">
        <f t="shared" si="17"/>
        <v>18000</v>
      </c>
      <c r="K58" s="280">
        <f t="shared" si="57"/>
        <v>29673.345917030027</v>
      </c>
      <c r="L58" s="240">
        <f t="shared" si="49"/>
        <v>715075</v>
      </c>
      <c r="M58" s="280">
        <f t="shared" si="20"/>
        <v>29612.659007441394</v>
      </c>
      <c r="N58" s="280">
        <f t="shared" si="21"/>
        <v>3625.8918828751557</v>
      </c>
      <c r="O58" s="1089"/>
      <c r="P58" s="1084"/>
      <c r="Q58" s="35">
        <f t="shared" si="22"/>
        <v>41692</v>
      </c>
      <c r="R58" s="35"/>
      <c r="S58" s="35">
        <v>41692</v>
      </c>
      <c r="T58" s="35">
        <f t="shared" si="0"/>
        <v>0</v>
      </c>
      <c r="U58" s="36">
        <f t="shared" si="72"/>
        <v>0</v>
      </c>
      <c r="V58" s="74">
        <f t="shared" si="23"/>
        <v>44722</v>
      </c>
      <c r="W58" s="36">
        <f t="shared" si="24"/>
        <v>1.8520257820938979</v>
      </c>
      <c r="X58" s="1136"/>
      <c r="Y58" s="49">
        <f t="shared" si="64"/>
        <v>817</v>
      </c>
      <c r="Z58" s="50"/>
      <c r="AA58" s="50">
        <v>793</v>
      </c>
      <c r="AB58" s="50">
        <f t="shared" si="2"/>
        <v>24</v>
      </c>
      <c r="AC58" s="51">
        <f t="shared" si="73"/>
        <v>3.9564461222706702E-2</v>
      </c>
      <c r="AD58" s="50">
        <f t="shared" si="25"/>
        <v>3354</v>
      </c>
      <c r="AE58" s="51">
        <f t="shared" si="4"/>
        <v>0.13889572186268354</v>
      </c>
      <c r="AF58" s="1047"/>
      <c r="AG58" s="40">
        <f t="shared" si="65"/>
        <v>1062</v>
      </c>
      <c r="AH58" s="41"/>
      <c r="AI58" s="41">
        <v>1042</v>
      </c>
      <c r="AJ58" s="41">
        <f t="shared" si="54"/>
        <v>20</v>
      </c>
      <c r="AK58" s="42">
        <f t="shared" si="74"/>
        <v>32.970384352255586</v>
      </c>
      <c r="AL58" s="41">
        <f t="shared" si="43"/>
        <v>1583</v>
      </c>
      <c r="AM58" s="42">
        <f t="shared" si="26"/>
        <v>6.5555136466496133E-2</v>
      </c>
      <c r="AN58" s="1058"/>
      <c r="AO58" s="67">
        <v>6.1</v>
      </c>
      <c r="AP58" s="67">
        <v>24</v>
      </c>
      <c r="AQ58" s="68">
        <f t="shared" si="34"/>
        <v>72.768119999999982</v>
      </c>
      <c r="AR58" s="68">
        <f t="shared" si="70"/>
        <v>11.40147970806945</v>
      </c>
      <c r="AS58" s="69">
        <f t="shared" si="44"/>
        <v>2857.0434000000005</v>
      </c>
      <c r="AT58" s="140">
        <f t="shared" si="8"/>
        <v>9.8420792612664751</v>
      </c>
      <c r="AU58" s="1073"/>
      <c r="AV58" s="70">
        <v>3</v>
      </c>
      <c r="AW58" s="71">
        <v>12</v>
      </c>
      <c r="AX58" s="72">
        <f t="shared" si="35"/>
        <v>18.60228</v>
      </c>
      <c r="AY58" s="72">
        <f t="shared" si="71"/>
        <v>2.9146488591958435</v>
      </c>
      <c r="AZ58" s="73">
        <f t="shared" si="45"/>
        <v>932.59430400000008</v>
      </c>
      <c r="BA58" s="192">
        <f t="shared" si="10"/>
        <v>3.2126453026837614</v>
      </c>
      <c r="BB58" s="1075"/>
      <c r="BC58" s="90">
        <f t="shared" si="66"/>
        <v>35049</v>
      </c>
      <c r="BD58" s="59"/>
      <c r="BE58" s="56">
        <v>35049</v>
      </c>
      <c r="BF58" s="56">
        <f t="shared" si="37"/>
        <v>0</v>
      </c>
      <c r="BG58" s="58">
        <f t="shared" si="27"/>
        <v>28963</v>
      </c>
      <c r="BH58" s="58">
        <f t="shared" si="11"/>
        <v>99.773122677821718</v>
      </c>
      <c r="BI58" s="1133"/>
      <c r="BJ58" s="64">
        <f t="shared" si="67"/>
        <v>1580</v>
      </c>
      <c r="BK58" s="64"/>
      <c r="BL58" s="64">
        <v>1500</v>
      </c>
      <c r="BM58" s="64">
        <f t="shared" si="28"/>
        <v>80</v>
      </c>
      <c r="BN58" s="65">
        <f t="shared" si="75"/>
        <v>0.13188153740902234</v>
      </c>
      <c r="BO58" s="64">
        <f t="shared" si="30"/>
        <v>6860</v>
      </c>
      <c r="BP58" s="65">
        <f t="shared" si="31"/>
        <v>0.28408606200894726</v>
      </c>
      <c r="BQ58" s="1071"/>
      <c r="BR58" s="77">
        <f t="shared" si="68"/>
        <v>11767</v>
      </c>
      <c r="BS58" s="35"/>
      <c r="BT58" s="35">
        <v>8540</v>
      </c>
      <c r="BU58" s="74">
        <f t="shared" si="55"/>
        <v>3227</v>
      </c>
      <c r="BV58" s="74">
        <f t="shared" si="56"/>
        <v>149721</v>
      </c>
      <c r="BW58" s="74">
        <f t="shared" si="13"/>
        <v>515.76603599234011</v>
      </c>
      <c r="BX58" s="1098"/>
      <c r="BY58" s="296">
        <f t="shared" si="69"/>
        <v>280</v>
      </c>
      <c r="BZ58" s="296"/>
      <c r="CA58" s="296">
        <v>0</v>
      </c>
      <c r="CB58" s="296">
        <f t="shared" si="14"/>
        <v>280</v>
      </c>
      <c r="CC58" s="297">
        <f t="shared" si="76"/>
        <v>0.46158538093157819</v>
      </c>
      <c r="CD58" s="296">
        <f t="shared" si="48"/>
        <v>11500</v>
      </c>
      <c r="CE58" s="297">
        <f t="shared" si="16"/>
        <v>0.4762375675077104</v>
      </c>
      <c r="CF58" s="1061"/>
    </row>
    <row r="59" spans="1:84">
      <c r="A59" s="30">
        <v>44372</v>
      </c>
      <c r="B59" s="32">
        <v>567.11500000000001</v>
      </c>
      <c r="C59" s="842">
        <f t="shared" si="39"/>
        <v>24714.727000000006</v>
      </c>
      <c r="D59" s="842">
        <v>6417.66</v>
      </c>
      <c r="E59" s="843">
        <f t="shared" si="40"/>
        <v>296706.25900000002</v>
      </c>
      <c r="F59" s="240">
        <f t="shared" si="63"/>
        <v>30000</v>
      </c>
      <c r="G59" s="240">
        <v>31250</v>
      </c>
      <c r="H59" s="280">
        <v>15.38</v>
      </c>
      <c r="I59" s="240">
        <v>48000</v>
      </c>
      <c r="J59" s="240">
        <f t="shared" si="17"/>
        <v>13250</v>
      </c>
      <c r="K59" s="280">
        <f t="shared" si="57"/>
        <v>23363.867998554084</v>
      </c>
      <c r="L59" s="240">
        <f t="shared" si="49"/>
        <v>728325</v>
      </c>
      <c r="M59" s="280">
        <f t="shared" si="20"/>
        <v>29469.271499539518</v>
      </c>
      <c r="N59" s="280">
        <f t="shared" si="21"/>
        <v>3608.3349454560448</v>
      </c>
      <c r="O59" s="1089"/>
      <c r="P59" s="1084"/>
      <c r="Q59" s="35">
        <f t="shared" si="22"/>
        <v>41692</v>
      </c>
      <c r="R59" s="35"/>
      <c r="S59" s="35">
        <v>41692</v>
      </c>
      <c r="T59" s="35">
        <f t="shared" si="0"/>
        <v>0</v>
      </c>
      <c r="U59" s="36">
        <f t="shared" si="72"/>
        <v>0</v>
      </c>
      <c r="V59" s="74">
        <f t="shared" si="23"/>
        <v>44722</v>
      </c>
      <c r="W59" s="36">
        <f t="shared" si="24"/>
        <v>1.8095283836232539</v>
      </c>
      <c r="X59" s="1136"/>
      <c r="Y59" s="49">
        <f t="shared" si="64"/>
        <v>793</v>
      </c>
      <c r="Z59" s="50"/>
      <c r="AA59" s="50">
        <v>793</v>
      </c>
      <c r="AB59" s="50">
        <f t="shared" si="2"/>
        <v>0</v>
      </c>
      <c r="AC59" s="51">
        <f t="shared" si="73"/>
        <v>0</v>
      </c>
      <c r="AD59" s="50">
        <f t="shared" si="25"/>
        <v>3354</v>
      </c>
      <c r="AE59" s="51">
        <f t="shared" si="4"/>
        <v>0.13570855951595173</v>
      </c>
      <c r="AF59" s="1047"/>
      <c r="AG59" s="40">
        <f t="shared" si="65"/>
        <v>1042</v>
      </c>
      <c r="AH59" s="41"/>
      <c r="AI59" s="41">
        <v>1004</v>
      </c>
      <c r="AJ59" s="41">
        <f t="shared" si="54"/>
        <v>38</v>
      </c>
      <c r="AK59" s="42">
        <f t="shared" si="74"/>
        <v>67.005810109060775</v>
      </c>
      <c r="AL59" s="41">
        <f t="shared" si="43"/>
        <v>1621</v>
      </c>
      <c r="AM59" s="42">
        <f t="shared" si="26"/>
        <v>6.5588424262181796E-2</v>
      </c>
      <c r="AN59" s="1058"/>
      <c r="AO59" s="67">
        <v>5.8</v>
      </c>
      <c r="AP59" s="67">
        <v>24</v>
      </c>
      <c r="AQ59" s="68">
        <f t="shared" si="34"/>
        <v>69.189359999999994</v>
      </c>
      <c r="AR59" s="68">
        <f t="shared" si="70"/>
        <v>10.78108843410215</v>
      </c>
      <c r="AS59" s="69">
        <f t="shared" si="44"/>
        <v>2926.2327600000003</v>
      </c>
      <c r="AT59" s="140">
        <f t="shared" si="8"/>
        <v>9.8623897246468264</v>
      </c>
      <c r="AU59" s="1073"/>
      <c r="AV59" s="70">
        <v>3.2</v>
      </c>
      <c r="AW59" s="71">
        <v>12</v>
      </c>
      <c r="AX59" s="72">
        <f t="shared" si="35"/>
        <v>19.842432000000002</v>
      </c>
      <c r="AY59" s="72">
        <f t="shared" si="71"/>
        <v>3.0918484307364369</v>
      </c>
      <c r="AZ59" s="73">
        <f t="shared" si="45"/>
        <v>952.43673600000011</v>
      </c>
      <c r="BA59" s="192">
        <f t="shared" si="10"/>
        <v>3.210032505583241</v>
      </c>
      <c r="BB59" s="1075"/>
      <c r="BC59" s="90">
        <f t="shared" si="66"/>
        <v>35049</v>
      </c>
      <c r="BD59" s="59"/>
      <c r="BE59" s="56">
        <v>34830</v>
      </c>
      <c r="BF59" s="56">
        <f t="shared" si="37"/>
        <v>219</v>
      </c>
      <c r="BG59" s="58">
        <f t="shared" si="27"/>
        <v>29182</v>
      </c>
      <c r="BH59" s="58">
        <f t="shared" si="11"/>
        <v>98.353166186494221</v>
      </c>
      <c r="BI59" s="1133"/>
      <c r="BJ59" s="64">
        <f t="shared" si="67"/>
        <v>1500</v>
      </c>
      <c r="BK59" s="64"/>
      <c r="BL59" s="64">
        <v>1500</v>
      </c>
      <c r="BM59" s="64">
        <f t="shared" si="28"/>
        <v>0</v>
      </c>
      <c r="BN59" s="65">
        <f t="shared" si="75"/>
        <v>0</v>
      </c>
      <c r="BO59" s="64">
        <f t="shared" si="30"/>
        <v>6860</v>
      </c>
      <c r="BP59" s="65">
        <f t="shared" si="31"/>
        <v>0.27756729823477305</v>
      </c>
      <c r="BQ59" s="1071"/>
      <c r="BR59" s="77">
        <f t="shared" si="68"/>
        <v>8540</v>
      </c>
      <c r="BS59" s="35"/>
      <c r="BT59" s="99">
        <v>7099</v>
      </c>
      <c r="BU59" s="74">
        <f t="shared" si="55"/>
        <v>1441</v>
      </c>
      <c r="BV59" s="74">
        <f t="shared" si="56"/>
        <v>151162</v>
      </c>
      <c r="BW59" s="74">
        <f t="shared" si="13"/>
        <v>509.46683939013229</v>
      </c>
      <c r="BX59" s="1098"/>
      <c r="BY59" s="296">
        <f t="shared" si="69"/>
        <v>0</v>
      </c>
      <c r="BZ59" s="296"/>
      <c r="CA59" s="296">
        <v>0</v>
      </c>
      <c r="CB59" s="296">
        <f t="shared" si="14"/>
        <v>0</v>
      </c>
      <c r="CC59" s="297">
        <f t="shared" si="76"/>
        <v>0</v>
      </c>
      <c r="CD59" s="296">
        <f t="shared" si="48"/>
        <v>11500</v>
      </c>
      <c r="CE59" s="297">
        <f t="shared" si="16"/>
        <v>0.46530961074342425</v>
      </c>
      <c r="CF59" s="1061"/>
    </row>
    <row r="60" spans="1:84">
      <c r="A60" s="30">
        <v>44373</v>
      </c>
      <c r="B60" s="32">
        <v>527.92700000000002</v>
      </c>
      <c r="C60" s="842">
        <f t="shared" si="39"/>
        <v>25242.654000000006</v>
      </c>
      <c r="D60" s="842">
        <v>6230.66</v>
      </c>
      <c r="E60" s="843">
        <f t="shared" si="40"/>
        <v>302936.91899999999</v>
      </c>
      <c r="F60" s="240">
        <f t="shared" si="63"/>
        <v>48000</v>
      </c>
      <c r="G60" s="240">
        <v>31250</v>
      </c>
      <c r="H60" s="280">
        <v>18.29</v>
      </c>
      <c r="I60" s="240">
        <v>54000</v>
      </c>
      <c r="J60" s="240">
        <f t="shared" si="17"/>
        <v>25250</v>
      </c>
      <c r="K60" s="280">
        <f t="shared" si="57"/>
        <v>47828.582360818822</v>
      </c>
      <c r="L60" s="240">
        <f t="shared" si="49"/>
        <v>753575</v>
      </c>
      <c r="M60" s="280">
        <f t="shared" si="20"/>
        <v>29853.239679155758</v>
      </c>
      <c r="N60" s="280">
        <f t="shared" si="21"/>
        <v>3655.349538282816</v>
      </c>
      <c r="O60" s="1089"/>
      <c r="P60" s="1084"/>
      <c r="Q60" s="35">
        <f t="shared" si="22"/>
        <v>41692</v>
      </c>
      <c r="R60" s="35"/>
      <c r="S60" s="35">
        <v>41692</v>
      </c>
      <c r="T60" s="35">
        <f t="shared" si="0"/>
        <v>0</v>
      </c>
      <c r="U60" s="36">
        <f t="shared" si="72"/>
        <v>0</v>
      </c>
      <c r="V60" s="74">
        <f t="shared" si="23"/>
        <v>44722</v>
      </c>
      <c r="W60" s="36">
        <f t="shared" si="24"/>
        <v>1.7716837540141377</v>
      </c>
      <c r="X60" s="1136"/>
      <c r="Y60" s="49">
        <f t="shared" si="64"/>
        <v>793</v>
      </c>
      <c r="Z60" s="50"/>
      <c r="AA60" s="50">
        <v>757</v>
      </c>
      <c r="AB60" s="50">
        <f t="shared" si="2"/>
        <v>36</v>
      </c>
      <c r="AC60" s="51">
        <f t="shared" si="73"/>
        <v>6.8191246138197131E-2</v>
      </c>
      <c r="AD60" s="50">
        <f t="shared" si="25"/>
        <v>3390</v>
      </c>
      <c r="AE60" s="51">
        <f t="shared" si="4"/>
        <v>0.13429649671544042</v>
      </c>
      <c r="AF60" s="1047"/>
      <c r="AG60" s="40">
        <f t="shared" si="65"/>
        <v>1004</v>
      </c>
      <c r="AH60" s="41"/>
      <c r="AI60" s="41">
        <v>945</v>
      </c>
      <c r="AJ60" s="41">
        <f t="shared" si="54"/>
        <v>59</v>
      </c>
      <c r="AK60" s="42">
        <f t="shared" si="74"/>
        <v>111.75787561537864</v>
      </c>
      <c r="AL60" s="41">
        <f t="shared" si="43"/>
        <v>1680</v>
      </c>
      <c r="AM60" s="42">
        <f t="shared" si="26"/>
        <v>6.655401607136871E-2</v>
      </c>
      <c r="AN60" s="1058"/>
      <c r="AO60" s="67">
        <v>5.5</v>
      </c>
      <c r="AP60" s="67">
        <v>24</v>
      </c>
      <c r="AQ60" s="68">
        <f t="shared" si="34"/>
        <v>65.610600000000005</v>
      </c>
      <c r="AR60" s="68">
        <f t="shared" si="70"/>
        <v>10.530280901220738</v>
      </c>
      <c r="AS60" s="69">
        <f t="shared" si="44"/>
        <v>2991.8433600000003</v>
      </c>
      <c r="AT60" s="140">
        <f t="shared" si="8"/>
        <v>9.8761265872648565</v>
      </c>
      <c r="AU60" s="1073"/>
      <c r="AV60" s="319">
        <v>3.2</v>
      </c>
      <c r="AW60" s="71">
        <v>12</v>
      </c>
      <c r="AX60" s="72">
        <f t="shared" si="35"/>
        <v>19.842432000000002</v>
      </c>
      <c r="AY60" s="72">
        <f t="shared" si="71"/>
        <v>3.1846436814077483</v>
      </c>
      <c r="AZ60" s="73">
        <f t="shared" si="45"/>
        <v>972.27916800000014</v>
      </c>
      <c r="BA60" s="192">
        <f t="shared" si="10"/>
        <v>3.2095103205298003</v>
      </c>
      <c r="BB60" s="1075"/>
      <c r="BC60" s="90">
        <f t="shared" si="66"/>
        <v>34830</v>
      </c>
      <c r="BD60" s="59"/>
      <c r="BE60" s="56">
        <v>34830</v>
      </c>
      <c r="BF60" s="56">
        <f t="shared" si="37"/>
        <v>0</v>
      </c>
      <c r="BG60" s="58">
        <f t="shared" si="27"/>
        <v>29182</v>
      </c>
      <c r="BH60" s="58">
        <f t="shared" si="11"/>
        <v>96.330285844096807</v>
      </c>
      <c r="BI60" s="1133"/>
      <c r="BJ60" s="64">
        <f t="shared" si="67"/>
        <v>1500</v>
      </c>
      <c r="BK60" s="64"/>
      <c r="BL60" s="64">
        <v>1500</v>
      </c>
      <c r="BM60" s="64">
        <f t="shared" si="28"/>
        <v>0</v>
      </c>
      <c r="BN60" s="65">
        <f t="shared" si="75"/>
        <v>0</v>
      </c>
      <c r="BO60" s="64">
        <f t="shared" si="30"/>
        <v>6860</v>
      </c>
      <c r="BP60" s="65">
        <f t="shared" si="31"/>
        <v>0.27176223229142221</v>
      </c>
      <c r="BQ60" s="1071"/>
      <c r="BR60" s="77">
        <f t="shared" si="68"/>
        <v>7099</v>
      </c>
      <c r="BS60" s="35">
        <v>22000</v>
      </c>
      <c r="BT60" s="99">
        <v>27099</v>
      </c>
      <c r="BU60" s="74">
        <f t="shared" si="55"/>
        <v>2000</v>
      </c>
      <c r="BV60" s="74">
        <f t="shared" si="56"/>
        <v>153162</v>
      </c>
      <c r="BW60" s="74">
        <f t="shared" si="13"/>
        <v>505.59040643045557</v>
      </c>
      <c r="BX60" s="1098"/>
      <c r="BY60" s="296">
        <f t="shared" si="69"/>
        <v>0</v>
      </c>
      <c r="BZ60" s="296"/>
      <c r="CA60" s="296">
        <v>0</v>
      </c>
      <c r="CB60" s="296">
        <f t="shared" si="14"/>
        <v>0</v>
      </c>
      <c r="CC60" s="297">
        <f t="shared" si="76"/>
        <v>0</v>
      </c>
      <c r="CD60" s="296">
        <f t="shared" si="48"/>
        <v>11500</v>
      </c>
      <c r="CE60" s="297">
        <f t="shared" si="16"/>
        <v>0.45557808620282153</v>
      </c>
      <c r="CF60" s="1061"/>
    </row>
    <row r="61" spans="1:84">
      <c r="A61" s="30">
        <v>44374</v>
      </c>
      <c r="B61" s="32">
        <v>486.94499999999999</v>
      </c>
      <c r="C61" s="842">
        <f t="shared" si="39"/>
        <v>25729.599000000006</v>
      </c>
      <c r="D61" s="842">
        <v>5291.42</v>
      </c>
      <c r="E61" s="843">
        <f t="shared" si="40"/>
        <v>308228.33899999998</v>
      </c>
      <c r="F61" s="240">
        <f t="shared" si="63"/>
        <v>54000</v>
      </c>
      <c r="G61" s="240"/>
      <c r="H61" s="280"/>
      <c r="I61" s="240">
        <v>30000</v>
      </c>
      <c r="J61" s="240">
        <f t="shared" si="17"/>
        <v>24000</v>
      </c>
      <c r="K61" s="280">
        <f t="shared" si="57"/>
        <v>49286.880448510616</v>
      </c>
      <c r="L61" s="240">
        <f t="shared" si="49"/>
        <v>777575</v>
      </c>
      <c r="M61" s="280">
        <f t="shared" si="20"/>
        <v>30221.030650341647</v>
      </c>
      <c r="N61" s="280">
        <f t="shared" si="21"/>
        <v>3700.3833292937002</v>
      </c>
      <c r="O61" s="1089"/>
      <c r="P61" s="1084"/>
      <c r="Q61" s="35">
        <f t="shared" si="22"/>
        <v>41692</v>
      </c>
      <c r="R61" s="35"/>
      <c r="S61" s="35">
        <v>41692</v>
      </c>
      <c r="T61" s="35">
        <f t="shared" si="0"/>
        <v>0</v>
      </c>
      <c r="U61" s="36">
        <f t="shared" si="72"/>
        <v>0</v>
      </c>
      <c r="V61" s="74">
        <f t="shared" si="23"/>
        <v>44722</v>
      </c>
      <c r="W61" s="36">
        <f t="shared" si="24"/>
        <v>1.7381537893381078</v>
      </c>
      <c r="X61" s="1136"/>
      <c r="Y61" s="49">
        <f t="shared" si="64"/>
        <v>757</v>
      </c>
      <c r="Z61" s="50"/>
      <c r="AA61" s="50">
        <v>743</v>
      </c>
      <c r="AB61" s="50">
        <f t="shared" si="2"/>
        <v>14</v>
      </c>
      <c r="AC61" s="51">
        <f t="shared" si="73"/>
        <v>2.875068026163119E-2</v>
      </c>
      <c r="AD61" s="50">
        <f t="shared" si="25"/>
        <v>3404</v>
      </c>
      <c r="AE61" s="51">
        <f t="shared" si="4"/>
        <v>0.1322989915233424</v>
      </c>
      <c r="AF61" s="1047"/>
      <c r="AG61" s="40">
        <f t="shared" si="65"/>
        <v>945</v>
      </c>
      <c r="AH61" s="41"/>
      <c r="AI61" s="41">
        <v>905</v>
      </c>
      <c r="AJ61" s="41">
        <f t="shared" si="54"/>
        <v>40</v>
      </c>
      <c r="AK61" s="42">
        <f t="shared" si="74"/>
        <v>82.144800747517692</v>
      </c>
      <c r="AL61" s="41">
        <f t="shared" si="43"/>
        <v>1720</v>
      </c>
      <c r="AM61" s="42">
        <f t="shared" si="26"/>
        <v>6.6849079148104854E-2</v>
      </c>
      <c r="AN61" s="1058"/>
      <c r="AO61" s="67">
        <v>5.2</v>
      </c>
      <c r="AP61" s="67">
        <v>24</v>
      </c>
      <c r="AQ61" s="68">
        <f t="shared" si="34"/>
        <v>62.031840000000003</v>
      </c>
      <c r="AR61" s="68">
        <f t="shared" si="70"/>
        <v>11.723098903507944</v>
      </c>
      <c r="AS61" s="69">
        <f t="shared" si="44"/>
        <v>3053.8752000000004</v>
      </c>
      <c r="AT61" s="140">
        <f t="shared" si="8"/>
        <v>9.9078339451454536</v>
      </c>
      <c r="AU61" s="1073"/>
      <c r="AV61" s="70">
        <v>2.7</v>
      </c>
      <c r="AW61" s="71">
        <v>12</v>
      </c>
      <c r="AX61" s="72">
        <f t="shared" si="35"/>
        <v>16.742052000000005</v>
      </c>
      <c r="AY61" s="72">
        <f t="shared" si="71"/>
        <v>3.1639998336930355</v>
      </c>
      <c r="AZ61" s="73">
        <f t="shared" si="45"/>
        <v>989.0212200000002</v>
      </c>
      <c r="BA61" s="192">
        <f t="shared" si="10"/>
        <v>3.2087290325371423</v>
      </c>
      <c r="BB61" s="1075"/>
      <c r="BC61" s="90">
        <f t="shared" si="66"/>
        <v>34830</v>
      </c>
      <c r="BD61" s="59"/>
      <c r="BE61" s="56">
        <v>34830</v>
      </c>
      <c r="BF61" s="56">
        <f t="shared" si="37"/>
        <v>0</v>
      </c>
      <c r="BG61" s="58">
        <f t="shared" si="27"/>
        <v>29182</v>
      </c>
      <c r="BH61" s="58">
        <f t="shared" si="11"/>
        <v>94.676563792533045</v>
      </c>
      <c r="BI61" s="1133"/>
      <c r="BJ61" s="64">
        <f t="shared" si="67"/>
        <v>1500</v>
      </c>
      <c r="BK61" s="64"/>
      <c r="BL61" s="64">
        <v>1500</v>
      </c>
      <c r="BM61" s="64">
        <f t="shared" si="28"/>
        <v>0</v>
      </c>
      <c r="BN61" s="65">
        <f t="shared" si="75"/>
        <v>0</v>
      </c>
      <c r="BO61" s="64">
        <f t="shared" si="30"/>
        <v>6860</v>
      </c>
      <c r="BP61" s="65">
        <f t="shared" si="31"/>
        <v>0.26661900171860425</v>
      </c>
      <c r="BQ61" s="1071"/>
      <c r="BR61" s="77">
        <f t="shared" si="68"/>
        <v>27099</v>
      </c>
      <c r="BS61" s="35"/>
      <c r="BT61" s="99">
        <v>24857</v>
      </c>
      <c r="BU61" s="74">
        <f t="shared" si="55"/>
        <v>2242</v>
      </c>
      <c r="BV61" s="74">
        <f t="shared" si="56"/>
        <v>155404</v>
      </c>
      <c r="BW61" s="74">
        <f t="shared" si="13"/>
        <v>504.18465902319258</v>
      </c>
      <c r="BX61" s="1098"/>
      <c r="BY61" s="296">
        <f t="shared" si="69"/>
        <v>0</v>
      </c>
      <c r="BZ61" s="296"/>
      <c r="CA61" s="296">
        <v>0</v>
      </c>
      <c r="CB61" s="296">
        <f t="shared" si="14"/>
        <v>0</v>
      </c>
      <c r="CC61" s="297">
        <f t="shared" si="76"/>
        <v>0</v>
      </c>
      <c r="CD61" s="296">
        <f t="shared" si="48"/>
        <v>11500</v>
      </c>
      <c r="CE61" s="297">
        <f t="shared" si="16"/>
        <v>0.44695605244372433</v>
      </c>
      <c r="CF61" s="1061"/>
    </row>
    <row r="62" spans="1:84">
      <c r="A62" s="30">
        <v>44375</v>
      </c>
      <c r="B62" s="32">
        <v>544.73500000000001</v>
      </c>
      <c r="C62" s="842">
        <f t="shared" si="39"/>
        <v>26274.334000000006</v>
      </c>
      <c r="D62" s="842">
        <v>6274.92</v>
      </c>
      <c r="E62" s="843">
        <f t="shared" si="40"/>
        <v>314503.25899999996</v>
      </c>
      <c r="F62" s="240">
        <f t="shared" si="63"/>
        <v>30000</v>
      </c>
      <c r="G62" s="240">
        <v>32750</v>
      </c>
      <c r="H62" s="280">
        <v>12.97</v>
      </c>
      <c r="I62" s="240">
        <v>40000</v>
      </c>
      <c r="J62" s="240">
        <f t="shared" si="17"/>
        <v>22750</v>
      </c>
      <c r="K62" s="280">
        <f t="shared" si="57"/>
        <v>41763.426253132253</v>
      </c>
      <c r="L62" s="240">
        <f t="shared" si="49"/>
        <v>800325</v>
      </c>
      <c r="M62" s="280">
        <f t="shared" si="20"/>
        <v>30460.334408476341</v>
      </c>
      <c r="N62" s="280">
        <f t="shared" si="21"/>
        <v>3729.6846343181514</v>
      </c>
      <c r="O62" s="1089"/>
      <c r="P62" s="1084"/>
      <c r="Q62" s="35">
        <f t="shared" si="22"/>
        <v>41692</v>
      </c>
      <c r="R62" s="35"/>
      <c r="S62" s="35">
        <v>41692</v>
      </c>
      <c r="T62" s="35">
        <f t="shared" si="0"/>
        <v>0</v>
      </c>
      <c r="U62" s="36">
        <f t="shared" si="72"/>
        <v>0</v>
      </c>
      <c r="V62" s="74">
        <f t="shared" si="23"/>
        <v>44722</v>
      </c>
      <c r="W62" s="36">
        <f t="shared" si="24"/>
        <v>1.7021173590927172</v>
      </c>
      <c r="X62" s="1136"/>
      <c r="Y62" s="49">
        <f t="shared" si="64"/>
        <v>743</v>
      </c>
      <c r="Z62" s="50"/>
      <c r="AA62" s="50">
        <v>719</v>
      </c>
      <c r="AB62" s="50">
        <f t="shared" si="2"/>
        <v>24</v>
      </c>
      <c r="AC62" s="51">
        <f t="shared" si="73"/>
        <v>4.4058120003304356E-2</v>
      </c>
      <c r="AD62" s="50">
        <f t="shared" si="25"/>
        <v>3428</v>
      </c>
      <c r="AE62" s="51">
        <f t="shared" si="4"/>
        <v>0.13046952969388298</v>
      </c>
      <c r="AF62" s="1047"/>
      <c r="AG62" s="40">
        <f t="shared" si="65"/>
        <v>905</v>
      </c>
      <c r="AH62" s="41"/>
      <c r="AI62" s="41">
        <v>885</v>
      </c>
      <c r="AJ62" s="41">
        <f t="shared" si="54"/>
        <v>20</v>
      </c>
      <c r="AK62" s="42">
        <f t="shared" si="74"/>
        <v>36.71510000275363</v>
      </c>
      <c r="AL62" s="41">
        <f t="shared" si="43"/>
        <v>1740</v>
      </c>
      <c r="AM62" s="42">
        <f t="shared" si="26"/>
        <v>6.6224323706930099E-2</v>
      </c>
      <c r="AN62" s="1058"/>
      <c r="AO62" s="67">
        <v>7.5</v>
      </c>
      <c r="AP62" s="67">
        <v>24</v>
      </c>
      <c r="AQ62" s="68">
        <f t="shared" si="34"/>
        <v>89.468999999999994</v>
      </c>
      <c r="AR62" s="68">
        <f t="shared" si="70"/>
        <v>14.258189745845366</v>
      </c>
      <c r="AS62" s="69">
        <f t="shared" si="44"/>
        <v>3143.3442000000005</v>
      </c>
      <c r="AT62" s="140">
        <f t="shared" si="8"/>
        <v>9.9946315659641574</v>
      </c>
      <c r="AU62" s="1073"/>
      <c r="AV62" s="70">
        <v>3.2</v>
      </c>
      <c r="AW62" s="71">
        <v>12</v>
      </c>
      <c r="AX62" s="72">
        <f t="shared" si="35"/>
        <v>19.842432000000002</v>
      </c>
      <c r="AY62" s="72">
        <f t="shared" si="71"/>
        <v>3.1621808724254654</v>
      </c>
      <c r="AZ62" s="73">
        <f t="shared" si="45"/>
        <v>1008.8636520000002</v>
      </c>
      <c r="BA62" s="192">
        <f t="shared" si="10"/>
        <v>3.2078003109023436</v>
      </c>
      <c r="BB62" s="1075"/>
      <c r="BC62" s="90">
        <f t="shared" si="66"/>
        <v>34830</v>
      </c>
      <c r="BD62" s="59"/>
      <c r="BE62" s="56">
        <v>34830</v>
      </c>
      <c r="BF62" s="56">
        <f t="shared" si="37"/>
        <v>0</v>
      </c>
      <c r="BG62" s="58">
        <f t="shared" si="27"/>
        <v>29182</v>
      </c>
      <c r="BH62" s="58">
        <f t="shared" si="11"/>
        <v>92.787591749565948</v>
      </c>
      <c r="BI62" s="1133"/>
      <c r="BJ62" s="64">
        <f t="shared" si="67"/>
        <v>1500</v>
      </c>
      <c r="BK62" s="64"/>
      <c r="BL62" s="64">
        <v>1500</v>
      </c>
      <c r="BM62" s="64">
        <f t="shared" si="28"/>
        <v>0</v>
      </c>
      <c r="BN62" s="65">
        <f t="shared" si="75"/>
        <v>0</v>
      </c>
      <c r="BO62" s="64">
        <f t="shared" si="30"/>
        <v>6860</v>
      </c>
      <c r="BP62" s="65">
        <f t="shared" si="31"/>
        <v>0.26109129921237961</v>
      </c>
      <c r="BQ62" s="1071"/>
      <c r="BR62" s="77">
        <f t="shared" si="68"/>
        <v>24857</v>
      </c>
      <c r="BS62" s="35">
        <v>12000</v>
      </c>
      <c r="BT62" s="99">
        <v>34340</v>
      </c>
      <c r="BU62" s="74">
        <f t="shared" si="55"/>
        <v>2517</v>
      </c>
      <c r="BV62" s="74">
        <f t="shared" si="56"/>
        <v>157921</v>
      </c>
      <c r="BW62" s="74">
        <f t="shared" si="13"/>
        <v>502.12834201505052</v>
      </c>
      <c r="BX62" s="1098"/>
      <c r="BY62" s="296">
        <f t="shared" si="69"/>
        <v>0</v>
      </c>
      <c r="BZ62" s="296"/>
      <c r="CA62" s="296">
        <v>0</v>
      </c>
      <c r="CB62" s="296">
        <f t="shared" si="14"/>
        <v>0</v>
      </c>
      <c r="CC62" s="297">
        <f t="shared" si="76"/>
        <v>0</v>
      </c>
      <c r="CD62" s="296">
        <f t="shared" si="48"/>
        <v>11500</v>
      </c>
      <c r="CE62" s="297">
        <f t="shared" si="16"/>
        <v>0.43768949576419319</v>
      </c>
      <c r="CF62" s="1061"/>
    </row>
    <row r="63" spans="1:84">
      <c r="A63" s="30">
        <v>44376</v>
      </c>
      <c r="B63" s="32">
        <v>580.029</v>
      </c>
      <c r="C63" s="842">
        <f t="shared" si="39"/>
        <v>26854.363000000005</v>
      </c>
      <c r="D63" s="842">
        <v>6279.58</v>
      </c>
      <c r="E63" s="843">
        <f t="shared" si="40"/>
        <v>320782.83899999998</v>
      </c>
      <c r="F63" s="240">
        <f t="shared" si="63"/>
        <v>40000</v>
      </c>
      <c r="G63" s="240">
        <v>32750</v>
      </c>
      <c r="H63" s="280">
        <v>18.239999999999998</v>
      </c>
      <c r="I63" s="240">
        <v>42000</v>
      </c>
      <c r="J63" s="240">
        <f t="shared" si="17"/>
        <v>30750</v>
      </c>
      <c r="K63" s="280">
        <f>J63*1000/B63</f>
        <v>53014.590649777856</v>
      </c>
      <c r="L63" s="240">
        <f t="shared" si="49"/>
        <v>831075</v>
      </c>
      <c r="M63" s="280">
        <f t="shared" si="20"/>
        <v>30947.485144220322</v>
      </c>
      <c r="N63" s="280">
        <f t="shared" si="21"/>
        <v>3789.3333101775834</v>
      </c>
      <c r="O63" s="1089"/>
      <c r="P63" s="1084"/>
      <c r="Q63" s="35">
        <f t="shared" si="22"/>
        <v>41692</v>
      </c>
      <c r="R63" s="35"/>
      <c r="S63" s="35">
        <v>41692</v>
      </c>
      <c r="T63" s="35">
        <f t="shared" si="0"/>
        <v>0</v>
      </c>
      <c r="U63" s="36">
        <f t="shared" si="72"/>
        <v>0</v>
      </c>
      <c r="V63" s="74">
        <f t="shared" si="23"/>
        <v>44722</v>
      </c>
      <c r="W63" s="36">
        <f t="shared" si="24"/>
        <v>1.6653532239807733</v>
      </c>
      <c r="X63" s="1136"/>
      <c r="Y63" s="49">
        <f t="shared" si="64"/>
        <v>719</v>
      </c>
      <c r="Z63" s="50"/>
      <c r="AA63" s="50">
        <v>719</v>
      </c>
      <c r="AB63" s="50">
        <f t="shared" si="2"/>
        <v>0</v>
      </c>
      <c r="AC63" s="51">
        <f t="shared" si="73"/>
        <v>0</v>
      </c>
      <c r="AD63" s="50">
        <f t="shared" si="25"/>
        <v>3428</v>
      </c>
      <c r="AE63" s="51">
        <f t="shared" si="4"/>
        <v>0.12765151048267276</v>
      </c>
      <c r="AF63" s="1047"/>
      <c r="AG63" s="40">
        <f t="shared" si="65"/>
        <v>885</v>
      </c>
      <c r="AH63" s="41"/>
      <c r="AI63" s="41">
        <v>885</v>
      </c>
      <c r="AJ63" s="41">
        <f t="shared" si="54"/>
        <v>0</v>
      </c>
      <c r="AK63" s="42">
        <f t="shared" si="74"/>
        <v>0</v>
      </c>
      <c r="AL63" s="41">
        <f t="shared" si="43"/>
        <v>1740</v>
      </c>
      <c r="AM63" s="42">
        <f t="shared" si="26"/>
        <v>6.4793940560049765E-2</v>
      </c>
      <c r="AN63" s="1058"/>
      <c r="AO63" s="67">
        <v>5.7</v>
      </c>
      <c r="AP63" s="67">
        <v>24</v>
      </c>
      <c r="AQ63" s="68">
        <f t="shared" si="34"/>
        <v>67.996440000000007</v>
      </c>
      <c r="AR63" s="68">
        <f t="shared" si="70"/>
        <v>10.828182776555121</v>
      </c>
      <c r="AS63" s="69">
        <f t="shared" si="44"/>
        <v>3211.3406400000003</v>
      </c>
      <c r="AT63" s="140">
        <f t="shared" si="8"/>
        <v>10.010948995934289</v>
      </c>
      <c r="AU63" s="1073"/>
      <c r="AV63" s="70">
        <v>3</v>
      </c>
      <c r="AW63" s="71">
        <v>12</v>
      </c>
      <c r="AX63" s="72">
        <f t="shared" si="35"/>
        <v>18.60228</v>
      </c>
      <c r="AY63" s="72">
        <f t="shared" si="71"/>
        <v>2.9623446154042146</v>
      </c>
      <c r="AZ63" s="73">
        <f t="shared" si="45"/>
        <v>1027.4659320000003</v>
      </c>
      <c r="BA63" s="192">
        <f t="shared" si="10"/>
        <v>3.202995319833803</v>
      </c>
      <c r="BB63" s="1075"/>
      <c r="BC63" s="90">
        <f t="shared" si="66"/>
        <v>34830</v>
      </c>
      <c r="BD63" s="59"/>
      <c r="BE63" s="56">
        <v>34830</v>
      </c>
      <c r="BF63" s="56">
        <f t="shared" si="37"/>
        <v>0</v>
      </c>
      <c r="BG63" s="58">
        <f t="shared" si="27"/>
        <v>29182</v>
      </c>
      <c r="BH63" s="58">
        <f t="shared" si="11"/>
        <v>90.97120061338444</v>
      </c>
      <c r="BI63" s="1133"/>
      <c r="BJ63" s="64">
        <f t="shared" si="67"/>
        <v>1500</v>
      </c>
      <c r="BK63" s="64"/>
      <c r="BL63" s="64">
        <v>1500</v>
      </c>
      <c r="BM63" s="64">
        <f t="shared" si="28"/>
        <v>0</v>
      </c>
      <c r="BN63" s="65">
        <f t="shared" si="75"/>
        <v>0</v>
      </c>
      <c r="BO63" s="64">
        <f t="shared" si="30"/>
        <v>6860</v>
      </c>
      <c r="BP63" s="65">
        <f t="shared" si="31"/>
        <v>0.25545197255283986</v>
      </c>
      <c r="BQ63" s="1071"/>
      <c r="BR63" s="77">
        <f t="shared" si="68"/>
        <v>34340</v>
      </c>
      <c r="BS63" s="35"/>
      <c r="BT63" s="35">
        <v>32099</v>
      </c>
      <c r="BU63" s="74">
        <f t="shared" si="55"/>
        <v>2241</v>
      </c>
      <c r="BV63" s="74">
        <f t="shared" si="56"/>
        <v>160162</v>
      </c>
      <c r="BW63" s="74">
        <f t="shared" si="13"/>
        <v>499.28481367421284</v>
      </c>
      <c r="BX63" s="1098"/>
      <c r="BY63" s="296">
        <f t="shared" si="69"/>
        <v>0</v>
      </c>
      <c r="BZ63" s="296"/>
      <c r="CA63" s="296">
        <v>0</v>
      </c>
      <c r="CB63" s="296">
        <f t="shared" si="14"/>
        <v>0</v>
      </c>
      <c r="CC63" s="297">
        <f t="shared" si="76"/>
        <v>0</v>
      </c>
      <c r="CD63" s="296">
        <f t="shared" si="48"/>
        <v>11500</v>
      </c>
      <c r="CE63" s="297">
        <f t="shared" si="16"/>
        <v>0.4282358140463059</v>
      </c>
      <c r="CF63" s="1061"/>
    </row>
    <row r="64" spans="1:84" ht="15.75" thickBot="1">
      <c r="A64" s="30">
        <v>44377</v>
      </c>
      <c r="B64" s="32">
        <v>556.44899999999996</v>
      </c>
      <c r="C64" s="842">
        <f t="shared" si="39"/>
        <v>27410.812000000005</v>
      </c>
      <c r="D64" s="845">
        <v>6519.06</v>
      </c>
      <c r="E64" s="847">
        <f t="shared" si="40"/>
        <v>327301.89899999998</v>
      </c>
      <c r="F64" s="240">
        <f t="shared" si="63"/>
        <v>42000</v>
      </c>
      <c r="G64" s="231">
        <v>32750</v>
      </c>
      <c r="H64" s="230">
        <v>19.559999999999999</v>
      </c>
      <c r="I64" s="231">
        <v>45000</v>
      </c>
      <c r="J64" s="240">
        <f t="shared" si="17"/>
        <v>29750</v>
      </c>
      <c r="K64" s="280">
        <f t="shared" si="57"/>
        <v>53464.019164379846</v>
      </c>
      <c r="L64" s="240">
        <f t="shared" si="49"/>
        <v>860825</v>
      </c>
      <c r="M64" s="280">
        <f t="shared" si="20"/>
        <v>31404.578602049434</v>
      </c>
      <c r="N64" s="280">
        <f t="shared" si="21"/>
        <v>3845.3016532446964</v>
      </c>
      <c r="O64" s="1090"/>
      <c r="P64" s="1085"/>
      <c r="Q64" s="35">
        <f t="shared" si="22"/>
        <v>41692</v>
      </c>
      <c r="R64" s="35"/>
      <c r="S64" s="35">
        <v>41692</v>
      </c>
      <c r="T64" s="35">
        <f t="shared" si="0"/>
        <v>0</v>
      </c>
      <c r="U64" s="36">
        <f t="shared" si="72"/>
        <v>0</v>
      </c>
      <c r="V64" s="74">
        <f t="shared" si="23"/>
        <v>44722</v>
      </c>
      <c r="W64" s="36">
        <f t="shared" si="24"/>
        <v>1.6315459753618387</v>
      </c>
      <c r="X64" s="1137"/>
      <c r="Y64" s="49">
        <f t="shared" si="64"/>
        <v>719</v>
      </c>
      <c r="Z64" s="82"/>
      <c r="AA64" s="82">
        <v>719</v>
      </c>
      <c r="AB64" s="82">
        <f t="shared" si="2"/>
        <v>0</v>
      </c>
      <c r="AC64" s="51">
        <f t="shared" si="73"/>
        <v>0</v>
      </c>
      <c r="AD64" s="82">
        <f t="shared" si="25"/>
        <v>3428</v>
      </c>
      <c r="AE64" s="84">
        <f t="shared" si="4"/>
        <v>0.12506014050222225</v>
      </c>
      <c r="AF64" s="1048"/>
      <c r="AG64" s="40">
        <f t="shared" si="65"/>
        <v>885</v>
      </c>
      <c r="AH64" s="41"/>
      <c r="AI64" s="41">
        <v>885</v>
      </c>
      <c r="AJ64" s="41">
        <f t="shared" si="54"/>
        <v>0</v>
      </c>
      <c r="AK64" s="42">
        <f t="shared" si="74"/>
        <v>0</v>
      </c>
      <c r="AL64" s="41">
        <f t="shared" si="43"/>
        <v>1740</v>
      </c>
      <c r="AM64" s="42">
        <f t="shared" si="26"/>
        <v>6.3478601071723068E-2</v>
      </c>
      <c r="AN64" s="1059"/>
      <c r="AO64" s="311">
        <v>4.7</v>
      </c>
      <c r="AP64" s="67">
        <v>24</v>
      </c>
      <c r="AQ64" s="68">
        <f t="shared" si="34"/>
        <v>56.067240000000005</v>
      </c>
      <c r="AR64" s="68">
        <f t="shared" si="70"/>
        <v>8.6005098894625913</v>
      </c>
      <c r="AS64" s="69">
        <f t="shared" si="44"/>
        <v>3267.4078800000002</v>
      </c>
      <c r="AT64" s="140">
        <f t="shared" si="8"/>
        <v>9.982856469769521</v>
      </c>
      <c r="AU64" s="1074"/>
      <c r="AV64" s="70">
        <v>3.6</v>
      </c>
      <c r="AW64" s="71">
        <v>12</v>
      </c>
      <c r="AX64" s="72">
        <f t="shared" si="35"/>
        <v>22.322736000000003</v>
      </c>
      <c r="AY64" s="72">
        <f t="shared" si="71"/>
        <v>3.4242261921197228</v>
      </c>
      <c r="AZ64" s="73">
        <f t="shared" si="45"/>
        <v>1049.7886680000004</v>
      </c>
      <c r="BA64" s="192">
        <f t="shared" si="10"/>
        <v>3.2074017022431036</v>
      </c>
      <c r="BB64" s="1076"/>
      <c r="BC64" s="90">
        <f t="shared" si="66"/>
        <v>34830</v>
      </c>
      <c r="BD64" s="100"/>
      <c r="BE64" s="88">
        <v>34830</v>
      </c>
      <c r="BF64" s="88">
        <f t="shared" si="37"/>
        <v>0</v>
      </c>
      <c r="BG64" s="89">
        <f t="shared" si="27"/>
        <v>29182</v>
      </c>
      <c r="BH64" s="89">
        <f t="shared" si="11"/>
        <v>89.159274935951416</v>
      </c>
      <c r="BI64" s="1134"/>
      <c r="BJ64" s="207">
        <f t="shared" si="67"/>
        <v>1500</v>
      </c>
      <c r="BK64" s="85"/>
      <c r="BL64" s="85">
        <v>1500</v>
      </c>
      <c r="BM64" s="85">
        <f t="shared" si="28"/>
        <v>0</v>
      </c>
      <c r="BN64" s="86">
        <f t="shared" si="75"/>
        <v>0</v>
      </c>
      <c r="BO64" s="85">
        <f t="shared" si="30"/>
        <v>6860</v>
      </c>
      <c r="BP64" s="86">
        <f t="shared" si="31"/>
        <v>0.25026620882300016</v>
      </c>
      <c r="BQ64" s="1072"/>
      <c r="BR64" s="77">
        <f t="shared" si="68"/>
        <v>32099</v>
      </c>
      <c r="BS64" s="35"/>
      <c r="BT64" s="35">
        <v>29326</v>
      </c>
      <c r="BU64" s="74">
        <f t="shared" si="55"/>
        <v>2773</v>
      </c>
      <c r="BV64" s="74">
        <f t="shared" si="56"/>
        <v>162935</v>
      </c>
      <c r="BW64" s="74">
        <f t="shared" si="13"/>
        <v>497.81257150603949</v>
      </c>
      <c r="BX64" s="1099"/>
      <c r="BY64" s="296">
        <f t="shared" si="69"/>
        <v>0</v>
      </c>
      <c r="BZ64" s="296">
        <v>2300</v>
      </c>
      <c r="CA64" s="296">
        <v>1760</v>
      </c>
      <c r="CB64" s="296">
        <f t="shared" si="14"/>
        <v>540</v>
      </c>
      <c r="CC64" s="297">
        <f t="shared" si="76"/>
        <v>0.97043933945428973</v>
      </c>
      <c r="CD64" s="296">
        <f t="shared" si="48"/>
        <v>12040</v>
      </c>
      <c r="CE64" s="297">
        <f t="shared" si="16"/>
        <v>0.43924273385261253</v>
      </c>
      <c r="CF64" s="1062"/>
    </row>
    <row r="65" spans="1:84">
      <c r="A65" s="30">
        <v>44378</v>
      </c>
      <c r="B65" s="379">
        <v>511.488</v>
      </c>
      <c r="C65" s="848">
        <f t="shared" si="39"/>
        <v>27922.300000000007</v>
      </c>
      <c r="D65" s="842">
        <v>6170.74</v>
      </c>
      <c r="E65" s="843">
        <f t="shared" si="40"/>
        <v>333472.63899999997</v>
      </c>
      <c r="F65" s="242">
        <f t="shared" si="63"/>
        <v>45000</v>
      </c>
      <c r="G65" s="241">
        <v>31000</v>
      </c>
      <c r="H65" s="313">
        <v>15.5</v>
      </c>
      <c r="I65" s="241">
        <v>50000</v>
      </c>
      <c r="J65" s="241">
        <f t="shared" si="17"/>
        <v>26000</v>
      </c>
      <c r="K65" s="313">
        <f>J65*1000/B65</f>
        <v>50832.082082082081</v>
      </c>
      <c r="L65" s="241">
        <f t="shared" si="49"/>
        <v>886825</v>
      </c>
      <c r="M65" s="313">
        <f t="shared" si="20"/>
        <v>31760.456695902551</v>
      </c>
      <c r="N65" s="313">
        <f t="shared" si="21"/>
        <v>3888.876784119328</v>
      </c>
      <c r="O65" s="1052">
        <f>SUM(J65:J95)/SUM(B65:B95)</f>
        <v>40.309677290459092</v>
      </c>
      <c r="P65" s="1083">
        <f>O65/(98/((G65*H65+G68*H68+G69*H69+G70*H70+G71*H71+G72*H72+G73*H73+G74*H74+G75*H75+G76*H76+G77*H77+G78*H78+G79*H79+G80*H80+G82*H82+G85*H85+G86*H86+G88*H88+G91*H91)/(SUM(G65:G95))))</f>
        <v>7.5853329269411613</v>
      </c>
      <c r="Q65" s="117">
        <f t="shared" si="22"/>
        <v>41692</v>
      </c>
      <c r="R65" s="118"/>
      <c r="S65" s="118">
        <v>41692</v>
      </c>
      <c r="T65" s="118">
        <f t="shared" si="0"/>
        <v>0</v>
      </c>
      <c r="U65" s="119">
        <f t="shared" si="72"/>
        <v>0</v>
      </c>
      <c r="V65" s="120">
        <f t="shared" si="23"/>
        <v>44722</v>
      </c>
      <c r="W65" s="119">
        <f t="shared" si="24"/>
        <v>1.6016588891316257</v>
      </c>
      <c r="X65" s="1135">
        <f>1000*SUM(T65:T95)/SUM(B65:B95)</f>
        <v>0</v>
      </c>
      <c r="Y65" s="121">
        <f t="shared" si="64"/>
        <v>719</v>
      </c>
      <c r="Z65" s="122">
        <v>387</v>
      </c>
      <c r="AA65" s="122">
        <v>1106</v>
      </c>
      <c r="AB65" s="122">
        <f t="shared" si="2"/>
        <v>0</v>
      </c>
      <c r="AC65" s="123">
        <f>AB65*1000/B65</f>
        <v>0</v>
      </c>
      <c r="AD65" s="122">
        <f t="shared" si="25"/>
        <v>3428</v>
      </c>
      <c r="AE65" s="123">
        <f t="shared" si="4"/>
        <v>0.12276925611428854</v>
      </c>
      <c r="AF65" s="1046">
        <f>SUM(AB65:AB95)/SUM(B65:B95)</f>
        <v>9.5490972784218392E-2</v>
      </c>
      <c r="AG65" s="124">
        <f t="shared" si="65"/>
        <v>885</v>
      </c>
      <c r="AH65" s="125">
        <v>500</v>
      </c>
      <c r="AI65" s="125">
        <v>1385</v>
      </c>
      <c r="AJ65" s="125">
        <f t="shared" si="54"/>
        <v>0</v>
      </c>
      <c r="AK65" s="126">
        <f t="shared" si="74"/>
        <v>0</v>
      </c>
      <c r="AL65" s="125">
        <f t="shared" si="43"/>
        <v>1740</v>
      </c>
      <c r="AM65" s="126">
        <f t="shared" si="26"/>
        <v>6.2315783441908426E-2</v>
      </c>
      <c r="AN65" s="1057">
        <f>SUM(AJ65:AJ95)/SUM(B65:B95)</f>
        <v>5.717628790245699E-2</v>
      </c>
      <c r="AO65" s="219">
        <v>5.65</v>
      </c>
      <c r="AP65" s="135">
        <v>24</v>
      </c>
      <c r="AQ65" s="102">
        <f t="shared" si="34"/>
        <v>67.399980000000014</v>
      </c>
      <c r="AR65" s="102">
        <f t="shared" si="70"/>
        <v>10.922511724687803</v>
      </c>
      <c r="AS65" s="103">
        <f t="shared" si="44"/>
        <v>3334.8078600000003</v>
      </c>
      <c r="AT65" s="136">
        <f t="shared" si="8"/>
        <v>10.000244307899578</v>
      </c>
      <c r="AU65" s="1064">
        <f>1000*SUM(AQ65:AQ95)/SUM(D65:D95)</f>
        <v>10.592257724522824</v>
      </c>
      <c r="AV65" s="277">
        <v>3</v>
      </c>
      <c r="AW65" s="137">
        <v>12</v>
      </c>
      <c r="AX65" s="138">
        <f t="shared" si="35"/>
        <v>18.60228</v>
      </c>
      <c r="AY65" s="138">
        <f t="shared" si="71"/>
        <v>3.0145946839439031</v>
      </c>
      <c r="AZ65" s="139">
        <f t="shared" si="45"/>
        <v>1068.3909480000004</v>
      </c>
      <c r="BA65" s="194">
        <f t="shared" si="10"/>
        <v>3.2038339073449453</v>
      </c>
      <c r="BB65" s="1065">
        <f>1000*SUM(AX65:AX95)/SUM(D65:D95)</f>
        <v>3.0466276371105678</v>
      </c>
      <c r="BC65" s="127">
        <f>BE64</f>
        <v>34830</v>
      </c>
      <c r="BD65" s="59"/>
      <c r="BE65" s="56">
        <v>34830</v>
      </c>
      <c r="BF65" s="56">
        <f t="shared" si="37"/>
        <v>0</v>
      </c>
      <c r="BG65" s="58">
        <f t="shared" si="27"/>
        <v>29182</v>
      </c>
      <c r="BH65" s="58">
        <f t="shared" si="11"/>
        <v>87.509428322243863</v>
      </c>
      <c r="BI65" s="1132">
        <f>1000*SUM(BF65:BF95)/SUM(D65:D95)</f>
        <v>72.669962685886546</v>
      </c>
      <c r="BJ65" s="64">
        <f t="shared" si="67"/>
        <v>1500</v>
      </c>
      <c r="BK65" s="64">
        <v>240</v>
      </c>
      <c r="BL65" s="64">
        <v>1710</v>
      </c>
      <c r="BM65" s="64">
        <f t="shared" si="28"/>
        <v>30</v>
      </c>
      <c r="BN65" s="65">
        <f t="shared" si="75"/>
        <v>5.8652402402402402E-2</v>
      </c>
      <c r="BO65" s="64">
        <f t="shared" si="30"/>
        <v>6890</v>
      </c>
      <c r="BP65" s="65">
        <f t="shared" si="31"/>
        <v>0.24675617696249946</v>
      </c>
      <c r="BQ65" s="1067">
        <f>SUM(BM65:BM95)/SUM(B65:B95)</f>
        <v>0.23264834387896294</v>
      </c>
      <c r="BR65" s="117">
        <f t="shared" si="68"/>
        <v>29326</v>
      </c>
      <c r="BS65" s="118"/>
      <c r="BT65" s="118">
        <v>28402</v>
      </c>
      <c r="BU65" s="120">
        <f t="shared" si="55"/>
        <v>924</v>
      </c>
      <c r="BV65" s="120">
        <f t="shared" si="56"/>
        <v>163859</v>
      </c>
      <c r="BW65" s="120">
        <f t="shared" si="13"/>
        <v>491.37164743521885</v>
      </c>
      <c r="BX65" s="1063">
        <f>1000*SUM(BU65:BU95)/SUM(D65:D95)</f>
        <v>358.97196304576477</v>
      </c>
      <c r="BY65" s="301">
        <f t="shared" si="69"/>
        <v>1760</v>
      </c>
      <c r="BZ65" s="302"/>
      <c r="CA65" s="302">
        <v>1100</v>
      </c>
      <c r="CB65" s="302">
        <f t="shared" si="14"/>
        <v>660</v>
      </c>
      <c r="CC65" s="304">
        <f t="shared" si="76"/>
        <v>1.2903528528528529</v>
      </c>
      <c r="CD65" s="302">
        <f t="shared" si="48"/>
        <v>12700</v>
      </c>
      <c r="CE65" s="304">
        <f t="shared" si="16"/>
        <v>0.45483359178864197</v>
      </c>
      <c r="CF65" s="1060">
        <f>SUM(CB65:CB95)/SUM(B65:B95)</f>
        <v>0.57899206485131738</v>
      </c>
    </row>
    <row r="66" spans="1:84">
      <c r="A66" s="30">
        <v>44379</v>
      </c>
      <c r="B66" s="380">
        <v>561.50199999999995</v>
      </c>
      <c r="C66" s="842">
        <f t="shared" si="39"/>
        <v>28483.802000000007</v>
      </c>
      <c r="D66" s="842">
        <v>6312.14</v>
      </c>
      <c r="E66" s="843">
        <f t="shared" si="40"/>
        <v>339784.77899999998</v>
      </c>
      <c r="F66" s="243">
        <f t="shared" si="63"/>
        <v>50000</v>
      </c>
      <c r="G66" s="240"/>
      <c r="H66" s="280"/>
      <c r="I66" s="240">
        <v>30000</v>
      </c>
      <c r="J66" s="240">
        <f t="shared" si="17"/>
        <v>20000</v>
      </c>
      <c r="K66" s="280">
        <f t="shared" ref="K66:K93" si="77">J66*1000/B66</f>
        <v>35618.751135347695</v>
      </c>
      <c r="L66" s="240">
        <f t="shared" si="49"/>
        <v>906825</v>
      </c>
      <c r="M66" s="280">
        <f t="shared" si="20"/>
        <v>31836.515364065504</v>
      </c>
      <c r="N66" s="280">
        <f t="shared" si="21"/>
        <v>3898.1897103055594</v>
      </c>
      <c r="O66" s="1089"/>
      <c r="P66" s="1084"/>
      <c r="Q66" s="77">
        <f t="shared" si="22"/>
        <v>41692</v>
      </c>
      <c r="R66" s="35"/>
      <c r="S66" s="35">
        <v>41692</v>
      </c>
      <c r="T66" s="35">
        <f t="shared" si="0"/>
        <v>0</v>
      </c>
      <c r="U66" s="36">
        <f t="shared" si="72"/>
        <v>0</v>
      </c>
      <c r="V66" s="74">
        <f t="shared" si="23"/>
        <v>44722</v>
      </c>
      <c r="W66" s="36">
        <f t="shared" si="24"/>
        <v>1.5700853418374412</v>
      </c>
      <c r="X66" s="1136"/>
      <c r="Y66" s="49">
        <f t="shared" si="64"/>
        <v>1106</v>
      </c>
      <c r="Z66" s="50"/>
      <c r="AA66" s="50">
        <v>1073</v>
      </c>
      <c r="AB66" s="50">
        <f t="shared" si="2"/>
        <v>33</v>
      </c>
      <c r="AC66" s="51">
        <f t="shared" ref="AC66:AC93" si="78">AB66/B66</f>
        <v>5.87709393733237E-2</v>
      </c>
      <c r="AD66" s="50">
        <f t="shared" si="25"/>
        <v>3461</v>
      </c>
      <c r="AE66" s="51">
        <f t="shared" si="4"/>
        <v>0.12150765547380224</v>
      </c>
      <c r="AF66" s="1047"/>
      <c r="AG66" s="40">
        <f t="shared" si="65"/>
        <v>1385</v>
      </c>
      <c r="AH66" s="41"/>
      <c r="AI66" s="41">
        <v>1385</v>
      </c>
      <c r="AJ66" s="41">
        <f t="shared" si="54"/>
        <v>0</v>
      </c>
      <c r="AK66" s="42">
        <f t="shared" si="74"/>
        <v>0</v>
      </c>
      <c r="AL66" s="41">
        <f t="shared" si="43"/>
        <v>1740</v>
      </c>
      <c r="AM66" s="42">
        <f t="shared" si="26"/>
        <v>6.1087350628262323E-2</v>
      </c>
      <c r="AN66" s="1058"/>
      <c r="AO66" s="67">
        <v>7.3</v>
      </c>
      <c r="AP66" s="67">
        <v>24</v>
      </c>
      <c r="AQ66" s="68">
        <f t="shared" si="34"/>
        <v>87.083159999999992</v>
      </c>
      <c r="AR66" s="68">
        <f t="shared" si="70"/>
        <v>13.796138868909749</v>
      </c>
      <c r="AS66" s="69">
        <f t="shared" si="44"/>
        <v>3421.8910200000005</v>
      </c>
      <c r="AT66" s="140">
        <f t="shared" si="8"/>
        <v>10.070760173751045</v>
      </c>
      <c r="AU66" s="1073"/>
      <c r="AV66" s="70">
        <v>3.2</v>
      </c>
      <c r="AW66" s="71">
        <v>12</v>
      </c>
      <c r="AX66" s="72">
        <f t="shared" si="35"/>
        <v>19.842432000000002</v>
      </c>
      <c r="AY66" s="72">
        <f t="shared" si="71"/>
        <v>3.1435348392145928</v>
      </c>
      <c r="AZ66" s="73">
        <f t="shared" si="45"/>
        <v>1088.2333800000004</v>
      </c>
      <c r="BA66" s="192">
        <f t="shared" si="10"/>
        <v>3.2027137389812284</v>
      </c>
      <c r="BB66" s="1075"/>
      <c r="BC66" s="90">
        <f t="shared" ref="BC66:BC94" si="79">BE65</f>
        <v>34830</v>
      </c>
      <c r="BD66" s="59"/>
      <c r="BE66" s="56">
        <v>33068</v>
      </c>
      <c r="BF66" s="56">
        <f t="shared" si="37"/>
        <v>1762</v>
      </c>
      <c r="BG66" s="58">
        <f t="shared" si="27"/>
        <v>30944</v>
      </c>
      <c r="BH66" s="58">
        <f t="shared" si="11"/>
        <v>91.069411911473537</v>
      </c>
      <c r="BI66" s="1133"/>
      <c r="BJ66" s="64">
        <f t="shared" si="67"/>
        <v>1710</v>
      </c>
      <c r="BK66" s="64"/>
      <c r="BL66" s="64">
        <v>1445</v>
      </c>
      <c r="BM66" s="64">
        <f t="shared" si="28"/>
        <v>265</v>
      </c>
      <c r="BN66" s="65">
        <f t="shared" si="75"/>
        <v>0.47194845254335699</v>
      </c>
      <c r="BO66" s="64">
        <f t="shared" si="30"/>
        <v>7155</v>
      </c>
      <c r="BP66" s="65">
        <f t="shared" si="31"/>
        <v>0.25119539870414764</v>
      </c>
      <c r="BQ66" s="1071"/>
      <c r="BR66" s="77">
        <f t="shared" si="68"/>
        <v>28402</v>
      </c>
      <c r="BS66" s="35"/>
      <c r="BT66" s="35">
        <v>26553</v>
      </c>
      <c r="BU66" s="74">
        <f t="shared" si="55"/>
        <v>1849</v>
      </c>
      <c r="BV66" s="74">
        <f t="shared" si="56"/>
        <v>165708</v>
      </c>
      <c r="BW66" s="74">
        <f t="shared" si="13"/>
        <v>487.68517673947957</v>
      </c>
      <c r="BX66" s="1098"/>
      <c r="BY66" s="295">
        <f t="shared" si="69"/>
        <v>1100</v>
      </c>
      <c r="BZ66" s="296"/>
      <c r="CA66" s="296">
        <v>1000</v>
      </c>
      <c r="CB66" s="296">
        <f t="shared" si="14"/>
        <v>100</v>
      </c>
      <c r="CC66" s="297">
        <f t="shared" si="76"/>
        <v>0.17809375567673849</v>
      </c>
      <c r="CD66" s="296">
        <f t="shared" si="48"/>
        <v>12800</v>
      </c>
      <c r="CE66" s="297">
        <f t="shared" si="16"/>
        <v>0.44937821151825158</v>
      </c>
      <c r="CF66" s="1061"/>
    </row>
    <row r="67" spans="1:84">
      <c r="A67" s="30">
        <v>44380</v>
      </c>
      <c r="B67" s="380">
        <v>524.33699999999999</v>
      </c>
      <c r="C67" s="842">
        <f t="shared" si="39"/>
        <v>29008.139000000006</v>
      </c>
      <c r="D67" s="842">
        <v>6264.9</v>
      </c>
      <c r="E67" s="843">
        <f t="shared" si="40"/>
        <v>346049.679</v>
      </c>
      <c r="F67" s="243">
        <f t="shared" si="63"/>
        <v>30000</v>
      </c>
      <c r="G67" s="240"/>
      <c r="H67" s="280"/>
      <c r="I67" s="240">
        <v>29000</v>
      </c>
      <c r="J67" s="240">
        <f t="shared" si="17"/>
        <v>1000</v>
      </c>
      <c r="K67" s="280">
        <f t="shared" si="77"/>
        <v>1907.1703885096799</v>
      </c>
      <c r="L67" s="240">
        <f t="shared" si="49"/>
        <v>907825</v>
      </c>
      <c r="M67" s="280">
        <f t="shared" si="20"/>
        <v>31295.527093275436</v>
      </c>
      <c r="N67" s="280">
        <f t="shared" si="21"/>
        <v>3831.9489522805725</v>
      </c>
      <c r="O67" s="1089"/>
      <c r="P67" s="1084"/>
      <c r="Q67" s="77">
        <f t="shared" si="22"/>
        <v>41692</v>
      </c>
      <c r="R67" s="35"/>
      <c r="S67" s="35">
        <v>41692</v>
      </c>
      <c r="T67" s="35">
        <f t="shared" ref="T67:T130" si="80">Q67+R67-S67</f>
        <v>0</v>
      </c>
      <c r="U67" s="36">
        <f t="shared" si="72"/>
        <v>0</v>
      </c>
      <c r="V67" s="74">
        <f t="shared" si="23"/>
        <v>44722</v>
      </c>
      <c r="W67" s="36">
        <f t="shared" si="24"/>
        <v>1.5417052434835612</v>
      </c>
      <c r="X67" s="1136"/>
      <c r="Y67" s="49">
        <f t="shared" si="64"/>
        <v>1073</v>
      </c>
      <c r="Z67" s="50"/>
      <c r="AA67" s="50">
        <v>1057</v>
      </c>
      <c r="AB67" s="50">
        <f t="shared" ref="AB67:AB130" si="81">Y67+Z67-AA67</f>
        <v>16</v>
      </c>
      <c r="AC67" s="51">
        <f t="shared" si="78"/>
        <v>3.0514726216154878E-2</v>
      </c>
      <c r="AD67" s="50">
        <f t="shared" si="25"/>
        <v>3477</v>
      </c>
      <c r="AE67" s="51">
        <f t="shared" ref="AE67:AE130" si="82">AD67/C67</f>
        <v>0.11986291157802295</v>
      </c>
      <c r="AF67" s="1047"/>
      <c r="AG67" s="40">
        <f t="shared" si="65"/>
        <v>1385</v>
      </c>
      <c r="AH67" s="41"/>
      <c r="AI67" s="41">
        <v>1363</v>
      </c>
      <c r="AJ67" s="41">
        <f t="shared" si="54"/>
        <v>22</v>
      </c>
      <c r="AK67" s="42">
        <f t="shared" si="74"/>
        <v>41.957748547212958</v>
      </c>
      <c r="AL67" s="41">
        <f t="shared" si="43"/>
        <v>1762</v>
      </c>
      <c r="AM67" s="42">
        <f t="shared" si="26"/>
        <v>6.0741573252941168E-2</v>
      </c>
      <c r="AN67" s="1058"/>
      <c r="AO67" s="67">
        <v>6.85</v>
      </c>
      <c r="AP67" s="67">
        <v>24</v>
      </c>
      <c r="AQ67" s="68">
        <f t="shared" si="34"/>
        <v>81.715019999999981</v>
      </c>
      <c r="AR67" s="68">
        <f t="shared" si="70"/>
        <v>13.043307953838047</v>
      </c>
      <c r="AS67" s="69">
        <f t="shared" si="44"/>
        <v>3503.6060400000006</v>
      </c>
      <c r="AT67" s="140">
        <f t="shared" ref="AT67:AT130" si="83">AS67*1000/E67</f>
        <v>10.124575321452619</v>
      </c>
      <c r="AU67" s="1073"/>
      <c r="AV67" s="70">
        <v>3.7</v>
      </c>
      <c r="AW67" s="71">
        <v>12</v>
      </c>
      <c r="AX67" s="72">
        <f t="shared" si="35"/>
        <v>22.942812000000004</v>
      </c>
      <c r="AY67" s="72">
        <f t="shared" si="71"/>
        <v>3.662119427285353</v>
      </c>
      <c r="AZ67" s="73">
        <f t="shared" si="45"/>
        <v>1111.1761920000004</v>
      </c>
      <c r="BA67" s="192">
        <f t="shared" ref="BA67:BA130" si="84">AZ67*1000/E67</f>
        <v>3.2110308416150857</v>
      </c>
      <c r="BB67" s="1075"/>
      <c r="BC67" s="90">
        <f t="shared" si="79"/>
        <v>33068</v>
      </c>
      <c r="BD67" s="59"/>
      <c r="BE67" s="56">
        <v>33068</v>
      </c>
      <c r="BF67" s="56">
        <f t="shared" si="37"/>
        <v>0</v>
      </c>
      <c r="BG67" s="58">
        <f t="shared" si="27"/>
        <v>30944</v>
      </c>
      <c r="BH67" s="58">
        <f t="shared" ref="BH67:BH130" si="85">BG67*1000/E67</f>
        <v>89.420686906633421</v>
      </c>
      <c r="BI67" s="1133"/>
      <c r="BJ67" s="64">
        <f t="shared" si="67"/>
        <v>1445</v>
      </c>
      <c r="BK67" s="64"/>
      <c r="BL67" s="64">
        <v>1330</v>
      </c>
      <c r="BM67" s="64">
        <f t="shared" si="28"/>
        <v>115</v>
      </c>
      <c r="BN67" s="65">
        <f t="shared" si="75"/>
        <v>0.21932459467861318</v>
      </c>
      <c r="BO67" s="64">
        <f t="shared" si="30"/>
        <v>7270</v>
      </c>
      <c r="BP67" s="65">
        <f t="shared" si="31"/>
        <v>0.2506193175646324</v>
      </c>
      <c r="BQ67" s="1071"/>
      <c r="BR67" s="77">
        <f t="shared" si="68"/>
        <v>26553</v>
      </c>
      <c r="BS67" s="35"/>
      <c r="BT67" s="35">
        <v>25629</v>
      </c>
      <c r="BU67" s="74">
        <f t="shared" si="55"/>
        <v>924</v>
      </c>
      <c r="BV67" s="74">
        <f t="shared" si="56"/>
        <v>166632</v>
      </c>
      <c r="BW67" s="74">
        <f t="shared" ref="BW67:BW130" si="86">BV67*1000/E67</f>
        <v>481.52623773998647</v>
      </c>
      <c r="BX67" s="1098"/>
      <c r="BY67" s="295">
        <f t="shared" si="69"/>
        <v>1000</v>
      </c>
      <c r="BZ67" s="296"/>
      <c r="CA67" s="296">
        <v>640</v>
      </c>
      <c r="CB67" s="296">
        <f t="shared" ref="CB67:CB130" si="87">BY67+BZ67-CA67</f>
        <v>360</v>
      </c>
      <c r="CC67" s="297">
        <f t="shared" si="76"/>
        <v>0.6865813398634848</v>
      </c>
      <c r="CD67" s="296">
        <f t="shared" si="48"/>
        <v>13160</v>
      </c>
      <c r="CE67" s="297">
        <f t="shared" ref="CE67:CE130" si="88">CD67/C67</f>
        <v>0.45366577980062756</v>
      </c>
      <c r="CF67" s="1061"/>
    </row>
    <row r="68" spans="1:84">
      <c r="A68" s="30">
        <v>44381</v>
      </c>
      <c r="B68" s="380">
        <v>532.77300000000002</v>
      </c>
      <c r="C68" s="842">
        <f t="shared" si="39"/>
        <v>29540.912000000008</v>
      </c>
      <c r="D68" s="842">
        <v>6213.2</v>
      </c>
      <c r="E68" s="843">
        <f t="shared" si="40"/>
        <v>352262.87900000002</v>
      </c>
      <c r="F68" s="243">
        <f t="shared" si="63"/>
        <v>29000</v>
      </c>
      <c r="G68" s="240">
        <v>52156</v>
      </c>
      <c r="H68" s="280">
        <v>5.88</v>
      </c>
      <c r="I68" s="240">
        <v>10000</v>
      </c>
      <c r="J68" s="240">
        <f t="shared" ref="J68:J131" si="89">F68+G68-I68</f>
        <v>71156</v>
      </c>
      <c r="K68" s="280"/>
      <c r="L68" s="240">
        <f t="shared" si="49"/>
        <v>978981</v>
      </c>
      <c r="M68" s="280">
        <f t="shared" ref="M68:M131" si="90">L68*1000/C68</f>
        <v>33139.836711879434</v>
      </c>
      <c r="N68" s="280">
        <f t="shared" ref="N68:N131" si="91">M68/8.167</f>
        <v>4057.7735657988778</v>
      </c>
      <c r="O68" s="1089"/>
      <c r="P68" s="1084"/>
      <c r="Q68" s="77">
        <f t="shared" ref="Q68:Q131" si="92">S67</f>
        <v>41692</v>
      </c>
      <c r="R68" s="35"/>
      <c r="S68" s="35">
        <v>41692</v>
      </c>
      <c r="T68" s="35">
        <f t="shared" si="80"/>
        <v>0</v>
      </c>
      <c r="U68" s="36">
        <f t="shared" si="72"/>
        <v>0</v>
      </c>
      <c r="V68" s="74">
        <f t="shared" ref="V68:V131" si="93">V67+T68</f>
        <v>44722</v>
      </c>
      <c r="W68" s="36">
        <f t="shared" ref="W68:W131" si="94">V68/C68</f>
        <v>1.513900451008418</v>
      </c>
      <c r="X68" s="1136"/>
      <c r="Y68" s="49">
        <f t="shared" si="64"/>
        <v>1057</v>
      </c>
      <c r="Z68" s="50"/>
      <c r="AA68" s="50">
        <v>1007</v>
      </c>
      <c r="AB68" s="50">
        <f t="shared" si="81"/>
        <v>50</v>
      </c>
      <c r="AC68" s="51">
        <f t="shared" si="78"/>
        <v>9.3848599685044096E-2</v>
      </c>
      <c r="AD68" s="50">
        <f t="shared" ref="AD68:AD131" si="95">AD67+AB68</f>
        <v>3527</v>
      </c>
      <c r="AE68" s="51">
        <f t="shared" si="82"/>
        <v>0.11939374112755893</v>
      </c>
      <c r="AF68" s="1047"/>
      <c r="AG68" s="40">
        <f t="shared" si="65"/>
        <v>1363</v>
      </c>
      <c r="AH68" s="41"/>
      <c r="AI68" s="41">
        <v>1260</v>
      </c>
      <c r="AJ68" s="41">
        <f t="shared" si="54"/>
        <v>103</v>
      </c>
      <c r="AK68" s="42">
        <f t="shared" si="74"/>
        <v>193.32811535119083</v>
      </c>
      <c r="AL68" s="41">
        <f t="shared" si="43"/>
        <v>1865</v>
      </c>
      <c r="AM68" s="42">
        <f t="shared" ref="AM68:AM131" si="96">AL68/C68</f>
        <v>6.3132783442840207E-2</v>
      </c>
      <c r="AN68" s="1058"/>
      <c r="AO68" s="67">
        <v>5.7</v>
      </c>
      <c r="AP68" s="67">
        <v>24</v>
      </c>
      <c r="AQ68" s="68">
        <f t="shared" si="34"/>
        <v>67.996440000000007</v>
      </c>
      <c r="AR68" s="68">
        <f t="shared" si="70"/>
        <v>10.943867894160819</v>
      </c>
      <c r="AS68" s="69">
        <f t="shared" si="44"/>
        <v>3571.6024800000005</v>
      </c>
      <c r="AT68" s="140">
        <f t="shared" si="83"/>
        <v>10.139025974405893</v>
      </c>
      <c r="AU68" s="1073"/>
      <c r="AV68" s="70">
        <v>3.1</v>
      </c>
      <c r="AW68" s="71">
        <v>12</v>
      </c>
      <c r="AX68" s="72">
        <f t="shared" si="35"/>
        <v>19.222356000000001</v>
      </c>
      <c r="AY68" s="72">
        <f t="shared" si="71"/>
        <v>3.093793214446662</v>
      </c>
      <c r="AZ68" s="73">
        <f t="shared" si="45"/>
        <v>1130.3985480000003</v>
      </c>
      <c r="BA68" s="192">
        <f t="shared" si="84"/>
        <v>3.2089630085604348</v>
      </c>
      <c r="BB68" s="1075"/>
      <c r="BC68" s="90">
        <f t="shared" si="79"/>
        <v>33068</v>
      </c>
      <c r="BD68" s="59"/>
      <c r="BE68" s="56">
        <v>33068</v>
      </c>
      <c r="BF68" s="56">
        <f t="shared" si="37"/>
        <v>0</v>
      </c>
      <c r="BG68" s="58">
        <f t="shared" ref="BG68:BG131" si="97">BG67+BF68</f>
        <v>30944</v>
      </c>
      <c r="BH68" s="58">
        <f t="shared" si="85"/>
        <v>87.843488044620216</v>
      </c>
      <c r="BI68" s="1133"/>
      <c r="BJ68" s="64">
        <f t="shared" si="67"/>
        <v>1330</v>
      </c>
      <c r="BK68" s="64"/>
      <c r="BL68" s="64">
        <v>1190</v>
      </c>
      <c r="BM68" s="64">
        <f t="shared" ref="BM68:BM131" si="98">BJ68+BK68-BL68</f>
        <v>140</v>
      </c>
      <c r="BN68" s="65">
        <f t="shared" si="75"/>
        <v>0.26277607911812345</v>
      </c>
      <c r="BO68" s="64">
        <f t="shared" ref="BO68:BO131" si="99">BO67+BM68</f>
        <v>7410</v>
      </c>
      <c r="BP68" s="65">
        <f t="shared" ref="BP68:BP131" si="100">BO68/C68</f>
        <v>0.25083856585064124</v>
      </c>
      <c r="BQ68" s="1071"/>
      <c r="BR68" s="77">
        <f t="shared" si="68"/>
        <v>25629</v>
      </c>
      <c r="BS68" s="35"/>
      <c r="BT68" s="35">
        <v>23781</v>
      </c>
      <c r="BU68" s="74">
        <f t="shared" si="55"/>
        <v>1848</v>
      </c>
      <c r="BV68" s="74">
        <f t="shared" si="56"/>
        <v>168480</v>
      </c>
      <c r="BW68" s="74">
        <f t="shared" si="86"/>
        <v>478.27917740943684</v>
      </c>
      <c r="BX68" s="1098"/>
      <c r="BY68" s="295">
        <f t="shared" si="69"/>
        <v>640</v>
      </c>
      <c r="BZ68" s="296"/>
      <c r="CA68" s="296">
        <v>340</v>
      </c>
      <c r="CB68" s="296">
        <f t="shared" si="87"/>
        <v>300</v>
      </c>
      <c r="CC68" s="297">
        <f t="shared" si="76"/>
        <v>0.56309159811026455</v>
      </c>
      <c r="CD68" s="296">
        <f t="shared" si="48"/>
        <v>13460</v>
      </c>
      <c r="CE68" s="297">
        <f t="shared" si="88"/>
        <v>0.45563928425771</v>
      </c>
      <c r="CF68" s="1061"/>
    </row>
    <row r="69" spans="1:84">
      <c r="A69" s="30">
        <v>44382</v>
      </c>
      <c r="B69" s="380">
        <v>535.89</v>
      </c>
      <c r="C69" s="842">
        <f t="shared" si="39"/>
        <v>30076.802000000007</v>
      </c>
      <c r="D69" s="842">
        <v>6523.72</v>
      </c>
      <c r="E69" s="843">
        <f t="shared" si="40"/>
        <v>358786.59899999999</v>
      </c>
      <c r="F69" s="243">
        <f t="shared" si="63"/>
        <v>10000</v>
      </c>
      <c r="G69" s="240">
        <v>32750</v>
      </c>
      <c r="H69" s="280">
        <v>19.25</v>
      </c>
      <c r="I69" s="240">
        <v>29000</v>
      </c>
      <c r="J69" s="240">
        <f t="shared" si="89"/>
        <v>13750</v>
      </c>
      <c r="K69" s="280">
        <f t="shared" si="77"/>
        <v>25658.25076041725</v>
      </c>
      <c r="L69" s="240">
        <f t="shared" si="49"/>
        <v>992731</v>
      </c>
      <c r="M69" s="280">
        <f t="shared" si="90"/>
        <v>33006.534404821359</v>
      </c>
      <c r="N69" s="280">
        <f t="shared" si="91"/>
        <v>4041.4515005291246</v>
      </c>
      <c r="O69" s="1089"/>
      <c r="P69" s="1084"/>
      <c r="Q69" s="77">
        <f t="shared" si="92"/>
        <v>41692</v>
      </c>
      <c r="R69" s="35"/>
      <c r="S69" s="35">
        <v>41692</v>
      </c>
      <c r="T69" s="35">
        <f t="shared" si="80"/>
        <v>0</v>
      </c>
      <c r="U69" s="36">
        <f t="shared" si="72"/>
        <v>0</v>
      </c>
      <c r="V69" s="74">
        <f t="shared" si="93"/>
        <v>44722</v>
      </c>
      <c r="W69" s="36">
        <f t="shared" si="94"/>
        <v>1.4869267018481549</v>
      </c>
      <c r="X69" s="1136"/>
      <c r="Y69" s="49">
        <f t="shared" si="64"/>
        <v>1007</v>
      </c>
      <c r="Z69" s="50">
        <v>500</v>
      </c>
      <c r="AA69" s="50">
        <v>1401</v>
      </c>
      <c r="AB69" s="50">
        <f t="shared" si="81"/>
        <v>106</v>
      </c>
      <c r="AC69" s="51">
        <f t="shared" si="78"/>
        <v>0.19780178768030754</v>
      </c>
      <c r="AD69" s="50">
        <f t="shared" si="95"/>
        <v>3633</v>
      </c>
      <c r="AE69" s="51">
        <f t="shared" si="82"/>
        <v>0.12079076758227152</v>
      </c>
      <c r="AF69" s="1047"/>
      <c r="AG69" s="40">
        <f t="shared" si="65"/>
        <v>1260</v>
      </c>
      <c r="AH69" s="41">
        <v>240</v>
      </c>
      <c r="AI69" s="41">
        <v>1490</v>
      </c>
      <c r="AJ69" s="41">
        <f t="shared" si="54"/>
        <v>10</v>
      </c>
      <c r="AK69" s="42">
        <f t="shared" si="74"/>
        <v>18.660546007576183</v>
      </c>
      <c r="AL69" s="41">
        <f t="shared" si="43"/>
        <v>1875</v>
      </c>
      <c r="AM69" s="42">
        <f t="shared" si="96"/>
        <v>6.2340404408686788E-2</v>
      </c>
      <c r="AN69" s="1058"/>
      <c r="AO69" s="67">
        <v>5.55</v>
      </c>
      <c r="AP69" s="67">
        <v>24</v>
      </c>
      <c r="AQ69" s="68">
        <f t="shared" ref="AQ69:AQ132" si="101">AO69*AP69*0.49705</f>
        <v>66.207059999999998</v>
      </c>
      <c r="AR69" s="68">
        <f t="shared" si="70"/>
        <v>10.148666711630787</v>
      </c>
      <c r="AS69" s="69">
        <f t="shared" si="44"/>
        <v>3637.8095400000007</v>
      </c>
      <c r="AT69" s="140">
        <f t="shared" si="83"/>
        <v>10.139201269331691</v>
      </c>
      <c r="AU69" s="1073"/>
      <c r="AV69" s="70">
        <v>3.2</v>
      </c>
      <c r="AW69" s="71">
        <v>12</v>
      </c>
      <c r="AX69" s="72">
        <f t="shared" ref="AX69:AX132" si="102">AV69*AW69*0.51673</f>
        <v>19.842432000000002</v>
      </c>
      <c r="AY69" s="72">
        <f t="shared" si="71"/>
        <v>3.0415824100359918</v>
      </c>
      <c r="AZ69" s="73">
        <f t="shared" si="45"/>
        <v>1150.2409800000003</v>
      </c>
      <c r="BA69" s="192">
        <f t="shared" si="84"/>
        <v>3.2059195722636238</v>
      </c>
      <c r="BB69" s="1075"/>
      <c r="BC69" s="90">
        <f t="shared" si="79"/>
        <v>33068</v>
      </c>
      <c r="BD69" s="59"/>
      <c r="BE69" s="56">
        <v>33068</v>
      </c>
      <c r="BF69" s="56">
        <f t="shared" ref="BF69:BF132" si="103">BC69-BE69+BD69</f>
        <v>0</v>
      </c>
      <c r="BG69" s="58">
        <f t="shared" si="97"/>
        <v>30944</v>
      </c>
      <c r="BH69" s="58">
        <f t="shared" si="85"/>
        <v>86.246253584292873</v>
      </c>
      <c r="BI69" s="1133"/>
      <c r="BJ69" s="64">
        <f t="shared" si="67"/>
        <v>1190</v>
      </c>
      <c r="BK69" s="64"/>
      <c r="BL69" s="64">
        <v>1000</v>
      </c>
      <c r="BM69" s="64">
        <f t="shared" si="98"/>
        <v>190</v>
      </c>
      <c r="BN69" s="65">
        <f t="shared" si="75"/>
        <v>0.35455037414394747</v>
      </c>
      <c r="BO69" s="64">
        <f t="shared" si="99"/>
        <v>7600</v>
      </c>
      <c r="BP69" s="65">
        <f t="shared" si="100"/>
        <v>0.25268643920321043</v>
      </c>
      <c r="BQ69" s="1071"/>
      <c r="BR69" s="77">
        <f t="shared" si="68"/>
        <v>23781</v>
      </c>
      <c r="BS69" s="35"/>
      <c r="BT69" s="35">
        <v>22857</v>
      </c>
      <c r="BU69" s="74">
        <f t="shared" si="55"/>
        <v>924</v>
      </c>
      <c r="BV69" s="74">
        <f t="shared" si="56"/>
        <v>169404</v>
      </c>
      <c r="BW69" s="74">
        <f t="shared" si="86"/>
        <v>472.15810309570679</v>
      </c>
      <c r="BX69" s="1098"/>
      <c r="BY69" s="295">
        <f t="shared" si="69"/>
        <v>340</v>
      </c>
      <c r="BZ69" s="296"/>
      <c r="CA69" s="296">
        <v>40</v>
      </c>
      <c r="CB69" s="296">
        <f t="shared" si="87"/>
        <v>300</v>
      </c>
      <c r="CC69" s="297">
        <f t="shared" si="76"/>
        <v>0.55981638022728542</v>
      </c>
      <c r="CD69" s="296">
        <f t="shared" si="48"/>
        <v>13760</v>
      </c>
      <c r="CE69" s="297">
        <f t="shared" si="88"/>
        <v>0.45749544782054941</v>
      </c>
      <c r="CF69" s="1061"/>
    </row>
    <row r="70" spans="1:84">
      <c r="A70" s="30">
        <v>44383</v>
      </c>
      <c r="B70" s="380">
        <v>659.29600000000005</v>
      </c>
      <c r="C70" s="842">
        <f t="shared" ref="C70:C133" si="104">C69+B70</f>
        <v>30736.098000000005</v>
      </c>
      <c r="D70" s="842">
        <v>7248.3</v>
      </c>
      <c r="E70" s="843">
        <f t="shared" ref="E70:E95" si="105">E69+D70</f>
        <v>366034.89899999998</v>
      </c>
      <c r="F70" s="243">
        <f t="shared" si="63"/>
        <v>29000</v>
      </c>
      <c r="G70" s="240">
        <v>32500</v>
      </c>
      <c r="H70" s="280">
        <v>13.31</v>
      </c>
      <c r="I70" s="240">
        <v>32400</v>
      </c>
      <c r="J70" s="240">
        <f t="shared" si="89"/>
        <v>29100</v>
      </c>
      <c r="K70" s="280">
        <f t="shared" si="77"/>
        <v>44137.989613163125</v>
      </c>
      <c r="L70" s="240">
        <f t="shared" si="49"/>
        <v>1021831</v>
      </c>
      <c r="M70" s="280">
        <f t="shared" si="90"/>
        <v>33245.306544766994</v>
      </c>
      <c r="N70" s="280">
        <f t="shared" si="91"/>
        <v>4070.6877121056687</v>
      </c>
      <c r="O70" s="1089"/>
      <c r="P70" s="1084"/>
      <c r="Q70" s="77">
        <f t="shared" si="92"/>
        <v>41692</v>
      </c>
      <c r="R70" s="35"/>
      <c r="S70" s="35">
        <v>41692</v>
      </c>
      <c r="T70" s="35">
        <f t="shared" si="80"/>
        <v>0</v>
      </c>
      <c r="U70" s="36">
        <f t="shared" si="72"/>
        <v>0</v>
      </c>
      <c r="V70" s="74">
        <f t="shared" si="93"/>
        <v>44722</v>
      </c>
      <c r="W70" s="36">
        <f t="shared" si="94"/>
        <v>1.4550318000677898</v>
      </c>
      <c r="X70" s="1136"/>
      <c r="Y70" s="49">
        <f t="shared" si="64"/>
        <v>1401</v>
      </c>
      <c r="Z70" s="50"/>
      <c r="AA70" s="50">
        <v>1306</v>
      </c>
      <c r="AB70" s="50">
        <f t="shared" si="81"/>
        <v>95</v>
      </c>
      <c r="AC70" s="51">
        <f t="shared" si="78"/>
        <v>0.1440930932388487</v>
      </c>
      <c r="AD70" s="50">
        <f t="shared" si="95"/>
        <v>3728</v>
      </c>
      <c r="AE70" s="51">
        <f t="shared" si="82"/>
        <v>0.12129060754556416</v>
      </c>
      <c r="AF70" s="1047"/>
      <c r="AG70" s="40">
        <f t="shared" si="65"/>
        <v>1490</v>
      </c>
      <c r="AH70" s="41"/>
      <c r="AI70" s="41">
        <v>1477</v>
      </c>
      <c r="AJ70" s="41">
        <f t="shared" si="54"/>
        <v>13</v>
      </c>
      <c r="AK70" s="42">
        <f t="shared" si="74"/>
        <v>19.718002232684558</v>
      </c>
      <c r="AL70" s="41">
        <f t="shared" ref="AL70:AL133" si="106">AL69+AJ70</f>
        <v>1888</v>
      </c>
      <c r="AM70" s="42">
        <f t="shared" si="96"/>
        <v>6.1426144593890862E-2</v>
      </c>
      <c r="AN70" s="1058"/>
      <c r="AO70" s="67">
        <v>4.8499999999999996</v>
      </c>
      <c r="AP70" s="67">
        <v>24</v>
      </c>
      <c r="AQ70" s="68">
        <f t="shared" si="101"/>
        <v>57.856619999999992</v>
      </c>
      <c r="AR70" s="68">
        <f t="shared" si="70"/>
        <v>7.9820951119572854</v>
      </c>
      <c r="AS70" s="69">
        <f t="shared" ref="AS70:AS133" si="107">AS69+AQ70</f>
        <v>3695.6661600000007</v>
      </c>
      <c r="AT70" s="140">
        <f t="shared" si="83"/>
        <v>10.096485799841727</v>
      </c>
      <c r="AU70" s="1073"/>
      <c r="AV70" s="70">
        <v>3.55</v>
      </c>
      <c r="AW70" s="71">
        <v>12</v>
      </c>
      <c r="AX70" s="72">
        <f t="shared" si="102"/>
        <v>22.012697999999997</v>
      </c>
      <c r="AY70" s="72">
        <f t="shared" si="71"/>
        <v>3.0369463184470837</v>
      </c>
      <c r="AZ70" s="73">
        <f t="shared" ref="AZ70:AZ133" si="108">AZ69+AX70</f>
        <v>1172.2536780000003</v>
      </c>
      <c r="BA70" s="192">
        <f t="shared" si="84"/>
        <v>3.2025735283782337</v>
      </c>
      <c r="BB70" s="1075"/>
      <c r="BC70" s="90">
        <f t="shared" si="79"/>
        <v>33068</v>
      </c>
      <c r="BD70" s="59"/>
      <c r="BE70" s="56">
        <v>32846</v>
      </c>
      <c r="BF70" s="56">
        <f t="shared" si="103"/>
        <v>222</v>
      </c>
      <c r="BG70" s="58">
        <f t="shared" si="97"/>
        <v>31166</v>
      </c>
      <c r="BH70" s="58">
        <f t="shared" si="85"/>
        <v>85.144886690162295</v>
      </c>
      <c r="BI70" s="1133"/>
      <c r="BJ70" s="64">
        <f t="shared" si="67"/>
        <v>1000</v>
      </c>
      <c r="BK70" s="64"/>
      <c r="BL70" s="64">
        <v>700</v>
      </c>
      <c r="BM70" s="64">
        <f t="shared" si="98"/>
        <v>300</v>
      </c>
      <c r="BN70" s="65">
        <f t="shared" si="75"/>
        <v>0.45503082075425905</v>
      </c>
      <c r="BO70" s="64">
        <f t="shared" si="99"/>
        <v>7900</v>
      </c>
      <c r="BP70" s="65">
        <f t="shared" si="100"/>
        <v>0.25702677028164078</v>
      </c>
      <c r="BQ70" s="1071"/>
      <c r="BR70" s="77">
        <f t="shared" si="68"/>
        <v>22857</v>
      </c>
      <c r="BS70" s="35"/>
      <c r="BT70" s="35">
        <v>20084</v>
      </c>
      <c r="BU70" s="74">
        <f t="shared" si="55"/>
        <v>2773</v>
      </c>
      <c r="BV70" s="74">
        <f t="shared" si="56"/>
        <v>172177</v>
      </c>
      <c r="BW70" s="74">
        <f t="shared" si="86"/>
        <v>470.384109467114</v>
      </c>
      <c r="BX70" s="1098"/>
      <c r="BY70" s="295">
        <f t="shared" si="69"/>
        <v>40</v>
      </c>
      <c r="BZ70" s="296">
        <v>2300</v>
      </c>
      <c r="CA70" s="296">
        <v>1750</v>
      </c>
      <c r="CB70" s="296">
        <f t="shared" si="87"/>
        <v>590</v>
      </c>
      <c r="CC70" s="297">
        <f t="shared" si="76"/>
        <v>0.89489394748337614</v>
      </c>
      <c r="CD70" s="296">
        <f t="shared" ref="CD70:CD133" si="109">CD69+CB70</f>
        <v>14350</v>
      </c>
      <c r="CE70" s="297">
        <f t="shared" si="88"/>
        <v>0.46687774095462597</v>
      </c>
      <c r="CF70" s="1061"/>
    </row>
    <row r="71" spans="1:84">
      <c r="A71" s="30">
        <v>44384</v>
      </c>
      <c r="B71" s="380">
        <v>613.05499999999995</v>
      </c>
      <c r="C71" s="842">
        <f t="shared" si="104"/>
        <v>31349.153000000006</v>
      </c>
      <c r="D71" s="842">
        <v>6981.68</v>
      </c>
      <c r="E71" s="843">
        <f t="shared" si="105"/>
        <v>373016.57899999997</v>
      </c>
      <c r="F71" s="243">
        <f t="shared" si="63"/>
        <v>32400</v>
      </c>
      <c r="G71" s="240">
        <v>31250</v>
      </c>
      <c r="H71" s="280">
        <v>19.309999999999999</v>
      </c>
      <c r="I71" s="240">
        <v>36000</v>
      </c>
      <c r="J71" s="240">
        <f t="shared" si="89"/>
        <v>27650</v>
      </c>
      <c r="K71" s="280">
        <f t="shared" si="77"/>
        <v>45101.989217933144</v>
      </c>
      <c r="L71" s="240">
        <f t="shared" ref="L71:L134" si="110">L70+J71</f>
        <v>1049481</v>
      </c>
      <c r="M71" s="280">
        <f t="shared" si="90"/>
        <v>33477.17241355771</v>
      </c>
      <c r="N71" s="280">
        <f t="shared" si="91"/>
        <v>4099.0782923420729</v>
      </c>
      <c r="O71" s="1089"/>
      <c r="P71" s="1084"/>
      <c r="Q71" s="77">
        <f t="shared" si="92"/>
        <v>41692</v>
      </c>
      <c r="R71" s="35"/>
      <c r="S71" s="35">
        <v>41692</v>
      </c>
      <c r="T71" s="35">
        <f t="shared" si="80"/>
        <v>0</v>
      </c>
      <c r="U71" s="36">
        <f t="shared" si="72"/>
        <v>0</v>
      </c>
      <c r="V71" s="74">
        <f t="shared" si="93"/>
        <v>44722</v>
      </c>
      <c r="W71" s="36">
        <f t="shared" si="94"/>
        <v>1.4265776175834797</v>
      </c>
      <c r="X71" s="1136"/>
      <c r="Y71" s="49">
        <f t="shared" si="64"/>
        <v>1306</v>
      </c>
      <c r="Z71" s="50"/>
      <c r="AA71" s="50">
        <v>1168</v>
      </c>
      <c r="AB71" s="50">
        <f t="shared" si="81"/>
        <v>138</v>
      </c>
      <c r="AC71" s="51">
        <f t="shared" si="78"/>
        <v>0.22510215233543485</v>
      </c>
      <c r="AD71" s="50">
        <f t="shared" si="95"/>
        <v>3866</v>
      </c>
      <c r="AE71" s="51">
        <f t="shared" si="82"/>
        <v>0.12332071619287448</v>
      </c>
      <c r="AF71" s="1047"/>
      <c r="AG71" s="40">
        <f t="shared" si="65"/>
        <v>1477</v>
      </c>
      <c r="AH71" s="41"/>
      <c r="AI71" s="41">
        <v>1423</v>
      </c>
      <c r="AJ71" s="41">
        <f t="shared" si="54"/>
        <v>54</v>
      </c>
      <c r="AK71" s="42">
        <f t="shared" si="74"/>
        <v>88.083450913865803</v>
      </c>
      <c r="AL71" s="41">
        <f t="shared" si="106"/>
        <v>1942</v>
      </c>
      <c r="AM71" s="42">
        <f t="shared" si="96"/>
        <v>6.1947447192592403E-2</v>
      </c>
      <c r="AN71" s="1058"/>
      <c r="AO71" s="67">
        <v>5.8</v>
      </c>
      <c r="AP71" s="67">
        <v>24</v>
      </c>
      <c r="AQ71" s="68">
        <f t="shared" si="101"/>
        <v>69.189359999999994</v>
      </c>
      <c r="AR71" s="68">
        <f t="shared" si="70"/>
        <v>9.9101305129997357</v>
      </c>
      <c r="AS71" s="69">
        <f t="shared" si="107"/>
        <v>3764.8555200000005</v>
      </c>
      <c r="AT71" s="140">
        <f t="shared" si="83"/>
        <v>10.092997823563227</v>
      </c>
      <c r="AU71" s="1073"/>
      <c r="AV71" s="70">
        <v>3.3</v>
      </c>
      <c r="AW71" s="71">
        <v>12</v>
      </c>
      <c r="AX71" s="72">
        <f t="shared" si="102"/>
        <v>20.462508</v>
      </c>
      <c r="AY71" s="72">
        <f t="shared" si="71"/>
        <v>2.9308859758682719</v>
      </c>
      <c r="AZ71" s="73">
        <f t="shared" si="108"/>
        <v>1192.7161860000003</v>
      </c>
      <c r="BA71" s="192">
        <f t="shared" si="84"/>
        <v>3.1974884043960961</v>
      </c>
      <c r="BB71" s="1075"/>
      <c r="BC71" s="90">
        <f t="shared" si="79"/>
        <v>32846</v>
      </c>
      <c r="BD71" s="59"/>
      <c r="BE71" s="56">
        <v>32401</v>
      </c>
      <c r="BF71" s="56">
        <f t="shared" si="103"/>
        <v>445</v>
      </c>
      <c r="BG71" s="58">
        <f t="shared" si="97"/>
        <v>31611</v>
      </c>
      <c r="BH71" s="58">
        <f t="shared" si="85"/>
        <v>84.744222588562224</v>
      </c>
      <c r="BI71" s="1133"/>
      <c r="BJ71" s="64">
        <f t="shared" si="67"/>
        <v>700</v>
      </c>
      <c r="BK71" s="64"/>
      <c r="BL71" s="64">
        <v>550</v>
      </c>
      <c r="BM71" s="64">
        <f t="shared" si="98"/>
        <v>150</v>
      </c>
      <c r="BN71" s="65">
        <f t="shared" si="75"/>
        <v>0.24467625253851613</v>
      </c>
      <c r="BO71" s="64">
        <f t="shared" si="99"/>
        <v>8050</v>
      </c>
      <c r="BP71" s="65">
        <f t="shared" si="100"/>
        <v>0.25678524711656481</v>
      </c>
      <c r="BQ71" s="1071"/>
      <c r="BR71" s="77">
        <f t="shared" si="68"/>
        <v>20084</v>
      </c>
      <c r="BS71" s="35"/>
      <c r="BT71" s="35">
        <v>17312</v>
      </c>
      <c r="BU71" s="74">
        <f t="shared" si="55"/>
        <v>2772</v>
      </c>
      <c r="BV71" s="74">
        <f t="shared" si="56"/>
        <v>174949</v>
      </c>
      <c r="BW71" s="74">
        <f t="shared" si="86"/>
        <v>469.01132509716149</v>
      </c>
      <c r="BX71" s="1098"/>
      <c r="BY71" s="295">
        <f t="shared" si="69"/>
        <v>1750</v>
      </c>
      <c r="BZ71" s="296"/>
      <c r="CA71" s="296">
        <v>1200</v>
      </c>
      <c r="CB71" s="296">
        <f t="shared" si="87"/>
        <v>550</v>
      </c>
      <c r="CC71" s="297">
        <f t="shared" si="76"/>
        <v>0.89714625930789249</v>
      </c>
      <c r="CD71" s="296">
        <f t="shared" si="109"/>
        <v>14900</v>
      </c>
      <c r="CE71" s="297">
        <f t="shared" si="88"/>
        <v>0.47529194807910752</v>
      </c>
      <c r="CF71" s="1061"/>
    </row>
    <row r="72" spans="1:84">
      <c r="A72" s="30">
        <v>44385</v>
      </c>
      <c r="B72" s="380">
        <v>602.51300000000003</v>
      </c>
      <c r="C72" s="842">
        <f t="shared" si="104"/>
        <v>31951.666000000005</v>
      </c>
      <c r="D72" s="842">
        <v>6752.72</v>
      </c>
      <c r="E72" s="843">
        <f t="shared" si="105"/>
        <v>379769.29899999994</v>
      </c>
      <c r="F72" s="243">
        <f t="shared" si="63"/>
        <v>36000</v>
      </c>
      <c r="G72" s="240">
        <v>32500</v>
      </c>
      <c r="H72" s="280">
        <v>19.559999999999999</v>
      </c>
      <c r="I72" s="240">
        <v>41000</v>
      </c>
      <c r="J72" s="240">
        <f t="shared" si="89"/>
        <v>27500</v>
      </c>
      <c r="K72" s="280">
        <f t="shared" si="77"/>
        <v>45642.168716691587</v>
      </c>
      <c r="L72" s="240">
        <f t="shared" si="110"/>
        <v>1076981</v>
      </c>
      <c r="M72" s="280">
        <f t="shared" si="90"/>
        <v>33706.567914173858</v>
      </c>
      <c r="N72" s="280">
        <f t="shared" si="91"/>
        <v>4127.1663908624778</v>
      </c>
      <c r="O72" s="1089"/>
      <c r="P72" s="1084"/>
      <c r="Q72" s="77">
        <f t="shared" si="92"/>
        <v>41692</v>
      </c>
      <c r="R72" s="35"/>
      <c r="S72" s="35">
        <v>41692</v>
      </c>
      <c r="T72" s="35">
        <f t="shared" si="80"/>
        <v>0</v>
      </c>
      <c r="U72" s="36">
        <f t="shared" si="72"/>
        <v>0</v>
      </c>
      <c r="V72" s="74">
        <f t="shared" si="93"/>
        <v>44722</v>
      </c>
      <c r="W72" s="36">
        <f t="shared" si="94"/>
        <v>1.3996766240608547</v>
      </c>
      <c r="X72" s="1136"/>
      <c r="Y72" s="49">
        <f t="shared" si="64"/>
        <v>1168</v>
      </c>
      <c r="Z72" s="50"/>
      <c r="AA72" s="50">
        <v>1090</v>
      </c>
      <c r="AB72" s="50">
        <f t="shared" si="81"/>
        <v>78</v>
      </c>
      <c r="AC72" s="51">
        <f t="shared" si="78"/>
        <v>0.12945778763279794</v>
      </c>
      <c r="AD72" s="50">
        <f t="shared" si="95"/>
        <v>3944</v>
      </c>
      <c r="AE72" s="51">
        <f t="shared" si="82"/>
        <v>0.12343644303242277</v>
      </c>
      <c r="AF72" s="1047"/>
      <c r="AG72" s="40">
        <f t="shared" si="65"/>
        <v>1423</v>
      </c>
      <c r="AH72" s="41"/>
      <c r="AI72" s="41">
        <v>1379</v>
      </c>
      <c r="AJ72" s="41">
        <f t="shared" si="54"/>
        <v>44</v>
      </c>
      <c r="AK72" s="42">
        <f t="shared" si="74"/>
        <v>73.027469946706546</v>
      </c>
      <c r="AL72" s="41">
        <f t="shared" si="106"/>
        <v>1986</v>
      </c>
      <c r="AM72" s="42">
        <f t="shared" si="96"/>
        <v>6.2156383332249397E-2</v>
      </c>
      <c r="AN72" s="1058"/>
      <c r="AO72" s="67">
        <v>5.9</v>
      </c>
      <c r="AP72" s="67">
        <v>24</v>
      </c>
      <c r="AQ72" s="68">
        <f t="shared" si="101"/>
        <v>70.382280000000009</v>
      </c>
      <c r="AR72" s="68"/>
      <c r="AS72" s="69">
        <f t="shared" si="107"/>
        <v>3835.2378000000003</v>
      </c>
      <c r="AT72" s="140">
        <f t="shared" si="83"/>
        <v>10.098862151571659</v>
      </c>
      <c r="AU72" s="1073"/>
      <c r="AV72" s="70">
        <v>3.5</v>
      </c>
      <c r="AW72" s="71">
        <v>12</v>
      </c>
      <c r="AX72" s="72">
        <f t="shared" si="102"/>
        <v>21.702660000000002</v>
      </c>
      <c r="AY72" s="72">
        <f t="shared" si="71"/>
        <v>3.213913800661067</v>
      </c>
      <c r="AZ72" s="73">
        <f t="shared" si="108"/>
        <v>1214.4188460000003</v>
      </c>
      <c r="BA72" s="192">
        <f t="shared" si="84"/>
        <v>3.1977804661877118</v>
      </c>
      <c r="BB72" s="1075"/>
      <c r="BC72" s="90">
        <f t="shared" si="79"/>
        <v>32401</v>
      </c>
      <c r="BD72" s="59"/>
      <c r="BE72" s="56">
        <v>30162</v>
      </c>
      <c r="BF72" s="56">
        <f t="shared" si="103"/>
        <v>2239</v>
      </c>
      <c r="BG72" s="58">
        <f t="shared" si="97"/>
        <v>33850</v>
      </c>
      <c r="BH72" s="58">
        <f t="shared" si="85"/>
        <v>89.133060753286443</v>
      </c>
      <c r="BI72" s="1133"/>
      <c r="BJ72" s="64">
        <f t="shared" si="67"/>
        <v>550</v>
      </c>
      <c r="BK72" s="64"/>
      <c r="BL72" s="64">
        <v>400</v>
      </c>
      <c r="BM72" s="64">
        <f t="shared" si="98"/>
        <v>150</v>
      </c>
      <c r="BN72" s="65">
        <f t="shared" si="75"/>
        <v>0.24895728390922683</v>
      </c>
      <c r="BO72" s="64">
        <f t="shared" si="99"/>
        <v>8200</v>
      </c>
      <c r="BP72" s="65">
        <f t="shared" si="100"/>
        <v>0.25663763510797838</v>
      </c>
      <c r="BQ72" s="1071"/>
      <c r="BR72" s="77">
        <f t="shared" si="68"/>
        <v>17312</v>
      </c>
      <c r="BS72" s="35">
        <v>30540</v>
      </c>
      <c r="BT72" s="35">
        <v>45961</v>
      </c>
      <c r="BU72" s="74">
        <f t="shared" si="55"/>
        <v>1891</v>
      </c>
      <c r="BV72" s="74">
        <f t="shared" si="56"/>
        <v>176840</v>
      </c>
      <c r="BW72" s="74">
        <f t="shared" si="86"/>
        <v>465.65112152470238</v>
      </c>
      <c r="BX72" s="1098"/>
      <c r="BY72" s="295">
        <f t="shared" si="69"/>
        <v>1200</v>
      </c>
      <c r="BZ72" s="296"/>
      <c r="CA72" s="296">
        <v>950</v>
      </c>
      <c r="CB72" s="296">
        <f t="shared" si="87"/>
        <v>250</v>
      </c>
      <c r="CC72" s="297">
        <f t="shared" si="76"/>
        <v>0.41492880651537806</v>
      </c>
      <c r="CD72" s="296">
        <f t="shared" si="109"/>
        <v>15150</v>
      </c>
      <c r="CE72" s="297">
        <f t="shared" si="88"/>
        <v>0.47415367949827714</v>
      </c>
      <c r="CF72" s="1061"/>
    </row>
    <row r="73" spans="1:84">
      <c r="A73" s="30">
        <v>44386</v>
      </c>
      <c r="B73" s="380">
        <v>592.322</v>
      </c>
      <c r="C73" s="842">
        <f t="shared" si="104"/>
        <v>32543.988000000005</v>
      </c>
      <c r="D73" s="842">
        <v>6538.34</v>
      </c>
      <c r="E73" s="843">
        <f t="shared" si="105"/>
        <v>386307.63899999997</v>
      </c>
      <c r="F73" s="243">
        <f t="shared" si="63"/>
        <v>41000</v>
      </c>
      <c r="G73" s="240">
        <v>32500</v>
      </c>
      <c r="H73" s="280">
        <v>18.37</v>
      </c>
      <c r="I73" s="240">
        <v>49000</v>
      </c>
      <c r="J73" s="240">
        <f t="shared" si="89"/>
        <v>24500</v>
      </c>
      <c r="K73" s="280">
        <f t="shared" si="77"/>
        <v>41362.637214217939</v>
      </c>
      <c r="L73" s="240">
        <f t="shared" si="110"/>
        <v>1101481</v>
      </c>
      <c r="M73" s="280">
        <f t="shared" si="90"/>
        <v>33845.913414176524</v>
      </c>
      <c r="N73" s="280">
        <f t="shared" si="91"/>
        <v>4144.2284087396256</v>
      </c>
      <c r="O73" s="1089"/>
      <c r="P73" s="1084"/>
      <c r="Q73" s="77">
        <f t="shared" si="92"/>
        <v>41692</v>
      </c>
      <c r="R73" s="35"/>
      <c r="S73" s="35">
        <v>41692</v>
      </c>
      <c r="T73" s="35">
        <f t="shared" si="80"/>
        <v>0</v>
      </c>
      <c r="U73" s="36">
        <f t="shared" si="72"/>
        <v>0</v>
      </c>
      <c r="V73" s="74">
        <f t="shared" si="93"/>
        <v>44722</v>
      </c>
      <c r="W73" s="36">
        <f t="shared" si="94"/>
        <v>1.3742015883240859</v>
      </c>
      <c r="X73" s="1136"/>
      <c r="Y73" s="49">
        <f t="shared" si="64"/>
        <v>1090</v>
      </c>
      <c r="Z73" s="50"/>
      <c r="AA73" s="50">
        <v>999</v>
      </c>
      <c r="AB73" s="50">
        <f t="shared" si="81"/>
        <v>91</v>
      </c>
      <c r="AC73" s="51">
        <f t="shared" si="78"/>
        <v>0.15363265250995237</v>
      </c>
      <c r="AD73" s="50">
        <f t="shared" si="95"/>
        <v>4035</v>
      </c>
      <c r="AE73" s="51">
        <f t="shared" si="82"/>
        <v>0.12398603391815408</v>
      </c>
      <c r="AF73" s="1047"/>
      <c r="AG73" s="40">
        <f t="shared" si="65"/>
        <v>1379</v>
      </c>
      <c r="AH73" s="41"/>
      <c r="AI73" s="41">
        <v>1347</v>
      </c>
      <c r="AJ73" s="41">
        <f t="shared" si="54"/>
        <v>32</v>
      </c>
      <c r="AK73" s="42">
        <f t="shared" si="74"/>
        <v>54.024669014488744</v>
      </c>
      <c r="AL73" s="41">
        <f t="shared" si="106"/>
        <v>2018</v>
      </c>
      <c r="AM73" s="42">
        <f t="shared" si="96"/>
        <v>6.2008380779884742E-2</v>
      </c>
      <c r="AN73" s="1058"/>
      <c r="AO73" s="67">
        <v>5.4</v>
      </c>
      <c r="AP73" s="67">
        <v>24</v>
      </c>
      <c r="AQ73" s="68">
        <f t="shared" si="101"/>
        <v>64.417680000000004</v>
      </c>
      <c r="AR73" s="68">
        <f>AQ73*1000/D73</f>
        <v>9.852298901556054</v>
      </c>
      <c r="AS73" s="69">
        <f t="shared" si="107"/>
        <v>3899.6554800000004</v>
      </c>
      <c r="AT73" s="140">
        <f t="shared" si="83"/>
        <v>10.094689015455893</v>
      </c>
      <c r="AU73" s="1073"/>
      <c r="AV73" s="70">
        <v>3.1</v>
      </c>
      <c r="AW73" s="71">
        <v>12</v>
      </c>
      <c r="AX73" s="72">
        <f t="shared" si="102"/>
        <v>19.222356000000001</v>
      </c>
      <c r="AY73" s="72">
        <f t="shared" si="71"/>
        <v>2.939944389554535</v>
      </c>
      <c r="AZ73" s="73">
        <f t="shared" si="108"/>
        <v>1233.6412020000002</v>
      </c>
      <c r="BA73" s="192">
        <f t="shared" si="84"/>
        <v>3.1934165350532981</v>
      </c>
      <c r="BB73" s="1075"/>
      <c r="BC73" s="90">
        <f t="shared" si="79"/>
        <v>30162</v>
      </c>
      <c r="BD73" s="59"/>
      <c r="BE73" s="56">
        <v>30162</v>
      </c>
      <c r="BF73" s="56">
        <f t="shared" si="103"/>
        <v>0</v>
      </c>
      <c r="BG73" s="58">
        <f t="shared" si="97"/>
        <v>33850</v>
      </c>
      <c r="BH73" s="58">
        <f t="shared" si="85"/>
        <v>87.624464500946615</v>
      </c>
      <c r="BI73" s="1133"/>
      <c r="BJ73" s="64">
        <f t="shared" si="67"/>
        <v>400</v>
      </c>
      <c r="BK73" s="64">
        <v>2200</v>
      </c>
      <c r="BL73" s="64">
        <v>2260</v>
      </c>
      <c r="BM73" s="64">
        <f t="shared" si="98"/>
        <v>340</v>
      </c>
      <c r="BN73" s="65">
        <f t="shared" si="75"/>
        <v>0.57401210827894289</v>
      </c>
      <c r="BO73" s="64">
        <f t="shared" si="99"/>
        <v>8540</v>
      </c>
      <c r="BP73" s="65">
        <f t="shared" si="100"/>
        <v>0.26241405939554791</v>
      </c>
      <c r="BQ73" s="1071"/>
      <c r="BR73" s="77">
        <f t="shared" si="68"/>
        <v>45961</v>
      </c>
      <c r="BS73" s="35"/>
      <c r="BT73" s="35">
        <v>44113</v>
      </c>
      <c r="BU73" s="74">
        <f t="shared" si="55"/>
        <v>1848</v>
      </c>
      <c r="BV73" s="74">
        <f t="shared" si="56"/>
        <v>178688</v>
      </c>
      <c r="BW73" s="74">
        <f t="shared" si="86"/>
        <v>462.55362814609009</v>
      </c>
      <c r="BX73" s="1098"/>
      <c r="BY73" s="295">
        <f t="shared" si="69"/>
        <v>950</v>
      </c>
      <c r="BZ73" s="296"/>
      <c r="CA73" s="296">
        <v>700</v>
      </c>
      <c r="CB73" s="296">
        <f t="shared" si="87"/>
        <v>250</v>
      </c>
      <c r="CC73" s="297">
        <f t="shared" si="76"/>
        <v>0.42206772667569331</v>
      </c>
      <c r="CD73" s="296">
        <f t="shared" si="109"/>
        <v>15400</v>
      </c>
      <c r="CE73" s="297">
        <f t="shared" si="88"/>
        <v>0.47320568087721754</v>
      </c>
      <c r="CF73" s="1061"/>
    </row>
    <row r="74" spans="1:84">
      <c r="A74" s="30">
        <v>44387</v>
      </c>
      <c r="B74" s="380">
        <v>588.87800000000004</v>
      </c>
      <c r="C74" s="842">
        <f t="shared" si="104"/>
        <v>33132.866000000002</v>
      </c>
      <c r="D74" s="842">
        <v>7288.48</v>
      </c>
      <c r="E74" s="843">
        <f t="shared" si="105"/>
        <v>393596.11899999995</v>
      </c>
      <c r="F74" s="243">
        <f t="shared" si="63"/>
        <v>49000</v>
      </c>
      <c r="G74" s="240">
        <v>31250</v>
      </c>
      <c r="H74" s="280">
        <v>18.37</v>
      </c>
      <c r="I74" s="240">
        <v>51000</v>
      </c>
      <c r="J74" s="240">
        <f t="shared" si="89"/>
        <v>29250</v>
      </c>
      <c r="K74" s="280">
        <f t="shared" si="77"/>
        <v>49670.729760663497</v>
      </c>
      <c r="L74" s="240">
        <f t="shared" si="110"/>
        <v>1130731</v>
      </c>
      <c r="M74" s="280">
        <f t="shared" si="90"/>
        <v>34127.171491895686</v>
      </c>
      <c r="N74" s="280">
        <f t="shared" si="91"/>
        <v>4178.6667677109936</v>
      </c>
      <c r="O74" s="1089"/>
      <c r="P74" s="1084"/>
      <c r="Q74" s="77">
        <f t="shared" si="92"/>
        <v>41692</v>
      </c>
      <c r="R74" s="35"/>
      <c r="S74" s="35">
        <v>41692</v>
      </c>
      <c r="T74" s="35">
        <f t="shared" si="80"/>
        <v>0</v>
      </c>
      <c r="U74" s="36">
        <f t="shared" si="72"/>
        <v>0</v>
      </c>
      <c r="V74" s="74">
        <f t="shared" si="93"/>
        <v>44722</v>
      </c>
      <c r="W74" s="36">
        <f t="shared" si="94"/>
        <v>1.3497775894183135</v>
      </c>
      <c r="X74" s="1136"/>
      <c r="Y74" s="49">
        <f t="shared" si="64"/>
        <v>999</v>
      </c>
      <c r="Z74" s="50"/>
      <c r="AA74" s="50">
        <v>956</v>
      </c>
      <c r="AB74" s="50">
        <f t="shared" si="81"/>
        <v>43</v>
      </c>
      <c r="AC74" s="51">
        <f t="shared" si="78"/>
        <v>7.3020218109693349E-2</v>
      </c>
      <c r="AD74" s="50">
        <f t="shared" si="95"/>
        <v>4078</v>
      </c>
      <c r="AE74" s="51">
        <f t="shared" si="82"/>
        <v>0.1230802068254524</v>
      </c>
      <c r="AF74" s="1047"/>
      <c r="AG74" s="40">
        <f t="shared" si="65"/>
        <v>1347</v>
      </c>
      <c r="AH74" s="41"/>
      <c r="AI74" s="41">
        <v>1315</v>
      </c>
      <c r="AJ74" s="41">
        <f t="shared" ref="AJ74:AJ137" si="111">AG74+AH74-AI74</f>
        <v>32</v>
      </c>
      <c r="AK74" s="42">
        <f t="shared" si="74"/>
        <v>54.340627430469468</v>
      </c>
      <c r="AL74" s="41">
        <f t="shared" si="106"/>
        <v>2050</v>
      </c>
      <c r="AM74" s="42">
        <f t="shared" si="96"/>
        <v>6.1872100047125407E-2</v>
      </c>
      <c r="AN74" s="1058"/>
      <c r="AO74" s="67">
        <v>5.7</v>
      </c>
      <c r="AP74" s="67">
        <v>24</v>
      </c>
      <c r="AQ74" s="68">
        <f t="shared" si="101"/>
        <v>67.996440000000007</v>
      </c>
      <c r="AR74" s="68">
        <f>AQ74*1000/D74</f>
        <v>9.3293032292055411</v>
      </c>
      <c r="AS74" s="69">
        <f t="shared" si="107"/>
        <v>3967.6519200000002</v>
      </c>
      <c r="AT74" s="140">
        <f t="shared" si="83"/>
        <v>10.080515859964567</v>
      </c>
      <c r="AU74" s="1073"/>
      <c r="AV74" s="70">
        <v>3.4</v>
      </c>
      <c r="AW74" s="71">
        <v>12</v>
      </c>
      <c r="AX74" s="72">
        <f t="shared" si="102"/>
        <v>21.082584000000001</v>
      </c>
      <c r="AY74" s="72">
        <f t="shared" si="71"/>
        <v>2.8925899501679364</v>
      </c>
      <c r="AZ74" s="73">
        <f t="shared" si="108"/>
        <v>1254.7237860000002</v>
      </c>
      <c r="BA74" s="192">
        <f t="shared" si="84"/>
        <v>3.1878459299544071</v>
      </c>
      <c r="BB74" s="1075"/>
      <c r="BC74" s="90">
        <f t="shared" si="79"/>
        <v>30162</v>
      </c>
      <c r="BD74" s="59"/>
      <c r="BE74" s="56">
        <v>30162</v>
      </c>
      <c r="BF74" s="56">
        <f t="shared" si="103"/>
        <v>0</v>
      </c>
      <c r="BG74" s="58">
        <f t="shared" si="97"/>
        <v>33850</v>
      </c>
      <c r="BH74" s="58">
        <f t="shared" si="85"/>
        <v>86.001864261268295</v>
      </c>
      <c r="BI74" s="1133"/>
      <c r="BJ74" s="64">
        <f t="shared" si="67"/>
        <v>2260</v>
      </c>
      <c r="BK74" s="64"/>
      <c r="BL74" s="64">
        <v>2100</v>
      </c>
      <c r="BM74" s="64">
        <f t="shared" si="98"/>
        <v>160</v>
      </c>
      <c r="BN74" s="65">
        <f t="shared" si="75"/>
        <v>0.27170313715234734</v>
      </c>
      <c r="BO74" s="64">
        <f t="shared" si="99"/>
        <v>8700</v>
      </c>
      <c r="BP74" s="65">
        <f t="shared" si="100"/>
        <v>0.26257915629755663</v>
      </c>
      <c r="BQ74" s="1071"/>
      <c r="BR74" s="77">
        <f t="shared" si="68"/>
        <v>44113</v>
      </c>
      <c r="BS74" s="35"/>
      <c r="BT74" s="35">
        <v>38568</v>
      </c>
      <c r="BU74" s="74">
        <f t="shared" ref="BU74:BU137" si="112">BR74+BS74-BT74</f>
        <v>5545</v>
      </c>
      <c r="BV74" s="74">
        <f t="shared" ref="BV74:BV137" si="113">BV73+BU74</f>
        <v>184233</v>
      </c>
      <c r="BW74" s="74">
        <f t="shared" si="86"/>
        <v>468.07626169708249</v>
      </c>
      <c r="BX74" s="1098"/>
      <c r="BY74" s="295">
        <f t="shared" si="69"/>
        <v>700</v>
      </c>
      <c r="BZ74" s="296">
        <v>1150</v>
      </c>
      <c r="CA74" s="296">
        <v>1500</v>
      </c>
      <c r="CB74" s="296">
        <f t="shared" si="87"/>
        <v>350</v>
      </c>
      <c r="CC74" s="297">
        <f t="shared" si="76"/>
        <v>0.59435061252075982</v>
      </c>
      <c r="CD74" s="296">
        <f t="shared" si="109"/>
        <v>15750</v>
      </c>
      <c r="CE74" s="297">
        <f t="shared" si="88"/>
        <v>0.47535881743523178</v>
      </c>
      <c r="CF74" s="1061"/>
    </row>
    <row r="75" spans="1:84">
      <c r="A75" s="30">
        <v>44388</v>
      </c>
      <c r="B75" s="380">
        <v>653.18799999999999</v>
      </c>
      <c r="C75" s="842">
        <f t="shared" si="104"/>
        <v>33786.054000000004</v>
      </c>
      <c r="D75" s="842">
        <v>7243.12</v>
      </c>
      <c r="E75" s="843">
        <f t="shared" si="105"/>
        <v>400839.23899999994</v>
      </c>
      <c r="F75" s="243">
        <f t="shared" si="63"/>
        <v>51000</v>
      </c>
      <c r="G75" s="240">
        <v>31250</v>
      </c>
      <c r="H75" s="280">
        <v>20.170000000000002</v>
      </c>
      <c r="I75" s="240">
        <v>49000</v>
      </c>
      <c r="J75" s="240">
        <f t="shared" si="89"/>
        <v>33250</v>
      </c>
      <c r="K75" s="280">
        <f t="shared" si="77"/>
        <v>50904.18072591658</v>
      </c>
      <c r="L75" s="240">
        <f t="shared" si="110"/>
        <v>1163981</v>
      </c>
      <c r="M75" s="280">
        <f t="shared" si="90"/>
        <v>34451.52251280957</v>
      </c>
      <c r="N75" s="280">
        <f t="shared" si="91"/>
        <v>4218.3815982379783</v>
      </c>
      <c r="O75" s="1089"/>
      <c r="P75" s="1084"/>
      <c r="Q75" s="77">
        <f t="shared" si="92"/>
        <v>41692</v>
      </c>
      <c r="R75" s="35"/>
      <c r="S75" s="35">
        <v>41692</v>
      </c>
      <c r="T75" s="35">
        <f t="shared" si="80"/>
        <v>0</v>
      </c>
      <c r="U75" s="36">
        <f t="shared" si="72"/>
        <v>0</v>
      </c>
      <c r="V75" s="74">
        <f t="shared" si="93"/>
        <v>44722</v>
      </c>
      <c r="W75" s="36">
        <f t="shared" si="94"/>
        <v>1.3236822506706465</v>
      </c>
      <c r="X75" s="1136"/>
      <c r="Y75" s="49">
        <f t="shared" si="64"/>
        <v>956</v>
      </c>
      <c r="Z75" s="50"/>
      <c r="AA75" s="50">
        <v>850</v>
      </c>
      <c r="AB75" s="50">
        <f t="shared" si="81"/>
        <v>106</v>
      </c>
      <c r="AC75" s="51">
        <f t="shared" si="78"/>
        <v>0.16228099720141828</v>
      </c>
      <c r="AD75" s="50">
        <f t="shared" si="95"/>
        <v>4184</v>
      </c>
      <c r="AE75" s="51">
        <f t="shared" si="82"/>
        <v>0.12383807827928055</v>
      </c>
      <c r="AF75" s="1047"/>
      <c r="AG75" s="40">
        <f t="shared" si="65"/>
        <v>1315</v>
      </c>
      <c r="AH75" s="41"/>
      <c r="AI75" s="41">
        <v>1281</v>
      </c>
      <c r="AJ75" s="41">
        <f t="shared" si="111"/>
        <v>34</v>
      </c>
      <c r="AK75" s="42">
        <f t="shared" si="74"/>
        <v>52.052395328756809</v>
      </c>
      <c r="AL75" s="41">
        <f t="shared" si="106"/>
        <v>2084</v>
      </c>
      <c r="AM75" s="42">
        <f t="shared" si="96"/>
        <v>6.1682255051152164E-2</v>
      </c>
      <c r="AN75" s="1058"/>
      <c r="AO75" s="311">
        <v>5.8</v>
      </c>
      <c r="AP75" s="67">
        <v>24</v>
      </c>
      <c r="AQ75" s="68">
        <f t="shared" si="101"/>
        <v>69.189359999999994</v>
      </c>
      <c r="AR75" s="68"/>
      <c r="AS75" s="69">
        <f t="shared" si="107"/>
        <v>4036.8412800000001</v>
      </c>
      <c r="AT75" s="140">
        <f t="shared" si="83"/>
        <v>10.070973316063004</v>
      </c>
      <c r="AU75" s="1073"/>
      <c r="AV75" s="70">
        <v>3.3</v>
      </c>
      <c r="AW75" s="71">
        <v>12</v>
      </c>
      <c r="AX75" s="72">
        <f t="shared" si="102"/>
        <v>20.462508</v>
      </c>
      <c r="AY75" s="72">
        <f t="shared" si="71"/>
        <v>2.8250958150631216</v>
      </c>
      <c r="AZ75" s="73">
        <f t="shared" si="108"/>
        <v>1275.1862940000003</v>
      </c>
      <c r="BA75" s="192">
        <f t="shared" si="84"/>
        <v>3.181291076146366</v>
      </c>
      <c r="BB75" s="1075"/>
      <c r="BC75" s="90">
        <f t="shared" si="79"/>
        <v>30162</v>
      </c>
      <c r="BD75" s="59"/>
      <c r="BE75" s="56">
        <v>28584</v>
      </c>
      <c r="BF75" s="56">
        <f t="shared" si="103"/>
        <v>1578</v>
      </c>
      <c r="BG75" s="58">
        <f t="shared" si="97"/>
        <v>35428</v>
      </c>
      <c r="BH75" s="58">
        <f t="shared" si="85"/>
        <v>88.38456057442022</v>
      </c>
      <c r="BI75" s="1133"/>
      <c r="BJ75" s="64">
        <f t="shared" si="67"/>
        <v>2100</v>
      </c>
      <c r="BK75" s="64"/>
      <c r="BL75" s="64">
        <v>1800</v>
      </c>
      <c r="BM75" s="64">
        <f t="shared" si="98"/>
        <v>300</v>
      </c>
      <c r="BN75" s="65">
        <f t="shared" si="75"/>
        <v>0.45928584113608945</v>
      </c>
      <c r="BO75" s="64">
        <f t="shared" si="99"/>
        <v>9000</v>
      </c>
      <c r="BP75" s="65">
        <f t="shared" si="100"/>
        <v>0.26638209954912162</v>
      </c>
      <c r="BQ75" s="1071"/>
      <c r="BR75" s="77">
        <f t="shared" si="68"/>
        <v>38568</v>
      </c>
      <c r="BS75" s="35"/>
      <c r="BT75" s="35">
        <v>35795</v>
      </c>
      <c r="BU75" s="74">
        <f t="shared" si="112"/>
        <v>2773</v>
      </c>
      <c r="BV75" s="74">
        <f t="shared" si="113"/>
        <v>187006</v>
      </c>
      <c r="BW75" s="74">
        <f t="shared" si="86"/>
        <v>466.53616164559185</v>
      </c>
      <c r="BX75" s="1098"/>
      <c r="BY75" s="295">
        <f t="shared" si="69"/>
        <v>1500</v>
      </c>
      <c r="BZ75" s="296"/>
      <c r="CA75" s="296">
        <v>1250</v>
      </c>
      <c r="CB75" s="296">
        <f t="shared" si="87"/>
        <v>250</v>
      </c>
      <c r="CC75" s="297">
        <f t="shared" si="76"/>
        <v>0.38273820094674121</v>
      </c>
      <c r="CD75" s="296">
        <f t="shared" si="109"/>
        <v>16000</v>
      </c>
      <c r="CE75" s="297">
        <f t="shared" si="88"/>
        <v>0.47356817697621623</v>
      </c>
      <c r="CF75" s="1061"/>
    </row>
    <row r="76" spans="1:84">
      <c r="A76" s="30">
        <v>44389</v>
      </c>
      <c r="B76" s="380">
        <v>653.26499999999999</v>
      </c>
      <c r="C76" s="842">
        <f t="shared" si="104"/>
        <v>34439.319000000003</v>
      </c>
      <c r="D76" s="842">
        <v>6930.04</v>
      </c>
      <c r="E76" s="843">
        <f t="shared" si="105"/>
        <v>407769.27899999992</v>
      </c>
      <c r="F76" s="243">
        <f t="shared" si="63"/>
        <v>49000</v>
      </c>
      <c r="G76" s="240">
        <v>31250</v>
      </c>
      <c r="H76" s="280">
        <v>19.559999999999999</v>
      </c>
      <c r="I76" s="240">
        <v>50000</v>
      </c>
      <c r="J76" s="240">
        <f t="shared" si="89"/>
        <v>30250</v>
      </c>
      <c r="K76" s="280">
        <f t="shared" si="77"/>
        <v>46305.863623491234</v>
      </c>
      <c r="L76" s="240">
        <f t="shared" si="110"/>
        <v>1194231</v>
      </c>
      <c r="M76" s="280">
        <f t="shared" si="90"/>
        <v>34676.382538226142</v>
      </c>
      <c r="N76" s="280">
        <f t="shared" si="91"/>
        <v>4245.9143551152374</v>
      </c>
      <c r="O76" s="1089"/>
      <c r="P76" s="1084"/>
      <c r="Q76" s="77">
        <f t="shared" si="92"/>
        <v>41692</v>
      </c>
      <c r="R76" s="35"/>
      <c r="S76" s="35">
        <v>41692</v>
      </c>
      <c r="T76" s="35">
        <f t="shared" si="80"/>
        <v>0</v>
      </c>
      <c r="U76" s="36">
        <f t="shared" si="72"/>
        <v>0</v>
      </c>
      <c r="V76" s="74">
        <f t="shared" si="93"/>
        <v>44722</v>
      </c>
      <c r="W76" s="36">
        <f t="shared" si="94"/>
        <v>1.2985738771431572</v>
      </c>
      <c r="X76" s="1136"/>
      <c r="Y76" s="49">
        <f t="shared" si="64"/>
        <v>850</v>
      </c>
      <c r="Z76" s="50"/>
      <c r="AA76" s="50">
        <v>797</v>
      </c>
      <c r="AB76" s="50">
        <f t="shared" si="81"/>
        <v>53</v>
      </c>
      <c r="AC76" s="51">
        <f t="shared" si="78"/>
        <v>8.1130934613059022E-2</v>
      </c>
      <c r="AD76" s="50">
        <f t="shared" si="95"/>
        <v>4237</v>
      </c>
      <c r="AE76" s="51">
        <f t="shared" si="82"/>
        <v>0.12302798438029508</v>
      </c>
      <c r="AF76" s="1047"/>
      <c r="AG76" s="40">
        <f t="shared" si="65"/>
        <v>1281</v>
      </c>
      <c r="AH76" s="41"/>
      <c r="AI76" s="41">
        <v>1264</v>
      </c>
      <c r="AJ76" s="41">
        <f t="shared" si="111"/>
        <v>17</v>
      </c>
      <c r="AK76" s="42">
        <f t="shared" si="74"/>
        <v>26.023129970226478</v>
      </c>
      <c r="AL76" s="41">
        <f t="shared" si="106"/>
        <v>2101</v>
      </c>
      <c r="AM76" s="42">
        <f t="shared" si="96"/>
        <v>6.100585206112815E-2</v>
      </c>
      <c r="AN76" s="1058"/>
      <c r="AO76" s="67">
        <v>5.2</v>
      </c>
      <c r="AP76" s="67">
        <v>24</v>
      </c>
      <c r="AQ76" s="68">
        <f t="shared" si="101"/>
        <v>62.031840000000003</v>
      </c>
      <c r="AR76" s="68">
        <f t="shared" ref="AR76:AR139" si="114">AQ76*1000/D76</f>
        <v>8.9511517971036252</v>
      </c>
      <c r="AS76" s="69">
        <f t="shared" si="107"/>
        <v>4098.8731200000002</v>
      </c>
      <c r="AT76" s="140">
        <f t="shared" si="83"/>
        <v>10.051941946318131</v>
      </c>
      <c r="AU76" s="1073"/>
      <c r="AV76" s="70">
        <v>3.3</v>
      </c>
      <c r="AW76" s="71">
        <v>12</v>
      </c>
      <c r="AX76" s="72">
        <f t="shared" si="102"/>
        <v>20.462508</v>
      </c>
      <c r="AY76" s="72">
        <f t="shared" si="71"/>
        <v>2.9527258139924153</v>
      </c>
      <c r="AZ76" s="73">
        <f t="shared" si="108"/>
        <v>1295.6488020000004</v>
      </c>
      <c r="BA76" s="192">
        <f t="shared" si="84"/>
        <v>3.1774066088975785</v>
      </c>
      <c r="BB76" s="1075"/>
      <c r="BC76" s="90">
        <f t="shared" si="79"/>
        <v>28584</v>
      </c>
      <c r="BD76" s="59"/>
      <c r="BE76" s="56">
        <v>28584</v>
      </c>
      <c r="BF76" s="56">
        <f t="shared" si="103"/>
        <v>0</v>
      </c>
      <c r="BG76" s="58">
        <f t="shared" si="97"/>
        <v>35428</v>
      </c>
      <c r="BH76" s="58">
        <f t="shared" si="85"/>
        <v>86.882464728295545</v>
      </c>
      <c r="BI76" s="1133"/>
      <c r="BJ76" s="64">
        <f t="shared" si="67"/>
        <v>1800</v>
      </c>
      <c r="BK76" s="64"/>
      <c r="BL76" s="64">
        <v>1620</v>
      </c>
      <c r="BM76" s="64">
        <f t="shared" si="98"/>
        <v>180</v>
      </c>
      <c r="BN76" s="65">
        <f t="shared" si="75"/>
        <v>0.27553902321416274</v>
      </c>
      <c r="BO76" s="64">
        <f t="shared" si="99"/>
        <v>9180</v>
      </c>
      <c r="BP76" s="65">
        <f t="shared" si="100"/>
        <v>0.26655579339417251</v>
      </c>
      <c r="BQ76" s="1071"/>
      <c r="BR76" s="77">
        <f t="shared" si="68"/>
        <v>35795</v>
      </c>
      <c r="BS76" s="35"/>
      <c r="BT76" s="35">
        <v>33023</v>
      </c>
      <c r="BU76" s="74">
        <f t="shared" si="112"/>
        <v>2772</v>
      </c>
      <c r="BV76" s="74">
        <f t="shared" si="113"/>
        <v>189778</v>
      </c>
      <c r="BW76" s="74">
        <f t="shared" si="86"/>
        <v>465.40534016050788</v>
      </c>
      <c r="BX76" s="1098"/>
      <c r="BY76" s="295">
        <f t="shared" si="69"/>
        <v>1250</v>
      </c>
      <c r="BZ76" s="296"/>
      <c r="CA76" s="296">
        <v>950</v>
      </c>
      <c r="CB76" s="296">
        <f t="shared" si="87"/>
        <v>300</v>
      </c>
      <c r="CC76" s="297">
        <f t="shared" si="76"/>
        <v>0.45923170535693786</v>
      </c>
      <c r="CD76" s="296">
        <f t="shared" si="109"/>
        <v>16300</v>
      </c>
      <c r="CE76" s="297">
        <f t="shared" si="88"/>
        <v>0.47329623445806229</v>
      </c>
      <c r="CF76" s="1061"/>
    </row>
    <row r="77" spans="1:84">
      <c r="A77" s="30">
        <v>44390</v>
      </c>
      <c r="B77" s="380">
        <v>641.05899999999997</v>
      </c>
      <c r="C77" s="842">
        <f t="shared" si="104"/>
        <v>35080.378000000004</v>
      </c>
      <c r="D77" s="842">
        <v>6929.64</v>
      </c>
      <c r="E77" s="843">
        <f t="shared" si="105"/>
        <v>414698.91899999994</v>
      </c>
      <c r="F77" s="243">
        <f t="shared" si="63"/>
        <v>50000</v>
      </c>
      <c r="G77" s="240">
        <v>31250</v>
      </c>
      <c r="H77" s="280">
        <v>19.12</v>
      </c>
      <c r="I77" s="240">
        <v>45000</v>
      </c>
      <c r="J77" s="240">
        <f t="shared" si="89"/>
        <v>36250</v>
      </c>
      <c r="K77" s="280">
        <f t="shared" si="77"/>
        <v>56547.057291138575</v>
      </c>
      <c r="L77" s="240">
        <f t="shared" si="110"/>
        <v>1230481</v>
      </c>
      <c r="M77" s="280">
        <f t="shared" si="90"/>
        <v>35076.047356160183</v>
      </c>
      <c r="N77" s="280">
        <f t="shared" si="91"/>
        <v>4294.8509068397434</v>
      </c>
      <c r="O77" s="1089"/>
      <c r="P77" s="1084"/>
      <c r="Q77" s="77">
        <f t="shared" si="92"/>
        <v>41692</v>
      </c>
      <c r="R77" s="35"/>
      <c r="S77" s="35">
        <v>41692</v>
      </c>
      <c r="T77" s="35">
        <f t="shared" si="80"/>
        <v>0</v>
      </c>
      <c r="U77" s="36">
        <f t="shared" si="72"/>
        <v>0</v>
      </c>
      <c r="V77" s="74">
        <f t="shared" si="93"/>
        <v>44722</v>
      </c>
      <c r="W77" s="36">
        <f t="shared" si="94"/>
        <v>1.2748437317294583</v>
      </c>
      <c r="X77" s="1136"/>
      <c r="Y77" s="49">
        <f t="shared" si="64"/>
        <v>797</v>
      </c>
      <c r="Z77" s="50"/>
      <c r="AA77" s="50">
        <v>725</v>
      </c>
      <c r="AB77" s="50">
        <f t="shared" si="81"/>
        <v>72</v>
      </c>
      <c r="AC77" s="51">
        <f t="shared" si="78"/>
        <v>0.11231415517136489</v>
      </c>
      <c r="AD77" s="50">
        <f t="shared" si="95"/>
        <v>4309</v>
      </c>
      <c r="AE77" s="51">
        <f t="shared" si="82"/>
        <v>0.12283219981267018</v>
      </c>
      <c r="AF77" s="1047"/>
      <c r="AG77" s="40">
        <f t="shared" si="65"/>
        <v>1264</v>
      </c>
      <c r="AH77" s="41"/>
      <c r="AI77" s="41">
        <v>1211</v>
      </c>
      <c r="AJ77" s="41">
        <f t="shared" si="111"/>
        <v>53</v>
      </c>
      <c r="AK77" s="42">
        <f t="shared" si="74"/>
        <v>82.675697556699149</v>
      </c>
      <c r="AL77" s="41">
        <f t="shared" si="106"/>
        <v>2154</v>
      </c>
      <c r="AM77" s="42">
        <f t="shared" si="96"/>
        <v>6.1401846924226407E-2</v>
      </c>
      <c r="AN77" s="1058"/>
      <c r="AO77" s="67">
        <v>5.55</v>
      </c>
      <c r="AP77" s="67">
        <v>24</v>
      </c>
      <c r="AQ77" s="68">
        <f t="shared" si="101"/>
        <v>66.207059999999998</v>
      </c>
      <c r="AR77" s="68">
        <f t="shared" si="114"/>
        <v>9.5541846329679458</v>
      </c>
      <c r="AS77" s="69">
        <f t="shared" si="107"/>
        <v>4165.0801799999999</v>
      </c>
      <c r="AT77" s="140">
        <f t="shared" si="83"/>
        <v>10.043624396329811</v>
      </c>
      <c r="AU77" s="1073"/>
      <c r="AV77" s="70">
        <v>3.1</v>
      </c>
      <c r="AW77" s="71">
        <v>12</v>
      </c>
      <c r="AX77" s="72">
        <f t="shared" si="102"/>
        <v>19.222356000000001</v>
      </c>
      <c r="AY77" s="72">
        <f t="shared" si="71"/>
        <v>2.7739328449962768</v>
      </c>
      <c r="AZ77" s="73">
        <f t="shared" si="108"/>
        <v>1314.8711580000004</v>
      </c>
      <c r="BA77" s="192">
        <f t="shared" si="84"/>
        <v>3.1706645418094288</v>
      </c>
      <c r="BB77" s="1075"/>
      <c r="BC77" s="90">
        <f t="shared" si="79"/>
        <v>28584</v>
      </c>
      <c r="BD77" s="59"/>
      <c r="BE77" s="56">
        <v>28584</v>
      </c>
      <c r="BF77" s="56">
        <f t="shared" si="103"/>
        <v>0</v>
      </c>
      <c r="BG77" s="58">
        <f t="shared" si="97"/>
        <v>35428</v>
      </c>
      <c r="BH77" s="58">
        <f t="shared" si="85"/>
        <v>85.430654329725911</v>
      </c>
      <c r="BI77" s="1133"/>
      <c r="BJ77" s="64">
        <f t="shared" si="67"/>
        <v>1620</v>
      </c>
      <c r="BK77" s="64"/>
      <c r="BL77" s="64">
        <v>1500</v>
      </c>
      <c r="BM77" s="64">
        <f t="shared" si="98"/>
        <v>120</v>
      </c>
      <c r="BN77" s="65">
        <f t="shared" si="75"/>
        <v>0.18719025861894148</v>
      </c>
      <c r="BO77" s="64">
        <f t="shared" si="99"/>
        <v>9300</v>
      </c>
      <c r="BP77" s="65">
        <f t="shared" si="100"/>
        <v>0.26510546722159034</v>
      </c>
      <c r="BQ77" s="1071"/>
      <c r="BR77" s="77">
        <f t="shared" si="68"/>
        <v>33023</v>
      </c>
      <c r="BS77" s="35"/>
      <c r="BT77" s="35">
        <v>31174</v>
      </c>
      <c r="BU77" s="74">
        <f t="shared" si="112"/>
        <v>1849</v>
      </c>
      <c r="BV77" s="74">
        <f t="shared" si="113"/>
        <v>191627</v>
      </c>
      <c r="BW77" s="74">
        <f t="shared" si="86"/>
        <v>462.08704971328859</v>
      </c>
      <c r="BX77" s="1098"/>
      <c r="BY77" s="295">
        <f t="shared" si="69"/>
        <v>950</v>
      </c>
      <c r="BZ77" s="296"/>
      <c r="CA77" s="296">
        <v>710</v>
      </c>
      <c r="CB77" s="296">
        <f t="shared" si="87"/>
        <v>240</v>
      </c>
      <c r="CC77" s="297">
        <f t="shared" si="76"/>
        <v>0.37438051723788296</v>
      </c>
      <c r="CD77" s="296">
        <f t="shared" si="109"/>
        <v>16540</v>
      </c>
      <c r="CE77" s="297">
        <f t="shared" si="88"/>
        <v>0.47148864815538755</v>
      </c>
      <c r="CF77" s="1061"/>
    </row>
    <row r="78" spans="1:84">
      <c r="A78" s="30">
        <v>44391</v>
      </c>
      <c r="B78" s="380">
        <v>651.48699999999997</v>
      </c>
      <c r="C78" s="842">
        <f t="shared" si="104"/>
        <v>35731.865000000005</v>
      </c>
      <c r="D78" s="842">
        <v>7222.84</v>
      </c>
      <c r="E78" s="843">
        <f t="shared" si="105"/>
        <v>421921.75899999996</v>
      </c>
      <c r="F78" s="243">
        <f t="shared" si="63"/>
        <v>45000</v>
      </c>
      <c r="G78" s="240">
        <v>31250</v>
      </c>
      <c r="H78" s="280">
        <v>19.84</v>
      </c>
      <c r="I78" s="240">
        <v>48000</v>
      </c>
      <c r="J78" s="240">
        <f t="shared" si="89"/>
        <v>28250</v>
      </c>
      <c r="K78" s="280">
        <f t="shared" si="77"/>
        <v>43362.338772684649</v>
      </c>
      <c r="L78" s="240">
        <f t="shared" si="110"/>
        <v>1258731</v>
      </c>
      <c r="M78" s="280">
        <f t="shared" si="90"/>
        <v>35227.128502808344</v>
      </c>
      <c r="N78" s="280">
        <f t="shared" si="91"/>
        <v>4313.3498840220818</v>
      </c>
      <c r="O78" s="1089"/>
      <c r="P78" s="1084"/>
      <c r="Q78" s="77">
        <f t="shared" si="92"/>
        <v>41692</v>
      </c>
      <c r="R78" s="35"/>
      <c r="S78" s="35">
        <v>41692</v>
      </c>
      <c r="T78" s="35">
        <f t="shared" si="80"/>
        <v>0</v>
      </c>
      <c r="U78" s="36">
        <f t="shared" si="72"/>
        <v>0</v>
      </c>
      <c r="V78" s="74">
        <f t="shared" si="93"/>
        <v>44722</v>
      </c>
      <c r="W78" s="36">
        <f t="shared" si="94"/>
        <v>1.2515999374787741</v>
      </c>
      <c r="X78" s="1136"/>
      <c r="Y78" s="49">
        <f t="shared" si="64"/>
        <v>725</v>
      </c>
      <c r="Z78" s="50"/>
      <c r="AA78" s="50">
        <v>653</v>
      </c>
      <c r="AB78" s="50">
        <f t="shared" si="81"/>
        <v>72</v>
      </c>
      <c r="AC78" s="51">
        <f t="shared" si="78"/>
        <v>0.11051640324365644</v>
      </c>
      <c r="AD78" s="50">
        <f t="shared" si="95"/>
        <v>4381</v>
      </c>
      <c r="AE78" s="51">
        <f t="shared" si="82"/>
        <v>0.12260765006248622</v>
      </c>
      <c r="AF78" s="1047"/>
      <c r="AG78" s="40">
        <f t="shared" si="65"/>
        <v>1211</v>
      </c>
      <c r="AH78" s="41"/>
      <c r="AI78" s="41">
        <v>1174</v>
      </c>
      <c r="AJ78" s="41">
        <f t="shared" si="111"/>
        <v>37</v>
      </c>
      <c r="AK78" s="42">
        <f t="shared" si="74"/>
        <v>56.793151666879005</v>
      </c>
      <c r="AL78" s="41">
        <f t="shared" si="106"/>
        <v>2191</v>
      </c>
      <c r="AM78" s="42">
        <f t="shared" si="96"/>
        <v>6.1317818143553374E-2</v>
      </c>
      <c r="AN78" s="1058"/>
      <c r="AO78" s="67">
        <v>5.2</v>
      </c>
      <c r="AP78" s="67">
        <v>24</v>
      </c>
      <c r="AQ78" s="68">
        <f t="shared" si="101"/>
        <v>62.031840000000003</v>
      </c>
      <c r="AR78" s="68">
        <f t="shared" si="114"/>
        <v>8.5882893709399628</v>
      </c>
      <c r="AS78" s="69">
        <f t="shared" si="107"/>
        <v>4227.1120199999996</v>
      </c>
      <c r="AT78" s="140">
        <f t="shared" si="83"/>
        <v>10.018710649146682</v>
      </c>
      <c r="AU78" s="1073"/>
      <c r="AV78" s="70">
        <v>2.6</v>
      </c>
      <c r="AW78" s="71">
        <v>12</v>
      </c>
      <c r="AX78" s="72">
        <f t="shared" si="102"/>
        <v>16.121976000000004</v>
      </c>
      <c r="AY78" s="72">
        <f t="shared" si="71"/>
        <v>2.2320826710822894</v>
      </c>
      <c r="AZ78" s="73">
        <f t="shared" si="108"/>
        <v>1330.9931340000003</v>
      </c>
      <c r="BA78" s="192">
        <f t="shared" si="84"/>
        <v>3.1545970446146163</v>
      </c>
      <c r="BB78" s="1075"/>
      <c r="BC78" s="90">
        <f t="shared" si="79"/>
        <v>28584</v>
      </c>
      <c r="BD78" s="59"/>
      <c r="BE78" s="56">
        <v>28584</v>
      </c>
      <c r="BF78" s="56">
        <f t="shared" si="103"/>
        <v>0</v>
      </c>
      <c r="BG78" s="58">
        <f t="shared" si="97"/>
        <v>35428</v>
      </c>
      <c r="BH78" s="58">
        <f t="shared" si="85"/>
        <v>83.968174772422685</v>
      </c>
      <c r="BI78" s="1133"/>
      <c r="BJ78" s="64">
        <f t="shared" si="67"/>
        <v>1500</v>
      </c>
      <c r="BK78" s="64"/>
      <c r="BL78" s="64">
        <v>1390</v>
      </c>
      <c r="BM78" s="64">
        <f t="shared" si="98"/>
        <v>110</v>
      </c>
      <c r="BN78" s="65">
        <f t="shared" si="75"/>
        <v>0.16884450495558623</v>
      </c>
      <c r="BO78" s="64">
        <f t="shared" si="99"/>
        <v>9410</v>
      </c>
      <c r="BP78" s="65">
        <f t="shared" si="100"/>
        <v>0.26335037367906766</v>
      </c>
      <c r="BQ78" s="1071"/>
      <c r="BR78" s="77">
        <f t="shared" si="68"/>
        <v>31174</v>
      </c>
      <c r="BS78" s="35"/>
      <c r="BT78" s="35">
        <v>26573</v>
      </c>
      <c r="BU78" s="74">
        <f t="shared" si="112"/>
        <v>4601</v>
      </c>
      <c r="BV78" s="74">
        <f t="shared" si="113"/>
        <v>196228</v>
      </c>
      <c r="BW78" s="74">
        <f t="shared" si="86"/>
        <v>465.08148919619958</v>
      </c>
      <c r="BX78" s="1098"/>
      <c r="BY78" s="295">
        <f t="shared" si="69"/>
        <v>710</v>
      </c>
      <c r="BZ78" s="296"/>
      <c r="CA78" s="296">
        <v>390</v>
      </c>
      <c r="CB78" s="296">
        <f t="shared" si="87"/>
        <v>320</v>
      </c>
      <c r="CC78" s="297">
        <f t="shared" si="76"/>
        <v>0.49118401441625087</v>
      </c>
      <c r="CD78" s="296">
        <f t="shared" si="109"/>
        <v>16860</v>
      </c>
      <c r="CE78" s="297">
        <f t="shared" si="88"/>
        <v>0.4718477471019214</v>
      </c>
      <c r="CF78" s="1061"/>
    </row>
    <row r="79" spans="1:84">
      <c r="A79" s="30">
        <v>44392</v>
      </c>
      <c r="B79" s="380">
        <v>637.35199999999998</v>
      </c>
      <c r="C79" s="842">
        <f t="shared" si="104"/>
        <v>36369.217000000004</v>
      </c>
      <c r="D79" s="842">
        <v>6947.32</v>
      </c>
      <c r="E79" s="843">
        <f t="shared" si="105"/>
        <v>428869.07899999997</v>
      </c>
      <c r="F79" s="243">
        <f t="shared" si="63"/>
        <v>48000</v>
      </c>
      <c r="G79" s="240">
        <v>20000</v>
      </c>
      <c r="H79" s="280">
        <v>32.18</v>
      </c>
      <c r="I79" s="240">
        <v>44000</v>
      </c>
      <c r="J79" s="240">
        <f t="shared" si="89"/>
        <v>24000</v>
      </c>
      <c r="K79" s="280">
        <f t="shared" si="77"/>
        <v>37655.800876124966</v>
      </c>
      <c r="L79" s="240">
        <f t="shared" si="110"/>
        <v>1282731</v>
      </c>
      <c r="M79" s="280">
        <f t="shared" si="90"/>
        <v>35269.689748888457</v>
      </c>
      <c r="N79" s="280">
        <f t="shared" si="91"/>
        <v>4318.5612524658327</v>
      </c>
      <c r="O79" s="1089"/>
      <c r="P79" s="1084"/>
      <c r="Q79" s="77">
        <f t="shared" si="92"/>
        <v>41692</v>
      </c>
      <c r="R79" s="35"/>
      <c r="S79" s="35">
        <v>41692</v>
      </c>
      <c r="T79" s="35">
        <f t="shared" si="80"/>
        <v>0</v>
      </c>
      <c r="U79" s="36">
        <f t="shared" si="72"/>
        <v>0</v>
      </c>
      <c r="V79" s="74">
        <f t="shared" si="93"/>
        <v>44722</v>
      </c>
      <c r="W79" s="36">
        <f t="shared" si="94"/>
        <v>1.229666286189224</v>
      </c>
      <c r="X79" s="1136"/>
      <c r="Y79" s="49">
        <f t="shared" si="64"/>
        <v>653</v>
      </c>
      <c r="Z79" s="50"/>
      <c r="AA79" s="50">
        <v>563</v>
      </c>
      <c r="AB79" s="50">
        <f t="shared" si="81"/>
        <v>90</v>
      </c>
      <c r="AC79" s="51">
        <f t="shared" si="78"/>
        <v>0.14120925328546863</v>
      </c>
      <c r="AD79" s="50">
        <f t="shared" si="95"/>
        <v>4471</v>
      </c>
      <c r="AE79" s="51">
        <f t="shared" si="82"/>
        <v>0.1229336336825728</v>
      </c>
      <c r="AF79" s="1047"/>
      <c r="AG79" s="40">
        <f t="shared" si="65"/>
        <v>1174</v>
      </c>
      <c r="AH79" s="41"/>
      <c r="AI79" s="41">
        <v>1156</v>
      </c>
      <c r="AJ79" s="41">
        <f t="shared" si="111"/>
        <v>18</v>
      </c>
      <c r="AK79" s="42">
        <f t="shared" si="74"/>
        <v>28.241850657093725</v>
      </c>
      <c r="AL79" s="41">
        <f t="shared" si="106"/>
        <v>2209</v>
      </c>
      <c r="AM79" s="42">
        <f t="shared" si="96"/>
        <v>6.0738178663565942E-2</v>
      </c>
      <c r="AN79" s="1058"/>
      <c r="AO79" s="311">
        <v>5.55</v>
      </c>
      <c r="AP79" s="67">
        <v>24</v>
      </c>
      <c r="AQ79" s="68">
        <f t="shared" si="101"/>
        <v>66.207059999999998</v>
      </c>
      <c r="AR79" s="68">
        <f t="shared" si="114"/>
        <v>9.5298705112187143</v>
      </c>
      <c r="AS79" s="69">
        <f t="shared" si="107"/>
        <v>4293.3190799999993</v>
      </c>
      <c r="AT79" s="140">
        <f t="shared" si="83"/>
        <v>10.010791848204098</v>
      </c>
      <c r="AU79" s="1073"/>
      <c r="AV79" s="70">
        <v>3.2</v>
      </c>
      <c r="AW79" s="71">
        <v>12</v>
      </c>
      <c r="AX79" s="72">
        <f t="shared" si="102"/>
        <v>19.842432000000002</v>
      </c>
      <c r="AY79" s="72">
        <f t="shared" si="71"/>
        <v>2.856127542707116</v>
      </c>
      <c r="AZ79" s="73">
        <f t="shared" si="108"/>
        <v>1350.8355660000002</v>
      </c>
      <c r="BA79" s="192">
        <f t="shared" si="84"/>
        <v>3.1497620885836821</v>
      </c>
      <c r="BB79" s="1075"/>
      <c r="BC79" s="90">
        <f t="shared" si="79"/>
        <v>28584</v>
      </c>
      <c r="BD79" s="59"/>
      <c r="BE79" s="56">
        <v>28584</v>
      </c>
      <c r="BF79" s="56">
        <f t="shared" si="103"/>
        <v>0</v>
      </c>
      <c r="BG79" s="58">
        <f t="shared" si="97"/>
        <v>35428</v>
      </c>
      <c r="BH79" s="58">
        <f t="shared" si="85"/>
        <v>82.607960645257904</v>
      </c>
      <c r="BI79" s="1133"/>
      <c r="BJ79" s="64">
        <f t="shared" si="67"/>
        <v>1390</v>
      </c>
      <c r="BK79" s="64"/>
      <c r="BL79" s="64">
        <v>1290</v>
      </c>
      <c r="BM79" s="64">
        <f t="shared" si="98"/>
        <v>100</v>
      </c>
      <c r="BN79" s="65">
        <f t="shared" si="75"/>
        <v>0.15689917031718736</v>
      </c>
      <c r="BO79" s="64">
        <f t="shared" si="99"/>
        <v>9510</v>
      </c>
      <c r="BP79" s="65">
        <f t="shared" si="100"/>
        <v>0.26148487057062569</v>
      </c>
      <c r="BQ79" s="1071"/>
      <c r="BR79" s="77">
        <f t="shared" si="68"/>
        <v>26573</v>
      </c>
      <c r="BS79" s="35"/>
      <c r="BT79" s="35">
        <v>24705</v>
      </c>
      <c r="BU79" s="74">
        <f t="shared" si="112"/>
        <v>1868</v>
      </c>
      <c r="BV79" s="74">
        <f t="shared" si="113"/>
        <v>198096</v>
      </c>
      <c r="BW79" s="74">
        <f t="shared" si="86"/>
        <v>461.90320006726347</v>
      </c>
      <c r="BX79" s="1098"/>
      <c r="BY79" s="295">
        <f t="shared" si="69"/>
        <v>390</v>
      </c>
      <c r="BZ79" s="296">
        <v>2300</v>
      </c>
      <c r="CA79" s="296">
        <v>2190</v>
      </c>
      <c r="CB79" s="296">
        <f t="shared" si="87"/>
        <v>500</v>
      </c>
      <c r="CC79" s="297">
        <f t="shared" si="76"/>
        <v>0.78449585158593682</v>
      </c>
      <c r="CD79" s="296">
        <f t="shared" si="109"/>
        <v>17360</v>
      </c>
      <c r="CE79" s="297">
        <f t="shared" si="88"/>
        <v>0.47732674585763002</v>
      </c>
      <c r="CF79" s="1061"/>
    </row>
    <row r="80" spans="1:84">
      <c r="A80" s="30">
        <v>44393</v>
      </c>
      <c r="B80" s="380">
        <v>475.30399999999997</v>
      </c>
      <c r="C80" s="842">
        <f t="shared" si="104"/>
        <v>36844.521000000001</v>
      </c>
      <c r="D80" s="842">
        <v>5266.92</v>
      </c>
      <c r="E80" s="843">
        <f t="shared" si="105"/>
        <v>434135.99899999995</v>
      </c>
      <c r="F80" s="243">
        <f t="shared" si="63"/>
        <v>44000</v>
      </c>
      <c r="G80" s="240">
        <v>31250</v>
      </c>
      <c r="H80" s="280">
        <v>18.11</v>
      </c>
      <c r="I80" s="240">
        <v>51000</v>
      </c>
      <c r="J80" s="240">
        <f t="shared" si="89"/>
        <v>24250</v>
      </c>
      <c r="K80" s="280">
        <f t="shared" si="77"/>
        <v>51019.97879252016</v>
      </c>
      <c r="L80" s="240">
        <f t="shared" si="110"/>
        <v>1306981</v>
      </c>
      <c r="M80" s="280">
        <f t="shared" si="90"/>
        <v>35472.872615171196</v>
      </c>
      <c r="N80" s="280">
        <f t="shared" si="91"/>
        <v>4343.4397716629355</v>
      </c>
      <c r="O80" s="1089"/>
      <c r="P80" s="1084"/>
      <c r="Q80" s="77">
        <f t="shared" si="92"/>
        <v>41692</v>
      </c>
      <c r="R80" s="35"/>
      <c r="S80" s="35">
        <v>41692</v>
      </c>
      <c r="T80" s="35">
        <f t="shared" si="80"/>
        <v>0</v>
      </c>
      <c r="U80" s="36">
        <f t="shared" si="72"/>
        <v>0</v>
      </c>
      <c r="V80" s="74">
        <f t="shared" si="93"/>
        <v>44722</v>
      </c>
      <c r="W80" s="36">
        <f t="shared" si="94"/>
        <v>1.2138032680625703</v>
      </c>
      <c r="X80" s="1136"/>
      <c r="Y80" s="49">
        <f t="shared" si="64"/>
        <v>563</v>
      </c>
      <c r="Z80" s="50">
        <v>500</v>
      </c>
      <c r="AA80" s="50">
        <v>973</v>
      </c>
      <c r="AB80" s="50">
        <f t="shared" si="81"/>
        <v>90</v>
      </c>
      <c r="AC80" s="51">
        <f t="shared" si="78"/>
        <v>0.18935249861141501</v>
      </c>
      <c r="AD80" s="50">
        <f t="shared" si="95"/>
        <v>4561</v>
      </c>
      <c r="AE80" s="51">
        <f t="shared" si="82"/>
        <v>0.12379045448847062</v>
      </c>
      <c r="AF80" s="1047"/>
      <c r="AG80" s="40">
        <f t="shared" si="65"/>
        <v>1156</v>
      </c>
      <c r="AH80" s="41">
        <v>110</v>
      </c>
      <c r="AI80" s="41">
        <v>1229</v>
      </c>
      <c r="AJ80" s="41">
        <f t="shared" si="111"/>
        <v>37</v>
      </c>
      <c r="AK80" s="42">
        <f t="shared" si="74"/>
        <v>77.844916095803953</v>
      </c>
      <c r="AL80" s="41">
        <f t="shared" si="106"/>
        <v>2246</v>
      </c>
      <c r="AM80" s="42">
        <f t="shared" si="96"/>
        <v>6.0958860070402326E-2</v>
      </c>
      <c r="AN80" s="1058"/>
      <c r="AO80" s="311">
        <v>5.8</v>
      </c>
      <c r="AP80" s="67">
        <v>24</v>
      </c>
      <c r="AQ80" s="68">
        <f t="shared" si="101"/>
        <v>69.189359999999994</v>
      </c>
      <c r="AR80" s="68">
        <f t="shared" si="114"/>
        <v>13.136588366635529</v>
      </c>
      <c r="AS80" s="69">
        <f t="shared" si="107"/>
        <v>4362.5084399999996</v>
      </c>
      <c r="AT80" s="140">
        <f t="shared" si="83"/>
        <v>10.048713882397944</v>
      </c>
      <c r="AU80" s="1073"/>
      <c r="AV80" s="70">
        <v>3.2</v>
      </c>
      <c r="AW80" s="71">
        <v>12</v>
      </c>
      <c r="AX80" s="72">
        <f t="shared" si="102"/>
        <v>19.842432000000002</v>
      </c>
      <c r="AY80" s="72">
        <f t="shared" si="71"/>
        <v>3.7673691645212002</v>
      </c>
      <c r="AZ80" s="73">
        <f t="shared" si="108"/>
        <v>1370.6779980000001</v>
      </c>
      <c r="BA80" s="192">
        <f t="shared" si="84"/>
        <v>3.1572548721074849</v>
      </c>
      <c r="BB80" s="1075"/>
      <c r="BC80" s="90">
        <f t="shared" si="79"/>
        <v>28584</v>
      </c>
      <c r="BD80" s="59"/>
      <c r="BE80" s="56">
        <v>28584</v>
      </c>
      <c r="BF80" s="56">
        <f t="shared" si="103"/>
        <v>0</v>
      </c>
      <c r="BG80" s="58">
        <f t="shared" si="97"/>
        <v>35428</v>
      </c>
      <c r="BH80" s="58">
        <f t="shared" si="85"/>
        <v>81.605764280330973</v>
      </c>
      <c r="BI80" s="1133"/>
      <c r="BJ80" s="64">
        <f t="shared" si="67"/>
        <v>1290</v>
      </c>
      <c r="BK80" s="64"/>
      <c r="BL80" s="64">
        <v>1100</v>
      </c>
      <c r="BM80" s="64">
        <f t="shared" si="98"/>
        <v>190</v>
      </c>
      <c r="BN80" s="65">
        <f t="shared" si="75"/>
        <v>0.39974416373520949</v>
      </c>
      <c r="BO80" s="64">
        <f t="shared" si="99"/>
        <v>9700</v>
      </c>
      <c r="BP80" s="65">
        <f t="shared" si="100"/>
        <v>0.26326845177333152</v>
      </c>
      <c r="BQ80" s="1071"/>
      <c r="BR80" s="77">
        <f t="shared" si="68"/>
        <v>24705</v>
      </c>
      <c r="BS80" s="35"/>
      <c r="BT80" s="35">
        <v>22857</v>
      </c>
      <c r="BU80" s="74">
        <f t="shared" si="112"/>
        <v>1848</v>
      </c>
      <c r="BV80" s="74">
        <f t="shared" si="113"/>
        <v>199944</v>
      </c>
      <c r="BW80" s="74">
        <f t="shared" si="86"/>
        <v>460.55614015091163</v>
      </c>
      <c r="BX80" s="1098"/>
      <c r="BY80" s="295">
        <f t="shared" si="69"/>
        <v>2190</v>
      </c>
      <c r="BZ80" s="296"/>
      <c r="CA80" s="296">
        <v>1840</v>
      </c>
      <c r="CB80" s="296">
        <f t="shared" si="87"/>
        <v>350</v>
      </c>
      <c r="CC80" s="297">
        <f t="shared" si="76"/>
        <v>0.73637082793328068</v>
      </c>
      <c r="CD80" s="296">
        <f t="shared" si="109"/>
        <v>17710</v>
      </c>
      <c r="CE80" s="297">
        <f t="shared" si="88"/>
        <v>0.48066848256759803</v>
      </c>
      <c r="CF80" s="1061"/>
    </row>
    <row r="81" spans="1:84">
      <c r="A81" s="30">
        <v>44394</v>
      </c>
      <c r="B81" s="380">
        <v>626.08399999999995</v>
      </c>
      <c r="C81" s="842">
        <f t="shared" si="104"/>
        <v>37470.605000000003</v>
      </c>
      <c r="D81" s="842">
        <v>6622.72</v>
      </c>
      <c r="E81" s="843">
        <f t="shared" si="105"/>
        <v>440758.71899999992</v>
      </c>
      <c r="F81" s="243">
        <f t="shared" si="63"/>
        <v>51000</v>
      </c>
      <c r="G81" s="240"/>
      <c r="H81" s="280"/>
      <c r="I81" s="240">
        <v>33000</v>
      </c>
      <c r="J81" s="240">
        <f t="shared" si="89"/>
        <v>18000</v>
      </c>
      <c r="K81" s="280">
        <f t="shared" si="77"/>
        <v>28750.135764530001</v>
      </c>
      <c r="L81" s="240">
        <f t="shared" si="110"/>
        <v>1324981</v>
      </c>
      <c r="M81" s="280">
        <f t="shared" si="90"/>
        <v>35360.544618908607</v>
      </c>
      <c r="N81" s="280">
        <f t="shared" si="91"/>
        <v>4329.685884524135</v>
      </c>
      <c r="O81" s="1089"/>
      <c r="P81" s="1084"/>
      <c r="Q81" s="77">
        <f t="shared" si="92"/>
        <v>41692</v>
      </c>
      <c r="R81" s="35"/>
      <c r="S81" s="35">
        <v>41692</v>
      </c>
      <c r="T81" s="35">
        <f t="shared" si="80"/>
        <v>0</v>
      </c>
      <c r="U81" s="36">
        <f t="shared" si="72"/>
        <v>0</v>
      </c>
      <c r="V81" s="74">
        <f t="shared" si="93"/>
        <v>44722</v>
      </c>
      <c r="W81" s="36">
        <f t="shared" si="94"/>
        <v>1.1935222289578724</v>
      </c>
      <c r="X81" s="1136"/>
      <c r="Y81" s="49">
        <f t="shared" si="64"/>
        <v>973</v>
      </c>
      <c r="Z81" s="50"/>
      <c r="AA81" s="50">
        <v>956</v>
      </c>
      <c r="AB81" s="50">
        <f t="shared" si="81"/>
        <v>17</v>
      </c>
      <c r="AC81" s="51">
        <f t="shared" si="78"/>
        <v>2.7152905999833891E-2</v>
      </c>
      <c r="AD81" s="50">
        <f t="shared" si="95"/>
        <v>4578</v>
      </c>
      <c r="AE81" s="51">
        <f t="shared" si="82"/>
        <v>0.12217576951319574</v>
      </c>
      <c r="AF81" s="1047"/>
      <c r="AG81" s="40">
        <f t="shared" si="65"/>
        <v>1229</v>
      </c>
      <c r="AH81" s="41"/>
      <c r="AI81" s="41">
        <v>1193</v>
      </c>
      <c r="AJ81" s="41">
        <f t="shared" si="111"/>
        <v>36</v>
      </c>
      <c r="AK81" s="42">
        <f t="shared" si="74"/>
        <v>57.500271529060001</v>
      </c>
      <c r="AL81" s="41">
        <f t="shared" si="106"/>
        <v>2282</v>
      </c>
      <c r="AM81" s="42">
        <f t="shared" si="96"/>
        <v>6.0901071653366681E-2</v>
      </c>
      <c r="AN81" s="1058"/>
      <c r="AO81" s="311">
        <v>6.15</v>
      </c>
      <c r="AP81" s="67">
        <v>24</v>
      </c>
      <c r="AQ81" s="68">
        <f t="shared" si="101"/>
        <v>73.364580000000004</v>
      </c>
      <c r="AR81" s="68">
        <f t="shared" si="114"/>
        <v>11.077711272709703</v>
      </c>
      <c r="AS81" s="69">
        <f t="shared" si="107"/>
        <v>4435.87302</v>
      </c>
      <c r="AT81" s="140">
        <f t="shared" si="83"/>
        <v>10.064175315837598</v>
      </c>
      <c r="AU81" s="1073"/>
      <c r="AV81" s="70">
        <v>2.8</v>
      </c>
      <c r="AW81" s="71">
        <v>12</v>
      </c>
      <c r="AX81" s="72">
        <f t="shared" si="102"/>
        <v>17.362127999999998</v>
      </c>
      <c r="AY81" s="72">
        <f t="shared" si="71"/>
        <v>2.6216007924236564</v>
      </c>
      <c r="AZ81" s="73">
        <f t="shared" si="108"/>
        <v>1388.0401260000001</v>
      </c>
      <c r="BA81" s="192">
        <f t="shared" si="84"/>
        <v>3.1492062803640204</v>
      </c>
      <c r="BB81" s="1075"/>
      <c r="BC81" s="90">
        <f t="shared" si="79"/>
        <v>28584</v>
      </c>
      <c r="BD81" s="59"/>
      <c r="BE81" s="56">
        <v>28584</v>
      </c>
      <c r="BF81" s="56">
        <f t="shared" si="103"/>
        <v>0</v>
      </c>
      <c r="BG81" s="58">
        <f t="shared" si="97"/>
        <v>35428</v>
      </c>
      <c r="BH81" s="58">
        <f t="shared" si="85"/>
        <v>80.379578378800048</v>
      </c>
      <c r="BI81" s="1133"/>
      <c r="BJ81" s="64">
        <f t="shared" si="67"/>
        <v>1100</v>
      </c>
      <c r="BK81" s="64"/>
      <c r="BL81" s="64">
        <v>950</v>
      </c>
      <c r="BM81" s="64">
        <f t="shared" si="98"/>
        <v>150</v>
      </c>
      <c r="BN81" s="65">
        <f t="shared" si="75"/>
        <v>0.23958446470441669</v>
      </c>
      <c r="BO81" s="64">
        <f t="shared" si="99"/>
        <v>9850</v>
      </c>
      <c r="BP81" s="65">
        <f t="shared" si="100"/>
        <v>0.2628727238324548</v>
      </c>
      <c r="BQ81" s="1071"/>
      <c r="BR81" s="77">
        <f t="shared" si="68"/>
        <v>22857</v>
      </c>
      <c r="BS81" s="35"/>
      <c r="BT81" s="35">
        <v>20084</v>
      </c>
      <c r="BU81" s="74">
        <f t="shared" si="112"/>
        <v>2773</v>
      </c>
      <c r="BV81" s="74">
        <f t="shared" si="113"/>
        <v>202717</v>
      </c>
      <c r="BW81" s="74">
        <f t="shared" si="86"/>
        <v>459.92737355242207</v>
      </c>
      <c r="BX81" s="1098"/>
      <c r="BY81" s="295">
        <f t="shared" si="69"/>
        <v>1840</v>
      </c>
      <c r="BZ81" s="296"/>
      <c r="CA81" s="296">
        <v>1620</v>
      </c>
      <c r="CB81" s="296">
        <f t="shared" si="87"/>
        <v>220</v>
      </c>
      <c r="CC81" s="297">
        <f t="shared" si="76"/>
        <v>0.35139054823314447</v>
      </c>
      <c r="CD81" s="296">
        <f t="shared" si="109"/>
        <v>17930</v>
      </c>
      <c r="CE81" s="297">
        <f t="shared" si="88"/>
        <v>0.47850842013359535</v>
      </c>
      <c r="CF81" s="1061"/>
    </row>
    <row r="82" spans="1:84">
      <c r="A82" s="30">
        <v>44395</v>
      </c>
      <c r="B82" s="380">
        <v>594.73099999999999</v>
      </c>
      <c r="C82" s="842">
        <f t="shared" si="104"/>
        <v>38065.336000000003</v>
      </c>
      <c r="D82" s="842">
        <v>6813.76</v>
      </c>
      <c r="E82" s="843">
        <f t="shared" si="105"/>
        <v>447572.47899999993</v>
      </c>
      <c r="F82" s="243">
        <f t="shared" si="63"/>
        <v>33000</v>
      </c>
      <c r="G82" s="240">
        <v>31250</v>
      </c>
      <c r="H82" s="280">
        <v>25</v>
      </c>
      <c r="I82" s="240">
        <v>36000</v>
      </c>
      <c r="J82" s="240">
        <f t="shared" si="89"/>
        <v>28250</v>
      </c>
      <c r="K82" s="280">
        <f t="shared" si="77"/>
        <v>47500.466597503742</v>
      </c>
      <c r="L82" s="240">
        <f t="shared" si="110"/>
        <v>1353231</v>
      </c>
      <c r="M82" s="280">
        <f t="shared" si="90"/>
        <v>35550.218182758188</v>
      </c>
      <c r="N82" s="280">
        <f t="shared" si="91"/>
        <v>4352.9102709389235</v>
      </c>
      <c r="O82" s="1089"/>
      <c r="P82" s="1084"/>
      <c r="Q82" s="77">
        <f t="shared" si="92"/>
        <v>41692</v>
      </c>
      <c r="R82" s="35"/>
      <c r="S82" s="35">
        <v>41692</v>
      </c>
      <c r="T82" s="35">
        <f t="shared" si="80"/>
        <v>0</v>
      </c>
      <c r="U82" s="36">
        <f t="shared" si="72"/>
        <v>0</v>
      </c>
      <c r="V82" s="74">
        <f t="shared" si="93"/>
        <v>44722</v>
      </c>
      <c r="W82" s="36">
        <f t="shared" si="94"/>
        <v>1.1748746943938706</v>
      </c>
      <c r="X82" s="1136"/>
      <c r="Y82" s="49">
        <f t="shared" si="64"/>
        <v>956</v>
      </c>
      <c r="Z82" s="50"/>
      <c r="AA82" s="50">
        <v>930</v>
      </c>
      <c r="AB82" s="50">
        <f t="shared" si="81"/>
        <v>26</v>
      </c>
      <c r="AC82" s="51">
        <f t="shared" si="78"/>
        <v>4.3717243594162743E-2</v>
      </c>
      <c r="AD82" s="50">
        <f t="shared" si="95"/>
        <v>4604</v>
      </c>
      <c r="AE82" s="51">
        <f t="shared" si="82"/>
        <v>0.12094993723423325</v>
      </c>
      <c r="AF82" s="1047"/>
      <c r="AG82" s="40">
        <f t="shared" si="65"/>
        <v>1193</v>
      </c>
      <c r="AH82" s="41"/>
      <c r="AI82" s="41">
        <v>1175</v>
      </c>
      <c r="AJ82" s="41">
        <f t="shared" si="111"/>
        <v>18</v>
      </c>
      <c r="AK82" s="42">
        <f t="shared" si="74"/>
        <v>30.265784026728049</v>
      </c>
      <c r="AL82" s="41">
        <f t="shared" si="106"/>
        <v>2300</v>
      </c>
      <c r="AM82" s="42">
        <f t="shared" si="96"/>
        <v>6.0422427375920178E-2</v>
      </c>
      <c r="AN82" s="1058"/>
      <c r="AO82" s="67">
        <v>5.0999999999999996</v>
      </c>
      <c r="AP82" s="67">
        <v>24</v>
      </c>
      <c r="AQ82" s="68">
        <f t="shared" si="101"/>
        <v>60.838919999999995</v>
      </c>
      <c r="AR82" s="68">
        <f t="shared" si="114"/>
        <v>8.9288322453388425</v>
      </c>
      <c r="AS82" s="69">
        <f t="shared" si="107"/>
        <v>4496.7119400000001</v>
      </c>
      <c r="AT82" s="140">
        <f t="shared" si="83"/>
        <v>10.046891064541976</v>
      </c>
      <c r="AU82" s="1073"/>
      <c r="AV82" s="70">
        <v>3.1</v>
      </c>
      <c r="AW82" s="71">
        <v>12</v>
      </c>
      <c r="AX82" s="72">
        <f t="shared" si="102"/>
        <v>19.222356000000001</v>
      </c>
      <c r="AY82" s="72">
        <f t="shared" si="71"/>
        <v>2.8211084628751233</v>
      </c>
      <c r="AZ82" s="73">
        <f t="shared" si="108"/>
        <v>1407.2624820000001</v>
      </c>
      <c r="BA82" s="192">
        <f t="shared" si="84"/>
        <v>3.1442113803427136</v>
      </c>
      <c r="BB82" s="1075"/>
      <c r="BC82" s="90">
        <f t="shared" si="79"/>
        <v>28584</v>
      </c>
      <c r="BD82" s="59"/>
      <c r="BE82" s="56">
        <v>28584</v>
      </c>
      <c r="BF82" s="56">
        <f t="shared" si="103"/>
        <v>0</v>
      </c>
      <c r="BG82" s="58">
        <f t="shared" si="97"/>
        <v>35428</v>
      </c>
      <c r="BH82" s="58">
        <f t="shared" si="85"/>
        <v>79.155894659019026</v>
      </c>
      <c r="BI82" s="1133"/>
      <c r="BJ82" s="64">
        <f t="shared" si="67"/>
        <v>950</v>
      </c>
      <c r="BK82" s="64"/>
      <c r="BL82" s="64">
        <v>800</v>
      </c>
      <c r="BM82" s="64">
        <f t="shared" si="98"/>
        <v>150</v>
      </c>
      <c r="BN82" s="65">
        <f t="shared" si="75"/>
        <v>0.25221486688940042</v>
      </c>
      <c r="BO82" s="64">
        <f t="shared" si="99"/>
        <v>10000</v>
      </c>
      <c r="BP82" s="65">
        <f t="shared" si="100"/>
        <v>0.26270620598226163</v>
      </c>
      <c r="BQ82" s="1071"/>
      <c r="BR82" s="77">
        <f t="shared" si="68"/>
        <v>20084</v>
      </c>
      <c r="BS82" s="35"/>
      <c r="BT82" s="35">
        <v>18236</v>
      </c>
      <c r="BU82" s="74">
        <f t="shared" si="112"/>
        <v>1848</v>
      </c>
      <c r="BV82" s="74">
        <f t="shared" si="113"/>
        <v>204565</v>
      </c>
      <c r="BW82" s="74">
        <f t="shared" si="86"/>
        <v>457.05446513837154</v>
      </c>
      <c r="BX82" s="1098"/>
      <c r="BY82" s="295">
        <f t="shared" si="69"/>
        <v>1620</v>
      </c>
      <c r="BZ82" s="296"/>
      <c r="CA82" s="296">
        <v>1400</v>
      </c>
      <c r="CB82" s="296">
        <f t="shared" si="87"/>
        <v>220</v>
      </c>
      <c r="CC82" s="297">
        <f t="shared" si="76"/>
        <v>0.36991513810445392</v>
      </c>
      <c r="CD82" s="296">
        <f t="shared" si="109"/>
        <v>18150</v>
      </c>
      <c r="CE82" s="297">
        <f t="shared" si="88"/>
        <v>0.47681176385780488</v>
      </c>
      <c r="CF82" s="1061"/>
    </row>
    <row r="83" spans="1:84">
      <c r="A83" s="30">
        <v>44396</v>
      </c>
      <c r="B83" s="380">
        <v>573.41600000000005</v>
      </c>
      <c r="C83" s="842">
        <f t="shared" si="104"/>
        <v>38638.752</v>
      </c>
      <c r="D83" s="842">
        <v>6972.42</v>
      </c>
      <c r="E83" s="843">
        <f t="shared" si="105"/>
        <v>454544.89899999992</v>
      </c>
      <c r="F83" s="243">
        <f t="shared" si="63"/>
        <v>36000</v>
      </c>
      <c r="G83" s="240"/>
      <c r="H83" s="280"/>
      <c r="I83" s="240">
        <v>42000</v>
      </c>
      <c r="J83" s="240">
        <v>0</v>
      </c>
      <c r="K83" s="280">
        <f t="shared" si="77"/>
        <v>0</v>
      </c>
      <c r="L83" s="240">
        <f t="shared" si="110"/>
        <v>1353231</v>
      </c>
      <c r="M83" s="280">
        <f t="shared" si="90"/>
        <v>35022.637377107829</v>
      </c>
      <c r="N83" s="280">
        <f t="shared" si="91"/>
        <v>4288.3111763325369</v>
      </c>
      <c r="O83" s="1089"/>
      <c r="P83" s="1084"/>
      <c r="Q83" s="77">
        <f t="shared" si="92"/>
        <v>41692</v>
      </c>
      <c r="R83" s="35"/>
      <c r="S83" s="35">
        <v>41692</v>
      </c>
      <c r="T83" s="35">
        <f t="shared" si="80"/>
        <v>0</v>
      </c>
      <c r="U83" s="36">
        <f t="shared" si="72"/>
        <v>0</v>
      </c>
      <c r="V83" s="74">
        <f t="shared" si="93"/>
        <v>44722</v>
      </c>
      <c r="W83" s="36">
        <f t="shared" si="94"/>
        <v>1.1574390394389549</v>
      </c>
      <c r="X83" s="1136"/>
      <c r="Y83" s="49">
        <f t="shared" si="64"/>
        <v>930</v>
      </c>
      <c r="Z83" s="50"/>
      <c r="AA83" s="50">
        <v>850</v>
      </c>
      <c r="AB83" s="50">
        <f t="shared" si="81"/>
        <v>80</v>
      </c>
      <c r="AC83" s="51">
        <f t="shared" si="78"/>
        <v>0.13951476763815449</v>
      </c>
      <c r="AD83" s="50">
        <f t="shared" si="95"/>
        <v>4684</v>
      </c>
      <c r="AE83" s="51">
        <f t="shared" si="82"/>
        <v>0.12122544744716392</v>
      </c>
      <c r="AF83" s="1047"/>
      <c r="AG83" s="40">
        <f t="shared" si="65"/>
        <v>1175</v>
      </c>
      <c r="AH83" s="41"/>
      <c r="AI83" s="41">
        <v>1119</v>
      </c>
      <c r="AJ83" s="41">
        <f t="shared" si="111"/>
        <v>56</v>
      </c>
      <c r="AK83" s="42">
        <f t="shared" si="74"/>
        <v>97.660337346708147</v>
      </c>
      <c r="AL83" s="41">
        <f t="shared" si="106"/>
        <v>2356</v>
      </c>
      <c r="AM83" s="42">
        <f t="shared" si="96"/>
        <v>6.0975054266763064E-2</v>
      </c>
      <c r="AN83" s="1058"/>
      <c r="AO83" s="67">
        <v>5.9</v>
      </c>
      <c r="AP83" s="67">
        <v>24</v>
      </c>
      <c r="AQ83" s="68">
        <f t="shared" si="101"/>
        <v>70.382280000000009</v>
      </c>
      <c r="AR83" s="68">
        <f t="shared" si="114"/>
        <v>10.094383298768578</v>
      </c>
      <c r="AS83" s="69">
        <f t="shared" si="107"/>
        <v>4567.09422</v>
      </c>
      <c r="AT83" s="140">
        <f t="shared" si="83"/>
        <v>10.047619564200632</v>
      </c>
      <c r="AU83" s="1073"/>
      <c r="AV83" s="70">
        <v>3.2</v>
      </c>
      <c r="AW83" s="71">
        <v>12</v>
      </c>
      <c r="AX83" s="72">
        <f t="shared" si="102"/>
        <v>19.842432000000002</v>
      </c>
      <c r="AY83" s="72">
        <f t="shared" si="71"/>
        <v>2.8458457752114761</v>
      </c>
      <c r="AZ83" s="73">
        <f t="shared" si="108"/>
        <v>1427.104914</v>
      </c>
      <c r="BA83" s="192">
        <f t="shared" si="84"/>
        <v>3.1396346480614676</v>
      </c>
      <c r="BB83" s="1075"/>
      <c r="BC83" s="90">
        <f t="shared" si="79"/>
        <v>28584</v>
      </c>
      <c r="BD83" s="59"/>
      <c r="BE83" s="56">
        <v>28132</v>
      </c>
      <c r="BF83" s="56">
        <f t="shared" si="103"/>
        <v>452</v>
      </c>
      <c r="BG83" s="58">
        <f t="shared" si="97"/>
        <v>35880</v>
      </c>
      <c r="BH83" s="58">
        <f t="shared" si="85"/>
        <v>78.936096475697127</v>
      </c>
      <c r="BI83" s="1133"/>
      <c r="BJ83" s="64">
        <f t="shared" si="67"/>
        <v>800</v>
      </c>
      <c r="BK83" s="64">
        <v>1100</v>
      </c>
      <c r="BL83" s="64">
        <v>1700</v>
      </c>
      <c r="BM83" s="64">
        <f t="shared" si="98"/>
        <v>200</v>
      </c>
      <c r="BN83" s="65">
        <f t="shared" si="75"/>
        <v>0.34878691909538623</v>
      </c>
      <c r="BO83" s="64">
        <f t="shared" si="99"/>
        <v>10200</v>
      </c>
      <c r="BP83" s="65">
        <f t="shared" si="100"/>
        <v>0.2639836814605192</v>
      </c>
      <c r="BQ83" s="1071"/>
      <c r="BR83" s="77">
        <f t="shared" si="68"/>
        <v>18236</v>
      </c>
      <c r="BS83" s="35"/>
      <c r="BT83" s="35">
        <v>16388</v>
      </c>
      <c r="BU83" s="74">
        <f t="shared" si="112"/>
        <v>1848</v>
      </c>
      <c r="BV83" s="74">
        <f t="shared" si="113"/>
        <v>206413</v>
      </c>
      <c r="BW83" s="74">
        <f t="shared" si="86"/>
        <v>454.10915501220933</v>
      </c>
      <c r="BX83" s="1098"/>
      <c r="BY83" s="295">
        <f t="shared" si="69"/>
        <v>1400</v>
      </c>
      <c r="BZ83" s="296"/>
      <c r="CA83" s="296">
        <v>1000</v>
      </c>
      <c r="CB83" s="296">
        <f t="shared" si="87"/>
        <v>400</v>
      </c>
      <c r="CC83" s="297">
        <f t="shared" si="76"/>
        <v>0.69757383819077246</v>
      </c>
      <c r="CD83" s="296">
        <f t="shared" si="109"/>
        <v>18550</v>
      </c>
      <c r="CE83" s="297">
        <f t="shared" si="88"/>
        <v>0.48008796971496387</v>
      </c>
      <c r="CF83" s="1061"/>
    </row>
    <row r="84" spans="1:84">
      <c r="A84" s="30">
        <v>44397</v>
      </c>
      <c r="B84" s="380">
        <v>616.52099999999996</v>
      </c>
      <c r="C84" s="842">
        <f t="shared" si="104"/>
        <v>39255.273000000001</v>
      </c>
      <c r="D84" s="842">
        <v>7167.44</v>
      </c>
      <c r="E84" s="843">
        <f t="shared" si="105"/>
        <v>461712.33899999992</v>
      </c>
      <c r="F84" s="243">
        <f t="shared" si="63"/>
        <v>42000</v>
      </c>
      <c r="G84" s="240"/>
      <c r="H84" s="280"/>
      <c r="I84" s="240">
        <v>18000</v>
      </c>
      <c r="J84" s="240">
        <f t="shared" si="89"/>
        <v>24000</v>
      </c>
      <c r="K84" s="280">
        <f t="shared" si="77"/>
        <v>38928.114370800024</v>
      </c>
      <c r="L84" s="240">
        <f t="shared" si="110"/>
        <v>1377231</v>
      </c>
      <c r="M84" s="280">
        <f t="shared" si="90"/>
        <v>35083.974578396126</v>
      </c>
      <c r="N84" s="280">
        <f t="shared" si="91"/>
        <v>4295.8215474955459</v>
      </c>
      <c r="O84" s="1089"/>
      <c r="P84" s="1084"/>
      <c r="Q84" s="77">
        <f t="shared" si="92"/>
        <v>41692</v>
      </c>
      <c r="R84" s="35"/>
      <c r="S84" s="35">
        <v>41692</v>
      </c>
      <c r="T84" s="35">
        <f t="shared" si="80"/>
        <v>0</v>
      </c>
      <c r="U84" s="36">
        <f t="shared" si="72"/>
        <v>0</v>
      </c>
      <c r="V84" s="74">
        <f t="shared" si="93"/>
        <v>44722</v>
      </c>
      <c r="W84" s="36">
        <f t="shared" si="94"/>
        <v>1.1392609599225052</v>
      </c>
      <c r="X84" s="1136"/>
      <c r="Y84" s="49">
        <f t="shared" si="64"/>
        <v>850</v>
      </c>
      <c r="Z84" s="50"/>
      <c r="AA84" s="50">
        <v>797</v>
      </c>
      <c r="AB84" s="50">
        <f t="shared" si="81"/>
        <v>53</v>
      </c>
      <c r="AC84" s="51">
        <f t="shared" si="78"/>
        <v>8.5966252568850057E-2</v>
      </c>
      <c r="AD84" s="50">
        <f t="shared" si="95"/>
        <v>4737</v>
      </c>
      <c r="AE84" s="51">
        <f t="shared" si="82"/>
        <v>0.12067168657825918</v>
      </c>
      <c r="AF84" s="1047"/>
      <c r="AG84" s="40">
        <f t="shared" si="65"/>
        <v>1119</v>
      </c>
      <c r="AH84" s="41"/>
      <c r="AI84" s="41">
        <v>1100</v>
      </c>
      <c r="AJ84" s="41">
        <f t="shared" si="111"/>
        <v>19</v>
      </c>
      <c r="AK84" s="42">
        <f t="shared" si="74"/>
        <v>30.818090543550021</v>
      </c>
      <c r="AL84" s="41">
        <f t="shared" si="106"/>
        <v>2375</v>
      </c>
      <c r="AM84" s="42">
        <f t="shared" si="96"/>
        <v>6.0501426139616961E-2</v>
      </c>
      <c r="AN84" s="1058"/>
      <c r="AO84" s="67">
        <v>5.6</v>
      </c>
      <c r="AP84" s="67">
        <v>24</v>
      </c>
      <c r="AQ84" s="68">
        <f t="shared" si="101"/>
        <v>66.803519999999992</v>
      </c>
      <c r="AR84" s="68">
        <f t="shared" si="114"/>
        <v>9.3204156574732391</v>
      </c>
      <c r="AS84" s="69">
        <f t="shared" si="107"/>
        <v>4633.8977400000003</v>
      </c>
      <c r="AT84" s="140">
        <f t="shared" si="83"/>
        <v>10.036330737957604</v>
      </c>
      <c r="AU84" s="1073"/>
      <c r="AV84" s="70">
        <v>3.4</v>
      </c>
      <c r="AW84" s="71">
        <v>12</v>
      </c>
      <c r="AX84" s="72">
        <f t="shared" si="102"/>
        <v>21.082584000000001</v>
      </c>
      <c r="AY84" s="72">
        <f t="shared" si="71"/>
        <v>2.9414385052403649</v>
      </c>
      <c r="AZ84" s="73">
        <f t="shared" si="108"/>
        <v>1448.187498</v>
      </c>
      <c r="BA84" s="192">
        <f t="shared" si="84"/>
        <v>3.1365579294167403</v>
      </c>
      <c r="BB84" s="1075"/>
      <c r="BC84" s="90">
        <f t="shared" si="79"/>
        <v>28132</v>
      </c>
      <c r="BD84" s="59"/>
      <c r="BE84" s="56">
        <v>28132</v>
      </c>
      <c r="BF84" s="56">
        <f t="shared" si="103"/>
        <v>0</v>
      </c>
      <c r="BG84" s="58">
        <f t="shared" si="97"/>
        <v>35880</v>
      </c>
      <c r="BH84" s="58">
        <f t="shared" si="85"/>
        <v>77.710723689366262</v>
      </c>
      <c r="BI84" s="1133"/>
      <c r="BJ84" s="64">
        <f t="shared" si="67"/>
        <v>1700</v>
      </c>
      <c r="BK84" s="64"/>
      <c r="BL84" s="64">
        <v>1700</v>
      </c>
      <c r="BM84" s="64">
        <f t="shared" si="98"/>
        <v>0</v>
      </c>
      <c r="BN84" s="65">
        <f t="shared" si="75"/>
        <v>0</v>
      </c>
      <c r="BO84" s="64">
        <f t="shared" si="99"/>
        <v>10200</v>
      </c>
      <c r="BP84" s="65">
        <f t="shared" si="100"/>
        <v>0.25983770384172339</v>
      </c>
      <c r="BQ84" s="1071"/>
      <c r="BR84" s="77">
        <f t="shared" si="68"/>
        <v>16388</v>
      </c>
      <c r="BS84" s="35"/>
      <c r="BT84" s="35">
        <v>15463</v>
      </c>
      <c r="BU84" s="74">
        <f t="shared" si="112"/>
        <v>925</v>
      </c>
      <c r="BV84" s="74">
        <f t="shared" si="113"/>
        <v>207338</v>
      </c>
      <c r="BW84" s="74">
        <f t="shared" si="86"/>
        <v>449.06315574988355</v>
      </c>
      <c r="BX84" s="1098"/>
      <c r="BY84" s="295">
        <f t="shared" si="69"/>
        <v>1000</v>
      </c>
      <c r="BZ84" s="296"/>
      <c r="CA84" s="296">
        <v>630</v>
      </c>
      <c r="CB84" s="296">
        <f t="shared" si="87"/>
        <v>370</v>
      </c>
      <c r="CC84" s="297">
        <f t="shared" si="76"/>
        <v>0.60014176321650037</v>
      </c>
      <c r="CD84" s="296">
        <f t="shared" si="109"/>
        <v>18920</v>
      </c>
      <c r="CE84" s="297">
        <f t="shared" si="88"/>
        <v>0.48197346634170651</v>
      </c>
      <c r="CF84" s="1061"/>
    </row>
    <row r="85" spans="1:84">
      <c r="A85" s="30">
        <v>44398</v>
      </c>
      <c r="B85" s="380">
        <v>539.43700000000001</v>
      </c>
      <c r="C85" s="842">
        <f t="shared" si="104"/>
        <v>39794.71</v>
      </c>
      <c r="D85" s="842">
        <v>6331.36</v>
      </c>
      <c r="E85" s="843">
        <f t="shared" si="105"/>
        <v>468043.69899999991</v>
      </c>
      <c r="F85" s="243">
        <f t="shared" si="63"/>
        <v>18000</v>
      </c>
      <c r="G85" s="240">
        <v>31250</v>
      </c>
      <c r="H85" s="280">
        <v>21.44</v>
      </c>
      <c r="I85" s="240">
        <v>27000</v>
      </c>
      <c r="J85" s="240">
        <f t="shared" si="89"/>
        <v>22250</v>
      </c>
      <c r="K85" s="280">
        <f t="shared" si="77"/>
        <v>41246.707215115021</v>
      </c>
      <c r="L85" s="240">
        <f t="shared" si="110"/>
        <v>1399481</v>
      </c>
      <c r="M85" s="280">
        <f t="shared" si="90"/>
        <v>35167.513471011604</v>
      </c>
      <c r="N85" s="280">
        <f t="shared" si="91"/>
        <v>4306.0503821490884</v>
      </c>
      <c r="O85" s="1089"/>
      <c r="P85" s="1084"/>
      <c r="Q85" s="77">
        <f t="shared" si="92"/>
        <v>41692</v>
      </c>
      <c r="R85" s="35"/>
      <c r="S85" s="35">
        <v>41692</v>
      </c>
      <c r="T85" s="35">
        <f t="shared" si="80"/>
        <v>0</v>
      </c>
      <c r="U85" s="36">
        <f t="shared" si="72"/>
        <v>0</v>
      </c>
      <c r="V85" s="74">
        <f t="shared" si="93"/>
        <v>44722</v>
      </c>
      <c r="W85" s="36">
        <f t="shared" si="94"/>
        <v>1.1238177134599046</v>
      </c>
      <c r="X85" s="1136"/>
      <c r="Y85" s="49">
        <f t="shared" si="64"/>
        <v>797</v>
      </c>
      <c r="Z85" s="50"/>
      <c r="AA85" s="50">
        <v>779</v>
      </c>
      <c r="AB85" s="50">
        <f t="shared" si="81"/>
        <v>18</v>
      </c>
      <c r="AC85" s="51">
        <f t="shared" si="78"/>
        <v>3.3368122690879562E-2</v>
      </c>
      <c r="AD85" s="50">
        <f t="shared" si="95"/>
        <v>4755</v>
      </c>
      <c r="AE85" s="51">
        <f t="shared" si="82"/>
        <v>0.11948824353789737</v>
      </c>
      <c r="AF85" s="1047"/>
      <c r="AG85" s="40">
        <f t="shared" si="65"/>
        <v>1100</v>
      </c>
      <c r="AH85" s="41"/>
      <c r="AI85" s="41">
        <v>1081</v>
      </c>
      <c r="AJ85" s="41">
        <f t="shared" si="111"/>
        <v>19</v>
      </c>
      <c r="AK85" s="42">
        <f t="shared" si="74"/>
        <v>35.22190728481732</v>
      </c>
      <c r="AL85" s="41">
        <f t="shared" si="106"/>
        <v>2394</v>
      </c>
      <c r="AM85" s="42">
        <f t="shared" si="96"/>
        <v>6.0158749743370411E-2</v>
      </c>
      <c r="AN85" s="1058"/>
      <c r="AO85" s="67">
        <v>5.9</v>
      </c>
      <c r="AP85" s="67">
        <v>24</v>
      </c>
      <c r="AQ85" s="68">
        <f t="shared" si="101"/>
        <v>70.382280000000009</v>
      </c>
      <c r="AR85" s="68">
        <f t="shared" si="114"/>
        <v>11.116455232367141</v>
      </c>
      <c r="AS85" s="69">
        <f t="shared" si="107"/>
        <v>4704.2800200000001</v>
      </c>
      <c r="AT85" s="140">
        <f t="shared" si="83"/>
        <v>10.050941888654719</v>
      </c>
      <c r="AU85" s="1073"/>
      <c r="AV85" s="70">
        <v>3.2</v>
      </c>
      <c r="AW85" s="71">
        <v>12</v>
      </c>
      <c r="AX85" s="72">
        <f t="shared" si="102"/>
        <v>19.842432000000002</v>
      </c>
      <c r="AY85" s="72">
        <f t="shared" si="71"/>
        <v>3.13399206489601</v>
      </c>
      <c r="AZ85" s="73">
        <f t="shared" si="108"/>
        <v>1468.0299299999999</v>
      </c>
      <c r="BA85" s="192">
        <f t="shared" si="84"/>
        <v>3.1365232202388866</v>
      </c>
      <c r="BB85" s="1075"/>
      <c r="BC85" s="90">
        <f t="shared" si="79"/>
        <v>28132</v>
      </c>
      <c r="BD85" s="59"/>
      <c r="BE85" s="56">
        <v>28132</v>
      </c>
      <c r="BF85" s="56">
        <f t="shared" si="103"/>
        <v>0</v>
      </c>
      <c r="BG85" s="58">
        <f t="shared" si="97"/>
        <v>35880</v>
      </c>
      <c r="BH85" s="58">
        <f t="shared" si="85"/>
        <v>76.659508666946095</v>
      </c>
      <c r="BI85" s="1133"/>
      <c r="BJ85" s="64">
        <f t="shared" si="67"/>
        <v>1700</v>
      </c>
      <c r="BK85" s="64"/>
      <c r="BL85" s="64">
        <v>1680</v>
      </c>
      <c r="BM85" s="64">
        <f t="shared" si="98"/>
        <v>20</v>
      </c>
      <c r="BN85" s="65">
        <f t="shared" si="75"/>
        <v>3.707569187875507E-2</v>
      </c>
      <c r="BO85" s="64">
        <f t="shared" si="99"/>
        <v>10220</v>
      </c>
      <c r="BP85" s="65">
        <f t="shared" si="100"/>
        <v>0.25681805446000233</v>
      </c>
      <c r="BQ85" s="1071"/>
      <c r="BR85" s="77">
        <f t="shared" si="68"/>
        <v>15463</v>
      </c>
      <c r="BS85" s="35">
        <v>32100</v>
      </c>
      <c r="BT85" s="35">
        <v>44113</v>
      </c>
      <c r="BU85" s="74">
        <f t="shared" si="112"/>
        <v>3450</v>
      </c>
      <c r="BV85" s="74">
        <f t="shared" si="113"/>
        <v>210788</v>
      </c>
      <c r="BW85" s="74">
        <f t="shared" si="86"/>
        <v>450.35965754983926</v>
      </c>
      <c r="BX85" s="1098"/>
      <c r="BY85" s="295">
        <f t="shared" si="69"/>
        <v>630</v>
      </c>
      <c r="BZ85" s="296"/>
      <c r="CA85" s="296">
        <v>310</v>
      </c>
      <c r="CB85" s="296">
        <f t="shared" si="87"/>
        <v>320</v>
      </c>
      <c r="CC85" s="297">
        <f t="shared" si="76"/>
        <v>0.59321107006008111</v>
      </c>
      <c r="CD85" s="296">
        <f t="shared" si="109"/>
        <v>19240</v>
      </c>
      <c r="CE85" s="297">
        <f t="shared" si="88"/>
        <v>0.48348134714387919</v>
      </c>
      <c r="CF85" s="1061"/>
    </row>
    <row r="86" spans="1:84">
      <c r="A86" s="30">
        <v>44399</v>
      </c>
      <c r="B86" s="380">
        <v>235.61099999999999</v>
      </c>
      <c r="C86" s="842">
        <f t="shared" si="104"/>
        <v>40030.320999999996</v>
      </c>
      <c r="D86" s="842">
        <v>413.84</v>
      </c>
      <c r="E86" s="843">
        <f t="shared" si="105"/>
        <v>468457.53899999993</v>
      </c>
      <c r="F86" s="243">
        <f t="shared" si="63"/>
        <v>27000</v>
      </c>
      <c r="G86" s="240">
        <v>31250</v>
      </c>
      <c r="H86" s="280">
        <v>14.16</v>
      </c>
      <c r="I86" s="240">
        <v>48000</v>
      </c>
      <c r="J86" s="240">
        <f t="shared" si="89"/>
        <v>10250</v>
      </c>
      <c r="K86" s="280">
        <f t="shared" si="77"/>
        <v>43503.911107715685</v>
      </c>
      <c r="L86" s="240">
        <f t="shared" si="110"/>
        <v>1409731</v>
      </c>
      <c r="M86" s="280">
        <f t="shared" si="90"/>
        <v>35216.579951981905</v>
      </c>
      <c r="N86" s="280">
        <f t="shared" si="91"/>
        <v>4312.058277455847</v>
      </c>
      <c r="O86" s="1089"/>
      <c r="P86" s="1084"/>
      <c r="Q86" s="77">
        <f t="shared" si="92"/>
        <v>41692</v>
      </c>
      <c r="R86" s="35"/>
      <c r="S86" s="35">
        <v>41692</v>
      </c>
      <c r="T86" s="35">
        <f t="shared" si="80"/>
        <v>0</v>
      </c>
      <c r="U86" s="36">
        <f t="shared" si="72"/>
        <v>0</v>
      </c>
      <c r="V86" s="74">
        <f t="shared" si="93"/>
        <v>44722</v>
      </c>
      <c r="W86" s="36">
        <f t="shared" si="94"/>
        <v>1.1172031320957931</v>
      </c>
      <c r="X86" s="1136"/>
      <c r="Y86" s="49">
        <f t="shared" si="64"/>
        <v>779</v>
      </c>
      <c r="Z86" s="50"/>
      <c r="AA86" s="50">
        <v>779</v>
      </c>
      <c r="AB86" s="50">
        <f t="shared" si="81"/>
        <v>0</v>
      </c>
      <c r="AC86" s="51">
        <f t="shared" si="78"/>
        <v>0</v>
      </c>
      <c r="AD86" s="50">
        <f t="shared" si="95"/>
        <v>4755</v>
      </c>
      <c r="AE86" s="51">
        <f t="shared" si="82"/>
        <v>0.11878495803218767</v>
      </c>
      <c r="AF86" s="1047"/>
      <c r="AG86" s="40">
        <f t="shared" si="65"/>
        <v>1081</v>
      </c>
      <c r="AH86" s="41"/>
      <c r="AI86" s="41">
        <v>1062</v>
      </c>
      <c r="AJ86" s="41">
        <f t="shared" si="111"/>
        <v>19</v>
      </c>
      <c r="AK86" s="42">
        <f t="shared" si="74"/>
        <v>80.641396199668094</v>
      </c>
      <c r="AL86" s="41">
        <f t="shared" si="106"/>
        <v>2413</v>
      </c>
      <c r="AM86" s="42">
        <f t="shared" si="96"/>
        <v>6.0279306778479251E-2</v>
      </c>
      <c r="AN86" s="1058"/>
      <c r="AO86" s="67">
        <v>6.3</v>
      </c>
      <c r="AP86" s="67">
        <v>24</v>
      </c>
      <c r="AQ86" s="68">
        <f t="shared" si="101"/>
        <v>75.153959999999998</v>
      </c>
      <c r="AR86" s="68">
        <f t="shared" si="114"/>
        <v>181.60148849797022</v>
      </c>
      <c r="AS86" s="69">
        <f t="shared" si="107"/>
        <v>4779.4339799999998</v>
      </c>
      <c r="AT86" s="140">
        <f t="shared" si="83"/>
        <v>10.202491329742481</v>
      </c>
      <c r="AU86" s="1073"/>
      <c r="AV86" s="70">
        <v>0.4</v>
      </c>
      <c r="AW86" s="71">
        <v>12</v>
      </c>
      <c r="AX86" s="72">
        <f t="shared" si="102"/>
        <v>2.4803040000000003</v>
      </c>
      <c r="AY86" s="72">
        <f t="shared" si="71"/>
        <v>5.9933887492750824</v>
      </c>
      <c r="AZ86" s="73">
        <f t="shared" si="108"/>
        <v>1470.5102339999999</v>
      </c>
      <c r="BA86" s="192">
        <f t="shared" si="84"/>
        <v>3.1390470033613873</v>
      </c>
      <c r="BB86" s="1075"/>
      <c r="BC86" s="90">
        <f t="shared" si="79"/>
        <v>28132</v>
      </c>
      <c r="BD86" s="59"/>
      <c r="BE86" s="56">
        <v>27672</v>
      </c>
      <c r="BF86" s="56">
        <f t="shared" si="103"/>
        <v>460</v>
      </c>
      <c r="BG86" s="58">
        <f t="shared" si="97"/>
        <v>36340</v>
      </c>
      <c r="BH86" s="58">
        <f t="shared" si="85"/>
        <v>77.573732888521207</v>
      </c>
      <c r="BI86" s="1133"/>
      <c r="BJ86" s="64">
        <f t="shared" si="67"/>
        <v>1680</v>
      </c>
      <c r="BK86" s="64"/>
      <c r="BL86" s="64">
        <v>1540</v>
      </c>
      <c r="BM86" s="64">
        <f t="shared" si="98"/>
        <v>140</v>
      </c>
      <c r="BN86" s="65">
        <f t="shared" si="75"/>
        <v>0.59419976147123865</v>
      </c>
      <c r="BO86" s="64">
        <f t="shared" si="99"/>
        <v>10360</v>
      </c>
      <c r="BP86" s="65">
        <f t="shared" si="100"/>
        <v>0.25880382023416704</v>
      </c>
      <c r="BQ86" s="1071"/>
      <c r="BR86" s="77">
        <f t="shared" si="68"/>
        <v>44113</v>
      </c>
      <c r="BS86" s="35"/>
      <c r="BT86" s="35">
        <v>37644</v>
      </c>
      <c r="BU86" s="74">
        <f t="shared" si="112"/>
        <v>6469</v>
      </c>
      <c r="BV86" s="74">
        <f t="shared" si="113"/>
        <v>217257</v>
      </c>
      <c r="BW86" s="74">
        <f t="shared" si="86"/>
        <v>463.7709544898583</v>
      </c>
      <c r="BX86" s="1098"/>
      <c r="BY86" s="295">
        <f t="shared" si="69"/>
        <v>310</v>
      </c>
      <c r="BZ86" s="296"/>
      <c r="CA86" s="296">
        <v>300</v>
      </c>
      <c r="CB86" s="296">
        <f t="shared" si="87"/>
        <v>10</v>
      </c>
      <c r="CC86" s="297">
        <f t="shared" si="76"/>
        <v>4.2442840105088475E-2</v>
      </c>
      <c r="CD86" s="296">
        <f t="shared" si="109"/>
        <v>19250</v>
      </c>
      <c r="CE86" s="297">
        <f t="shared" si="88"/>
        <v>0.48088547678645899</v>
      </c>
      <c r="CF86" s="1061"/>
    </row>
    <row r="87" spans="1:84">
      <c r="A87" s="30">
        <v>44400</v>
      </c>
      <c r="B87" s="380">
        <v>274.74400000000003</v>
      </c>
      <c r="C87" s="842">
        <f t="shared" si="104"/>
        <v>40305.064999999995</v>
      </c>
      <c r="D87" s="842">
        <v>4603.7</v>
      </c>
      <c r="E87" s="843">
        <f t="shared" si="105"/>
        <v>473061.23899999994</v>
      </c>
      <c r="F87" s="243">
        <f t="shared" si="63"/>
        <v>48000</v>
      </c>
      <c r="G87" s="240"/>
      <c r="H87" s="280"/>
      <c r="I87" s="240">
        <v>27000</v>
      </c>
      <c r="J87" s="240">
        <f t="shared" si="89"/>
        <v>21000</v>
      </c>
      <c r="K87" s="280">
        <f t="shared" si="77"/>
        <v>76434.790204699646</v>
      </c>
      <c r="L87" s="240">
        <f t="shared" si="110"/>
        <v>1430731</v>
      </c>
      <c r="M87" s="280">
        <f t="shared" si="90"/>
        <v>35497.548509101776</v>
      </c>
      <c r="N87" s="280">
        <f t="shared" si="91"/>
        <v>4346.4611863722021</v>
      </c>
      <c r="O87" s="1089"/>
      <c r="P87" s="1084"/>
      <c r="Q87" s="77">
        <f t="shared" si="92"/>
        <v>41692</v>
      </c>
      <c r="R87" s="35"/>
      <c r="S87" s="35">
        <v>41692</v>
      </c>
      <c r="T87" s="35">
        <f t="shared" si="80"/>
        <v>0</v>
      </c>
      <c r="U87" s="36">
        <f t="shared" si="72"/>
        <v>0</v>
      </c>
      <c r="V87" s="74">
        <f t="shared" si="93"/>
        <v>44722</v>
      </c>
      <c r="W87" s="36">
        <f t="shared" si="94"/>
        <v>1.1095875915347118</v>
      </c>
      <c r="X87" s="1136"/>
      <c r="Y87" s="49">
        <f t="shared" si="64"/>
        <v>779</v>
      </c>
      <c r="Z87" s="50"/>
      <c r="AA87" s="50">
        <v>707</v>
      </c>
      <c r="AB87" s="50">
        <f t="shared" si="81"/>
        <v>72</v>
      </c>
      <c r="AC87" s="51">
        <f t="shared" si="78"/>
        <v>0.26206213784468446</v>
      </c>
      <c r="AD87" s="50">
        <f t="shared" si="95"/>
        <v>4827</v>
      </c>
      <c r="AE87" s="51">
        <f t="shared" si="82"/>
        <v>0.11976162301189691</v>
      </c>
      <c r="AF87" s="1047"/>
      <c r="AG87" s="40">
        <f t="shared" si="65"/>
        <v>1062</v>
      </c>
      <c r="AH87" s="41"/>
      <c r="AI87" s="41">
        <v>1062</v>
      </c>
      <c r="AJ87" s="41">
        <f t="shared" si="111"/>
        <v>0</v>
      </c>
      <c r="AK87" s="42">
        <f t="shared" si="74"/>
        <v>0</v>
      </c>
      <c r="AL87" s="41">
        <f t="shared" si="106"/>
        <v>2413</v>
      </c>
      <c r="AM87" s="42">
        <f t="shared" si="96"/>
        <v>5.9868406117196446E-2</v>
      </c>
      <c r="AN87" s="1058"/>
      <c r="AO87" s="67">
        <v>6.2</v>
      </c>
      <c r="AP87" s="67">
        <v>24</v>
      </c>
      <c r="AQ87" s="68">
        <f t="shared" si="101"/>
        <v>73.961040000000011</v>
      </c>
      <c r="AR87" s="68">
        <f t="shared" si="114"/>
        <v>16.065564654517022</v>
      </c>
      <c r="AS87" s="69">
        <f t="shared" si="107"/>
        <v>4853.3950199999999</v>
      </c>
      <c r="AT87" s="140">
        <f t="shared" si="83"/>
        <v>10.259549123617798</v>
      </c>
      <c r="AU87" s="1073"/>
      <c r="AV87" s="70">
        <v>2.4</v>
      </c>
      <c r="AW87" s="71">
        <v>12</v>
      </c>
      <c r="AX87" s="72">
        <f t="shared" si="102"/>
        <v>14.881824</v>
      </c>
      <c r="AY87" s="72">
        <f t="shared" si="71"/>
        <v>3.2325790125333973</v>
      </c>
      <c r="AZ87" s="73">
        <f t="shared" si="108"/>
        <v>1485.3920579999999</v>
      </c>
      <c r="BA87" s="192">
        <f t="shared" si="84"/>
        <v>3.139957230780432</v>
      </c>
      <c r="BB87" s="1075"/>
      <c r="BC87" s="90">
        <f t="shared" si="79"/>
        <v>27672</v>
      </c>
      <c r="BD87" s="59"/>
      <c r="BE87" s="56">
        <v>26095</v>
      </c>
      <c r="BF87" s="56">
        <f t="shared" si="103"/>
        <v>1577</v>
      </c>
      <c r="BG87" s="58">
        <f t="shared" si="97"/>
        <v>37917</v>
      </c>
      <c r="BH87" s="58">
        <f t="shared" si="85"/>
        <v>80.152413417240481</v>
      </c>
      <c r="BI87" s="1133"/>
      <c r="BJ87" s="64">
        <f t="shared" si="67"/>
        <v>1540</v>
      </c>
      <c r="BK87" s="64"/>
      <c r="BL87" s="64">
        <v>1500</v>
      </c>
      <c r="BM87" s="64">
        <f t="shared" si="98"/>
        <v>40</v>
      </c>
      <c r="BN87" s="65">
        <f t="shared" si="75"/>
        <v>0.14559007658038026</v>
      </c>
      <c r="BO87" s="64">
        <f t="shared" si="99"/>
        <v>10400</v>
      </c>
      <c r="BP87" s="65">
        <f t="shared" si="100"/>
        <v>0.25803208604179156</v>
      </c>
      <c r="BQ87" s="1071"/>
      <c r="BR87" s="77">
        <f t="shared" si="68"/>
        <v>37644</v>
      </c>
      <c r="BS87" s="35"/>
      <c r="BT87" s="35">
        <v>37644</v>
      </c>
      <c r="BU87" s="74">
        <f t="shared" si="112"/>
        <v>0</v>
      </c>
      <c r="BV87" s="74">
        <f t="shared" si="113"/>
        <v>217257</v>
      </c>
      <c r="BW87" s="74">
        <f t="shared" si="86"/>
        <v>459.25766494684217</v>
      </c>
      <c r="BX87" s="1098"/>
      <c r="BY87" s="295">
        <f t="shared" si="69"/>
        <v>300</v>
      </c>
      <c r="BZ87" s="296"/>
      <c r="CA87" s="296">
        <v>280</v>
      </c>
      <c r="CB87" s="296">
        <f t="shared" si="87"/>
        <v>20</v>
      </c>
      <c r="CC87" s="297">
        <f t="shared" si="76"/>
        <v>7.2795038290190128E-2</v>
      </c>
      <c r="CD87" s="296">
        <f t="shared" si="109"/>
        <v>19270</v>
      </c>
      <c r="CE87" s="297">
        <f t="shared" si="88"/>
        <v>0.4781036825024349</v>
      </c>
      <c r="CF87" s="1061"/>
    </row>
    <row r="88" spans="1:84">
      <c r="A88" s="30">
        <v>44401</v>
      </c>
      <c r="B88" s="380">
        <v>334.40199999999999</v>
      </c>
      <c r="C88" s="842">
        <f t="shared" si="104"/>
        <v>40639.466999999997</v>
      </c>
      <c r="D88" s="842">
        <v>3273.26</v>
      </c>
      <c r="E88" s="843">
        <f t="shared" si="105"/>
        <v>476334.49899999995</v>
      </c>
      <c r="F88" s="243">
        <f t="shared" si="63"/>
        <v>27000</v>
      </c>
      <c r="G88" s="240">
        <v>31250</v>
      </c>
      <c r="H88" s="280">
        <v>30.05</v>
      </c>
      <c r="I88" s="240">
        <v>41000</v>
      </c>
      <c r="J88" s="240">
        <f t="shared" si="89"/>
        <v>17250</v>
      </c>
      <c r="K88" s="280">
        <f t="shared" si="77"/>
        <v>51584.619709212267</v>
      </c>
      <c r="L88" s="240">
        <f t="shared" si="110"/>
        <v>1447981</v>
      </c>
      <c r="M88" s="280">
        <f t="shared" si="90"/>
        <v>35629.921032182829</v>
      </c>
      <c r="N88" s="280">
        <f t="shared" si="91"/>
        <v>4362.669405189522</v>
      </c>
      <c r="O88" s="1089"/>
      <c r="P88" s="1084"/>
      <c r="Q88" s="77">
        <f t="shared" si="92"/>
        <v>41692</v>
      </c>
      <c r="R88" s="35"/>
      <c r="S88" s="35">
        <v>41692</v>
      </c>
      <c r="T88" s="35">
        <f t="shared" si="80"/>
        <v>0</v>
      </c>
      <c r="U88" s="36">
        <f t="shared" si="72"/>
        <v>0</v>
      </c>
      <c r="V88" s="74">
        <f t="shared" si="93"/>
        <v>44722</v>
      </c>
      <c r="W88" s="36">
        <f t="shared" si="94"/>
        <v>1.1004573460572207</v>
      </c>
      <c r="X88" s="1136"/>
      <c r="Y88" s="49">
        <f t="shared" si="64"/>
        <v>707</v>
      </c>
      <c r="Z88" s="50"/>
      <c r="AA88" s="50">
        <v>689</v>
      </c>
      <c r="AB88" s="50">
        <f t="shared" si="81"/>
        <v>18</v>
      </c>
      <c r="AC88" s="51">
        <f t="shared" si="78"/>
        <v>5.3827429261786713E-2</v>
      </c>
      <c r="AD88" s="50">
        <f t="shared" si="95"/>
        <v>4845</v>
      </c>
      <c r="AE88" s="51">
        <f t="shared" si="82"/>
        <v>0.11921908326209102</v>
      </c>
      <c r="AF88" s="1047"/>
      <c r="AG88" s="40">
        <f t="shared" si="65"/>
        <v>1062</v>
      </c>
      <c r="AH88" s="41"/>
      <c r="AI88" s="41">
        <v>1042</v>
      </c>
      <c r="AJ88" s="41">
        <f t="shared" si="111"/>
        <v>20</v>
      </c>
      <c r="AK88" s="42">
        <f t="shared" si="74"/>
        <v>59.80825473531857</v>
      </c>
      <c r="AL88" s="41">
        <f t="shared" si="106"/>
        <v>2433</v>
      </c>
      <c r="AM88" s="42">
        <f t="shared" si="96"/>
        <v>5.9867911161334872E-2</v>
      </c>
      <c r="AN88" s="1058"/>
      <c r="AO88" s="67">
        <v>1.1000000000000001</v>
      </c>
      <c r="AP88" s="67">
        <v>24</v>
      </c>
      <c r="AQ88" s="68">
        <f t="shared" si="101"/>
        <v>13.122120000000001</v>
      </c>
      <c r="AR88" s="68">
        <f t="shared" si="114"/>
        <v>4.0088841094199665</v>
      </c>
      <c r="AS88" s="69">
        <f t="shared" si="107"/>
        <v>4866.5171399999999</v>
      </c>
      <c r="AT88" s="140">
        <f t="shared" si="83"/>
        <v>10.216596005992839</v>
      </c>
      <c r="AU88" s="1073"/>
      <c r="AV88" s="70">
        <v>1.65</v>
      </c>
      <c r="AW88" s="71">
        <v>12</v>
      </c>
      <c r="AX88" s="72">
        <f t="shared" si="102"/>
        <v>10.231254</v>
      </c>
      <c r="AY88" s="72">
        <f t="shared" si="71"/>
        <v>3.1257077042459196</v>
      </c>
      <c r="AZ88" s="73">
        <f t="shared" si="108"/>
        <v>1495.6233119999999</v>
      </c>
      <c r="BA88" s="192">
        <f t="shared" si="84"/>
        <v>3.1398593113449884</v>
      </c>
      <c r="BB88" s="1075"/>
      <c r="BC88" s="90">
        <f t="shared" si="79"/>
        <v>26095</v>
      </c>
      <c r="BD88" s="59"/>
      <c r="BE88" s="56">
        <v>26095</v>
      </c>
      <c r="BF88" s="56">
        <f t="shared" si="103"/>
        <v>0</v>
      </c>
      <c r="BG88" s="58">
        <f t="shared" si="97"/>
        <v>37917</v>
      </c>
      <c r="BH88" s="58">
        <f t="shared" si="85"/>
        <v>79.601624655786281</v>
      </c>
      <c r="BI88" s="1133"/>
      <c r="BJ88" s="64">
        <f t="shared" si="67"/>
        <v>1500</v>
      </c>
      <c r="BK88" s="64"/>
      <c r="BL88" s="64">
        <v>1500</v>
      </c>
      <c r="BM88" s="64">
        <f t="shared" si="98"/>
        <v>0</v>
      </c>
      <c r="BN88" s="65">
        <f t="shared" si="75"/>
        <v>0</v>
      </c>
      <c r="BO88" s="64">
        <f t="shared" si="99"/>
        <v>10400</v>
      </c>
      <c r="BP88" s="65">
        <f t="shared" si="100"/>
        <v>0.25590886809612934</v>
      </c>
      <c r="BQ88" s="1071"/>
      <c r="BR88" s="77">
        <f t="shared" si="68"/>
        <v>37644</v>
      </c>
      <c r="BS88" s="35"/>
      <c r="BT88" s="35">
        <v>37644</v>
      </c>
      <c r="BU88" s="74">
        <f t="shared" si="112"/>
        <v>0</v>
      </c>
      <c r="BV88" s="74">
        <f t="shared" si="113"/>
        <v>217257</v>
      </c>
      <c r="BW88" s="74">
        <f t="shared" si="86"/>
        <v>456.10175298262413</v>
      </c>
      <c r="BX88" s="1098"/>
      <c r="BY88" s="295">
        <f t="shared" si="69"/>
        <v>280</v>
      </c>
      <c r="BZ88" s="296"/>
      <c r="CA88" s="296">
        <v>0</v>
      </c>
      <c r="CB88" s="296">
        <f t="shared" si="87"/>
        <v>280</v>
      </c>
      <c r="CC88" s="297">
        <f t="shared" si="76"/>
        <v>0.83731556629446002</v>
      </c>
      <c r="CD88" s="296">
        <f t="shared" si="109"/>
        <v>19550</v>
      </c>
      <c r="CE88" s="297">
        <f t="shared" si="88"/>
        <v>0.48105945877685852</v>
      </c>
      <c r="CF88" s="1061"/>
    </row>
    <row r="89" spans="1:84">
      <c r="A89" s="30">
        <v>44402</v>
      </c>
      <c r="B89" s="380">
        <v>480.91199999999998</v>
      </c>
      <c r="C89" s="842">
        <f t="shared" si="104"/>
        <v>41120.378999999994</v>
      </c>
      <c r="D89" s="842">
        <v>4976.32</v>
      </c>
      <c r="E89" s="843">
        <f t="shared" si="105"/>
        <v>481310.81899999996</v>
      </c>
      <c r="F89" s="243">
        <f t="shared" si="63"/>
        <v>41000</v>
      </c>
      <c r="G89" s="240"/>
      <c r="H89" s="280"/>
      <c r="I89" s="240">
        <v>30000</v>
      </c>
      <c r="J89" s="240">
        <f t="shared" si="89"/>
        <v>11000</v>
      </c>
      <c r="K89" s="280">
        <f t="shared" si="77"/>
        <v>22873.207572279338</v>
      </c>
      <c r="L89" s="240">
        <f t="shared" si="110"/>
        <v>1458981</v>
      </c>
      <c r="M89" s="280">
        <f t="shared" si="90"/>
        <v>35480.728424220026</v>
      </c>
      <c r="N89" s="280">
        <f t="shared" si="91"/>
        <v>4344.40166820375</v>
      </c>
      <c r="O89" s="1089"/>
      <c r="P89" s="1084"/>
      <c r="Q89" s="77">
        <f t="shared" si="92"/>
        <v>41692</v>
      </c>
      <c r="R89" s="35"/>
      <c r="S89" s="35">
        <v>41692</v>
      </c>
      <c r="T89" s="35">
        <f t="shared" si="80"/>
        <v>0</v>
      </c>
      <c r="U89" s="36">
        <f t="shared" si="72"/>
        <v>0</v>
      </c>
      <c r="V89" s="74">
        <f t="shared" si="93"/>
        <v>44722</v>
      </c>
      <c r="W89" s="36">
        <f t="shared" si="94"/>
        <v>1.0875872520532948</v>
      </c>
      <c r="X89" s="1136"/>
      <c r="Y89" s="49">
        <f t="shared" si="64"/>
        <v>689</v>
      </c>
      <c r="Z89" s="50"/>
      <c r="AA89" s="50">
        <v>685</v>
      </c>
      <c r="AB89" s="50">
        <f t="shared" si="81"/>
        <v>4</v>
      </c>
      <c r="AC89" s="51">
        <f t="shared" si="78"/>
        <v>8.3175300262833957E-3</v>
      </c>
      <c r="AD89" s="50">
        <f t="shared" si="95"/>
        <v>4849</v>
      </c>
      <c r="AE89" s="51">
        <f t="shared" si="82"/>
        <v>0.11792206487201883</v>
      </c>
      <c r="AF89" s="1047"/>
      <c r="AG89" s="40">
        <f t="shared" si="65"/>
        <v>1042</v>
      </c>
      <c r="AH89" s="41"/>
      <c r="AI89" s="41">
        <v>1004</v>
      </c>
      <c r="AJ89" s="41">
        <f t="shared" si="111"/>
        <v>38</v>
      </c>
      <c r="AK89" s="42">
        <f t="shared" si="74"/>
        <v>79.016535249692254</v>
      </c>
      <c r="AL89" s="41">
        <f t="shared" si="106"/>
        <v>2471</v>
      </c>
      <c r="AM89" s="42">
        <f t="shared" si="96"/>
        <v>6.009185858914385E-2</v>
      </c>
      <c r="AN89" s="1058"/>
      <c r="AO89" s="67">
        <v>4.3499999999999996</v>
      </c>
      <c r="AP89" s="67">
        <v>24</v>
      </c>
      <c r="AQ89" s="68">
        <f t="shared" si="101"/>
        <v>51.892019999999995</v>
      </c>
      <c r="AR89" s="68">
        <f t="shared" si="114"/>
        <v>10.427790013503955</v>
      </c>
      <c r="AS89" s="69">
        <f t="shared" si="107"/>
        <v>4918.4091600000002</v>
      </c>
      <c r="AT89" s="140">
        <f t="shared" si="83"/>
        <v>10.218779561653694</v>
      </c>
      <c r="AU89" s="1073"/>
      <c r="AV89" s="70">
        <v>2.6</v>
      </c>
      <c r="AW89" s="71">
        <v>12</v>
      </c>
      <c r="AX89" s="72">
        <f t="shared" si="102"/>
        <v>16.121976000000004</v>
      </c>
      <c r="AY89" s="72">
        <f t="shared" si="71"/>
        <v>3.2397386020191639</v>
      </c>
      <c r="AZ89" s="73">
        <f t="shared" si="108"/>
        <v>1511.7452879999998</v>
      </c>
      <c r="BA89" s="192">
        <f t="shared" si="84"/>
        <v>3.1408919731762772</v>
      </c>
      <c r="BB89" s="1075"/>
      <c r="BC89" s="90">
        <f t="shared" si="79"/>
        <v>26095</v>
      </c>
      <c r="BD89" s="59"/>
      <c r="BE89" s="56">
        <v>25868</v>
      </c>
      <c r="BF89" s="56">
        <f t="shared" si="103"/>
        <v>227</v>
      </c>
      <c r="BG89" s="58">
        <f t="shared" si="97"/>
        <v>38144</v>
      </c>
      <c r="BH89" s="58">
        <f t="shared" si="85"/>
        <v>79.250244320811746</v>
      </c>
      <c r="BI89" s="1133"/>
      <c r="BJ89" s="64">
        <f t="shared" si="67"/>
        <v>1500</v>
      </c>
      <c r="BK89" s="64"/>
      <c r="BL89" s="64">
        <v>1500</v>
      </c>
      <c r="BM89" s="64">
        <f t="shared" si="98"/>
        <v>0</v>
      </c>
      <c r="BN89" s="65">
        <f t="shared" si="75"/>
        <v>0</v>
      </c>
      <c r="BO89" s="64">
        <f t="shared" si="99"/>
        <v>10400</v>
      </c>
      <c r="BP89" s="65">
        <f t="shared" si="100"/>
        <v>0.25291595683006718</v>
      </c>
      <c r="BQ89" s="1071"/>
      <c r="BR89" s="77">
        <f t="shared" si="68"/>
        <v>37644</v>
      </c>
      <c r="BS89" s="35"/>
      <c r="BT89" s="35">
        <v>35795</v>
      </c>
      <c r="BU89" s="74">
        <f t="shared" si="112"/>
        <v>1849</v>
      </c>
      <c r="BV89" s="74">
        <f t="shared" si="113"/>
        <v>219106</v>
      </c>
      <c r="BW89" s="74">
        <f t="shared" si="86"/>
        <v>455.22766443361417</v>
      </c>
      <c r="BX89" s="1098"/>
      <c r="BY89" s="295">
        <f t="shared" si="69"/>
        <v>0</v>
      </c>
      <c r="BZ89" s="296"/>
      <c r="CA89" s="296">
        <v>0</v>
      </c>
      <c r="CB89" s="296">
        <f t="shared" si="87"/>
        <v>0</v>
      </c>
      <c r="CC89" s="297">
        <f t="shared" si="76"/>
        <v>0</v>
      </c>
      <c r="CD89" s="296">
        <f t="shared" si="109"/>
        <v>19550</v>
      </c>
      <c r="CE89" s="297">
        <f t="shared" si="88"/>
        <v>0.47543336115652052</v>
      </c>
      <c r="CF89" s="1061"/>
    </row>
    <row r="90" spans="1:84">
      <c r="A90" s="30">
        <v>44403</v>
      </c>
      <c r="B90" s="380">
        <v>381.57799999999997</v>
      </c>
      <c r="C90" s="842">
        <f t="shared" si="104"/>
        <v>41501.956999999995</v>
      </c>
      <c r="D90" s="842">
        <v>4712.18</v>
      </c>
      <c r="E90" s="843">
        <f t="shared" si="105"/>
        <v>486022.99899999995</v>
      </c>
      <c r="F90" s="243">
        <f t="shared" si="63"/>
        <v>30000</v>
      </c>
      <c r="G90" s="240"/>
      <c r="H90" s="280"/>
      <c r="I90" s="240">
        <v>18000</v>
      </c>
      <c r="J90" s="240">
        <f t="shared" si="89"/>
        <v>12000</v>
      </c>
      <c r="K90" s="280">
        <f t="shared" si="77"/>
        <v>31448.353940740821</v>
      </c>
      <c r="L90" s="240">
        <f t="shared" si="110"/>
        <v>1470981</v>
      </c>
      <c r="M90" s="280">
        <f t="shared" si="90"/>
        <v>35443.653898055942</v>
      </c>
      <c r="N90" s="280">
        <f t="shared" si="91"/>
        <v>4339.8621155939691</v>
      </c>
      <c r="O90" s="1089"/>
      <c r="P90" s="1084"/>
      <c r="Q90" s="77">
        <f t="shared" si="92"/>
        <v>41692</v>
      </c>
      <c r="R90" s="35"/>
      <c r="S90" s="35">
        <v>41692</v>
      </c>
      <c r="T90" s="35">
        <f t="shared" si="80"/>
        <v>0</v>
      </c>
      <c r="U90" s="36">
        <f t="shared" si="72"/>
        <v>0</v>
      </c>
      <c r="V90" s="74">
        <f t="shared" si="93"/>
        <v>44722</v>
      </c>
      <c r="W90" s="36">
        <f t="shared" si="94"/>
        <v>1.0775877388143409</v>
      </c>
      <c r="X90" s="1136"/>
      <c r="Y90" s="49">
        <f t="shared" si="64"/>
        <v>685</v>
      </c>
      <c r="Z90" s="50"/>
      <c r="AA90" s="50">
        <v>685</v>
      </c>
      <c r="AB90" s="50">
        <f t="shared" si="81"/>
        <v>0</v>
      </c>
      <c r="AC90" s="51">
        <f t="shared" si="78"/>
        <v>0</v>
      </c>
      <c r="AD90" s="50">
        <f t="shared" si="95"/>
        <v>4849</v>
      </c>
      <c r="AE90" s="51">
        <f t="shared" si="82"/>
        <v>0.11683786381447026</v>
      </c>
      <c r="AF90" s="1047"/>
      <c r="AG90" s="40">
        <f t="shared" si="65"/>
        <v>1004</v>
      </c>
      <c r="AH90" s="41"/>
      <c r="AI90" s="41">
        <v>945</v>
      </c>
      <c r="AJ90" s="41">
        <f t="shared" si="111"/>
        <v>59</v>
      </c>
      <c r="AK90" s="42">
        <f t="shared" si="74"/>
        <v>154.6210735419757</v>
      </c>
      <c r="AL90" s="41">
        <f t="shared" si="106"/>
        <v>2530</v>
      </c>
      <c r="AM90" s="42">
        <f t="shared" si="96"/>
        <v>6.0960980707488094E-2</v>
      </c>
      <c r="AN90" s="1058"/>
      <c r="AO90" s="67">
        <v>3.45</v>
      </c>
      <c r="AP90" s="67">
        <v>24</v>
      </c>
      <c r="AQ90" s="68">
        <f t="shared" si="101"/>
        <v>41.155740000000002</v>
      </c>
      <c r="AR90" s="68">
        <f t="shared" si="114"/>
        <v>8.7339065994932277</v>
      </c>
      <c r="AS90" s="69">
        <f t="shared" si="107"/>
        <v>4959.5649000000003</v>
      </c>
      <c r="AT90" s="140">
        <f t="shared" si="83"/>
        <v>10.204383146897131</v>
      </c>
      <c r="AU90" s="1073"/>
      <c r="AV90" s="70">
        <v>2.7</v>
      </c>
      <c r="AW90" s="71">
        <v>12</v>
      </c>
      <c r="AX90" s="72">
        <f t="shared" si="102"/>
        <v>16.742052000000005</v>
      </c>
      <c r="AY90" s="72">
        <f t="shared" si="71"/>
        <v>3.5529313396347342</v>
      </c>
      <c r="AZ90" s="73">
        <f t="shared" si="108"/>
        <v>1528.4873399999999</v>
      </c>
      <c r="BA90" s="192">
        <f t="shared" si="84"/>
        <v>3.1448868533894214</v>
      </c>
      <c r="BB90" s="1075"/>
      <c r="BC90" s="90">
        <f t="shared" si="79"/>
        <v>25868</v>
      </c>
      <c r="BD90" s="59"/>
      <c r="BE90" s="56">
        <v>25868</v>
      </c>
      <c r="BF90" s="56">
        <f t="shared" si="103"/>
        <v>0</v>
      </c>
      <c r="BG90" s="58">
        <f t="shared" si="97"/>
        <v>38144</v>
      </c>
      <c r="BH90" s="58">
        <f t="shared" si="85"/>
        <v>78.481882706130961</v>
      </c>
      <c r="BI90" s="1133"/>
      <c r="BJ90" s="64">
        <f t="shared" si="67"/>
        <v>1500</v>
      </c>
      <c r="BK90" s="64"/>
      <c r="BL90" s="64">
        <v>1500</v>
      </c>
      <c r="BM90" s="64">
        <f t="shared" si="98"/>
        <v>0</v>
      </c>
      <c r="BN90" s="65">
        <f t="shared" si="75"/>
        <v>0</v>
      </c>
      <c r="BO90" s="64">
        <f t="shared" si="99"/>
        <v>10400</v>
      </c>
      <c r="BP90" s="65">
        <f t="shared" si="100"/>
        <v>0.25059059263157157</v>
      </c>
      <c r="BQ90" s="1071"/>
      <c r="BR90" s="77">
        <f t="shared" si="68"/>
        <v>35795</v>
      </c>
      <c r="BS90" s="35"/>
      <c r="BT90" s="35">
        <v>34871</v>
      </c>
      <c r="BU90" s="74">
        <f t="shared" si="112"/>
        <v>924</v>
      </c>
      <c r="BV90" s="74">
        <f t="shared" si="113"/>
        <v>220030</v>
      </c>
      <c r="BW90" s="74">
        <f t="shared" si="86"/>
        <v>452.71520165242225</v>
      </c>
      <c r="BX90" s="1098"/>
      <c r="BY90" s="295">
        <f t="shared" si="69"/>
        <v>0</v>
      </c>
      <c r="BZ90" s="296"/>
      <c r="CA90" s="296">
        <v>0</v>
      </c>
      <c r="CB90" s="296">
        <f t="shared" si="87"/>
        <v>0</v>
      </c>
      <c r="CC90" s="297">
        <f t="shared" si="76"/>
        <v>0</v>
      </c>
      <c r="CD90" s="296">
        <f t="shared" si="109"/>
        <v>19550</v>
      </c>
      <c r="CE90" s="297">
        <f t="shared" si="88"/>
        <v>0.47106212364877159</v>
      </c>
      <c r="CF90" s="1061"/>
    </row>
    <row r="91" spans="1:84">
      <c r="A91" s="30">
        <v>44404</v>
      </c>
      <c r="B91" s="380">
        <v>356.97</v>
      </c>
      <c r="C91" s="842">
        <f t="shared" si="104"/>
        <v>41858.926999999996</v>
      </c>
      <c r="D91" s="842">
        <v>5164.24</v>
      </c>
      <c r="E91" s="843">
        <f t="shared" si="105"/>
        <v>491187.23899999994</v>
      </c>
      <c r="F91" s="243">
        <f t="shared" si="63"/>
        <v>18000</v>
      </c>
      <c r="G91" s="240">
        <v>18200</v>
      </c>
      <c r="H91" s="280">
        <v>11.94</v>
      </c>
      <c r="I91" s="240">
        <v>33000</v>
      </c>
      <c r="J91" s="240">
        <f t="shared" si="89"/>
        <v>3200</v>
      </c>
      <c r="K91" s="280">
        <f t="shared" si="77"/>
        <v>8964.3387399501353</v>
      </c>
      <c r="L91" s="240">
        <f t="shared" si="110"/>
        <v>1474181</v>
      </c>
      <c r="M91" s="280">
        <f t="shared" si="90"/>
        <v>35217.840151516546</v>
      </c>
      <c r="N91" s="280">
        <f t="shared" si="91"/>
        <v>4312.2125813048297</v>
      </c>
      <c r="O91" s="1089"/>
      <c r="P91" s="1084"/>
      <c r="Q91" s="77">
        <f t="shared" si="92"/>
        <v>41692</v>
      </c>
      <c r="R91" s="35"/>
      <c r="S91" s="35">
        <v>41692</v>
      </c>
      <c r="T91" s="35">
        <f t="shared" si="80"/>
        <v>0</v>
      </c>
      <c r="U91" s="36">
        <f t="shared" si="72"/>
        <v>0</v>
      </c>
      <c r="V91" s="74">
        <f t="shared" si="93"/>
        <v>44722</v>
      </c>
      <c r="W91" s="36">
        <f t="shared" si="94"/>
        <v>1.0683981459916545</v>
      </c>
      <c r="X91" s="1136"/>
      <c r="Y91" s="49">
        <f t="shared" si="64"/>
        <v>685</v>
      </c>
      <c r="Z91" s="50"/>
      <c r="AA91" s="50">
        <v>685</v>
      </c>
      <c r="AB91" s="50">
        <f t="shared" si="81"/>
        <v>0</v>
      </c>
      <c r="AC91" s="51">
        <f t="shared" si="78"/>
        <v>0</v>
      </c>
      <c r="AD91" s="50">
        <f t="shared" si="95"/>
        <v>4849</v>
      </c>
      <c r="AE91" s="51">
        <f t="shared" si="82"/>
        <v>0.11584147868864389</v>
      </c>
      <c r="AF91" s="1047"/>
      <c r="AG91" s="40">
        <f t="shared" si="65"/>
        <v>945</v>
      </c>
      <c r="AH91" s="41"/>
      <c r="AI91" s="41">
        <v>905</v>
      </c>
      <c r="AJ91" s="41">
        <f t="shared" si="111"/>
        <v>40</v>
      </c>
      <c r="AK91" s="42">
        <f t="shared" si="74"/>
        <v>112.05423424937669</v>
      </c>
      <c r="AL91" s="41">
        <f t="shared" si="106"/>
        <v>2570</v>
      </c>
      <c r="AM91" s="42">
        <f t="shared" si="96"/>
        <v>6.1396700397982021E-2</v>
      </c>
      <c r="AN91" s="1058"/>
      <c r="AO91" s="67">
        <v>5</v>
      </c>
      <c r="AP91" s="67">
        <v>24</v>
      </c>
      <c r="AQ91" s="68">
        <f t="shared" si="101"/>
        <v>59.646000000000001</v>
      </c>
      <c r="AR91" s="68">
        <f t="shared" si="114"/>
        <v>11.549811782566264</v>
      </c>
      <c r="AS91" s="69">
        <f t="shared" si="107"/>
        <v>5019.2109</v>
      </c>
      <c r="AT91" s="140">
        <f t="shared" si="83"/>
        <v>10.218528702452714</v>
      </c>
      <c r="AU91" s="1073"/>
      <c r="AV91" s="70">
        <v>2.7</v>
      </c>
      <c r="AW91" s="71">
        <v>12</v>
      </c>
      <c r="AX91" s="72">
        <f t="shared" si="102"/>
        <v>16.742052000000005</v>
      </c>
      <c r="AY91" s="72">
        <f t="shared" si="71"/>
        <v>3.2419198178241144</v>
      </c>
      <c r="AZ91" s="73">
        <f t="shared" si="108"/>
        <v>1545.229392</v>
      </c>
      <c r="BA91" s="192">
        <f t="shared" si="84"/>
        <v>3.1459070377029894</v>
      </c>
      <c r="BB91" s="1075"/>
      <c r="BC91" s="90">
        <f t="shared" si="79"/>
        <v>25868</v>
      </c>
      <c r="BD91" s="59"/>
      <c r="BE91" s="56">
        <v>25868</v>
      </c>
      <c r="BF91" s="56">
        <f t="shared" si="103"/>
        <v>0</v>
      </c>
      <c r="BG91" s="58">
        <f t="shared" si="97"/>
        <v>38144</v>
      </c>
      <c r="BH91" s="58">
        <f t="shared" si="85"/>
        <v>77.656740589712271</v>
      </c>
      <c r="BI91" s="1133"/>
      <c r="BJ91" s="64">
        <f t="shared" si="67"/>
        <v>1500</v>
      </c>
      <c r="BK91" s="64"/>
      <c r="BL91" s="64">
        <v>1500</v>
      </c>
      <c r="BM91" s="64">
        <f t="shared" si="98"/>
        <v>0</v>
      </c>
      <c r="BN91" s="65">
        <f t="shared" si="75"/>
        <v>0</v>
      </c>
      <c r="BO91" s="64">
        <f t="shared" si="99"/>
        <v>10400</v>
      </c>
      <c r="BP91" s="65">
        <f t="shared" si="100"/>
        <v>0.24845357359494669</v>
      </c>
      <c r="BQ91" s="1071"/>
      <c r="BR91" s="77">
        <f t="shared" si="68"/>
        <v>34871</v>
      </c>
      <c r="BS91" s="35"/>
      <c r="BT91" s="35">
        <v>33023</v>
      </c>
      <c r="BU91" s="74">
        <f t="shared" si="112"/>
        <v>1848</v>
      </c>
      <c r="BV91" s="74">
        <f t="shared" si="113"/>
        <v>221878</v>
      </c>
      <c r="BW91" s="74">
        <f t="shared" si="86"/>
        <v>451.71776134029415</v>
      </c>
      <c r="BX91" s="1098"/>
      <c r="BY91" s="295">
        <f t="shared" si="69"/>
        <v>0</v>
      </c>
      <c r="BZ91" s="296"/>
      <c r="CA91" s="296">
        <v>0</v>
      </c>
      <c r="CB91" s="296">
        <f t="shared" si="87"/>
        <v>0</v>
      </c>
      <c r="CC91" s="297">
        <f t="shared" si="76"/>
        <v>0</v>
      </c>
      <c r="CD91" s="296">
        <f t="shared" si="109"/>
        <v>19550</v>
      </c>
      <c r="CE91" s="297">
        <f t="shared" si="88"/>
        <v>0.46704493882511611</v>
      </c>
      <c r="CF91" s="1061"/>
    </row>
    <row r="92" spans="1:84">
      <c r="A92" s="30">
        <v>44405</v>
      </c>
      <c r="B92" s="380">
        <v>475.85300000000001</v>
      </c>
      <c r="C92" s="842">
        <f t="shared" si="104"/>
        <v>42334.78</v>
      </c>
      <c r="D92" s="842">
        <v>521.79999999999995</v>
      </c>
      <c r="E92" s="843">
        <f t="shared" si="105"/>
        <v>491709.03899999993</v>
      </c>
      <c r="F92" s="243">
        <f t="shared" si="63"/>
        <v>33000</v>
      </c>
      <c r="G92" s="240"/>
      <c r="H92" s="280"/>
      <c r="I92" s="240">
        <v>33000</v>
      </c>
      <c r="J92" s="240">
        <f t="shared" si="89"/>
        <v>0</v>
      </c>
      <c r="K92" s="280">
        <f t="shared" si="77"/>
        <v>0</v>
      </c>
      <c r="L92" s="240">
        <f t="shared" si="110"/>
        <v>1474181</v>
      </c>
      <c r="M92" s="280">
        <f t="shared" si="90"/>
        <v>34821.983248761419</v>
      </c>
      <c r="N92" s="280">
        <f t="shared" si="91"/>
        <v>4263.7422858774853</v>
      </c>
      <c r="O92" s="1089"/>
      <c r="P92" s="1084"/>
      <c r="Q92" s="77">
        <f t="shared" si="92"/>
        <v>41692</v>
      </c>
      <c r="R92" s="35"/>
      <c r="S92" s="35">
        <v>41692</v>
      </c>
      <c r="T92" s="35">
        <f t="shared" si="80"/>
        <v>0</v>
      </c>
      <c r="U92" s="36">
        <f t="shared" si="72"/>
        <v>0</v>
      </c>
      <c r="V92" s="74">
        <f t="shared" si="93"/>
        <v>44722</v>
      </c>
      <c r="W92" s="36">
        <f t="shared" si="94"/>
        <v>1.0563890966245721</v>
      </c>
      <c r="X92" s="1136"/>
      <c r="Y92" s="49">
        <f t="shared" si="64"/>
        <v>685</v>
      </c>
      <c r="Z92" s="50"/>
      <c r="AA92" s="50">
        <v>685</v>
      </c>
      <c r="AB92" s="50">
        <f t="shared" si="81"/>
        <v>0</v>
      </c>
      <c r="AC92" s="51">
        <f t="shared" si="78"/>
        <v>0</v>
      </c>
      <c r="AD92" s="50">
        <f t="shared" si="95"/>
        <v>4849</v>
      </c>
      <c r="AE92" s="51">
        <f t="shared" si="82"/>
        <v>0.11453939290578574</v>
      </c>
      <c r="AF92" s="1047"/>
      <c r="AG92" s="40">
        <f t="shared" si="65"/>
        <v>905</v>
      </c>
      <c r="AH92" s="41"/>
      <c r="AI92" s="41">
        <v>885</v>
      </c>
      <c r="AJ92" s="41">
        <f t="shared" si="111"/>
        <v>20</v>
      </c>
      <c r="AK92" s="42">
        <f t="shared" si="74"/>
        <v>42.02978650969942</v>
      </c>
      <c r="AL92" s="41">
        <f t="shared" si="106"/>
        <v>2590</v>
      </c>
      <c r="AM92" s="42">
        <f t="shared" si="96"/>
        <v>6.1179011677868649E-2</v>
      </c>
      <c r="AN92" s="1058"/>
      <c r="AO92" s="67">
        <v>1.2</v>
      </c>
      <c r="AP92" s="67">
        <v>24</v>
      </c>
      <c r="AQ92" s="68">
        <f t="shared" si="101"/>
        <v>14.315039999999998</v>
      </c>
      <c r="AR92" s="68">
        <f t="shared" si="114"/>
        <v>27.433959371406665</v>
      </c>
      <c r="AS92" s="69">
        <f t="shared" si="107"/>
        <v>5033.5259400000004</v>
      </c>
      <c r="AT92" s="140">
        <f t="shared" si="83"/>
        <v>10.236797660333433</v>
      </c>
      <c r="AU92" s="1073"/>
      <c r="AV92" s="70">
        <v>0.5</v>
      </c>
      <c r="AW92" s="71">
        <v>12</v>
      </c>
      <c r="AX92" s="72">
        <f t="shared" si="102"/>
        <v>3.1003800000000004</v>
      </c>
      <c r="AY92" s="72">
        <f t="shared" si="71"/>
        <v>5.9417018014564986</v>
      </c>
      <c r="AZ92" s="73">
        <f t="shared" si="108"/>
        <v>1548.329772</v>
      </c>
      <c r="BA92" s="192">
        <f t="shared" si="84"/>
        <v>3.1488739258258791</v>
      </c>
      <c r="BB92" s="1075"/>
      <c r="BC92" s="90">
        <f t="shared" si="79"/>
        <v>25868</v>
      </c>
      <c r="BD92" s="59"/>
      <c r="BE92" s="56">
        <v>25868</v>
      </c>
      <c r="BF92" s="56">
        <f t="shared" si="103"/>
        <v>0</v>
      </c>
      <c r="BG92" s="58">
        <f t="shared" si="97"/>
        <v>38144</v>
      </c>
      <c r="BH92" s="58">
        <f t="shared" si="85"/>
        <v>77.574331514373497</v>
      </c>
      <c r="BI92" s="1133"/>
      <c r="BJ92" s="64">
        <f t="shared" si="67"/>
        <v>1500</v>
      </c>
      <c r="BK92" s="64"/>
      <c r="BL92" s="64">
        <v>1500</v>
      </c>
      <c r="BM92" s="64">
        <f t="shared" si="98"/>
        <v>0</v>
      </c>
      <c r="BN92" s="65">
        <f t="shared" si="75"/>
        <v>0</v>
      </c>
      <c r="BO92" s="64">
        <f t="shared" si="99"/>
        <v>10400</v>
      </c>
      <c r="BP92" s="65">
        <f t="shared" si="100"/>
        <v>0.24566089631267721</v>
      </c>
      <c r="BQ92" s="1071"/>
      <c r="BR92" s="77">
        <f t="shared" si="68"/>
        <v>33023</v>
      </c>
      <c r="BS92" s="35"/>
      <c r="BT92" s="35">
        <v>33023</v>
      </c>
      <c r="BU92" s="74">
        <f t="shared" si="112"/>
        <v>0</v>
      </c>
      <c r="BV92" s="74">
        <f t="shared" si="113"/>
        <v>221878</v>
      </c>
      <c r="BW92" s="74">
        <f t="shared" si="86"/>
        <v>451.23839995139895</v>
      </c>
      <c r="BX92" s="1098"/>
      <c r="BY92" s="295">
        <f t="shared" si="69"/>
        <v>0</v>
      </c>
      <c r="BZ92" s="296"/>
      <c r="CA92" s="296">
        <v>0</v>
      </c>
      <c r="CB92" s="296">
        <f t="shared" si="87"/>
        <v>0</v>
      </c>
      <c r="CC92" s="297">
        <f t="shared" si="76"/>
        <v>0</v>
      </c>
      <c r="CD92" s="296">
        <f t="shared" si="109"/>
        <v>19550</v>
      </c>
      <c r="CE92" s="297">
        <f t="shared" si="88"/>
        <v>0.46179524258777299</v>
      </c>
      <c r="CF92" s="1061"/>
    </row>
    <row r="93" spans="1:84">
      <c r="A93" s="30">
        <v>44406</v>
      </c>
      <c r="B93" s="380">
        <v>18.651</v>
      </c>
      <c r="C93" s="842">
        <f t="shared" si="104"/>
        <v>42353.430999999997</v>
      </c>
      <c r="D93" s="842">
        <v>842.1</v>
      </c>
      <c r="E93" s="843">
        <f t="shared" si="105"/>
        <v>492551.13899999991</v>
      </c>
      <c r="F93" s="243">
        <f t="shared" si="63"/>
        <v>33000</v>
      </c>
      <c r="G93" s="240"/>
      <c r="H93" s="280"/>
      <c r="I93" s="240">
        <v>33000</v>
      </c>
      <c r="J93" s="240">
        <f t="shared" si="89"/>
        <v>0</v>
      </c>
      <c r="K93" s="280">
        <f t="shared" si="77"/>
        <v>0</v>
      </c>
      <c r="L93" s="240">
        <f t="shared" si="110"/>
        <v>1474181</v>
      </c>
      <c r="M93" s="280">
        <f t="shared" si="90"/>
        <v>34806.648840326539</v>
      </c>
      <c r="N93" s="280">
        <f t="shared" si="91"/>
        <v>4261.8646798489699</v>
      </c>
      <c r="O93" s="1089"/>
      <c r="P93" s="1084"/>
      <c r="Q93" s="77">
        <f t="shared" si="92"/>
        <v>41692</v>
      </c>
      <c r="R93" s="35"/>
      <c r="S93" s="35">
        <v>41692</v>
      </c>
      <c r="T93" s="35">
        <f t="shared" si="80"/>
        <v>0</v>
      </c>
      <c r="U93" s="36">
        <f t="shared" si="72"/>
        <v>0</v>
      </c>
      <c r="V93" s="74">
        <f t="shared" si="93"/>
        <v>44722</v>
      </c>
      <c r="W93" s="36">
        <f t="shared" si="94"/>
        <v>1.0559238990579063</v>
      </c>
      <c r="X93" s="1136"/>
      <c r="Y93" s="49">
        <f t="shared" si="64"/>
        <v>685</v>
      </c>
      <c r="Z93" s="50"/>
      <c r="AA93" s="50">
        <v>653</v>
      </c>
      <c r="AB93" s="50">
        <f t="shared" si="81"/>
        <v>32</v>
      </c>
      <c r="AC93" s="51">
        <f t="shared" si="78"/>
        <v>1.7157256983539757</v>
      </c>
      <c r="AD93" s="50">
        <f t="shared" si="95"/>
        <v>4881</v>
      </c>
      <c r="AE93" s="51">
        <f t="shared" si="82"/>
        <v>0.11524450049867271</v>
      </c>
      <c r="AF93" s="1047"/>
      <c r="AG93" s="40">
        <f t="shared" si="65"/>
        <v>885</v>
      </c>
      <c r="AH93" s="41"/>
      <c r="AI93" s="41">
        <v>885</v>
      </c>
      <c r="AJ93" s="41">
        <f t="shared" si="111"/>
        <v>0</v>
      </c>
      <c r="AK93" s="42">
        <f t="shared" si="74"/>
        <v>0</v>
      </c>
      <c r="AL93" s="41">
        <f t="shared" si="106"/>
        <v>2590</v>
      </c>
      <c r="AM93" s="42">
        <f t="shared" si="96"/>
        <v>6.1152070537095336E-2</v>
      </c>
      <c r="AN93" s="1058"/>
      <c r="AO93" s="67">
        <v>0.25</v>
      </c>
      <c r="AP93" s="67">
        <v>24</v>
      </c>
      <c r="AQ93" s="68">
        <f t="shared" si="101"/>
        <v>2.9823</v>
      </c>
      <c r="AR93" s="68">
        <f t="shared" si="114"/>
        <v>3.5415033843961519</v>
      </c>
      <c r="AS93" s="69">
        <f t="shared" si="107"/>
        <v>5036.5082400000001</v>
      </c>
      <c r="AT93" s="140">
        <f t="shared" si="83"/>
        <v>10.225350915288415</v>
      </c>
      <c r="AU93" s="1073"/>
      <c r="AV93" s="70">
        <v>0.4</v>
      </c>
      <c r="AW93" s="71">
        <v>12</v>
      </c>
      <c r="AX93" s="72">
        <f t="shared" si="102"/>
        <v>2.4803040000000003</v>
      </c>
      <c r="AY93" s="72">
        <f t="shared" si="71"/>
        <v>2.9453794086213039</v>
      </c>
      <c r="AZ93" s="73">
        <f t="shared" si="108"/>
        <v>1550.810076</v>
      </c>
      <c r="BA93" s="192">
        <f t="shared" si="84"/>
        <v>3.1485260173157372</v>
      </c>
      <c r="BB93" s="1075"/>
      <c r="BC93" s="90">
        <f t="shared" si="79"/>
        <v>25868</v>
      </c>
      <c r="BD93" s="59"/>
      <c r="BE93" s="56">
        <v>22480</v>
      </c>
      <c r="BF93" s="56">
        <f t="shared" si="103"/>
        <v>3388</v>
      </c>
      <c r="BG93" s="58">
        <f t="shared" si="97"/>
        <v>41532</v>
      </c>
      <c r="BH93" s="58">
        <f t="shared" si="85"/>
        <v>84.320178579467267</v>
      </c>
      <c r="BI93" s="1133"/>
      <c r="BJ93" s="64">
        <f t="shared" si="67"/>
        <v>1500</v>
      </c>
      <c r="BK93" s="64"/>
      <c r="BL93" s="64">
        <v>1500</v>
      </c>
      <c r="BM93" s="64">
        <f t="shared" si="98"/>
        <v>0</v>
      </c>
      <c r="BN93" s="65">
        <f t="shared" si="75"/>
        <v>0</v>
      </c>
      <c r="BO93" s="64">
        <f t="shared" si="99"/>
        <v>10400</v>
      </c>
      <c r="BP93" s="65">
        <f t="shared" si="100"/>
        <v>0.24555271567018977</v>
      </c>
      <c r="BQ93" s="1071"/>
      <c r="BR93" s="77">
        <f t="shared" si="68"/>
        <v>33023</v>
      </c>
      <c r="BS93" s="35">
        <v>49880</v>
      </c>
      <c r="BT93" s="35">
        <v>82903</v>
      </c>
      <c r="BU93" s="74">
        <f t="shared" si="112"/>
        <v>0</v>
      </c>
      <c r="BV93" s="74">
        <f t="shared" si="113"/>
        <v>221878</v>
      </c>
      <c r="BW93" s="74">
        <f t="shared" si="86"/>
        <v>450.46693110986803</v>
      </c>
      <c r="BX93" s="1098"/>
      <c r="BY93" s="295">
        <f t="shared" si="69"/>
        <v>0</v>
      </c>
      <c r="BZ93" s="296">
        <v>2300</v>
      </c>
      <c r="CA93" s="296">
        <v>1760</v>
      </c>
      <c r="CB93" s="296">
        <f t="shared" si="87"/>
        <v>540</v>
      </c>
      <c r="CC93" s="297">
        <f t="shared" si="76"/>
        <v>28.95287115972334</v>
      </c>
      <c r="CD93" s="296">
        <f t="shared" si="109"/>
        <v>20090</v>
      </c>
      <c r="CE93" s="297">
        <f t="shared" si="88"/>
        <v>0.47434173632828003</v>
      </c>
      <c r="CF93" s="1061"/>
    </row>
    <row r="94" spans="1:84">
      <c r="A94" s="30">
        <v>44407</v>
      </c>
      <c r="B94" s="378">
        <v>0</v>
      </c>
      <c r="C94" s="842">
        <f t="shared" si="104"/>
        <v>42353.430999999997</v>
      </c>
      <c r="D94" s="842">
        <v>1396.34</v>
      </c>
      <c r="E94" s="843">
        <f t="shared" si="105"/>
        <v>493947.47899999993</v>
      </c>
      <c r="F94" s="243">
        <f t="shared" si="63"/>
        <v>33000</v>
      </c>
      <c r="G94" s="240"/>
      <c r="H94" s="280"/>
      <c r="I94" s="240">
        <v>33000</v>
      </c>
      <c r="J94" s="240">
        <f t="shared" si="89"/>
        <v>0</v>
      </c>
      <c r="K94" s="280">
        <v>0</v>
      </c>
      <c r="L94" s="240">
        <f t="shared" si="110"/>
        <v>1474181</v>
      </c>
      <c r="M94" s="280">
        <f t="shared" si="90"/>
        <v>34806.648840326539</v>
      </c>
      <c r="N94" s="280">
        <f t="shared" si="91"/>
        <v>4261.8646798489699</v>
      </c>
      <c r="O94" s="1089"/>
      <c r="P94" s="1084"/>
      <c r="Q94" s="77">
        <f t="shared" si="92"/>
        <v>41692</v>
      </c>
      <c r="R94" s="35"/>
      <c r="S94" s="35">
        <v>41692</v>
      </c>
      <c r="T94" s="35">
        <f t="shared" si="80"/>
        <v>0</v>
      </c>
      <c r="U94" s="36"/>
      <c r="V94" s="74">
        <f t="shared" si="93"/>
        <v>44722</v>
      </c>
      <c r="W94" s="36">
        <f t="shared" si="94"/>
        <v>1.0559238990579063</v>
      </c>
      <c r="X94" s="1136"/>
      <c r="Y94" s="49">
        <f t="shared" si="64"/>
        <v>653</v>
      </c>
      <c r="Z94" s="50"/>
      <c r="AA94" s="50">
        <v>653</v>
      </c>
      <c r="AB94" s="50">
        <f t="shared" si="81"/>
        <v>0</v>
      </c>
      <c r="AC94" s="51"/>
      <c r="AD94" s="50">
        <f t="shared" si="95"/>
        <v>4881</v>
      </c>
      <c r="AE94" s="51">
        <f t="shared" si="82"/>
        <v>0.11524450049867271</v>
      </c>
      <c r="AF94" s="1047"/>
      <c r="AG94" s="40">
        <f t="shared" si="65"/>
        <v>885</v>
      </c>
      <c r="AH94" s="41"/>
      <c r="AI94" s="41">
        <v>865</v>
      </c>
      <c r="AJ94" s="41">
        <f t="shared" si="111"/>
        <v>20</v>
      </c>
      <c r="AK94" s="42"/>
      <c r="AL94" s="41">
        <f t="shared" si="106"/>
        <v>2610</v>
      </c>
      <c r="AM94" s="42">
        <f t="shared" si="96"/>
        <v>6.1624287297999548E-2</v>
      </c>
      <c r="AN94" s="1058"/>
      <c r="AO94" s="67">
        <v>1.3</v>
      </c>
      <c r="AP94" s="67">
        <v>24</v>
      </c>
      <c r="AQ94" s="68">
        <f t="shared" si="101"/>
        <v>15.507960000000001</v>
      </c>
      <c r="AR94" s="68">
        <f t="shared" si="114"/>
        <v>11.106148932208489</v>
      </c>
      <c r="AS94" s="69">
        <f t="shared" si="107"/>
        <v>5052.0162</v>
      </c>
      <c r="AT94" s="140">
        <f t="shared" si="83"/>
        <v>10.227840842973512</v>
      </c>
      <c r="AU94" s="1073"/>
      <c r="AV94" s="70">
        <v>0.8</v>
      </c>
      <c r="AW94" s="71">
        <v>12</v>
      </c>
      <c r="AX94" s="72">
        <f t="shared" si="102"/>
        <v>4.9606080000000006</v>
      </c>
      <c r="AY94" s="72">
        <f t="shared" si="71"/>
        <v>3.5525788847988315</v>
      </c>
      <c r="AZ94" s="73">
        <f t="shared" si="108"/>
        <v>1555.7706840000001</v>
      </c>
      <c r="BA94" s="192">
        <f t="shared" si="84"/>
        <v>3.1496682342618056</v>
      </c>
      <c r="BB94" s="1075"/>
      <c r="BC94" s="90">
        <f t="shared" si="79"/>
        <v>22480</v>
      </c>
      <c r="BD94" s="59"/>
      <c r="BE94" s="56">
        <v>22480</v>
      </c>
      <c r="BF94" s="56">
        <f t="shared" si="103"/>
        <v>0</v>
      </c>
      <c r="BG94" s="58">
        <f t="shared" si="97"/>
        <v>41532</v>
      </c>
      <c r="BH94" s="58">
        <f t="shared" si="85"/>
        <v>84.081813888557178</v>
      </c>
      <c r="BI94" s="1133"/>
      <c r="BJ94" s="64">
        <f t="shared" si="67"/>
        <v>1500</v>
      </c>
      <c r="BK94" s="64"/>
      <c r="BL94" s="64">
        <v>1500</v>
      </c>
      <c r="BM94" s="64">
        <f t="shared" si="98"/>
        <v>0</v>
      </c>
      <c r="BN94" s="65"/>
      <c r="BO94" s="64">
        <f t="shared" si="99"/>
        <v>10400</v>
      </c>
      <c r="BP94" s="65">
        <f t="shared" si="100"/>
        <v>0.24555271567018977</v>
      </c>
      <c r="BQ94" s="1071"/>
      <c r="BR94" s="77">
        <f t="shared" si="68"/>
        <v>82903</v>
      </c>
      <c r="BS94" s="35"/>
      <c r="BT94" s="35">
        <v>82903</v>
      </c>
      <c r="BU94" s="74">
        <f t="shared" si="112"/>
        <v>0</v>
      </c>
      <c r="BV94" s="74">
        <f t="shared" si="113"/>
        <v>221878</v>
      </c>
      <c r="BW94" s="74">
        <f t="shared" si="86"/>
        <v>449.19350625939734</v>
      </c>
      <c r="BX94" s="1098"/>
      <c r="BY94" s="295">
        <f t="shared" si="69"/>
        <v>1760</v>
      </c>
      <c r="BZ94" s="296"/>
      <c r="CA94" s="296">
        <v>1330</v>
      </c>
      <c r="CB94" s="296">
        <f t="shared" si="87"/>
        <v>430</v>
      </c>
      <c r="CC94" s="297"/>
      <c r="CD94" s="296">
        <f t="shared" si="109"/>
        <v>20520</v>
      </c>
      <c r="CE94" s="297">
        <f t="shared" si="88"/>
        <v>0.48449439668772054</v>
      </c>
      <c r="CF94" s="1061"/>
    </row>
    <row r="95" spans="1:84" ht="15.75" thickBot="1">
      <c r="A95" s="30">
        <v>44408</v>
      </c>
      <c r="B95" s="381">
        <v>273.47899999999998</v>
      </c>
      <c r="C95" s="845">
        <f t="shared" si="104"/>
        <v>42626.909999999996</v>
      </c>
      <c r="D95" s="845">
        <v>3300.84</v>
      </c>
      <c r="E95" s="847">
        <f t="shared" si="105"/>
        <v>497248.31899999996</v>
      </c>
      <c r="F95" s="243">
        <f t="shared" si="63"/>
        <v>33000</v>
      </c>
      <c r="G95" s="240"/>
      <c r="H95" s="280"/>
      <c r="I95" s="240">
        <v>33000</v>
      </c>
      <c r="J95" s="240">
        <f t="shared" si="89"/>
        <v>0</v>
      </c>
      <c r="K95" s="280">
        <f t="shared" ref="K95:K158" si="115">J95*1000/B95</f>
        <v>0</v>
      </c>
      <c r="L95" s="240">
        <f t="shared" si="110"/>
        <v>1474181</v>
      </c>
      <c r="M95" s="280">
        <f t="shared" si="90"/>
        <v>34583.341837351101</v>
      </c>
      <c r="N95" s="280">
        <f t="shared" si="91"/>
        <v>4234.5220812233501</v>
      </c>
      <c r="O95" s="1090"/>
      <c r="P95" s="1085"/>
      <c r="Q95" s="35">
        <f t="shared" si="92"/>
        <v>41692</v>
      </c>
      <c r="R95" s="35"/>
      <c r="S95" s="35">
        <v>41692</v>
      </c>
      <c r="T95" s="35">
        <f t="shared" si="80"/>
        <v>0</v>
      </c>
      <c r="U95" s="36">
        <f t="shared" ref="U95:U158" si="116">1000*T95/B95</f>
        <v>0</v>
      </c>
      <c r="V95" s="74">
        <f t="shared" si="93"/>
        <v>44722</v>
      </c>
      <c r="W95" s="36">
        <f t="shared" si="94"/>
        <v>1.0491494691968055</v>
      </c>
      <c r="X95" s="1137"/>
      <c r="Y95" s="49">
        <f t="shared" si="64"/>
        <v>653</v>
      </c>
      <c r="Z95" s="50"/>
      <c r="AA95" s="50">
        <v>653</v>
      </c>
      <c r="AB95" s="50">
        <f t="shared" si="81"/>
        <v>0</v>
      </c>
      <c r="AC95" s="51">
        <f t="shared" ref="AC95:AC135" si="117">AB95/B95</f>
        <v>0</v>
      </c>
      <c r="AD95" s="50">
        <f t="shared" si="95"/>
        <v>4881</v>
      </c>
      <c r="AE95" s="51">
        <f t="shared" si="82"/>
        <v>0.11450513302512429</v>
      </c>
      <c r="AF95" s="1048"/>
      <c r="AG95" s="40">
        <f t="shared" si="65"/>
        <v>865</v>
      </c>
      <c r="AH95" s="41"/>
      <c r="AI95" s="41">
        <v>865</v>
      </c>
      <c r="AJ95" s="41">
        <f t="shared" si="111"/>
        <v>0</v>
      </c>
      <c r="AK95" s="42"/>
      <c r="AL95" s="41">
        <f t="shared" si="106"/>
        <v>2610</v>
      </c>
      <c r="AM95" s="42">
        <f t="shared" si="96"/>
        <v>6.1228927923698911E-2</v>
      </c>
      <c r="AN95" s="1059"/>
      <c r="AO95" s="215">
        <v>1.3</v>
      </c>
      <c r="AP95" s="101">
        <v>24</v>
      </c>
      <c r="AQ95" s="111">
        <f t="shared" si="101"/>
        <v>15.507960000000001</v>
      </c>
      <c r="AR95" s="111">
        <f t="shared" si="114"/>
        <v>4.6981859163122115</v>
      </c>
      <c r="AS95" s="112">
        <f t="shared" si="107"/>
        <v>5067.5241599999999</v>
      </c>
      <c r="AT95" s="181">
        <f t="shared" si="83"/>
        <v>10.191133818594167</v>
      </c>
      <c r="AU95" s="1074"/>
      <c r="AV95" s="70">
        <v>1.9</v>
      </c>
      <c r="AW95" s="71">
        <v>12</v>
      </c>
      <c r="AX95" s="72">
        <f t="shared" si="102"/>
        <v>11.781443999999999</v>
      </c>
      <c r="AY95" s="72">
        <f t="shared" si="71"/>
        <v>3.5692260151961315</v>
      </c>
      <c r="AZ95" s="73">
        <f t="shared" si="108"/>
        <v>1567.552128</v>
      </c>
      <c r="BA95" s="192">
        <f t="shared" si="84"/>
        <v>3.1524533479619468</v>
      </c>
      <c r="BB95" s="1076"/>
      <c r="BC95" s="87">
        <f>BE94</f>
        <v>22480</v>
      </c>
      <c r="BD95" s="100"/>
      <c r="BE95" s="88">
        <v>22480</v>
      </c>
      <c r="BF95" s="88">
        <f t="shared" si="103"/>
        <v>0</v>
      </c>
      <c r="BG95" s="89">
        <f t="shared" si="97"/>
        <v>41532</v>
      </c>
      <c r="BH95" s="89">
        <f t="shared" si="85"/>
        <v>83.523660941727599</v>
      </c>
      <c r="BI95" s="1134"/>
      <c r="BJ95" s="207">
        <f t="shared" si="67"/>
        <v>1500</v>
      </c>
      <c r="BK95" s="85"/>
      <c r="BL95" s="85">
        <v>1500</v>
      </c>
      <c r="BM95" s="85">
        <f t="shared" si="98"/>
        <v>0</v>
      </c>
      <c r="BN95" s="86">
        <f>BM95/B95</f>
        <v>0</v>
      </c>
      <c r="BO95" s="85">
        <f t="shared" si="99"/>
        <v>10400</v>
      </c>
      <c r="BP95" s="86">
        <f t="shared" si="100"/>
        <v>0.24397733732048607</v>
      </c>
      <c r="BQ95" s="1072"/>
      <c r="BR95" s="79">
        <f t="shared" si="68"/>
        <v>82903</v>
      </c>
      <c r="BS95" s="76"/>
      <c r="BT95" s="76">
        <v>80840</v>
      </c>
      <c r="BU95" s="81">
        <f t="shared" si="112"/>
        <v>2063</v>
      </c>
      <c r="BV95" s="81">
        <f t="shared" si="113"/>
        <v>223941</v>
      </c>
      <c r="BW95" s="81">
        <f t="shared" si="86"/>
        <v>450.36049684463592</v>
      </c>
      <c r="BX95" s="1099"/>
      <c r="BY95" s="305">
        <f t="shared" si="69"/>
        <v>1330</v>
      </c>
      <c r="BZ95" s="299"/>
      <c r="CA95" s="299">
        <v>1000</v>
      </c>
      <c r="CB95" s="299">
        <f t="shared" si="87"/>
        <v>330</v>
      </c>
      <c r="CC95" s="300"/>
      <c r="CD95" s="299">
        <f t="shared" si="109"/>
        <v>20850</v>
      </c>
      <c r="CE95" s="300">
        <f t="shared" si="88"/>
        <v>0.4891276426088591</v>
      </c>
      <c r="CF95" s="1062"/>
    </row>
    <row r="96" spans="1:84">
      <c r="A96" s="30">
        <v>44409</v>
      </c>
      <c r="B96" s="382">
        <v>331.79700000000003</v>
      </c>
      <c r="C96" s="848">
        <f t="shared" si="104"/>
        <v>42958.706999999995</v>
      </c>
      <c r="D96" s="849">
        <v>5342.18</v>
      </c>
      <c r="E96" s="850">
        <f>E95+D96</f>
        <v>502590.49899999995</v>
      </c>
      <c r="F96" s="242">
        <f t="shared" si="63"/>
        <v>33000</v>
      </c>
      <c r="G96" s="241"/>
      <c r="H96" s="313"/>
      <c r="I96" s="241">
        <v>31200</v>
      </c>
      <c r="J96" s="241">
        <f t="shared" si="89"/>
        <v>1800</v>
      </c>
      <c r="K96" s="313">
        <f t="shared" si="115"/>
        <v>5425.0038427110549</v>
      </c>
      <c r="L96" s="241">
        <f t="shared" si="110"/>
        <v>1475981</v>
      </c>
      <c r="M96" s="313">
        <f t="shared" si="90"/>
        <v>34358.133730607864</v>
      </c>
      <c r="N96" s="313">
        <f t="shared" si="91"/>
        <v>4206.9467038824369</v>
      </c>
      <c r="O96" s="1052">
        <f>SUM(J96:J126)/SUM(B96:B126)</f>
        <v>18.954047050810292</v>
      </c>
      <c r="P96" s="1083">
        <f>O96/(98/((G97*H97+G98*H98+G99*H99+G102*H102+G103*H103+G104*H104+G105*H105+G106*H106+G108*H108+G109*H109+G110*H110+G116*H116)/(SUM(G96:G126))))</f>
        <v>2.9370663756119897</v>
      </c>
      <c r="Q96" s="117">
        <f t="shared" si="92"/>
        <v>41692</v>
      </c>
      <c r="R96" s="118"/>
      <c r="S96" s="118">
        <v>41692</v>
      </c>
      <c r="T96" s="118">
        <f t="shared" si="80"/>
        <v>0</v>
      </c>
      <c r="U96" s="119">
        <f t="shared" si="116"/>
        <v>0</v>
      </c>
      <c r="V96" s="120">
        <f t="shared" si="93"/>
        <v>44722</v>
      </c>
      <c r="W96" s="119">
        <f t="shared" si="94"/>
        <v>1.0410462307443287</v>
      </c>
      <c r="X96" s="1135">
        <f>SUM(T96:T126)/SUM(B96:B126)</f>
        <v>2.4307725284064365</v>
      </c>
      <c r="Y96" s="121">
        <f t="shared" si="64"/>
        <v>653</v>
      </c>
      <c r="Z96" s="122"/>
      <c r="AA96" s="122">
        <v>653</v>
      </c>
      <c r="AB96" s="122">
        <f t="shared" si="81"/>
        <v>0</v>
      </c>
      <c r="AC96" s="123">
        <f t="shared" si="117"/>
        <v>0</v>
      </c>
      <c r="AD96" s="122">
        <f t="shared" si="95"/>
        <v>4881</v>
      </c>
      <c r="AE96" s="123">
        <f t="shared" si="82"/>
        <v>0.11362073816607191</v>
      </c>
      <c r="AF96" s="1046">
        <f>SUM(AB96:AB126)/SUM(B96:B126)</f>
        <v>8.5694280892123983E-2</v>
      </c>
      <c r="AG96" s="124">
        <f t="shared" si="65"/>
        <v>865</v>
      </c>
      <c r="AH96" s="125"/>
      <c r="AI96" s="125">
        <v>825</v>
      </c>
      <c r="AJ96" s="125">
        <f t="shared" si="111"/>
        <v>40</v>
      </c>
      <c r="AK96" s="126">
        <f t="shared" ref="AK96:AK124" si="118">AJ96*1000/B96</f>
        <v>120.55564094913456</v>
      </c>
      <c r="AL96" s="125">
        <f t="shared" si="106"/>
        <v>2650</v>
      </c>
      <c r="AM96" s="126">
        <f t="shared" si="96"/>
        <v>6.1687145285820644E-2</v>
      </c>
      <c r="AN96" s="1057">
        <f>SUM(AJ96:AJ126)/SUM(B96:B126)</f>
        <v>6.2001030102828716E-2</v>
      </c>
      <c r="AO96" s="219">
        <v>5.0999999999999996</v>
      </c>
      <c r="AP96" s="135">
        <v>24</v>
      </c>
      <c r="AQ96" s="102">
        <f t="shared" si="101"/>
        <v>60.838919999999995</v>
      </c>
      <c r="AR96" s="102">
        <f t="shared" si="114"/>
        <v>11.388406979922053</v>
      </c>
      <c r="AS96" s="103">
        <f t="shared" si="107"/>
        <v>5128.3630800000001</v>
      </c>
      <c r="AT96" s="136">
        <f t="shared" si="83"/>
        <v>10.203859981841799</v>
      </c>
      <c r="AU96" s="1064">
        <f>1000*SUM(AQ96:AQ126)/SUM(D96:D126)</f>
        <v>11.758732194234639</v>
      </c>
      <c r="AV96" s="277">
        <v>2.7</v>
      </c>
      <c r="AW96" s="137">
        <v>12</v>
      </c>
      <c r="AX96" s="138">
        <f t="shared" si="102"/>
        <v>16.742052000000005</v>
      </c>
      <c r="AY96" s="138">
        <f t="shared" si="71"/>
        <v>3.1339363331074583</v>
      </c>
      <c r="AZ96" s="139">
        <f t="shared" si="108"/>
        <v>1584.2941800000001</v>
      </c>
      <c r="BA96" s="194">
        <f t="shared" si="84"/>
        <v>3.1522565252472079</v>
      </c>
      <c r="BB96" s="1065">
        <f>1000*SUM(AX95:AX126)/SUM(D96:D126)</f>
        <v>3.3294626526118494</v>
      </c>
      <c r="BC96" s="90">
        <f t="shared" ref="BC96:BC159" si="119">BE95</f>
        <v>22480</v>
      </c>
      <c r="BD96" s="59"/>
      <c r="BE96" s="56">
        <v>22480</v>
      </c>
      <c r="BF96" s="56">
        <f t="shared" si="103"/>
        <v>0</v>
      </c>
      <c r="BG96" s="58">
        <f t="shared" si="97"/>
        <v>41532</v>
      </c>
      <c r="BH96" s="58">
        <f t="shared" si="85"/>
        <v>82.635863755156265</v>
      </c>
      <c r="BI96" s="1132">
        <f>1000*SUM(BF96:BF126)/SUM(D96:D126)</f>
        <v>30.21689399932481</v>
      </c>
      <c r="BJ96" s="64">
        <f t="shared" si="67"/>
        <v>1500</v>
      </c>
      <c r="BK96" s="64"/>
      <c r="BL96" s="64">
        <v>1500</v>
      </c>
      <c r="BM96" s="64">
        <f t="shared" si="98"/>
        <v>0</v>
      </c>
      <c r="BN96" s="65"/>
      <c r="BO96" s="64">
        <f t="shared" si="99"/>
        <v>10400</v>
      </c>
      <c r="BP96" s="65">
        <f t="shared" si="100"/>
        <v>0.24209294753680555</v>
      </c>
      <c r="BQ96" s="1067">
        <f>SUM(BM96:BM126)/SUM(B96:B126)</f>
        <v>6.53225138583374E-2</v>
      </c>
      <c r="BR96" s="117">
        <f t="shared" si="68"/>
        <v>80840</v>
      </c>
      <c r="BS96" s="118"/>
      <c r="BT96" s="118">
        <v>78064</v>
      </c>
      <c r="BU96" s="120">
        <f t="shared" si="112"/>
        <v>2776</v>
      </c>
      <c r="BV96" s="120">
        <f t="shared" si="113"/>
        <v>226717</v>
      </c>
      <c r="BW96" s="120">
        <f t="shared" si="86"/>
        <v>451.09686802893589</v>
      </c>
      <c r="BX96" s="1063">
        <f>1000*SUM(BU96:BU126)/SUM(D96:D126)</f>
        <v>491.49035158880929</v>
      </c>
      <c r="BY96" s="295">
        <f t="shared" si="69"/>
        <v>1000</v>
      </c>
      <c r="BZ96" s="296"/>
      <c r="CA96" s="296">
        <v>1000</v>
      </c>
      <c r="CB96" s="296">
        <f t="shared" si="87"/>
        <v>0</v>
      </c>
      <c r="CC96" s="297"/>
      <c r="CD96" s="296">
        <f t="shared" si="109"/>
        <v>20850</v>
      </c>
      <c r="CE96" s="297">
        <f t="shared" si="88"/>
        <v>0.48534980347523038</v>
      </c>
      <c r="CF96" s="1060">
        <f>SUM(CB96:CB126)/SUM(B95:B126)</f>
        <v>0.55132338061026764</v>
      </c>
    </row>
    <row r="97" spans="1:84">
      <c r="A97" s="30">
        <v>44410</v>
      </c>
      <c r="B97" s="383">
        <v>398.62900000000002</v>
      </c>
      <c r="C97" s="842">
        <f t="shared" si="104"/>
        <v>43357.335999999996</v>
      </c>
      <c r="D97" s="851">
        <v>5200.76</v>
      </c>
      <c r="E97" s="843">
        <f t="shared" ref="E97:E156" si="120">E96+D97</f>
        <v>507791.25899999996</v>
      </c>
      <c r="F97" s="243">
        <f t="shared" si="63"/>
        <v>31200</v>
      </c>
      <c r="G97" s="240">
        <v>18800</v>
      </c>
      <c r="H97" s="280">
        <v>11.92</v>
      </c>
      <c r="I97" s="240">
        <v>38400</v>
      </c>
      <c r="J97" s="240">
        <f t="shared" si="89"/>
        <v>11600</v>
      </c>
      <c r="K97" s="280">
        <f t="shared" si="115"/>
        <v>29099.739356644899</v>
      </c>
      <c r="L97" s="240">
        <f t="shared" si="110"/>
        <v>1487581</v>
      </c>
      <c r="M97" s="280">
        <f t="shared" si="90"/>
        <v>34309.787852279485</v>
      </c>
      <c r="N97" s="280">
        <f t="shared" si="91"/>
        <v>4201.0270420325069</v>
      </c>
      <c r="O97" s="1089"/>
      <c r="P97" s="1084"/>
      <c r="Q97" s="77">
        <f t="shared" si="92"/>
        <v>41692</v>
      </c>
      <c r="R97" s="35"/>
      <c r="S97" s="35">
        <v>41692</v>
      </c>
      <c r="T97" s="35">
        <f t="shared" si="80"/>
        <v>0</v>
      </c>
      <c r="U97" s="36">
        <f t="shared" si="116"/>
        <v>0</v>
      </c>
      <c r="V97" s="74">
        <f t="shared" si="93"/>
        <v>44722</v>
      </c>
      <c r="W97" s="36">
        <f t="shared" si="94"/>
        <v>1.0314748120133581</v>
      </c>
      <c r="X97" s="1136"/>
      <c r="Y97" s="49">
        <f t="shared" si="64"/>
        <v>653</v>
      </c>
      <c r="Z97" s="50"/>
      <c r="AA97" s="50">
        <v>635</v>
      </c>
      <c r="AB97" s="50">
        <f t="shared" si="81"/>
        <v>18</v>
      </c>
      <c r="AC97" s="51">
        <f t="shared" si="117"/>
        <v>4.5154767967207604E-2</v>
      </c>
      <c r="AD97" s="50">
        <f t="shared" si="95"/>
        <v>4899</v>
      </c>
      <c r="AE97" s="51">
        <f t="shared" si="82"/>
        <v>0.11299125942608652</v>
      </c>
      <c r="AF97" s="1047"/>
      <c r="AG97" s="40">
        <f t="shared" si="65"/>
        <v>825</v>
      </c>
      <c r="AH97" s="41"/>
      <c r="AI97" s="41">
        <v>785</v>
      </c>
      <c r="AJ97" s="41">
        <f t="shared" si="111"/>
        <v>40</v>
      </c>
      <c r="AK97" s="42">
        <f t="shared" si="118"/>
        <v>100.3439288160169</v>
      </c>
      <c r="AL97" s="41">
        <f t="shared" si="106"/>
        <v>2690</v>
      </c>
      <c r="AM97" s="42">
        <f t="shared" si="96"/>
        <v>6.204255722722448E-2</v>
      </c>
      <c r="AN97" s="1058"/>
      <c r="AO97" s="220">
        <v>4.25</v>
      </c>
      <c r="AP97" s="67">
        <v>24</v>
      </c>
      <c r="AQ97" s="68">
        <f t="shared" si="101"/>
        <v>50.699100000000001</v>
      </c>
      <c r="AR97" s="68">
        <f t="shared" si="114"/>
        <v>9.7484021566078791</v>
      </c>
      <c r="AS97" s="69">
        <f t="shared" si="107"/>
        <v>5179.0621799999999</v>
      </c>
      <c r="AT97" s="140">
        <f t="shared" si="83"/>
        <v>10.19919521694642</v>
      </c>
      <c r="AU97" s="1073"/>
      <c r="AV97" s="70">
        <v>3.8</v>
      </c>
      <c r="AW97" s="71">
        <v>12</v>
      </c>
      <c r="AX97" s="72">
        <f t="shared" si="102"/>
        <v>23.562887999999997</v>
      </c>
      <c r="AY97" s="72">
        <f t="shared" si="71"/>
        <v>4.5306624416431438</v>
      </c>
      <c r="AZ97" s="73">
        <f t="shared" si="108"/>
        <v>1607.857068</v>
      </c>
      <c r="BA97" s="192">
        <f t="shared" si="84"/>
        <v>3.1663740552887307</v>
      </c>
      <c r="BB97" s="1075"/>
      <c r="BC97" s="90">
        <f t="shared" si="119"/>
        <v>22480</v>
      </c>
      <c r="BD97" s="59"/>
      <c r="BE97" s="56">
        <v>22480</v>
      </c>
      <c r="BF97" s="56">
        <f t="shared" si="103"/>
        <v>0</v>
      </c>
      <c r="BG97" s="58">
        <f t="shared" si="97"/>
        <v>41532</v>
      </c>
      <c r="BH97" s="58">
        <f t="shared" si="85"/>
        <v>81.789513434692665</v>
      </c>
      <c r="BI97" s="1133"/>
      <c r="BJ97" s="64">
        <f t="shared" si="67"/>
        <v>1500</v>
      </c>
      <c r="BK97" s="64"/>
      <c r="BL97" s="64">
        <v>1500</v>
      </c>
      <c r="BM97" s="64">
        <f t="shared" si="98"/>
        <v>0</v>
      </c>
      <c r="BN97" s="65"/>
      <c r="BO97" s="64">
        <f t="shared" si="99"/>
        <v>10400</v>
      </c>
      <c r="BP97" s="65">
        <f t="shared" si="100"/>
        <v>0.23986713574837717</v>
      </c>
      <c r="BQ97" s="1071"/>
      <c r="BR97" s="77">
        <f t="shared" si="68"/>
        <v>78064</v>
      </c>
      <c r="BS97" s="35"/>
      <c r="BT97" s="35">
        <v>74964</v>
      </c>
      <c r="BU97" s="74">
        <f t="shared" si="112"/>
        <v>3100</v>
      </c>
      <c r="BV97" s="74">
        <f t="shared" si="113"/>
        <v>229817</v>
      </c>
      <c r="BW97" s="74">
        <f t="shared" si="86"/>
        <v>452.58163847203997</v>
      </c>
      <c r="BX97" s="1098"/>
      <c r="BY97" s="295">
        <f t="shared" si="69"/>
        <v>1000</v>
      </c>
      <c r="BZ97" s="296"/>
      <c r="CA97" s="296">
        <v>610</v>
      </c>
      <c r="CB97" s="296">
        <f t="shared" si="87"/>
        <v>390</v>
      </c>
      <c r="CC97" s="297"/>
      <c r="CD97" s="296">
        <f t="shared" si="109"/>
        <v>21240</v>
      </c>
      <c r="CE97" s="297">
        <f t="shared" si="88"/>
        <v>0.48988249647072418</v>
      </c>
      <c r="CF97" s="1061"/>
    </row>
    <row r="98" spans="1:84">
      <c r="A98" s="30">
        <v>44411</v>
      </c>
      <c r="B98" s="383">
        <v>593.476</v>
      </c>
      <c r="C98" s="842">
        <f t="shared" si="104"/>
        <v>43950.811999999998</v>
      </c>
      <c r="D98" s="851">
        <v>6411.76</v>
      </c>
      <c r="E98" s="843">
        <f t="shared" si="120"/>
        <v>514203.01899999997</v>
      </c>
      <c r="F98" s="243">
        <f t="shared" si="63"/>
        <v>38400</v>
      </c>
      <c r="G98" s="240">
        <v>18500</v>
      </c>
      <c r="H98" s="280">
        <v>14.11</v>
      </c>
      <c r="I98" s="240">
        <v>42000</v>
      </c>
      <c r="J98" s="240">
        <f t="shared" si="89"/>
        <v>14900</v>
      </c>
      <c r="K98" s="280">
        <f t="shared" si="115"/>
        <v>25106.322749361389</v>
      </c>
      <c r="L98" s="240">
        <f t="shared" si="110"/>
        <v>1502481</v>
      </c>
      <c r="M98" s="280">
        <f t="shared" si="90"/>
        <v>34185.511748906938</v>
      </c>
      <c r="N98" s="280">
        <f t="shared" si="91"/>
        <v>4185.8101810832541</v>
      </c>
      <c r="O98" s="1089"/>
      <c r="P98" s="1084"/>
      <c r="Q98" s="77">
        <f t="shared" si="92"/>
        <v>41692</v>
      </c>
      <c r="R98" s="35"/>
      <c r="S98" s="35">
        <v>41692</v>
      </c>
      <c r="T98" s="35">
        <f t="shared" si="80"/>
        <v>0</v>
      </c>
      <c r="U98" s="36">
        <f t="shared" si="116"/>
        <v>0</v>
      </c>
      <c r="V98" s="74">
        <f t="shared" si="93"/>
        <v>44722</v>
      </c>
      <c r="W98" s="36">
        <f t="shared" si="94"/>
        <v>1.0175466155210056</v>
      </c>
      <c r="X98" s="1136"/>
      <c r="Y98" s="49">
        <f t="shared" si="64"/>
        <v>635</v>
      </c>
      <c r="Z98" s="50"/>
      <c r="AA98" s="50">
        <v>617</v>
      </c>
      <c r="AB98" s="50">
        <f t="shared" si="81"/>
        <v>18</v>
      </c>
      <c r="AC98" s="51">
        <f t="shared" si="117"/>
        <v>3.0329785871711746E-2</v>
      </c>
      <c r="AD98" s="50">
        <f t="shared" si="95"/>
        <v>4917</v>
      </c>
      <c r="AE98" s="51">
        <f t="shared" si="82"/>
        <v>0.11187506615349906</v>
      </c>
      <c r="AF98" s="1047"/>
      <c r="AG98" s="40">
        <f t="shared" si="65"/>
        <v>785</v>
      </c>
      <c r="AH98" s="41"/>
      <c r="AI98" s="41">
        <v>725</v>
      </c>
      <c r="AJ98" s="41">
        <f t="shared" si="111"/>
        <v>60</v>
      </c>
      <c r="AK98" s="42">
        <f t="shared" si="118"/>
        <v>101.09928623903916</v>
      </c>
      <c r="AL98" s="41">
        <f t="shared" si="106"/>
        <v>2750</v>
      </c>
      <c r="AM98" s="42">
        <f t="shared" si="96"/>
        <v>6.2569947513142654E-2</v>
      </c>
      <c r="AN98" s="1058"/>
      <c r="AO98" s="220">
        <v>4.4000000000000004</v>
      </c>
      <c r="AP98" s="67">
        <v>24</v>
      </c>
      <c r="AQ98" s="68">
        <f t="shared" si="101"/>
        <v>52.488480000000003</v>
      </c>
      <c r="AR98" s="68">
        <f t="shared" si="114"/>
        <v>8.1862827055285923</v>
      </c>
      <c r="AS98" s="69">
        <f t="shared" si="107"/>
        <v>5231.5506599999999</v>
      </c>
      <c r="AT98" s="140">
        <f t="shared" si="83"/>
        <v>10.174095574495256</v>
      </c>
      <c r="AU98" s="1073"/>
      <c r="AV98" s="70">
        <v>2.25</v>
      </c>
      <c r="AW98" s="71">
        <v>12</v>
      </c>
      <c r="AX98" s="72">
        <f t="shared" si="102"/>
        <v>13.95171</v>
      </c>
      <c r="AY98" s="72">
        <f t="shared" si="71"/>
        <v>2.1759563676743983</v>
      </c>
      <c r="AZ98" s="73">
        <f t="shared" si="108"/>
        <v>1621.8087780000001</v>
      </c>
      <c r="BA98" s="192">
        <f t="shared" si="84"/>
        <v>3.1540242240390275</v>
      </c>
      <c r="BB98" s="1075"/>
      <c r="BC98" s="90">
        <f t="shared" si="119"/>
        <v>22480</v>
      </c>
      <c r="BD98" s="59"/>
      <c r="BE98" s="56">
        <v>22480</v>
      </c>
      <c r="BF98" s="56">
        <f t="shared" si="103"/>
        <v>0</v>
      </c>
      <c r="BG98" s="58">
        <f t="shared" si="97"/>
        <v>41532</v>
      </c>
      <c r="BH98" s="58">
        <f t="shared" si="85"/>
        <v>80.769654135383448</v>
      </c>
      <c r="BI98" s="1133"/>
      <c r="BJ98" s="64">
        <f t="shared" si="67"/>
        <v>1500</v>
      </c>
      <c r="BK98" s="64"/>
      <c r="BL98" s="64">
        <v>1500</v>
      </c>
      <c r="BM98" s="64">
        <f t="shared" si="98"/>
        <v>0</v>
      </c>
      <c r="BN98" s="65"/>
      <c r="BO98" s="64">
        <f t="shared" si="99"/>
        <v>10400</v>
      </c>
      <c r="BP98" s="65">
        <f t="shared" si="100"/>
        <v>0.23662816514061219</v>
      </c>
      <c r="BQ98" s="1071"/>
      <c r="BR98" s="77">
        <f t="shared" si="68"/>
        <v>74964</v>
      </c>
      <c r="BS98" s="35"/>
      <c r="BT98" s="35">
        <v>71856</v>
      </c>
      <c r="BU98" s="74">
        <f t="shared" si="112"/>
        <v>3108</v>
      </c>
      <c r="BV98" s="74">
        <f t="shared" si="113"/>
        <v>232925</v>
      </c>
      <c r="BW98" s="74">
        <f t="shared" si="86"/>
        <v>452.98256018212919</v>
      </c>
      <c r="BX98" s="1098"/>
      <c r="BY98" s="295">
        <f t="shared" si="69"/>
        <v>610</v>
      </c>
      <c r="BZ98" s="296">
        <v>2300</v>
      </c>
      <c r="CA98" s="296">
        <v>2210</v>
      </c>
      <c r="CB98" s="296">
        <f t="shared" si="87"/>
        <v>700</v>
      </c>
      <c r="CC98" s="297"/>
      <c r="CD98" s="296">
        <f t="shared" si="109"/>
        <v>21940</v>
      </c>
      <c r="CE98" s="297">
        <f t="shared" si="88"/>
        <v>0.49919441761394534</v>
      </c>
      <c r="CF98" s="1061"/>
    </row>
    <row r="99" spans="1:84">
      <c r="A99" s="30">
        <v>44412</v>
      </c>
      <c r="B99" s="32">
        <v>621.31600000000003</v>
      </c>
      <c r="C99" s="842">
        <f t="shared" si="104"/>
        <v>44572.127999999997</v>
      </c>
      <c r="D99" s="851">
        <v>6548.4</v>
      </c>
      <c r="E99" s="843">
        <f t="shared" si="120"/>
        <v>520751.41899999999</v>
      </c>
      <c r="F99" s="243">
        <f t="shared" si="63"/>
        <v>42000</v>
      </c>
      <c r="G99" s="240">
        <v>31250</v>
      </c>
      <c r="H99" s="280">
        <v>19.329999999999998</v>
      </c>
      <c r="I99" s="240">
        <v>54000</v>
      </c>
      <c r="J99" s="240">
        <f t="shared" si="89"/>
        <v>19250</v>
      </c>
      <c r="K99" s="280">
        <f t="shared" si="115"/>
        <v>30982.623978780521</v>
      </c>
      <c r="L99" s="240">
        <f t="shared" si="110"/>
        <v>1521731</v>
      </c>
      <c r="M99" s="280">
        <f t="shared" si="90"/>
        <v>34140.864892068872</v>
      </c>
      <c r="N99" s="280">
        <f t="shared" si="91"/>
        <v>4180.3434421536513</v>
      </c>
      <c r="O99" s="1089"/>
      <c r="P99" s="1084"/>
      <c r="Q99" s="77">
        <f t="shared" si="92"/>
        <v>41692</v>
      </c>
      <c r="R99" s="35"/>
      <c r="S99" s="35">
        <v>41692</v>
      </c>
      <c r="T99" s="35">
        <f t="shared" si="80"/>
        <v>0</v>
      </c>
      <c r="U99" s="36">
        <f t="shared" si="116"/>
        <v>0</v>
      </c>
      <c r="V99" s="74">
        <f t="shared" si="93"/>
        <v>44722</v>
      </c>
      <c r="W99" s="36">
        <f t="shared" si="94"/>
        <v>1.0033624600557551</v>
      </c>
      <c r="X99" s="1136"/>
      <c r="Y99" s="49">
        <f t="shared" si="64"/>
        <v>617</v>
      </c>
      <c r="Z99" s="50"/>
      <c r="AA99" s="50">
        <v>581</v>
      </c>
      <c r="AB99" s="50">
        <f t="shared" si="81"/>
        <v>36</v>
      </c>
      <c r="AC99" s="51">
        <f t="shared" si="117"/>
        <v>5.7941530557719417E-2</v>
      </c>
      <c r="AD99" s="50">
        <f t="shared" si="95"/>
        <v>4953</v>
      </c>
      <c r="AE99" s="51">
        <f t="shared" si="82"/>
        <v>0.11112325621967163</v>
      </c>
      <c r="AF99" s="1047"/>
      <c r="AG99" s="40">
        <f t="shared" si="65"/>
        <v>725</v>
      </c>
      <c r="AH99" s="41"/>
      <c r="AI99" s="41">
        <v>666</v>
      </c>
      <c r="AJ99" s="41">
        <f t="shared" si="111"/>
        <v>59</v>
      </c>
      <c r="AK99" s="42">
        <f t="shared" si="118"/>
        <v>94.959730636262378</v>
      </c>
      <c r="AL99" s="41">
        <f t="shared" si="106"/>
        <v>2809</v>
      </c>
      <c r="AM99" s="42">
        <f t="shared" si="96"/>
        <v>6.3021446945499215E-2</v>
      </c>
      <c r="AN99" s="1058"/>
      <c r="AO99" s="220">
        <v>4.45</v>
      </c>
      <c r="AP99" s="67">
        <v>24</v>
      </c>
      <c r="AQ99" s="68">
        <f t="shared" si="101"/>
        <v>53.084940000000003</v>
      </c>
      <c r="AR99" s="68">
        <f t="shared" si="114"/>
        <v>8.1065512186182893</v>
      </c>
      <c r="AS99" s="69">
        <f t="shared" si="107"/>
        <v>5284.6355999999996</v>
      </c>
      <c r="AT99" s="140">
        <f t="shared" si="83"/>
        <v>10.148096399138185</v>
      </c>
      <c r="AU99" s="1073"/>
      <c r="AV99" s="70">
        <v>3.35</v>
      </c>
      <c r="AW99" s="71">
        <v>12</v>
      </c>
      <c r="AX99" s="72">
        <f t="shared" si="102"/>
        <v>20.772546000000002</v>
      </c>
      <c r="AY99" s="72">
        <f t="shared" si="71"/>
        <v>3.1721559464907463</v>
      </c>
      <c r="AZ99" s="73">
        <f t="shared" si="108"/>
        <v>1642.581324</v>
      </c>
      <c r="BA99" s="192">
        <f t="shared" si="84"/>
        <v>3.1542522287394861</v>
      </c>
      <c r="BB99" s="1075"/>
      <c r="BC99" s="90">
        <f t="shared" si="119"/>
        <v>22480</v>
      </c>
      <c r="BD99" s="59"/>
      <c r="BE99" s="56">
        <v>22480</v>
      </c>
      <c r="BF99" s="56">
        <f t="shared" si="103"/>
        <v>0</v>
      </c>
      <c r="BG99" s="58">
        <f t="shared" si="97"/>
        <v>41532</v>
      </c>
      <c r="BH99" s="58">
        <f t="shared" si="85"/>
        <v>79.753983349203324</v>
      </c>
      <c r="BI99" s="1133"/>
      <c r="BJ99" s="64">
        <f t="shared" si="67"/>
        <v>1500</v>
      </c>
      <c r="BK99" s="64"/>
      <c r="BL99" s="64">
        <v>1500</v>
      </c>
      <c r="BM99" s="64">
        <f t="shared" si="98"/>
        <v>0</v>
      </c>
      <c r="BN99" s="65"/>
      <c r="BO99" s="64">
        <f t="shared" si="99"/>
        <v>10400</v>
      </c>
      <c r="BP99" s="65">
        <f t="shared" si="100"/>
        <v>0.23332967185232889</v>
      </c>
      <c r="BQ99" s="1071"/>
      <c r="BR99" s="77">
        <f t="shared" si="68"/>
        <v>71856</v>
      </c>
      <c r="BS99" s="35"/>
      <c r="BT99" s="35">
        <v>69083</v>
      </c>
      <c r="BU99" s="74">
        <f t="shared" si="112"/>
        <v>2773</v>
      </c>
      <c r="BV99" s="74">
        <f t="shared" si="113"/>
        <v>235698</v>
      </c>
      <c r="BW99" s="74">
        <f t="shared" si="86"/>
        <v>452.61134468459318</v>
      </c>
      <c r="BX99" s="1098"/>
      <c r="BY99" s="295">
        <f t="shared" si="69"/>
        <v>2210</v>
      </c>
      <c r="BZ99" s="296"/>
      <c r="CA99" s="296">
        <v>1850</v>
      </c>
      <c r="CB99" s="296">
        <f t="shared" si="87"/>
        <v>360</v>
      </c>
      <c r="CC99" s="297"/>
      <c r="CD99" s="296">
        <f t="shared" si="109"/>
        <v>22300</v>
      </c>
      <c r="CE99" s="297">
        <f t="shared" si="88"/>
        <v>0.50031266176028211</v>
      </c>
      <c r="CF99" s="1061"/>
    </row>
    <row r="100" spans="1:84">
      <c r="A100" s="30">
        <v>44413</v>
      </c>
      <c r="B100" s="32">
        <v>590.976</v>
      </c>
      <c r="C100" s="842">
        <f t="shared" si="104"/>
        <v>45163.103999999999</v>
      </c>
      <c r="D100" s="851">
        <v>6643.64</v>
      </c>
      <c r="E100" s="843">
        <f t="shared" si="120"/>
        <v>527395.05900000001</v>
      </c>
      <c r="F100" s="243">
        <f t="shared" si="63"/>
        <v>54000</v>
      </c>
      <c r="G100" s="240"/>
      <c r="H100" s="280"/>
      <c r="I100" s="240">
        <v>40800</v>
      </c>
      <c r="J100" s="240">
        <f t="shared" si="89"/>
        <v>13200</v>
      </c>
      <c r="K100" s="280">
        <f t="shared" si="115"/>
        <v>22335.93242365172</v>
      </c>
      <c r="L100" s="240">
        <f t="shared" si="110"/>
        <v>1534931</v>
      </c>
      <c r="M100" s="280">
        <f t="shared" si="90"/>
        <v>33986.392963601436</v>
      </c>
      <c r="N100" s="280">
        <f t="shared" si="91"/>
        <v>4161.42928414368</v>
      </c>
      <c r="O100" s="1089"/>
      <c r="P100" s="1084"/>
      <c r="Q100" s="77">
        <f t="shared" si="92"/>
        <v>41692</v>
      </c>
      <c r="R100" s="35"/>
      <c r="S100" s="35">
        <v>41692</v>
      </c>
      <c r="T100" s="35">
        <f t="shared" si="80"/>
        <v>0</v>
      </c>
      <c r="U100" s="36">
        <f t="shared" si="116"/>
        <v>0</v>
      </c>
      <c r="V100" s="74">
        <f t="shared" si="93"/>
        <v>44722</v>
      </c>
      <c r="W100" s="36">
        <f t="shared" si="94"/>
        <v>0.99023308938198762</v>
      </c>
      <c r="X100" s="1136"/>
      <c r="Y100" s="49">
        <f t="shared" si="64"/>
        <v>581</v>
      </c>
      <c r="Z100" s="50"/>
      <c r="AA100" s="50">
        <v>528</v>
      </c>
      <c r="AB100" s="50">
        <f t="shared" si="81"/>
        <v>53</v>
      </c>
      <c r="AC100" s="51">
        <f t="shared" si="117"/>
        <v>8.9682152913147059E-2</v>
      </c>
      <c r="AD100" s="50">
        <f t="shared" si="95"/>
        <v>5006</v>
      </c>
      <c r="AE100" s="51">
        <f t="shared" si="82"/>
        <v>0.11084269141465565</v>
      </c>
      <c r="AF100" s="1047"/>
      <c r="AG100" s="40">
        <f t="shared" si="65"/>
        <v>666</v>
      </c>
      <c r="AH100" s="41"/>
      <c r="AI100" s="41">
        <v>623</v>
      </c>
      <c r="AJ100" s="41">
        <f t="shared" si="111"/>
        <v>43</v>
      </c>
      <c r="AK100" s="42">
        <f t="shared" si="118"/>
        <v>72.76099198613818</v>
      </c>
      <c r="AL100" s="41">
        <f t="shared" si="106"/>
        <v>2852</v>
      </c>
      <c r="AM100" s="42">
        <f t="shared" si="96"/>
        <v>6.3148892511905294E-2</v>
      </c>
      <c r="AN100" s="1058"/>
      <c r="AO100" s="220">
        <v>5.0999999999999996</v>
      </c>
      <c r="AP100" s="67">
        <v>24</v>
      </c>
      <c r="AQ100" s="68">
        <f t="shared" si="101"/>
        <v>60.838919999999995</v>
      </c>
      <c r="AR100" s="68">
        <f t="shared" si="114"/>
        <v>9.157467894106242</v>
      </c>
      <c r="AS100" s="69">
        <f t="shared" si="107"/>
        <v>5345.4745199999998</v>
      </c>
      <c r="AT100" s="140">
        <f t="shared" si="83"/>
        <v>10.135617368383421</v>
      </c>
      <c r="AU100" s="1073"/>
      <c r="AV100" s="70">
        <v>3.3</v>
      </c>
      <c r="AW100" s="71">
        <v>12</v>
      </c>
      <c r="AX100" s="72">
        <f t="shared" si="102"/>
        <v>20.462508</v>
      </c>
      <c r="AY100" s="72">
        <f t="shared" si="71"/>
        <v>3.0800145703259054</v>
      </c>
      <c r="AZ100" s="73">
        <f t="shared" si="108"/>
        <v>1663.0438320000001</v>
      </c>
      <c r="BA100" s="192">
        <f t="shared" si="84"/>
        <v>3.1533170507006969</v>
      </c>
      <c r="BB100" s="1075"/>
      <c r="BC100" s="90">
        <f t="shared" si="119"/>
        <v>22480</v>
      </c>
      <c r="BD100" s="59"/>
      <c r="BE100" s="56">
        <v>22480</v>
      </c>
      <c r="BF100" s="56">
        <f t="shared" si="103"/>
        <v>0</v>
      </c>
      <c r="BG100" s="58">
        <f t="shared" si="97"/>
        <v>41532</v>
      </c>
      <c r="BH100" s="58">
        <f t="shared" si="85"/>
        <v>78.749315700358125</v>
      </c>
      <c r="BI100" s="1133"/>
      <c r="BJ100" s="64">
        <f t="shared" si="67"/>
        <v>1500</v>
      </c>
      <c r="BK100" s="64"/>
      <c r="BL100" s="64">
        <v>1500</v>
      </c>
      <c r="BM100" s="64">
        <f t="shared" si="98"/>
        <v>0</v>
      </c>
      <c r="BN100" s="65"/>
      <c r="BO100" s="64">
        <f t="shared" si="99"/>
        <v>10400</v>
      </c>
      <c r="BP100" s="65">
        <f t="shared" si="100"/>
        <v>0.23027646638282437</v>
      </c>
      <c r="BQ100" s="1071"/>
      <c r="BR100" s="77">
        <f t="shared" si="68"/>
        <v>69083</v>
      </c>
      <c r="BS100" s="35"/>
      <c r="BT100" s="35">
        <v>66311</v>
      </c>
      <c r="BU100" s="74">
        <f t="shared" si="112"/>
        <v>2772</v>
      </c>
      <c r="BV100" s="74">
        <f t="shared" si="113"/>
        <v>238470</v>
      </c>
      <c r="BW100" s="74">
        <f t="shared" si="86"/>
        <v>452.16578337340849</v>
      </c>
      <c r="BX100" s="1098"/>
      <c r="BY100" s="295">
        <f t="shared" si="69"/>
        <v>1850</v>
      </c>
      <c r="BZ100" s="296"/>
      <c r="CA100" s="296">
        <v>1396</v>
      </c>
      <c r="CB100" s="296">
        <f t="shared" si="87"/>
        <v>454</v>
      </c>
      <c r="CC100" s="297"/>
      <c r="CD100" s="296">
        <f t="shared" si="109"/>
        <v>22754</v>
      </c>
      <c r="CE100" s="297">
        <f t="shared" si="88"/>
        <v>0.50381833808411403</v>
      </c>
      <c r="CF100" s="1061"/>
    </row>
    <row r="101" spans="1:84">
      <c r="A101" s="30">
        <v>44414</v>
      </c>
      <c r="B101" s="32">
        <v>610.803</v>
      </c>
      <c r="C101" s="842">
        <f t="shared" si="104"/>
        <v>45773.906999999999</v>
      </c>
      <c r="D101" s="851">
        <v>6599.98</v>
      </c>
      <c r="E101" s="843">
        <f t="shared" si="120"/>
        <v>533995.03899999999</v>
      </c>
      <c r="F101" s="243">
        <f t="shared" ref="F101:F164" si="121">I100</f>
        <v>40800</v>
      </c>
      <c r="G101" s="240"/>
      <c r="H101" s="280"/>
      <c r="I101" s="240">
        <v>35400</v>
      </c>
      <c r="J101" s="240">
        <f t="shared" si="89"/>
        <v>5400</v>
      </c>
      <c r="K101" s="280">
        <f t="shared" si="115"/>
        <v>8840.8210175784989</v>
      </c>
      <c r="L101" s="240">
        <f t="shared" si="110"/>
        <v>1540331</v>
      </c>
      <c r="M101" s="280">
        <f t="shared" si="90"/>
        <v>33650.852657169948</v>
      </c>
      <c r="N101" s="280">
        <f t="shared" si="91"/>
        <v>4120.3443929435471</v>
      </c>
      <c r="O101" s="1089"/>
      <c r="P101" s="1084"/>
      <c r="Q101" s="77">
        <f t="shared" si="92"/>
        <v>41692</v>
      </c>
      <c r="R101" s="35"/>
      <c r="S101" s="35">
        <v>41692</v>
      </c>
      <c r="T101" s="35">
        <f t="shared" si="80"/>
        <v>0</v>
      </c>
      <c r="U101" s="36">
        <f t="shared" si="116"/>
        <v>0</v>
      </c>
      <c r="V101" s="74">
        <f t="shared" si="93"/>
        <v>44722</v>
      </c>
      <c r="W101" s="36">
        <f t="shared" si="94"/>
        <v>0.97701950589448261</v>
      </c>
      <c r="X101" s="1136"/>
      <c r="Y101" s="49">
        <f t="shared" ref="Y101:Y164" si="122">AA100</f>
        <v>528</v>
      </c>
      <c r="Z101" s="50"/>
      <c r="AA101" s="50">
        <v>424</v>
      </c>
      <c r="AB101" s="50">
        <f t="shared" si="81"/>
        <v>104</v>
      </c>
      <c r="AC101" s="51">
        <f t="shared" si="117"/>
        <v>0.17026766404225258</v>
      </c>
      <c r="AD101" s="50">
        <f t="shared" si="95"/>
        <v>5110</v>
      </c>
      <c r="AE101" s="51">
        <f t="shared" si="82"/>
        <v>0.11163565303700207</v>
      </c>
      <c r="AF101" s="1047"/>
      <c r="AG101" s="40">
        <f t="shared" ref="AG101:AG164" si="123">AI100</f>
        <v>623</v>
      </c>
      <c r="AH101" s="41"/>
      <c r="AI101" s="41">
        <v>548</v>
      </c>
      <c r="AJ101" s="41">
        <f t="shared" si="111"/>
        <v>75</v>
      </c>
      <c r="AK101" s="42">
        <f t="shared" si="118"/>
        <v>122.78918079970138</v>
      </c>
      <c r="AL101" s="41">
        <f t="shared" si="106"/>
        <v>2927</v>
      </c>
      <c r="AM101" s="42">
        <f t="shared" si="96"/>
        <v>6.3944727287535238E-2</v>
      </c>
      <c r="AN101" s="1058"/>
      <c r="AO101" s="220">
        <v>5.75</v>
      </c>
      <c r="AP101" s="67">
        <v>24</v>
      </c>
      <c r="AQ101" s="68">
        <f t="shared" si="101"/>
        <v>68.5929</v>
      </c>
      <c r="AR101" s="68">
        <f t="shared" si="114"/>
        <v>10.392895129985241</v>
      </c>
      <c r="AS101" s="69">
        <f t="shared" si="107"/>
        <v>5414.0674199999994</v>
      </c>
      <c r="AT101" s="140">
        <f t="shared" si="83"/>
        <v>10.138797225792203</v>
      </c>
      <c r="AU101" s="1073"/>
      <c r="AV101" s="70">
        <v>3.2</v>
      </c>
      <c r="AW101" s="71">
        <v>12</v>
      </c>
      <c r="AX101" s="72">
        <f t="shared" si="102"/>
        <v>19.842432000000002</v>
      </c>
      <c r="AY101" s="72">
        <f t="shared" si="71"/>
        <v>3.006438201327883</v>
      </c>
      <c r="AZ101" s="73">
        <f t="shared" si="108"/>
        <v>1682.886264</v>
      </c>
      <c r="BA101" s="192">
        <f t="shared" si="84"/>
        <v>3.1515016827712512</v>
      </c>
      <c r="BB101" s="1075"/>
      <c r="BC101" s="90">
        <f t="shared" si="119"/>
        <v>22480</v>
      </c>
      <c r="BD101" s="59"/>
      <c r="BE101" s="56">
        <v>22480</v>
      </c>
      <c r="BF101" s="56">
        <f t="shared" si="103"/>
        <v>0</v>
      </c>
      <c r="BG101" s="58">
        <f t="shared" si="97"/>
        <v>41532</v>
      </c>
      <c r="BH101" s="58">
        <f t="shared" si="85"/>
        <v>77.776003458339247</v>
      </c>
      <c r="BI101" s="1133"/>
      <c r="BJ101" s="64">
        <f t="shared" ref="BJ101:BJ164" si="124">BL100</f>
        <v>1500</v>
      </c>
      <c r="BK101" s="64"/>
      <c r="BL101" s="64">
        <v>1500</v>
      </c>
      <c r="BM101" s="64">
        <f t="shared" si="98"/>
        <v>0</v>
      </c>
      <c r="BN101" s="65"/>
      <c r="BO101" s="64">
        <f t="shared" si="99"/>
        <v>10400</v>
      </c>
      <c r="BP101" s="65">
        <f t="shared" si="100"/>
        <v>0.22720367741385938</v>
      </c>
      <c r="BQ101" s="1071"/>
      <c r="BR101" s="77">
        <f t="shared" ref="BR101:BR164" si="125">BT100</f>
        <v>66311</v>
      </c>
      <c r="BS101" s="35"/>
      <c r="BT101" s="35">
        <v>62614</v>
      </c>
      <c r="BU101" s="74">
        <f t="shared" si="112"/>
        <v>3697</v>
      </c>
      <c r="BV101" s="74">
        <f t="shared" si="113"/>
        <v>242167</v>
      </c>
      <c r="BW101" s="74">
        <f t="shared" si="86"/>
        <v>453.50046781988925</v>
      </c>
      <c r="BX101" s="1098"/>
      <c r="BY101" s="295">
        <f t="shared" ref="BY101:BY164" si="126">CA100</f>
        <v>1396</v>
      </c>
      <c r="BZ101" s="296"/>
      <c r="CA101" s="296">
        <v>740</v>
      </c>
      <c r="CB101" s="296">
        <f t="shared" si="87"/>
        <v>656</v>
      </c>
      <c r="CC101" s="297"/>
      <c r="CD101" s="296">
        <f t="shared" si="109"/>
        <v>23410</v>
      </c>
      <c r="CE101" s="297">
        <f t="shared" si="88"/>
        <v>0.51142673925561999</v>
      </c>
      <c r="CF101" s="1061"/>
    </row>
    <row r="102" spans="1:84">
      <c r="A102" s="30">
        <v>44415</v>
      </c>
      <c r="B102" s="375">
        <v>660.24</v>
      </c>
      <c r="C102" s="842">
        <f t="shared" si="104"/>
        <v>46434.146999999997</v>
      </c>
      <c r="D102" s="851">
        <v>6522.78</v>
      </c>
      <c r="E102" s="843">
        <f t="shared" si="120"/>
        <v>540517.81900000002</v>
      </c>
      <c r="F102" s="243">
        <f t="shared" si="121"/>
        <v>35400</v>
      </c>
      <c r="G102" s="240">
        <v>18460</v>
      </c>
      <c r="H102" s="280">
        <v>11.44</v>
      </c>
      <c r="I102" s="240">
        <v>35400</v>
      </c>
      <c r="J102" s="240">
        <f t="shared" si="89"/>
        <v>18460</v>
      </c>
      <c r="K102" s="280">
        <f t="shared" si="115"/>
        <v>27959.529867926813</v>
      </c>
      <c r="L102" s="240">
        <f t="shared" si="110"/>
        <v>1558791</v>
      </c>
      <c r="M102" s="280">
        <f t="shared" si="90"/>
        <v>33569.928613095879</v>
      </c>
      <c r="N102" s="280">
        <f t="shared" si="91"/>
        <v>4110.4357307574237</v>
      </c>
      <c r="O102" s="1089"/>
      <c r="P102" s="1084"/>
      <c r="Q102" s="77">
        <f t="shared" si="92"/>
        <v>41692</v>
      </c>
      <c r="R102" s="35"/>
      <c r="S102" s="35">
        <v>41692</v>
      </c>
      <c r="T102" s="35">
        <f t="shared" si="80"/>
        <v>0</v>
      </c>
      <c r="U102" s="36">
        <f t="shared" si="116"/>
        <v>0</v>
      </c>
      <c r="V102" s="74">
        <f t="shared" si="93"/>
        <v>44722</v>
      </c>
      <c r="W102" s="36">
        <f t="shared" si="94"/>
        <v>0.96312741569259375</v>
      </c>
      <c r="X102" s="1136"/>
      <c r="Y102" s="49">
        <f t="shared" si="122"/>
        <v>424</v>
      </c>
      <c r="Z102" s="50"/>
      <c r="AA102" s="50">
        <v>424</v>
      </c>
      <c r="AB102" s="50">
        <f t="shared" si="81"/>
        <v>0</v>
      </c>
      <c r="AC102" s="51">
        <f t="shared" si="117"/>
        <v>0</v>
      </c>
      <c r="AD102" s="50">
        <f t="shared" si="95"/>
        <v>5110</v>
      </c>
      <c r="AE102" s="51">
        <f t="shared" si="82"/>
        <v>0.1100483228431008</v>
      </c>
      <c r="AF102" s="1047"/>
      <c r="AG102" s="40">
        <f t="shared" si="123"/>
        <v>548</v>
      </c>
      <c r="AH102" s="41"/>
      <c r="AI102" s="41">
        <v>548</v>
      </c>
      <c r="AJ102" s="41">
        <f t="shared" si="111"/>
        <v>0</v>
      </c>
      <c r="AK102" s="42">
        <f t="shared" si="118"/>
        <v>0</v>
      </c>
      <c r="AL102" s="41">
        <f t="shared" si="106"/>
        <v>2927</v>
      </c>
      <c r="AM102" s="42">
        <f t="shared" si="96"/>
        <v>6.303550703752564E-2</v>
      </c>
      <c r="AN102" s="1058"/>
      <c r="AO102" s="220">
        <v>5.85</v>
      </c>
      <c r="AP102" s="67">
        <v>24</v>
      </c>
      <c r="AQ102" s="68">
        <f t="shared" si="101"/>
        <v>69.785819999999987</v>
      </c>
      <c r="AR102" s="68">
        <f t="shared" si="114"/>
        <v>10.69878487393412</v>
      </c>
      <c r="AS102" s="69">
        <f t="shared" si="107"/>
        <v>5483.8532399999995</v>
      </c>
      <c r="AT102" s="140">
        <f t="shared" si="83"/>
        <v>10.145554960880945</v>
      </c>
      <c r="AU102" s="1073"/>
      <c r="AV102" s="70">
        <v>3.25</v>
      </c>
      <c r="AW102" s="71">
        <v>12</v>
      </c>
      <c r="AX102" s="72">
        <f t="shared" si="102"/>
        <v>20.152470000000001</v>
      </c>
      <c r="AY102" s="72">
        <f t="shared" si="71"/>
        <v>3.089552307451731</v>
      </c>
      <c r="AZ102" s="73">
        <f t="shared" si="108"/>
        <v>1703.038734</v>
      </c>
      <c r="BA102" s="192">
        <f t="shared" si="84"/>
        <v>3.1507540993759537</v>
      </c>
      <c r="BB102" s="1075"/>
      <c r="BC102" s="90">
        <f t="shared" si="119"/>
        <v>22480</v>
      </c>
      <c r="BD102" s="59"/>
      <c r="BE102" s="56">
        <v>22480</v>
      </c>
      <c r="BF102" s="56">
        <f t="shared" si="103"/>
        <v>0</v>
      </c>
      <c r="BG102" s="58">
        <f t="shared" si="97"/>
        <v>41532</v>
      </c>
      <c r="BH102" s="58">
        <f t="shared" si="85"/>
        <v>76.837429849838117</v>
      </c>
      <c r="BI102" s="1133"/>
      <c r="BJ102" s="64">
        <f t="shared" si="124"/>
        <v>1500</v>
      </c>
      <c r="BK102" s="64"/>
      <c r="BL102" s="64">
        <v>1500</v>
      </c>
      <c r="BM102" s="64">
        <f t="shared" si="98"/>
        <v>0</v>
      </c>
      <c r="BN102" s="65"/>
      <c r="BO102" s="64">
        <f t="shared" si="99"/>
        <v>10400</v>
      </c>
      <c r="BP102" s="65">
        <f t="shared" si="100"/>
        <v>0.22397310324231864</v>
      </c>
      <c r="BQ102" s="1071"/>
      <c r="BR102" s="77">
        <f t="shared" si="125"/>
        <v>62614</v>
      </c>
      <c r="BS102" s="35"/>
      <c r="BT102" s="35">
        <v>59842</v>
      </c>
      <c r="BU102" s="74">
        <f t="shared" si="112"/>
        <v>2772</v>
      </c>
      <c r="BV102" s="74">
        <f t="shared" si="113"/>
        <v>244939</v>
      </c>
      <c r="BW102" s="74">
        <f t="shared" si="86"/>
        <v>453.15619835282433</v>
      </c>
      <c r="BX102" s="1098"/>
      <c r="BY102" s="295">
        <f t="shared" si="126"/>
        <v>740</v>
      </c>
      <c r="BZ102" s="296"/>
      <c r="CA102" s="296">
        <v>740</v>
      </c>
      <c r="CB102" s="296">
        <f t="shared" si="87"/>
        <v>0</v>
      </c>
      <c r="CC102" s="297"/>
      <c r="CD102" s="296">
        <f t="shared" si="109"/>
        <v>23410</v>
      </c>
      <c r="CE102" s="297">
        <f t="shared" si="88"/>
        <v>0.50415484104833452</v>
      </c>
      <c r="CF102" s="1061"/>
    </row>
    <row r="103" spans="1:84">
      <c r="A103" s="30">
        <v>44416</v>
      </c>
      <c r="B103" s="32">
        <v>669.51099999999997</v>
      </c>
      <c r="C103" s="842">
        <f t="shared" si="104"/>
        <v>47103.657999999996</v>
      </c>
      <c r="D103" s="851">
        <v>6558.64</v>
      </c>
      <c r="E103" s="843">
        <f t="shared" si="120"/>
        <v>547076.45900000003</v>
      </c>
      <c r="F103" s="243">
        <f t="shared" si="121"/>
        <v>35400</v>
      </c>
      <c r="G103" s="240">
        <v>32050</v>
      </c>
      <c r="H103" s="280">
        <v>15.28</v>
      </c>
      <c r="I103" s="240">
        <v>41400</v>
      </c>
      <c r="J103" s="240">
        <f t="shared" si="89"/>
        <v>26050</v>
      </c>
      <c r="K103" s="280">
        <f t="shared" si="115"/>
        <v>38908.994773797596</v>
      </c>
      <c r="L103" s="240">
        <f t="shared" si="110"/>
        <v>1584841</v>
      </c>
      <c r="M103" s="280">
        <f t="shared" si="90"/>
        <v>33645.815787809945</v>
      </c>
      <c r="N103" s="280">
        <f t="shared" si="91"/>
        <v>4119.7276586029075</v>
      </c>
      <c r="O103" s="1089"/>
      <c r="P103" s="1084"/>
      <c r="Q103" s="77">
        <f t="shared" si="92"/>
        <v>41692</v>
      </c>
      <c r="R103" s="35"/>
      <c r="S103" s="35">
        <v>41692</v>
      </c>
      <c r="T103" s="35">
        <f t="shared" si="80"/>
        <v>0</v>
      </c>
      <c r="U103" s="36">
        <f t="shared" si="116"/>
        <v>0</v>
      </c>
      <c r="V103" s="74">
        <f t="shared" si="93"/>
        <v>44722</v>
      </c>
      <c r="W103" s="36">
        <f t="shared" si="94"/>
        <v>0.94943793961819278</v>
      </c>
      <c r="X103" s="1136"/>
      <c r="Y103" s="49">
        <f t="shared" si="122"/>
        <v>424</v>
      </c>
      <c r="Z103" s="50"/>
      <c r="AA103" s="50">
        <v>424</v>
      </c>
      <c r="AB103" s="50">
        <f t="shared" si="81"/>
        <v>0</v>
      </c>
      <c r="AC103" s="51">
        <f t="shared" si="117"/>
        <v>0</v>
      </c>
      <c r="AD103" s="50">
        <f t="shared" si="95"/>
        <v>5110</v>
      </c>
      <c r="AE103" s="51">
        <f t="shared" si="82"/>
        <v>0.10848414363062844</v>
      </c>
      <c r="AF103" s="1047"/>
      <c r="AG103" s="40">
        <f t="shared" si="123"/>
        <v>548</v>
      </c>
      <c r="AH103" s="41"/>
      <c r="AI103" s="41">
        <v>548</v>
      </c>
      <c r="AJ103" s="41">
        <f t="shared" si="111"/>
        <v>0</v>
      </c>
      <c r="AK103" s="42">
        <f t="shared" si="118"/>
        <v>0</v>
      </c>
      <c r="AL103" s="41">
        <f t="shared" si="106"/>
        <v>2927</v>
      </c>
      <c r="AM103" s="42">
        <f t="shared" si="96"/>
        <v>6.2139547633434336E-2</v>
      </c>
      <c r="AN103" s="1058"/>
      <c r="AO103" s="220">
        <v>5.7</v>
      </c>
      <c r="AP103" s="67">
        <v>24</v>
      </c>
      <c r="AQ103" s="68">
        <f t="shared" si="101"/>
        <v>67.996440000000007</v>
      </c>
      <c r="AR103" s="68">
        <f t="shared" si="114"/>
        <v>10.367460327140993</v>
      </c>
      <c r="AS103" s="69">
        <f t="shared" si="107"/>
        <v>5551.8496799999994</v>
      </c>
      <c r="AT103" s="140">
        <f t="shared" si="83"/>
        <v>10.148215278990827</v>
      </c>
      <c r="AU103" s="1073"/>
      <c r="AV103" s="70">
        <v>4.3</v>
      </c>
      <c r="AW103" s="71">
        <v>12</v>
      </c>
      <c r="AX103" s="72">
        <f t="shared" si="102"/>
        <v>26.663267999999999</v>
      </c>
      <c r="AY103" s="72">
        <f t="shared" si="71"/>
        <v>4.065365380627691</v>
      </c>
      <c r="AZ103" s="73">
        <f t="shared" si="108"/>
        <v>1729.702002</v>
      </c>
      <c r="BA103" s="192">
        <f t="shared" si="84"/>
        <v>3.1617189399114687</v>
      </c>
      <c r="BB103" s="1075"/>
      <c r="BC103" s="90">
        <f t="shared" si="119"/>
        <v>22480</v>
      </c>
      <c r="BD103" s="59"/>
      <c r="BE103" s="56">
        <v>22480</v>
      </c>
      <c r="BF103" s="56">
        <f t="shared" si="103"/>
        <v>0</v>
      </c>
      <c r="BG103" s="58">
        <f t="shared" si="97"/>
        <v>41532</v>
      </c>
      <c r="BH103" s="58">
        <f t="shared" si="85"/>
        <v>75.916262373848554</v>
      </c>
      <c r="BI103" s="1140"/>
      <c r="BJ103" s="63">
        <f t="shared" si="124"/>
        <v>1500</v>
      </c>
      <c r="BK103" s="64"/>
      <c r="BL103" s="64">
        <v>1500</v>
      </c>
      <c r="BM103" s="64">
        <f t="shared" si="98"/>
        <v>0</v>
      </c>
      <c r="BN103" s="65"/>
      <c r="BO103" s="64">
        <f t="shared" si="99"/>
        <v>10400</v>
      </c>
      <c r="BP103" s="65">
        <f t="shared" si="100"/>
        <v>0.22078964652808919</v>
      </c>
      <c r="BQ103" s="1071"/>
      <c r="BR103" s="77">
        <f t="shared" si="125"/>
        <v>59842</v>
      </c>
      <c r="BS103" s="35"/>
      <c r="BT103" s="35">
        <v>57993</v>
      </c>
      <c r="BU103" s="74">
        <f t="shared" si="112"/>
        <v>1849</v>
      </c>
      <c r="BV103" s="74">
        <f t="shared" si="113"/>
        <v>246788</v>
      </c>
      <c r="BW103" s="74">
        <f t="shared" si="86"/>
        <v>451.1033072984045</v>
      </c>
      <c r="BX103" s="1098"/>
      <c r="BY103" s="295">
        <f t="shared" si="126"/>
        <v>740</v>
      </c>
      <c r="BZ103" s="296"/>
      <c r="CA103" s="296">
        <v>740</v>
      </c>
      <c r="CB103" s="296">
        <f t="shared" si="87"/>
        <v>0</v>
      </c>
      <c r="CC103" s="297"/>
      <c r="CD103" s="296">
        <f t="shared" si="109"/>
        <v>23410</v>
      </c>
      <c r="CE103" s="297">
        <f t="shared" si="88"/>
        <v>0.49698900242524691</v>
      </c>
      <c r="CF103" s="1061"/>
    </row>
    <row r="104" spans="1:84">
      <c r="A104" s="30">
        <v>44417</v>
      </c>
      <c r="B104" s="32">
        <v>655.37300000000005</v>
      </c>
      <c r="C104" s="842">
        <f t="shared" si="104"/>
        <v>47759.030999999995</v>
      </c>
      <c r="D104" s="851">
        <v>6574.54</v>
      </c>
      <c r="E104" s="843">
        <f t="shared" si="120"/>
        <v>553650.99900000007</v>
      </c>
      <c r="F104" s="243">
        <f t="shared" si="121"/>
        <v>41400</v>
      </c>
      <c r="G104" s="240">
        <v>18360</v>
      </c>
      <c r="H104" s="280">
        <v>13.57</v>
      </c>
      <c r="I104" s="240">
        <v>41400</v>
      </c>
      <c r="J104" s="240">
        <f t="shared" si="89"/>
        <v>18360</v>
      </c>
      <c r="K104" s="280">
        <f t="shared" si="115"/>
        <v>28014.58100959301</v>
      </c>
      <c r="L104" s="240">
        <f t="shared" si="110"/>
        <v>1603201</v>
      </c>
      <c r="M104" s="280">
        <f t="shared" si="90"/>
        <v>33568.5412042803</v>
      </c>
      <c r="N104" s="280">
        <f t="shared" si="91"/>
        <v>4110.265850897551</v>
      </c>
      <c r="O104" s="1089"/>
      <c r="P104" s="1084"/>
      <c r="Q104" s="77">
        <f t="shared" si="92"/>
        <v>41692</v>
      </c>
      <c r="R104" s="35"/>
      <c r="S104" s="35">
        <v>41692</v>
      </c>
      <c r="T104" s="35">
        <f t="shared" si="80"/>
        <v>0</v>
      </c>
      <c r="U104" s="36">
        <f t="shared" si="116"/>
        <v>0</v>
      </c>
      <c r="V104" s="74">
        <f t="shared" si="93"/>
        <v>44722</v>
      </c>
      <c r="W104" s="36">
        <f t="shared" si="94"/>
        <v>0.93640928351331087</v>
      </c>
      <c r="X104" s="1136"/>
      <c r="Y104" s="49">
        <f t="shared" si="122"/>
        <v>424</v>
      </c>
      <c r="Z104" s="50"/>
      <c r="AA104" s="50">
        <v>373</v>
      </c>
      <c r="AB104" s="50">
        <f t="shared" si="81"/>
        <v>51</v>
      </c>
      <c r="AC104" s="51">
        <f t="shared" si="117"/>
        <v>7.7818280582202803E-2</v>
      </c>
      <c r="AD104" s="50">
        <f t="shared" si="95"/>
        <v>5161</v>
      </c>
      <c r="AE104" s="51">
        <f t="shared" si="82"/>
        <v>0.10806333151943558</v>
      </c>
      <c r="AF104" s="1047"/>
      <c r="AG104" s="40">
        <f t="shared" si="123"/>
        <v>548</v>
      </c>
      <c r="AH104" s="41"/>
      <c r="AI104" s="41">
        <v>509</v>
      </c>
      <c r="AJ104" s="41">
        <f t="shared" si="111"/>
        <v>39</v>
      </c>
      <c r="AK104" s="42">
        <f t="shared" si="118"/>
        <v>59.508096915802142</v>
      </c>
      <c r="AL104" s="41">
        <f t="shared" si="106"/>
        <v>2966</v>
      </c>
      <c r="AM104" s="42">
        <f t="shared" si="96"/>
        <v>6.2103437567650827E-2</v>
      </c>
      <c r="AN104" s="1058"/>
      <c r="AO104" s="220">
        <v>6.45</v>
      </c>
      <c r="AP104" s="67">
        <v>24</v>
      </c>
      <c r="AQ104" s="68">
        <f t="shared" si="101"/>
        <v>76.943340000000006</v>
      </c>
      <c r="AR104" s="68">
        <f t="shared" si="114"/>
        <v>11.703227906439084</v>
      </c>
      <c r="AS104" s="69">
        <f t="shared" si="107"/>
        <v>5628.7930199999992</v>
      </c>
      <c r="AT104" s="140">
        <f t="shared" si="83"/>
        <v>10.166680869657384</v>
      </c>
      <c r="AU104" s="1073"/>
      <c r="AV104" s="70">
        <v>3.1</v>
      </c>
      <c r="AW104" s="71">
        <v>12</v>
      </c>
      <c r="AX104" s="72">
        <f t="shared" si="102"/>
        <v>19.222356000000001</v>
      </c>
      <c r="AY104" s="72">
        <f t="shared" si="71"/>
        <v>2.9237567951522085</v>
      </c>
      <c r="AZ104" s="73">
        <f t="shared" si="108"/>
        <v>1748.924358</v>
      </c>
      <c r="BA104" s="192">
        <f t="shared" si="84"/>
        <v>3.1588931676433223</v>
      </c>
      <c r="BB104" s="1075"/>
      <c r="BC104" s="90">
        <f t="shared" si="119"/>
        <v>22480</v>
      </c>
      <c r="BD104" s="59"/>
      <c r="BE104" s="56">
        <v>22480</v>
      </c>
      <c r="BF104" s="56">
        <f t="shared" si="103"/>
        <v>0</v>
      </c>
      <c r="BG104" s="58">
        <f t="shared" si="97"/>
        <v>41532</v>
      </c>
      <c r="BH104" s="58">
        <f t="shared" si="85"/>
        <v>75.01476575498782</v>
      </c>
      <c r="BI104" s="1140"/>
      <c r="BJ104" s="63">
        <f t="shared" si="124"/>
        <v>1500</v>
      </c>
      <c r="BK104" s="64"/>
      <c r="BL104" s="64">
        <v>1500</v>
      </c>
      <c r="BM104" s="64">
        <f t="shared" si="98"/>
        <v>0</v>
      </c>
      <c r="BN104" s="65"/>
      <c r="BO104" s="64">
        <f t="shared" si="99"/>
        <v>10400</v>
      </c>
      <c r="BP104" s="65">
        <f t="shared" si="100"/>
        <v>0.21775986200390041</v>
      </c>
      <c r="BQ104" s="1071"/>
      <c r="BR104" s="77">
        <f t="shared" si="125"/>
        <v>57993</v>
      </c>
      <c r="BS104" s="35"/>
      <c r="BT104" s="35">
        <v>57069</v>
      </c>
      <c r="BU104" s="74">
        <f t="shared" si="112"/>
        <v>924</v>
      </c>
      <c r="BV104" s="74">
        <f t="shared" si="113"/>
        <v>247712</v>
      </c>
      <c r="BW104" s="74">
        <f t="shared" si="86"/>
        <v>447.41543038378944</v>
      </c>
      <c r="BX104" s="1098"/>
      <c r="BY104" s="295">
        <f t="shared" si="126"/>
        <v>740</v>
      </c>
      <c r="BZ104" s="296"/>
      <c r="CA104" s="296">
        <v>280</v>
      </c>
      <c r="CB104" s="296">
        <f t="shared" si="87"/>
        <v>460</v>
      </c>
      <c r="CC104" s="297"/>
      <c r="CD104" s="296">
        <f t="shared" si="109"/>
        <v>23870</v>
      </c>
      <c r="CE104" s="297">
        <f t="shared" si="88"/>
        <v>0.49980076019549063</v>
      </c>
      <c r="CF104" s="1061"/>
    </row>
    <row r="105" spans="1:84">
      <c r="A105" s="30">
        <v>44418</v>
      </c>
      <c r="B105" s="32">
        <v>646.06299999999999</v>
      </c>
      <c r="C105" s="842">
        <f t="shared" si="104"/>
        <v>48405.093999999997</v>
      </c>
      <c r="D105" s="851">
        <v>6932.9</v>
      </c>
      <c r="E105" s="843">
        <f t="shared" si="120"/>
        <v>560583.89900000009</v>
      </c>
      <c r="F105" s="243">
        <f t="shared" si="121"/>
        <v>41400</v>
      </c>
      <c r="G105" s="240">
        <v>31250</v>
      </c>
      <c r="H105" s="280">
        <v>14.84</v>
      </c>
      <c r="I105" s="240">
        <v>35400</v>
      </c>
      <c r="J105" s="240">
        <f t="shared" si="89"/>
        <v>37250</v>
      </c>
      <c r="K105" s="280">
        <f t="shared" si="115"/>
        <v>57656.915811615894</v>
      </c>
      <c r="L105" s="240">
        <f t="shared" si="110"/>
        <v>1640451</v>
      </c>
      <c r="M105" s="280">
        <f t="shared" si="90"/>
        <v>33890.048844859179</v>
      </c>
      <c r="N105" s="280">
        <f t="shared" si="91"/>
        <v>4149.6325266143231</v>
      </c>
      <c r="O105" s="1089"/>
      <c r="P105" s="1084"/>
      <c r="Q105" s="77">
        <f t="shared" si="92"/>
        <v>41692</v>
      </c>
      <c r="R105" s="35"/>
      <c r="S105" s="35">
        <v>41692</v>
      </c>
      <c r="T105" s="35">
        <f t="shared" si="80"/>
        <v>0</v>
      </c>
      <c r="U105" s="36">
        <f t="shared" si="116"/>
        <v>0</v>
      </c>
      <c r="V105" s="74">
        <f t="shared" si="93"/>
        <v>44722</v>
      </c>
      <c r="W105" s="36">
        <f t="shared" si="94"/>
        <v>0.92391102473636355</v>
      </c>
      <c r="X105" s="1136"/>
      <c r="Y105" s="49">
        <f t="shared" si="122"/>
        <v>373</v>
      </c>
      <c r="Z105" s="50">
        <v>900</v>
      </c>
      <c r="AA105" s="50">
        <v>1137</v>
      </c>
      <c r="AB105" s="50">
        <f t="shared" si="81"/>
        <v>136</v>
      </c>
      <c r="AC105" s="51">
        <f t="shared" si="117"/>
        <v>0.21050578658737615</v>
      </c>
      <c r="AD105" s="50">
        <f t="shared" si="95"/>
        <v>5297</v>
      </c>
      <c r="AE105" s="51">
        <f t="shared" si="82"/>
        <v>0.10943063141247077</v>
      </c>
      <c r="AF105" s="1047"/>
      <c r="AG105" s="40">
        <f t="shared" si="123"/>
        <v>509</v>
      </c>
      <c r="AH105" s="41">
        <v>1000</v>
      </c>
      <c r="AI105" s="41">
        <v>1437</v>
      </c>
      <c r="AJ105" s="41">
        <f t="shared" si="111"/>
        <v>72</v>
      </c>
      <c r="AK105" s="42">
        <f t="shared" si="118"/>
        <v>111.44423995802268</v>
      </c>
      <c r="AL105" s="41">
        <f t="shared" si="106"/>
        <v>3038</v>
      </c>
      <c r="AM105" s="42">
        <f t="shared" si="96"/>
        <v>6.2761989471603968E-2</v>
      </c>
      <c r="AN105" s="1058"/>
      <c r="AO105" s="220">
        <v>6.2</v>
      </c>
      <c r="AP105" s="67">
        <v>24</v>
      </c>
      <c r="AQ105" s="68">
        <f t="shared" si="101"/>
        <v>73.961040000000011</v>
      </c>
      <c r="AR105" s="68">
        <f t="shared" si="114"/>
        <v>10.668124450085825</v>
      </c>
      <c r="AS105" s="69">
        <f t="shared" si="107"/>
        <v>5702.7540599999993</v>
      </c>
      <c r="AT105" s="140">
        <f t="shared" si="83"/>
        <v>10.1728823645718</v>
      </c>
      <c r="AU105" s="1073"/>
      <c r="AV105" s="70">
        <v>2.4</v>
      </c>
      <c r="AW105" s="71">
        <v>12</v>
      </c>
      <c r="AX105" s="72">
        <f t="shared" si="102"/>
        <v>14.881824</v>
      </c>
      <c r="AY105" s="72">
        <f t="shared" si="71"/>
        <v>2.1465510825195806</v>
      </c>
      <c r="AZ105" s="73">
        <f t="shared" si="108"/>
        <v>1763.806182</v>
      </c>
      <c r="BA105" s="192">
        <f t="shared" si="84"/>
        <v>3.1463732460856848</v>
      </c>
      <c r="BB105" s="1075"/>
      <c r="BC105" s="90">
        <f t="shared" si="119"/>
        <v>22480</v>
      </c>
      <c r="BD105" s="59"/>
      <c r="BE105" s="56">
        <v>22480</v>
      </c>
      <c r="BF105" s="56">
        <f t="shared" si="103"/>
        <v>0</v>
      </c>
      <c r="BG105" s="58">
        <f t="shared" si="97"/>
        <v>41532</v>
      </c>
      <c r="BH105" s="58">
        <f t="shared" si="85"/>
        <v>74.08703688080773</v>
      </c>
      <c r="BI105" s="1140"/>
      <c r="BJ105" s="63">
        <f t="shared" si="124"/>
        <v>1500</v>
      </c>
      <c r="BK105" s="64"/>
      <c r="BL105" s="64">
        <v>1500</v>
      </c>
      <c r="BM105" s="64">
        <f t="shared" si="98"/>
        <v>0</v>
      </c>
      <c r="BN105" s="65"/>
      <c r="BO105" s="64">
        <f t="shared" si="99"/>
        <v>10400</v>
      </c>
      <c r="BP105" s="65">
        <f t="shared" si="100"/>
        <v>0.21485342017928941</v>
      </c>
      <c r="BQ105" s="1071"/>
      <c r="BR105" s="77">
        <f t="shared" si="125"/>
        <v>57069</v>
      </c>
      <c r="BS105" s="35"/>
      <c r="BT105" s="35">
        <v>54297</v>
      </c>
      <c r="BU105" s="74">
        <f t="shared" si="112"/>
        <v>2772</v>
      </c>
      <c r="BV105" s="74">
        <f t="shared" si="113"/>
        <v>250484</v>
      </c>
      <c r="BW105" s="74">
        <f t="shared" si="86"/>
        <v>446.82696104334593</v>
      </c>
      <c r="BX105" s="1098"/>
      <c r="BY105" s="295">
        <f t="shared" si="126"/>
        <v>280</v>
      </c>
      <c r="BZ105" s="296">
        <v>2300</v>
      </c>
      <c r="CA105" s="296">
        <v>1980</v>
      </c>
      <c r="CB105" s="296">
        <f t="shared" si="87"/>
        <v>600</v>
      </c>
      <c r="CC105" s="297"/>
      <c r="CD105" s="296">
        <f t="shared" si="109"/>
        <v>24470</v>
      </c>
      <c r="CE105" s="297">
        <f t="shared" si="88"/>
        <v>0.50552530690261654</v>
      </c>
      <c r="CF105" s="1061"/>
    </row>
    <row r="106" spans="1:84">
      <c r="A106" s="30">
        <v>44419</v>
      </c>
      <c r="B106" s="32">
        <v>654.77800000000002</v>
      </c>
      <c r="C106" s="842">
        <f t="shared" si="104"/>
        <v>49059.871999999996</v>
      </c>
      <c r="D106" s="851">
        <v>7104.88</v>
      </c>
      <c r="E106" s="843">
        <f t="shared" si="120"/>
        <v>567688.7790000001</v>
      </c>
      <c r="F106" s="243">
        <f t="shared" si="121"/>
        <v>35400</v>
      </c>
      <c r="G106" s="240">
        <v>18160</v>
      </c>
      <c r="H106" s="280">
        <v>11.94</v>
      </c>
      <c r="I106" s="240">
        <v>38400</v>
      </c>
      <c r="J106" s="240">
        <f t="shared" si="89"/>
        <v>15160</v>
      </c>
      <c r="K106" s="280">
        <f t="shared" si="115"/>
        <v>23152.885405435125</v>
      </c>
      <c r="L106" s="240">
        <f t="shared" si="110"/>
        <v>1655611</v>
      </c>
      <c r="M106" s="280">
        <f t="shared" si="90"/>
        <v>33746.745201455073</v>
      </c>
      <c r="N106" s="280">
        <f t="shared" si="91"/>
        <v>4132.0858578982579</v>
      </c>
      <c r="O106" s="1089"/>
      <c r="P106" s="1084"/>
      <c r="Q106" s="77">
        <f t="shared" si="92"/>
        <v>41692</v>
      </c>
      <c r="R106" s="35"/>
      <c r="S106" s="35">
        <v>41692</v>
      </c>
      <c r="T106" s="35">
        <f t="shared" si="80"/>
        <v>0</v>
      </c>
      <c r="U106" s="36">
        <f t="shared" si="116"/>
        <v>0</v>
      </c>
      <c r="V106" s="74">
        <f t="shared" si="93"/>
        <v>44722</v>
      </c>
      <c r="W106" s="36">
        <f t="shared" si="94"/>
        <v>0.91158003836618251</v>
      </c>
      <c r="X106" s="1136"/>
      <c r="Y106" s="49">
        <f t="shared" si="122"/>
        <v>1137</v>
      </c>
      <c r="Z106" s="50"/>
      <c r="AA106" s="50">
        <v>1137</v>
      </c>
      <c r="AB106" s="50">
        <f t="shared" si="81"/>
        <v>0</v>
      </c>
      <c r="AC106" s="51">
        <f t="shared" si="117"/>
        <v>0</v>
      </c>
      <c r="AD106" s="50">
        <f t="shared" si="95"/>
        <v>5297</v>
      </c>
      <c r="AE106" s="51">
        <f t="shared" si="82"/>
        <v>0.10797011455716804</v>
      </c>
      <c r="AF106" s="1047"/>
      <c r="AG106" s="40">
        <f t="shared" si="123"/>
        <v>1437</v>
      </c>
      <c r="AH106" s="41"/>
      <c r="AI106" s="41">
        <v>1409</v>
      </c>
      <c r="AJ106" s="41">
        <f t="shared" si="111"/>
        <v>28</v>
      </c>
      <c r="AK106" s="42">
        <f t="shared" si="118"/>
        <v>42.762585181542448</v>
      </c>
      <c r="AL106" s="41">
        <f t="shared" si="106"/>
        <v>3066</v>
      </c>
      <c r="AM106" s="42">
        <f t="shared" si="96"/>
        <v>6.2495067251704207E-2</v>
      </c>
      <c r="AN106" s="1058"/>
      <c r="AO106" s="220">
        <v>6.35</v>
      </c>
      <c r="AP106" s="67">
        <v>24</v>
      </c>
      <c r="AQ106" s="68">
        <f t="shared" si="101"/>
        <v>75.750419999999991</v>
      </c>
      <c r="AR106" s="68">
        <f t="shared" si="114"/>
        <v>10.661745166702323</v>
      </c>
      <c r="AS106" s="69">
        <f t="shared" si="107"/>
        <v>5778.5044799999996</v>
      </c>
      <c r="AT106" s="140">
        <f t="shared" si="83"/>
        <v>10.179000702073061</v>
      </c>
      <c r="AU106" s="1073"/>
      <c r="AV106" s="70">
        <v>3.3</v>
      </c>
      <c r="AW106" s="71">
        <v>12</v>
      </c>
      <c r="AX106" s="72">
        <f t="shared" si="102"/>
        <v>20.462508</v>
      </c>
      <c r="AY106" s="72">
        <f t="shared" si="71"/>
        <v>2.8800638434428163</v>
      </c>
      <c r="AZ106" s="73">
        <f t="shared" si="108"/>
        <v>1784.2686900000001</v>
      </c>
      <c r="BA106" s="192">
        <f t="shared" si="84"/>
        <v>3.1430402643206019</v>
      </c>
      <c r="BB106" s="1075"/>
      <c r="BC106" s="90">
        <f t="shared" si="119"/>
        <v>22480</v>
      </c>
      <c r="BD106" s="59"/>
      <c r="BE106" s="56">
        <v>22480</v>
      </c>
      <c r="BF106" s="56">
        <f t="shared" si="103"/>
        <v>0</v>
      </c>
      <c r="BG106" s="58">
        <f t="shared" si="97"/>
        <v>41532</v>
      </c>
      <c r="BH106" s="58">
        <f t="shared" si="85"/>
        <v>73.15980434413342</v>
      </c>
      <c r="BI106" s="1140"/>
      <c r="BJ106" s="63">
        <f t="shared" si="124"/>
        <v>1500</v>
      </c>
      <c r="BK106" s="64"/>
      <c r="BL106" s="64">
        <v>1500</v>
      </c>
      <c r="BM106" s="64">
        <f t="shared" si="98"/>
        <v>0</v>
      </c>
      <c r="BN106" s="65"/>
      <c r="BO106" s="64">
        <f t="shared" si="99"/>
        <v>10400</v>
      </c>
      <c r="BP106" s="65">
        <f t="shared" si="100"/>
        <v>0.21198587717473052</v>
      </c>
      <c r="BQ106" s="1071"/>
      <c r="BR106" s="77">
        <f t="shared" si="125"/>
        <v>54297</v>
      </c>
      <c r="BS106" s="35"/>
      <c r="BT106" s="35">
        <v>52140</v>
      </c>
      <c r="BU106" s="74">
        <f t="shared" si="112"/>
        <v>2157</v>
      </c>
      <c r="BV106" s="74">
        <f t="shared" si="113"/>
        <v>252641</v>
      </c>
      <c r="BW106" s="74">
        <f t="shared" si="86"/>
        <v>445.03433808403662</v>
      </c>
      <c r="BX106" s="1098"/>
      <c r="BY106" s="295">
        <f t="shared" si="126"/>
        <v>1980</v>
      </c>
      <c r="BZ106" s="296"/>
      <c r="CA106" s="296">
        <v>1700</v>
      </c>
      <c r="CB106" s="296">
        <f t="shared" si="87"/>
        <v>280</v>
      </c>
      <c r="CC106" s="297"/>
      <c r="CD106" s="296">
        <f t="shared" si="109"/>
        <v>24750</v>
      </c>
      <c r="CE106" s="297">
        <f t="shared" si="88"/>
        <v>0.50448562116101736</v>
      </c>
      <c r="CF106" s="1061"/>
    </row>
    <row r="107" spans="1:84">
      <c r="A107" s="30">
        <v>44420</v>
      </c>
      <c r="B107" s="32">
        <v>673.53099999999995</v>
      </c>
      <c r="C107" s="842">
        <f t="shared" si="104"/>
        <v>49733.402999999998</v>
      </c>
      <c r="D107" s="851">
        <v>6987.72</v>
      </c>
      <c r="E107" s="843">
        <f t="shared" si="120"/>
        <v>574676.49900000007</v>
      </c>
      <c r="F107" s="243">
        <f t="shared" si="121"/>
        <v>38400</v>
      </c>
      <c r="G107" s="240"/>
      <c r="H107" s="280"/>
      <c r="I107" s="240">
        <v>9000</v>
      </c>
      <c r="J107" s="240">
        <f t="shared" si="89"/>
        <v>29400</v>
      </c>
      <c r="K107" s="280">
        <f t="shared" si="115"/>
        <v>43650.552090401186</v>
      </c>
      <c r="L107" s="240">
        <f t="shared" si="110"/>
        <v>1685011</v>
      </c>
      <c r="M107" s="280">
        <f t="shared" si="90"/>
        <v>33880.870770093898</v>
      </c>
      <c r="N107" s="280">
        <f t="shared" si="91"/>
        <v>4148.5087265940856</v>
      </c>
      <c r="O107" s="1089"/>
      <c r="P107" s="1084"/>
      <c r="Q107" s="77">
        <f t="shared" si="92"/>
        <v>41692</v>
      </c>
      <c r="R107" s="35"/>
      <c r="S107" s="35">
        <v>41692</v>
      </c>
      <c r="T107" s="35">
        <f t="shared" si="80"/>
        <v>0</v>
      </c>
      <c r="U107" s="36">
        <f t="shared" si="116"/>
        <v>0</v>
      </c>
      <c r="V107" s="74">
        <f t="shared" si="93"/>
        <v>44722</v>
      </c>
      <c r="W107" s="36">
        <f t="shared" si="94"/>
        <v>0.89923466528119944</v>
      </c>
      <c r="X107" s="1136"/>
      <c r="Y107" s="49">
        <f t="shared" si="122"/>
        <v>1137</v>
      </c>
      <c r="Z107" s="50"/>
      <c r="AA107" s="50">
        <v>1040</v>
      </c>
      <c r="AB107" s="50">
        <f t="shared" si="81"/>
        <v>97</v>
      </c>
      <c r="AC107" s="51">
        <f t="shared" si="117"/>
        <v>0.14401712764520119</v>
      </c>
      <c r="AD107" s="50">
        <f t="shared" si="95"/>
        <v>5394</v>
      </c>
      <c r="AE107" s="51">
        <f t="shared" si="82"/>
        <v>0.10845829311137226</v>
      </c>
      <c r="AF107" s="1047"/>
      <c r="AG107" s="40">
        <f t="shared" si="123"/>
        <v>1409</v>
      </c>
      <c r="AH107" s="41"/>
      <c r="AI107" s="41">
        <v>1363</v>
      </c>
      <c r="AJ107" s="41">
        <f t="shared" si="111"/>
        <v>46</v>
      </c>
      <c r="AK107" s="42">
        <f t="shared" si="118"/>
        <v>68.296782182260358</v>
      </c>
      <c r="AL107" s="41">
        <f t="shared" si="106"/>
        <v>3112</v>
      </c>
      <c r="AM107" s="42">
        <f t="shared" si="96"/>
        <v>6.2573638888133193E-2</v>
      </c>
      <c r="AN107" s="1058"/>
      <c r="AO107" s="220">
        <v>7.1</v>
      </c>
      <c r="AP107" s="67">
        <v>24</v>
      </c>
      <c r="AQ107" s="68">
        <f t="shared" si="101"/>
        <v>84.697319999999991</v>
      </c>
      <c r="AR107" s="68">
        <f t="shared" si="114"/>
        <v>12.120880630591952</v>
      </c>
      <c r="AS107" s="69">
        <f t="shared" si="107"/>
        <v>5863.2017999999998</v>
      </c>
      <c r="AT107" s="140">
        <f t="shared" si="83"/>
        <v>10.202612792071038</v>
      </c>
      <c r="AU107" s="1073"/>
      <c r="AV107" s="70">
        <v>3.65</v>
      </c>
      <c r="AW107" s="71">
        <v>12</v>
      </c>
      <c r="AX107" s="72">
        <f t="shared" si="102"/>
        <v>22.632774000000001</v>
      </c>
      <c r="AY107" s="72">
        <f t="shared" si="71"/>
        <v>3.238935446755165</v>
      </c>
      <c r="AZ107" s="73">
        <f t="shared" si="108"/>
        <v>1806.901464</v>
      </c>
      <c r="BA107" s="192">
        <f t="shared" si="84"/>
        <v>3.1442062919646201</v>
      </c>
      <c r="BB107" s="1075"/>
      <c r="BC107" s="90">
        <f t="shared" si="119"/>
        <v>22480</v>
      </c>
      <c r="BD107" s="59"/>
      <c r="BE107" s="56">
        <v>20019</v>
      </c>
      <c r="BF107" s="56">
        <f t="shared" si="103"/>
        <v>2461</v>
      </c>
      <c r="BG107" s="58">
        <f t="shared" si="97"/>
        <v>43993</v>
      </c>
      <c r="BH107" s="58">
        <f t="shared" si="85"/>
        <v>76.55263452838706</v>
      </c>
      <c r="BI107" s="1140"/>
      <c r="BJ107" s="63">
        <f t="shared" si="124"/>
        <v>1500</v>
      </c>
      <c r="BK107" s="64"/>
      <c r="BL107" s="64">
        <v>1500</v>
      </c>
      <c r="BM107" s="64">
        <f t="shared" si="98"/>
        <v>0</v>
      </c>
      <c r="BN107" s="65"/>
      <c r="BO107" s="64">
        <f t="shared" si="99"/>
        <v>10400</v>
      </c>
      <c r="BP107" s="65">
        <f t="shared" si="100"/>
        <v>0.20911498857216748</v>
      </c>
      <c r="BQ107" s="1071"/>
      <c r="BR107" s="77">
        <f t="shared" si="125"/>
        <v>52140</v>
      </c>
      <c r="BS107" s="35"/>
      <c r="BT107" s="35">
        <v>49366</v>
      </c>
      <c r="BU107" s="74">
        <f t="shared" si="112"/>
        <v>2774</v>
      </c>
      <c r="BV107" s="74">
        <f t="shared" si="113"/>
        <v>255415</v>
      </c>
      <c r="BW107" s="74">
        <f t="shared" si="86"/>
        <v>444.4500522371282</v>
      </c>
      <c r="BX107" s="1098"/>
      <c r="BY107" s="295">
        <f t="shared" si="126"/>
        <v>1700</v>
      </c>
      <c r="BZ107" s="296"/>
      <c r="CA107" s="296">
        <v>1280</v>
      </c>
      <c r="CB107" s="296">
        <f t="shared" si="87"/>
        <v>420</v>
      </c>
      <c r="CC107" s="297"/>
      <c r="CD107" s="296">
        <f t="shared" si="109"/>
        <v>25170</v>
      </c>
      <c r="CE107" s="297">
        <f t="shared" si="88"/>
        <v>0.5060984867655246</v>
      </c>
      <c r="CF107" s="1061"/>
    </row>
    <row r="108" spans="1:84">
      <c r="A108" s="30">
        <v>44421</v>
      </c>
      <c r="B108" s="32">
        <v>643.32600000000002</v>
      </c>
      <c r="C108" s="842">
        <f t="shared" si="104"/>
        <v>50376.728999999999</v>
      </c>
      <c r="D108" s="851">
        <v>6523.44</v>
      </c>
      <c r="E108" s="843">
        <f t="shared" si="120"/>
        <v>581199.93900000001</v>
      </c>
      <c r="F108" s="243">
        <f t="shared" si="121"/>
        <v>9000</v>
      </c>
      <c r="G108" s="240">
        <v>26420</v>
      </c>
      <c r="H108" s="280">
        <v>23.43</v>
      </c>
      <c r="I108" s="240">
        <v>9000</v>
      </c>
      <c r="J108" s="240">
        <f t="shared" si="89"/>
        <v>26420</v>
      </c>
      <c r="K108" s="280">
        <f t="shared" si="115"/>
        <v>41067.825643608368</v>
      </c>
      <c r="L108" s="240">
        <f t="shared" si="110"/>
        <v>1711431</v>
      </c>
      <c r="M108" s="280">
        <f t="shared" si="90"/>
        <v>33972.650348139912</v>
      </c>
      <c r="N108" s="280">
        <f t="shared" si="91"/>
        <v>4159.746583585149</v>
      </c>
      <c r="O108" s="1089"/>
      <c r="P108" s="1084"/>
      <c r="Q108" s="77">
        <f t="shared" si="92"/>
        <v>41692</v>
      </c>
      <c r="R108" s="35"/>
      <c r="S108" s="35">
        <v>41692</v>
      </c>
      <c r="T108" s="35">
        <f t="shared" si="80"/>
        <v>0</v>
      </c>
      <c r="U108" s="36">
        <f t="shared" si="116"/>
        <v>0</v>
      </c>
      <c r="V108" s="74">
        <f t="shared" si="93"/>
        <v>44722</v>
      </c>
      <c r="W108" s="36">
        <f t="shared" si="94"/>
        <v>0.88775116780607177</v>
      </c>
      <c r="X108" s="1136"/>
      <c r="Y108" s="49">
        <f t="shared" si="122"/>
        <v>1040</v>
      </c>
      <c r="Z108" s="50"/>
      <c r="AA108" s="50">
        <v>990</v>
      </c>
      <c r="AB108" s="50">
        <f t="shared" si="81"/>
        <v>50</v>
      </c>
      <c r="AC108" s="51">
        <f t="shared" si="117"/>
        <v>7.7721093193808419E-2</v>
      </c>
      <c r="AD108" s="50">
        <f t="shared" si="95"/>
        <v>5444</v>
      </c>
      <c r="AE108" s="51">
        <f t="shared" si="82"/>
        <v>0.10806576981208924</v>
      </c>
      <c r="AF108" s="1047"/>
      <c r="AG108" s="40">
        <f t="shared" si="123"/>
        <v>1363</v>
      </c>
      <c r="AH108" s="41"/>
      <c r="AI108" s="41">
        <v>1330</v>
      </c>
      <c r="AJ108" s="41">
        <f t="shared" si="111"/>
        <v>33</v>
      </c>
      <c r="AK108" s="42">
        <f t="shared" si="118"/>
        <v>51.295921507913562</v>
      </c>
      <c r="AL108" s="41">
        <f t="shared" si="106"/>
        <v>3145</v>
      </c>
      <c r="AM108" s="42">
        <f t="shared" si="96"/>
        <v>6.2429619040966319E-2</v>
      </c>
      <c r="AN108" s="1058"/>
      <c r="AO108" s="220">
        <v>6.8</v>
      </c>
      <c r="AP108" s="67">
        <v>24</v>
      </c>
      <c r="AQ108" s="68">
        <f t="shared" si="101"/>
        <v>81.118559999999988</v>
      </c>
      <c r="AR108" s="68">
        <f t="shared" si="114"/>
        <v>12.434936168647216</v>
      </c>
      <c r="AS108" s="69">
        <f t="shared" si="107"/>
        <v>5944.3203599999997</v>
      </c>
      <c r="AT108" s="140">
        <f t="shared" si="83"/>
        <v>10.227668588932868</v>
      </c>
      <c r="AU108" s="1073"/>
      <c r="AV108" s="70">
        <v>2.7</v>
      </c>
      <c r="AW108" s="71">
        <v>12</v>
      </c>
      <c r="AX108" s="72">
        <f t="shared" si="102"/>
        <v>16.742052000000005</v>
      </c>
      <c r="AY108" s="72">
        <f t="shared" si="71"/>
        <v>2.5664453110628753</v>
      </c>
      <c r="AZ108" s="73">
        <f t="shared" si="108"/>
        <v>1823.6435160000001</v>
      </c>
      <c r="BA108" s="192">
        <f t="shared" si="84"/>
        <v>3.1377214511373168</v>
      </c>
      <c r="BB108" s="1075"/>
      <c r="BC108" s="90">
        <f t="shared" si="119"/>
        <v>20019</v>
      </c>
      <c r="BD108" s="59"/>
      <c r="BE108" s="56">
        <v>20019</v>
      </c>
      <c r="BF108" s="56">
        <f t="shared" si="103"/>
        <v>0</v>
      </c>
      <c r="BG108" s="58">
        <f t="shared" si="97"/>
        <v>43993</v>
      </c>
      <c r="BH108" s="58">
        <f t="shared" si="85"/>
        <v>75.693400924462239</v>
      </c>
      <c r="BI108" s="1140"/>
      <c r="BJ108" s="63">
        <f t="shared" si="124"/>
        <v>1500</v>
      </c>
      <c r="BK108" s="64"/>
      <c r="BL108" s="64">
        <v>1500</v>
      </c>
      <c r="BM108" s="64">
        <f t="shared" si="98"/>
        <v>0</v>
      </c>
      <c r="BN108" s="65"/>
      <c r="BO108" s="64">
        <f t="shared" si="99"/>
        <v>10400</v>
      </c>
      <c r="BP108" s="65">
        <f t="shared" si="100"/>
        <v>0.20644452719429243</v>
      </c>
      <c r="BQ108" s="1071"/>
      <c r="BR108" s="77">
        <f t="shared" si="125"/>
        <v>49366</v>
      </c>
      <c r="BS108" s="35"/>
      <c r="BT108" s="35">
        <v>45669</v>
      </c>
      <c r="BU108" s="74">
        <f t="shared" si="112"/>
        <v>3697</v>
      </c>
      <c r="BV108" s="74">
        <f t="shared" si="113"/>
        <v>259112</v>
      </c>
      <c r="BW108" s="74">
        <f t="shared" si="86"/>
        <v>445.82248313002663</v>
      </c>
      <c r="BX108" s="1098"/>
      <c r="BY108" s="295">
        <f t="shared" si="126"/>
        <v>1280</v>
      </c>
      <c r="BZ108" s="296"/>
      <c r="CA108" s="296">
        <v>1280</v>
      </c>
      <c r="CB108" s="296">
        <f t="shared" si="87"/>
        <v>0</v>
      </c>
      <c r="CC108" s="297"/>
      <c r="CD108" s="296">
        <f t="shared" si="109"/>
        <v>25170</v>
      </c>
      <c r="CE108" s="297">
        <f t="shared" si="88"/>
        <v>0.49963545668080195</v>
      </c>
      <c r="CF108" s="1061"/>
    </row>
    <row r="109" spans="1:84">
      <c r="A109" s="30">
        <v>44422</v>
      </c>
      <c r="B109" s="32">
        <v>624.40200000000004</v>
      </c>
      <c r="C109" s="842">
        <f t="shared" si="104"/>
        <v>51001.131000000001</v>
      </c>
      <c r="D109" s="851">
        <v>6690.4</v>
      </c>
      <c r="E109" s="843">
        <f t="shared" si="120"/>
        <v>587890.33900000004</v>
      </c>
      <c r="F109" s="243">
        <f t="shared" si="121"/>
        <v>9000</v>
      </c>
      <c r="G109" s="240">
        <v>17430</v>
      </c>
      <c r="H109" s="280">
        <v>7.37</v>
      </c>
      <c r="I109" s="240">
        <v>13808</v>
      </c>
      <c r="J109" s="240">
        <f t="shared" si="89"/>
        <v>12622</v>
      </c>
      <c r="K109" s="280">
        <f t="shared" si="115"/>
        <v>20214.54127309009</v>
      </c>
      <c r="L109" s="240">
        <f t="shared" si="110"/>
        <v>1724053</v>
      </c>
      <c r="M109" s="280">
        <f t="shared" si="90"/>
        <v>33804.211126219925</v>
      </c>
      <c r="N109" s="280">
        <f t="shared" si="91"/>
        <v>4139.1222145487845</v>
      </c>
      <c r="O109" s="1089"/>
      <c r="P109" s="1084"/>
      <c r="Q109" s="77">
        <f t="shared" si="92"/>
        <v>41692</v>
      </c>
      <c r="R109" s="35"/>
      <c r="S109" s="35">
        <v>41692</v>
      </c>
      <c r="T109" s="35">
        <f t="shared" si="80"/>
        <v>0</v>
      </c>
      <c r="U109" s="36">
        <f t="shared" si="116"/>
        <v>0</v>
      </c>
      <c r="V109" s="74">
        <f t="shared" si="93"/>
        <v>44722</v>
      </c>
      <c r="W109" s="36">
        <f t="shared" si="94"/>
        <v>0.87688251462501876</v>
      </c>
      <c r="X109" s="1136"/>
      <c r="Y109" s="49">
        <f t="shared" si="122"/>
        <v>990</v>
      </c>
      <c r="Z109" s="50"/>
      <c r="AA109" s="50">
        <v>921</v>
      </c>
      <c r="AB109" s="50">
        <f t="shared" si="81"/>
        <v>69</v>
      </c>
      <c r="AC109" s="51">
        <f t="shared" si="117"/>
        <v>0.11050573188426686</v>
      </c>
      <c r="AD109" s="50">
        <f t="shared" si="95"/>
        <v>5513</v>
      </c>
      <c r="AE109" s="51">
        <f t="shared" si="82"/>
        <v>0.10809564203585995</v>
      </c>
      <c r="AF109" s="1047"/>
      <c r="AG109" s="40">
        <f t="shared" si="123"/>
        <v>1330</v>
      </c>
      <c r="AH109" s="41"/>
      <c r="AI109" s="41">
        <v>1298</v>
      </c>
      <c r="AJ109" s="41">
        <f t="shared" si="111"/>
        <v>32</v>
      </c>
      <c r="AK109" s="42">
        <f t="shared" si="118"/>
        <v>51.249035076761444</v>
      </c>
      <c r="AL109" s="41">
        <f t="shared" si="106"/>
        <v>3177</v>
      </c>
      <c r="AM109" s="42">
        <f t="shared" si="96"/>
        <v>6.2292736214026312E-2</v>
      </c>
      <c r="AN109" s="1058"/>
      <c r="AO109" s="220">
        <v>6.45</v>
      </c>
      <c r="AP109" s="67">
        <v>24</v>
      </c>
      <c r="AQ109" s="68">
        <f t="shared" si="101"/>
        <v>76.943340000000006</v>
      </c>
      <c r="AR109" s="68">
        <f t="shared" si="114"/>
        <v>11.50055900992467</v>
      </c>
      <c r="AS109" s="69">
        <f t="shared" si="107"/>
        <v>6021.2636999999995</v>
      </c>
      <c r="AT109" s="140">
        <f t="shared" si="83"/>
        <v>10.242154532156718</v>
      </c>
      <c r="AU109" s="1073"/>
      <c r="AV109" s="70">
        <v>3.55</v>
      </c>
      <c r="AW109" s="71">
        <v>12</v>
      </c>
      <c r="AX109" s="72">
        <f t="shared" si="102"/>
        <v>22.012697999999997</v>
      </c>
      <c r="AY109" s="72">
        <f t="shared" si="71"/>
        <v>3.2901916178404877</v>
      </c>
      <c r="AZ109" s="73">
        <f t="shared" si="108"/>
        <v>1845.6562140000001</v>
      </c>
      <c r="BA109" s="192">
        <f t="shared" si="84"/>
        <v>3.1394566155644887</v>
      </c>
      <c r="BB109" s="1075"/>
      <c r="BC109" s="90">
        <f t="shared" si="119"/>
        <v>20019</v>
      </c>
      <c r="BD109" s="59"/>
      <c r="BE109" s="56">
        <v>20019</v>
      </c>
      <c r="BF109" s="56">
        <f t="shared" si="103"/>
        <v>0</v>
      </c>
      <c r="BG109" s="58">
        <f t="shared" si="97"/>
        <v>43993</v>
      </c>
      <c r="BH109" s="58">
        <f t="shared" si="85"/>
        <v>74.831983248494922</v>
      </c>
      <c r="BI109" s="1140"/>
      <c r="BJ109" s="63">
        <f t="shared" si="124"/>
        <v>1500</v>
      </c>
      <c r="BK109" s="64"/>
      <c r="BL109" s="64">
        <v>1410</v>
      </c>
      <c r="BM109" s="64">
        <f t="shared" si="98"/>
        <v>90</v>
      </c>
      <c r="BN109" s="65"/>
      <c r="BO109" s="64">
        <f t="shared" si="99"/>
        <v>10490</v>
      </c>
      <c r="BP109" s="65">
        <f t="shared" si="100"/>
        <v>0.20568171321534026</v>
      </c>
      <c r="BQ109" s="1071"/>
      <c r="BR109" s="77">
        <f t="shared" si="125"/>
        <v>45669</v>
      </c>
      <c r="BS109" s="35"/>
      <c r="BT109" s="35">
        <v>42897</v>
      </c>
      <c r="BU109" s="74">
        <f t="shared" si="112"/>
        <v>2772</v>
      </c>
      <c r="BV109" s="74">
        <f t="shared" si="113"/>
        <v>261884</v>
      </c>
      <c r="BW109" s="74">
        <f t="shared" si="86"/>
        <v>445.46403066507952</v>
      </c>
      <c r="BX109" s="1098"/>
      <c r="BY109" s="295">
        <f t="shared" si="126"/>
        <v>1280</v>
      </c>
      <c r="BZ109" s="296"/>
      <c r="CA109" s="296">
        <v>1280</v>
      </c>
      <c r="CB109" s="296">
        <f t="shared" si="87"/>
        <v>0</v>
      </c>
      <c r="CC109" s="297"/>
      <c r="CD109" s="296">
        <f t="shared" si="109"/>
        <v>25170</v>
      </c>
      <c r="CE109" s="297">
        <f t="shared" si="88"/>
        <v>0.49351846726693177</v>
      </c>
      <c r="CF109" s="1061"/>
    </row>
    <row r="110" spans="1:84">
      <c r="A110" s="30">
        <v>44423</v>
      </c>
      <c r="B110" s="32">
        <v>663.02499999999998</v>
      </c>
      <c r="C110" s="842">
        <f t="shared" si="104"/>
        <v>51664.156000000003</v>
      </c>
      <c r="D110" s="851">
        <v>6147.48</v>
      </c>
      <c r="E110" s="843">
        <f t="shared" si="120"/>
        <v>594037.81900000002</v>
      </c>
      <c r="F110" s="243">
        <f t="shared" si="121"/>
        <v>13808</v>
      </c>
      <c r="G110" s="240">
        <v>32710</v>
      </c>
      <c r="H110" s="280">
        <v>18.27</v>
      </c>
      <c r="I110" s="240">
        <v>9000</v>
      </c>
      <c r="J110" s="240">
        <f t="shared" si="89"/>
        <v>37518</v>
      </c>
      <c r="K110" s="280">
        <f t="shared" si="115"/>
        <v>56586.101579880095</v>
      </c>
      <c r="L110" s="240">
        <f t="shared" si="110"/>
        <v>1761571</v>
      </c>
      <c r="M110" s="280">
        <f t="shared" si="90"/>
        <v>34096.579454428713</v>
      </c>
      <c r="N110" s="280">
        <f t="shared" si="91"/>
        <v>4174.9209568297674</v>
      </c>
      <c r="O110" s="1089"/>
      <c r="P110" s="1084"/>
      <c r="Q110" s="77">
        <f t="shared" si="92"/>
        <v>41692</v>
      </c>
      <c r="R110" s="35"/>
      <c r="S110" s="35">
        <v>41692</v>
      </c>
      <c r="T110" s="35">
        <f t="shared" si="80"/>
        <v>0</v>
      </c>
      <c r="U110" s="36">
        <f t="shared" si="116"/>
        <v>0</v>
      </c>
      <c r="V110" s="74">
        <f t="shared" si="93"/>
        <v>44722</v>
      </c>
      <c r="W110" s="36">
        <f t="shared" si="94"/>
        <v>0.86562916076670249</v>
      </c>
      <c r="X110" s="1136"/>
      <c r="Y110" s="49">
        <f t="shared" si="122"/>
        <v>921</v>
      </c>
      <c r="Z110" s="50"/>
      <c r="AA110" s="50">
        <v>832</v>
      </c>
      <c r="AB110" s="50">
        <f t="shared" si="81"/>
        <v>89</v>
      </c>
      <c r="AC110" s="51">
        <f t="shared" si="117"/>
        <v>0.13423324912333623</v>
      </c>
      <c r="AD110" s="50">
        <f t="shared" si="95"/>
        <v>5602</v>
      </c>
      <c r="AE110" s="51">
        <f t="shared" si="82"/>
        <v>0.10843107550232699</v>
      </c>
      <c r="AF110" s="1047"/>
      <c r="AG110" s="40">
        <f t="shared" si="123"/>
        <v>1298</v>
      </c>
      <c r="AH110" s="41"/>
      <c r="AI110" s="41">
        <v>1264</v>
      </c>
      <c r="AJ110" s="41">
        <f t="shared" si="111"/>
        <v>34</v>
      </c>
      <c r="AK110" s="42">
        <f t="shared" si="118"/>
        <v>51.280117642622827</v>
      </c>
      <c r="AL110" s="41">
        <f t="shared" si="106"/>
        <v>3211</v>
      </c>
      <c r="AM110" s="42">
        <f t="shared" si="96"/>
        <v>6.2151407254189925E-2</v>
      </c>
      <c r="AN110" s="1058"/>
      <c r="AO110" s="220">
        <v>6.2</v>
      </c>
      <c r="AP110" s="67">
        <v>24</v>
      </c>
      <c r="AQ110" s="68">
        <f t="shared" si="101"/>
        <v>73.961040000000011</v>
      </c>
      <c r="AR110" s="68">
        <f t="shared" si="114"/>
        <v>12.031115188662675</v>
      </c>
      <c r="AS110" s="69">
        <f t="shared" si="107"/>
        <v>6095.2247399999997</v>
      </c>
      <c r="AT110" s="140">
        <f t="shared" si="83"/>
        <v>10.260667831318663</v>
      </c>
      <c r="AU110" s="1073"/>
      <c r="AV110" s="70">
        <v>4.2</v>
      </c>
      <c r="AW110" s="71">
        <v>12</v>
      </c>
      <c r="AX110" s="72">
        <f t="shared" si="102"/>
        <v>26.043192000000005</v>
      </c>
      <c r="AY110" s="72">
        <f t="shared" ref="AY110:AY159" si="127">AX110*1000/D110</f>
        <v>4.2364012571004714</v>
      </c>
      <c r="AZ110" s="73">
        <f t="shared" si="108"/>
        <v>1871.6994060000002</v>
      </c>
      <c r="BA110" s="192">
        <f t="shared" si="84"/>
        <v>3.1508084942315771</v>
      </c>
      <c r="BB110" s="1075"/>
      <c r="BC110" s="90">
        <f t="shared" si="119"/>
        <v>20019</v>
      </c>
      <c r="BD110" s="59"/>
      <c r="BE110" s="56">
        <v>20019</v>
      </c>
      <c r="BF110" s="56">
        <f t="shared" si="103"/>
        <v>0</v>
      </c>
      <c r="BG110" s="58">
        <f t="shared" si="97"/>
        <v>43993</v>
      </c>
      <c r="BH110" s="58">
        <f t="shared" si="85"/>
        <v>74.057574438707576</v>
      </c>
      <c r="BI110" s="1140"/>
      <c r="BJ110" s="63">
        <f t="shared" si="124"/>
        <v>1410</v>
      </c>
      <c r="BK110" s="64"/>
      <c r="BL110" s="64">
        <v>1380</v>
      </c>
      <c r="BM110" s="64">
        <f t="shared" si="98"/>
        <v>30</v>
      </c>
      <c r="BN110" s="65"/>
      <c r="BO110" s="64">
        <f t="shared" si="99"/>
        <v>10520</v>
      </c>
      <c r="BP110" s="65">
        <f t="shared" si="100"/>
        <v>0.20362279798009281</v>
      </c>
      <c r="BQ110" s="1071"/>
      <c r="BR110" s="77">
        <f t="shared" si="125"/>
        <v>42897</v>
      </c>
      <c r="BS110" s="35"/>
      <c r="BT110" s="35">
        <v>41048</v>
      </c>
      <c r="BU110" s="74">
        <f t="shared" si="112"/>
        <v>1849</v>
      </c>
      <c r="BV110" s="74">
        <f t="shared" si="113"/>
        <v>263733</v>
      </c>
      <c r="BW110" s="74">
        <f t="shared" si="86"/>
        <v>443.96668286872153</v>
      </c>
      <c r="BX110" s="1098"/>
      <c r="BY110" s="295">
        <f t="shared" si="126"/>
        <v>1280</v>
      </c>
      <c r="BZ110" s="296"/>
      <c r="CA110" s="296">
        <v>1280</v>
      </c>
      <c r="CB110" s="296">
        <f t="shared" si="87"/>
        <v>0</v>
      </c>
      <c r="CC110" s="297"/>
      <c r="CD110" s="296">
        <f t="shared" si="109"/>
        <v>25170</v>
      </c>
      <c r="CE110" s="297">
        <f t="shared" si="88"/>
        <v>0.48718496436872016</v>
      </c>
      <c r="CF110" s="1061"/>
    </row>
    <row r="111" spans="1:84">
      <c r="A111" s="30">
        <v>44424</v>
      </c>
      <c r="B111" s="375">
        <v>614.44000000000005</v>
      </c>
      <c r="C111" s="842">
        <f t="shared" si="104"/>
        <v>52278.596000000005</v>
      </c>
      <c r="D111" s="851">
        <v>5985.32</v>
      </c>
      <c r="E111" s="843">
        <f t="shared" si="120"/>
        <v>600023.13899999997</v>
      </c>
      <c r="F111" s="243">
        <f t="shared" si="121"/>
        <v>9000</v>
      </c>
      <c r="G111" s="240"/>
      <c r="H111" s="280"/>
      <c r="I111" s="240">
        <v>3000</v>
      </c>
      <c r="J111" s="240">
        <f t="shared" si="89"/>
        <v>6000</v>
      </c>
      <c r="K111" s="280">
        <f t="shared" si="115"/>
        <v>9764.9892585118141</v>
      </c>
      <c r="L111" s="240">
        <f t="shared" si="110"/>
        <v>1767571</v>
      </c>
      <c r="M111" s="280">
        <f t="shared" si="90"/>
        <v>33810.60577831891</v>
      </c>
      <c r="N111" s="280">
        <f t="shared" si="91"/>
        <v>4139.9052012145112</v>
      </c>
      <c r="O111" s="1089"/>
      <c r="P111" s="1084"/>
      <c r="Q111" s="77">
        <f t="shared" si="92"/>
        <v>41692</v>
      </c>
      <c r="R111" s="35"/>
      <c r="S111" s="35">
        <v>37480</v>
      </c>
      <c r="T111" s="35">
        <f t="shared" si="80"/>
        <v>4212</v>
      </c>
      <c r="U111" s="36">
        <f t="shared" si="116"/>
        <v>6855.0224594752935</v>
      </c>
      <c r="V111" s="74">
        <f t="shared" si="93"/>
        <v>48934</v>
      </c>
      <c r="W111" s="36">
        <f t="shared" si="94"/>
        <v>0.9360236070609087</v>
      </c>
      <c r="X111" s="1136"/>
      <c r="Y111" s="49">
        <f t="shared" si="122"/>
        <v>832</v>
      </c>
      <c r="Z111" s="50"/>
      <c r="AA111" s="50">
        <v>779</v>
      </c>
      <c r="AB111" s="50">
        <f t="shared" si="81"/>
        <v>53</v>
      </c>
      <c r="AC111" s="51">
        <f t="shared" si="117"/>
        <v>8.6257405116854369E-2</v>
      </c>
      <c r="AD111" s="50">
        <f t="shared" si="95"/>
        <v>5655</v>
      </c>
      <c r="AE111" s="51">
        <f t="shared" si="82"/>
        <v>0.10817046425653817</v>
      </c>
      <c r="AF111" s="1047"/>
      <c r="AG111" s="40">
        <f t="shared" si="123"/>
        <v>1264</v>
      </c>
      <c r="AH111" s="41"/>
      <c r="AI111" s="41">
        <v>1246</v>
      </c>
      <c r="AJ111" s="41">
        <f t="shared" si="111"/>
        <v>18</v>
      </c>
      <c r="AK111" s="42">
        <f t="shared" si="118"/>
        <v>29.294967775535444</v>
      </c>
      <c r="AL111" s="41">
        <f t="shared" si="106"/>
        <v>3229</v>
      </c>
      <c r="AM111" s="42">
        <f t="shared" si="96"/>
        <v>6.1765239449047174E-2</v>
      </c>
      <c r="AN111" s="1058"/>
      <c r="AO111" s="220">
        <v>6.95</v>
      </c>
      <c r="AP111" s="67">
        <v>24</v>
      </c>
      <c r="AQ111" s="68">
        <f t="shared" si="101"/>
        <v>82.907940000000011</v>
      </c>
      <c r="AR111" s="68">
        <f t="shared" si="114"/>
        <v>13.851880935355172</v>
      </c>
      <c r="AS111" s="69">
        <f t="shared" si="107"/>
        <v>6178.1326799999997</v>
      </c>
      <c r="AT111" s="140">
        <f t="shared" si="83"/>
        <v>10.296490715835544</v>
      </c>
      <c r="AU111" s="1073"/>
      <c r="AV111" s="70">
        <v>4.8</v>
      </c>
      <c r="AW111" s="71">
        <v>12</v>
      </c>
      <c r="AX111" s="72">
        <f t="shared" si="102"/>
        <v>29.763648</v>
      </c>
      <c r="AY111" s="72">
        <f t="shared" si="127"/>
        <v>4.9727747221535363</v>
      </c>
      <c r="AZ111" s="73">
        <f t="shared" si="108"/>
        <v>1901.4630540000003</v>
      </c>
      <c r="BA111" s="192">
        <f t="shared" si="84"/>
        <v>3.1689828781753038</v>
      </c>
      <c r="BB111" s="1075"/>
      <c r="BC111" s="90">
        <f t="shared" si="119"/>
        <v>20019</v>
      </c>
      <c r="BD111" s="59"/>
      <c r="BE111" s="56">
        <v>20019</v>
      </c>
      <c r="BF111" s="56">
        <f t="shared" si="103"/>
        <v>0</v>
      </c>
      <c r="BG111" s="58">
        <f t="shared" si="97"/>
        <v>43993</v>
      </c>
      <c r="BH111" s="58">
        <f t="shared" si="85"/>
        <v>73.31883912563579</v>
      </c>
      <c r="BI111" s="1140"/>
      <c r="BJ111" s="63">
        <f t="shared" si="124"/>
        <v>1380</v>
      </c>
      <c r="BK111" s="64"/>
      <c r="BL111" s="64">
        <v>1260</v>
      </c>
      <c r="BM111" s="64">
        <f t="shared" si="98"/>
        <v>120</v>
      </c>
      <c r="BN111" s="65"/>
      <c r="BO111" s="64">
        <f t="shared" si="99"/>
        <v>10640</v>
      </c>
      <c r="BP111" s="65">
        <f t="shared" si="100"/>
        <v>0.20352497607242548</v>
      </c>
      <c r="BQ111" s="1071"/>
      <c r="BR111" s="77">
        <f t="shared" si="125"/>
        <v>41048</v>
      </c>
      <c r="BS111" s="35"/>
      <c r="BT111" s="35">
        <v>37344</v>
      </c>
      <c r="BU111" s="74">
        <f t="shared" si="112"/>
        <v>3704</v>
      </c>
      <c r="BV111" s="74">
        <f t="shared" si="113"/>
        <v>267437</v>
      </c>
      <c r="BW111" s="74">
        <f t="shared" si="86"/>
        <v>445.71114448304638</v>
      </c>
      <c r="BX111" s="1098"/>
      <c r="BY111" s="295">
        <f t="shared" si="126"/>
        <v>1280</v>
      </c>
      <c r="BZ111" s="296"/>
      <c r="CA111" s="296">
        <v>790</v>
      </c>
      <c r="CB111" s="296">
        <f t="shared" si="87"/>
        <v>490</v>
      </c>
      <c r="CC111" s="297"/>
      <c r="CD111" s="296">
        <f t="shared" si="109"/>
        <v>25660</v>
      </c>
      <c r="CE111" s="297">
        <f t="shared" si="88"/>
        <v>0.49083185018970282</v>
      </c>
      <c r="CF111" s="1061"/>
    </row>
    <row r="112" spans="1:84">
      <c r="A112" s="30">
        <v>44425</v>
      </c>
      <c r="B112" s="375">
        <v>617.37</v>
      </c>
      <c r="C112" s="842">
        <f t="shared" si="104"/>
        <v>52895.966000000008</v>
      </c>
      <c r="D112" s="851">
        <v>6425.96</v>
      </c>
      <c r="E112" s="843">
        <f t="shared" si="120"/>
        <v>606449.09899999993</v>
      </c>
      <c r="F112" s="243">
        <f t="shared" si="121"/>
        <v>3000</v>
      </c>
      <c r="G112" s="240"/>
      <c r="H112" s="280"/>
      <c r="I112" s="240">
        <v>3000</v>
      </c>
      <c r="J112" s="240">
        <f t="shared" si="89"/>
        <v>0</v>
      </c>
      <c r="K112" s="280">
        <f t="shared" si="115"/>
        <v>0</v>
      </c>
      <c r="L112" s="240">
        <f t="shared" si="110"/>
        <v>1767571</v>
      </c>
      <c r="M112" s="280">
        <f t="shared" si="90"/>
        <v>33415.988659702321</v>
      </c>
      <c r="N112" s="280">
        <f t="shared" si="91"/>
        <v>4091.5867098937579</v>
      </c>
      <c r="O112" s="1089"/>
      <c r="P112" s="1084"/>
      <c r="Q112" s="77">
        <f t="shared" si="92"/>
        <v>37480</v>
      </c>
      <c r="R112" s="35"/>
      <c r="S112" s="35">
        <v>33721</v>
      </c>
      <c r="T112" s="35">
        <f t="shared" si="80"/>
        <v>3759</v>
      </c>
      <c r="U112" s="36">
        <f t="shared" si="116"/>
        <v>6088.7312308664168</v>
      </c>
      <c r="V112" s="74">
        <f t="shared" si="93"/>
        <v>52693</v>
      </c>
      <c r="W112" s="36">
        <f t="shared" si="94"/>
        <v>0.99616292100611215</v>
      </c>
      <c r="X112" s="1136"/>
      <c r="Y112" s="49">
        <f t="shared" si="122"/>
        <v>779</v>
      </c>
      <c r="Z112" s="50"/>
      <c r="AA112" s="50">
        <v>725</v>
      </c>
      <c r="AB112" s="50">
        <f t="shared" si="81"/>
        <v>54</v>
      </c>
      <c r="AC112" s="51">
        <f t="shared" si="117"/>
        <v>8.7467806987705912E-2</v>
      </c>
      <c r="AD112" s="50">
        <f t="shared" si="95"/>
        <v>5709</v>
      </c>
      <c r="AE112" s="51">
        <f t="shared" si="82"/>
        <v>0.1079288352537129</v>
      </c>
      <c r="AF112" s="1047"/>
      <c r="AG112" s="40">
        <f t="shared" si="123"/>
        <v>1246</v>
      </c>
      <c r="AH112" s="41"/>
      <c r="AI112" s="41">
        <v>1193</v>
      </c>
      <c r="AJ112" s="41">
        <f t="shared" si="111"/>
        <v>53</v>
      </c>
      <c r="AK112" s="42">
        <f t="shared" si="118"/>
        <v>85.848032784229872</v>
      </c>
      <c r="AL112" s="41">
        <f t="shared" si="106"/>
        <v>3282</v>
      </c>
      <c r="AM112" s="42">
        <f t="shared" si="96"/>
        <v>6.2046319373390391E-2</v>
      </c>
      <c r="AN112" s="1058"/>
      <c r="AO112" s="220">
        <v>6.55</v>
      </c>
      <c r="AP112" s="67">
        <v>24</v>
      </c>
      <c r="AQ112" s="68">
        <f t="shared" si="101"/>
        <v>78.136259999999993</v>
      </c>
      <c r="AR112" s="68">
        <f t="shared" si="114"/>
        <v>12.15946877976209</v>
      </c>
      <c r="AS112" s="69">
        <f t="shared" si="107"/>
        <v>6256.2689399999999</v>
      </c>
      <c r="AT112" s="140">
        <f t="shared" si="83"/>
        <v>10.316230909265478</v>
      </c>
      <c r="AU112" s="1073"/>
      <c r="AV112" s="70">
        <v>4</v>
      </c>
      <c r="AW112" s="71">
        <v>12</v>
      </c>
      <c r="AX112" s="72">
        <f t="shared" si="102"/>
        <v>24.803040000000003</v>
      </c>
      <c r="AY112" s="72">
        <f t="shared" si="127"/>
        <v>3.8598186107601049</v>
      </c>
      <c r="AZ112" s="73">
        <f t="shared" si="108"/>
        <v>1926.2660940000003</v>
      </c>
      <c r="BA112" s="192">
        <f t="shared" si="84"/>
        <v>3.1763030024717716</v>
      </c>
      <c r="BB112" s="1075"/>
      <c r="BC112" s="90">
        <f t="shared" si="119"/>
        <v>20019</v>
      </c>
      <c r="BD112" s="59"/>
      <c r="BE112" s="56">
        <v>20019</v>
      </c>
      <c r="BF112" s="56">
        <f t="shared" si="103"/>
        <v>0</v>
      </c>
      <c r="BG112" s="58">
        <f t="shared" si="97"/>
        <v>43993</v>
      </c>
      <c r="BH112" s="58">
        <f t="shared" si="85"/>
        <v>72.541949641844553</v>
      </c>
      <c r="BI112" s="1140"/>
      <c r="BJ112" s="63">
        <f t="shared" si="124"/>
        <v>1260</v>
      </c>
      <c r="BK112" s="64"/>
      <c r="BL112" s="64">
        <v>1250</v>
      </c>
      <c r="BM112" s="64">
        <f t="shared" si="98"/>
        <v>10</v>
      </c>
      <c r="BN112" s="65"/>
      <c r="BO112" s="64">
        <f t="shared" si="99"/>
        <v>10650</v>
      </c>
      <c r="BP112" s="65">
        <f t="shared" si="100"/>
        <v>0.20133860491365255</v>
      </c>
      <c r="BQ112" s="1071"/>
      <c r="BR112" s="77">
        <f t="shared" si="125"/>
        <v>37344</v>
      </c>
      <c r="BS112" s="35"/>
      <c r="BT112" s="35">
        <v>36447</v>
      </c>
      <c r="BU112" s="74">
        <f t="shared" si="112"/>
        <v>897</v>
      </c>
      <c r="BV112" s="74">
        <f t="shared" si="113"/>
        <v>268334</v>
      </c>
      <c r="BW112" s="74">
        <f t="shared" si="86"/>
        <v>442.46747244322319</v>
      </c>
      <c r="BX112" s="1098"/>
      <c r="BY112" s="295">
        <f t="shared" si="126"/>
        <v>790</v>
      </c>
      <c r="BZ112" s="296"/>
      <c r="CA112" s="296">
        <v>430</v>
      </c>
      <c r="CB112" s="296">
        <f t="shared" si="87"/>
        <v>360</v>
      </c>
      <c r="CC112" s="297"/>
      <c r="CD112" s="296">
        <f t="shared" si="109"/>
        <v>26020</v>
      </c>
      <c r="CE112" s="297">
        <f t="shared" si="88"/>
        <v>0.49190896712236992</v>
      </c>
      <c r="CF112" s="1061"/>
    </row>
    <row r="113" spans="1:84">
      <c r="A113" s="30">
        <v>44426</v>
      </c>
      <c r="B113" s="32">
        <v>623.91800000000001</v>
      </c>
      <c r="C113" s="842">
        <f t="shared" si="104"/>
        <v>53519.884000000005</v>
      </c>
      <c r="D113" s="851">
        <v>6520.76</v>
      </c>
      <c r="E113" s="843">
        <f t="shared" si="120"/>
        <v>612969.85899999994</v>
      </c>
      <c r="F113" s="243">
        <f t="shared" si="121"/>
        <v>3000</v>
      </c>
      <c r="G113" s="240"/>
      <c r="H113" s="280"/>
      <c r="I113" s="240">
        <v>3000</v>
      </c>
      <c r="J113" s="240">
        <f t="shared" si="89"/>
        <v>0</v>
      </c>
      <c r="K113" s="280">
        <f t="shared" si="115"/>
        <v>0</v>
      </c>
      <c r="L113" s="240">
        <f t="shared" si="110"/>
        <v>1767571</v>
      </c>
      <c r="M113" s="280">
        <f t="shared" si="90"/>
        <v>33026.435558044184</v>
      </c>
      <c r="N113" s="280">
        <f t="shared" si="91"/>
        <v>4043.888276973697</v>
      </c>
      <c r="O113" s="1089"/>
      <c r="P113" s="1084"/>
      <c r="Q113" s="77">
        <f t="shared" si="92"/>
        <v>33721</v>
      </c>
      <c r="R113" s="35"/>
      <c r="S113" s="35">
        <v>29694</v>
      </c>
      <c r="T113" s="35">
        <f t="shared" si="80"/>
        <v>4027</v>
      </c>
      <c r="U113" s="36">
        <f t="shared" si="116"/>
        <v>6454.3738119432364</v>
      </c>
      <c r="V113" s="74">
        <f t="shared" si="93"/>
        <v>56720</v>
      </c>
      <c r="W113" s="36">
        <f t="shared" si="94"/>
        <v>1.0597930294467752</v>
      </c>
      <c r="X113" s="1136"/>
      <c r="Y113" s="49">
        <f t="shared" si="122"/>
        <v>725</v>
      </c>
      <c r="Z113" s="50"/>
      <c r="AA113" s="50">
        <v>653</v>
      </c>
      <c r="AB113" s="50">
        <f t="shared" si="81"/>
        <v>72</v>
      </c>
      <c r="AC113" s="51">
        <f t="shared" si="117"/>
        <v>0.11539978009930792</v>
      </c>
      <c r="AD113" s="50">
        <f t="shared" si="95"/>
        <v>5781</v>
      </c>
      <c r="AE113" s="51">
        <f t="shared" si="82"/>
        <v>0.10801592918250719</v>
      </c>
      <c r="AF113" s="1047"/>
      <c r="AG113" s="40">
        <f t="shared" si="123"/>
        <v>1193</v>
      </c>
      <c r="AH113" s="41"/>
      <c r="AI113" s="41">
        <v>1153</v>
      </c>
      <c r="AJ113" s="41">
        <f t="shared" si="111"/>
        <v>40</v>
      </c>
      <c r="AK113" s="42">
        <f t="shared" si="118"/>
        <v>64.110988944059955</v>
      </c>
      <c r="AL113" s="41">
        <f t="shared" si="106"/>
        <v>3322</v>
      </c>
      <c r="AM113" s="42">
        <f t="shared" si="96"/>
        <v>6.207038864284533E-2</v>
      </c>
      <c r="AN113" s="1058"/>
      <c r="AO113" s="220">
        <v>6.65</v>
      </c>
      <c r="AP113" s="67">
        <v>24</v>
      </c>
      <c r="AQ113" s="68">
        <f t="shared" si="101"/>
        <v>79.329180000000008</v>
      </c>
      <c r="AR113" s="68">
        <f t="shared" si="114"/>
        <v>12.165634067194622</v>
      </c>
      <c r="AS113" s="69">
        <f t="shared" si="107"/>
        <v>6335.5981199999997</v>
      </c>
      <c r="AT113" s="140">
        <f t="shared" si="83"/>
        <v>10.33590481975069</v>
      </c>
      <c r="AU113" s="1073"/>
      <c r="AV113" s="70">
        <v>3.4</v>
      </c>
      <c r="AW113" s="71">
        <v>12</v>
      </c>
      <c r="AX113" s="72">
        <f t="shared" si="102"/>
        <v>21.082584000000001</v>
      </c>
      <c r="AY113" s="72">
        <f t="shared" si="127"/>
        <v>3.2331482833289367</v>
      </c>
      <c r="AZ113" s="73">
        <f t="shared" si="108"/>
        <v>1947.3486780000003</v>
      </c>
      <c r="BA113" s="192">
        <f t="shared" si="84"/>
        <v>3.1769077213305534</v>
      </c>
      <c r="BB113" s="1075"/>
      <c r="BC113" s="90">
        <f t="shared" si="119"/>
        <v>20019</v>
      </c>
      <c r="BD113" s="59"/>
      <c r="BE113" s="56">
        <v>20019</v>
      </c>
      <c r="BF113" s="56">
        <f t="shared" si="103"/>
        <v>0</v>
      </c>
      <c r="BG113" s="58">
        <f t="shared" si="97"/>
        <v>43993</v>
      </c>
      <c r="BH113" s="58">
        <f t="shared" si="85"/>
        <v>71.770249962649473</v>
      </c>
      <c r="BI113" s="1140"/>
      <c r="BJ113" s="63">
        <f t="shared" si="124"/>
        <v>1250</v>
      </c>
      <c r="BK113" s="64"/>
      <c r="BL113" s="64">
        <v>1250</v>
      </c>
      <c r="BM113" s="64">
        <f t="shared" si="98"/>
        <v>0</v>
      </c>
      <c r="BN113" s="65"/>
      <c r="BO113" s="64">
        <f t="shared" si="99"/>
        <v>10650</v>
      </c>
      <c r="BP113" s="65">
        <f t="shared" si="100"/>
        <v>0.19899146268702672</v>
      </c>
      <c r="BQ113" s="1071"/>
      <c r="BR113" s="77">
        <f t="shared" si="125"/>
        <v>36447</v>
      </c>
      <c r="BS113" s="35"/>
      <c r="BT113" s="35">
        <v>35503</v>
      </c>
      <c r="BU113" s="74">
        <f t="shared" si="112"/>
        <v>944</v>
      </c>
      <c r="BV113" s="74">
        <f t="shared" si="113"/>
        <v>269278</v>
      </c>
      <c r="BW113" s="74">
        <f t="shared" si="86"/>
        <v>439.30055621217753</v>
      </c>
      <c r="BX113" s="1098"/>
      <c r="BY113" s="295">
        <f t="shared" si="126"/>
        <v>430</v>
      </c>
      <c r="BZ113" s="296">
        <v>2300</v>
      </c>
      <c r="CA113" s="296">
        <v>1900</v>
      </c>
      <c r="CB113" s="296">
        <f t="shared" si="87"/>
        <v>830</v>
      </c>
      <c r="CC113" s="297"/>
      <c r="CD113" s="296">
        <f t="shared" si="109"/>
        <v>26850</v>
      </c>
      <c r="CE113" s="297">
        <f t="shared" si="88"/>
        <v>0.50168270170391249</v>
      </c>
      <c r="CF113" s="1061"/>
    </row>
    <row r="114" spans="1:84">
      <c r="A114" s="30">
        <v>44427</v>
      </c>
      <c r="B114" s="32">
        <v>636.43399999999997</v>
      </c>
      <c r="C114" s="842">
        <f t="shared" si="104"/>
        <v>54156.318000000007</v>
      </c>
      <c r="D114" s="851">
        <v>6602.32</v>
      </c>
      <c r="E114" s="843">
        <f t="shared" si="120"/>
        <v>619572.17899999989</v>
      </c>
      <c r="F114" s="243">
        <f t="shared" si="121"/>
        <v>3000</v>
      </c>
      <c r="G114" s="240"/>
      <c r="H114" s="280"/>
      <c r="I114" s="240">
        <v>3000</v>
      </c>
      <c r="J114" s="240">
        <f t="shared" si="89"/>
        <v>0</v>
      </c>
      <c r="K114" s="280">
        <f t="shared" si="115"/>
        <v>0</v>
      </c>
      <c r="L114" s="240">
        <f t="shared" si="110"/>
        <v>1767571</v>
      </c>
      <c r="M114" s="280">
        <f t="shared" si="90"/>
        <v>32638.315625519441</v>
      </c>
      <c r="N114" s="280">
        <f t="shared" si="91"/>
        <v>3996.3653269890342</v>
      </c>
      <c r="O114" s="1089"/>
      <c r="P114" s="1084"/>
      <c r="Q114" s="77">
        <f t="shared" si="92"/>
        <v>29694</v>
      </c>
      <c r="R114" s="35"/>
      <c r="S114" s="35">
        <v>26700</v>
      </c>
      <c r="T114" s="35">
        <f t="shared" si="80"/>
        <v>2994</v>
      </c>
      <c r="U114" s="36">
        <f t="shared" si="116"/>
        <v>4704.3369775970486</v>
      </c>
      <c r="V114" s="74">
        <f t="shared" si="93"/>
        <v>59714</v>
      </c>
      <c r="W114" s="36">
        <f t="shared" si="94"/>
        <v>1.1026229663545442</v>
      </c>
      <c r="X114" s="1136"/>
      <c r="Y114" s="49">
        <f t="shared" si="122"/>
        <v>653</v>
      </c>
      <c r="Z114" s="50"/>
      <c r="AA114" s="50">
        <v>599</v>
      </c>
      <c r="AB114" s="50">
        <f t="shared" si="81"/>
        <v>54</v>
      </c>
      <c r="AC114" s="51">
        <f t="shared" si="117"/>
        <v>8.4847761118984844E-2</v>
      </c>
      <c r="AD114" s="50">
        <f t="shared" si="95"/>
        <v>5835</v>
      </c>
      <c r="AE114" s="51">
        <f t="shared" si="82"/>
        <v>0.10774366159826448</v>
      </c>
      <c r="AF114" s="1047"/>
      <c r="AG114" s="40">
        <f t="shared" si="123"/>
        <v>1153</v>
      </c>
      <c r="AH114" s="41"/>
      <c r="AI114" s="41">
        <v>1115</v>
      </c>
      <c r="AJ114" s="41">
        <f t="shared" si="111"/>
        <v>38</v>
      </c>
      <c r="AK114" s="42">
        <f t="shared" si="118"/>
        <v>59.707683750396747</v>
      </c>
      <c r="AL114" s="41">
        <f t="shared" si="106"/>
        <v>3360</v>
      </c>
      <c r="AM114" s="42">
        <f t="shared" si="96"/>
        <v>6.2042622616995481E-2</v>
      </c>
      <c r="AN114" s="1058"/>
      <c r="AO114" s="220">
        <v>5.7</v>
      </c>
      <c r="AP114" s="67">
        <v>24</v>
      </c>
      <c r="AQ114" s="68">
        <f t="shared" si="101"/>
        <v>67.996440000000007</v>
      </c>
      <c r="AR114" s="68">
        <f t="shared" si="114"/>
        <v>10.298870699996366</v>
      </c>
      <c r="AS114" s="69">
        <f t="shared" si="107"/>
        <v>6403.5945599999995</v>
      </c>
      <c r="AT114" s="140">
        <f t="shared" si="83"/>
        <v>10.335510174674903</v>
      </c>
      <c r="AU114" s="1073"/>
      <c r="AV114" s="70">
        <v>4.25</v>
      </c>
      <c r="AW114" s="71">
        <v>12</v>
      </c>
      <c r="AX114" s="72">
        <f t="shared" si="102"/>
        <v>26.35323</v>
      </c>
      <c r="AY114" s="72">
        <f t="shared" si="127"/>
        <v>3.9915105599243903</v>
      </c>
      <c r="AZ114" s="73">
        <f t="shared" si="108"/>
        <v>1973.7019080000002</v>
      </c>
      <c r="BA114" s="192">
        <f t="shared" si="84"/>
        <v>3.1855883380457608</v>
      </c>
      <c r="BB114" s="1075"/>
      <c r="BC114" s="90">
        <f t="shared" si="119"/>
        <v>20019</v>
      </c>
      <c r="BD114" s="59"/>
      <c r="BE114" s="56">
        <v>20019</v>
      </c>
      <c r="BF114" s="56">
        <f t="shared" si="103"/>
        <v>0</v>
      </c>
      <c r="BG114" s="58">
        <f t="shared" si="97"/>
        <v>43993</v>
      </c>
      <c r="BH114" s="58">
        <f t="shared" si="85"/>
        <v>71.005447776892524</v>
      </c>
      <c r="BI114" s="1140"/>
      <c r="BJ114" s="63">
        <f t="shared" si="124"/>
        <v>1250</v>
      </c>
      <c r="BK114" s="64"/>
      <c r="BL114" s="64">
        <v>1250</v>
      </c>
      <c r="BM114" s="64">
        <f t="shared" si="98"/>
        <v>0</v>
      </c>
      <c r="BN114" s="65"/>
      <c r="BO114" s="64">
        <f t="shared" si="99"/>
        <v>10650</v>
      </c>
      <c r="BP114" s="65">
        <f t="shared" si="100"/>
        <v>0.19665295561636961</v>
      </c>
      <c r="BQ114" s="1071"/>
      <c r="BR114" s="77">
        <f t="shared" si="125"/>
        <v>35503</v>
      </c>
      <c r="BS114" s="35"/>
      <c r="BT114" s="35">
        <v>30291</v>
      </c>
      <c r="BU114" s="74">
        <f t="shared" si="112"/>
        <v>5212</v>
      </c>
      <c r="BV114" s="74">
        <f t="shared" si="113"/>
        <v>274490</v>
      </c>
      <c r="BW114" s="74">
        <f t="shared" si="86"/>
        <v>443.03151320162817</v>
      </c>
      <c r="BX114" s="1098"/>
      <c r="BY114" s="295">
        <f t="shared" si="126"/>
        <v>1900</v>
      </c>
      <c r="BZ114" s="296"/>
      <c r="CA114" s="296">
        <v>1550</v>
      </c>
      <c r="CB114" s="296">
        <f t="shared" si="87"/>
        <v>350</v>
      </c>
      <c r="CC114" s="297"/>
      <c r="CD114" s="296">
        <f t="shared" si="109"/>
        <v>27200</v>
      </c>
      <c r="CE114" s="297">
        <f t="shared" si="88"/>
        <v>0.50224980213758252</v>
      </c>
      <c r="CF114" s="1061"/>
    </row>
    <row r="115" spans="1:84">
      <c r="A115" s="30">
        <v>44428</v>
      </c>
      <c r="B115" s="32">
        <v>536.78499999999997</v>
      </c>
      <c r="C115" s="842">
        <f t="shared" si="104"/>
        <v>54693.10300000001</v>
      </c>
      <c r="D115" s="851">
        <v>5489.44</v>
      </c>
      <c r="E115" s="843">
        <f t="shared" si="120"/>
        <v>625061.61899999983</v>
      </c>
      <c r="F115" s="243">
        <f t="shared" si="121"/>
        <v>3000</v>
      </c>
      <c r="G115" s="240"/>
      <c r="H115" s="280"/>
      <c r="I115" s="240">
        <v>3000</v>
      </c>
      <c r="J115" s="240">
        <f t="shared" si="89"/>
        <v>0</v>
      </c>
      <c r="K115" s="280">
        <f t="shared" si="115"/>
        <v>0</v>
      </c>
      <c r="L115" s="240">
        <f t="shared" si="110"/>
        <v>1767571</v>
      </c>
      <c r="M115" s="280">
        <f t="shared" si="90"/>
        <v>32317.987150957582</v>
      </c>
      <c r="N115" s="280">
        <f t="shared" si="91"/>
        <v>3957.1430330546814</v>
      </c>
      <c r="O115" s="1089"/>
      <c r="P115" s="1084"/>
      <c r="Q115" s="77">
        <f t="shared" si="92"/>
        <v>26700</v>
      </c>
      <c r="R115" s="35"/>
      <c r="S115" s="35">
        <v>23021</v>
      </c>
      <c r="T115" s="35">
        <f t="shared" si="80"/>
        <v>3679</v>
      </c>
      <c r="U115" s="36">
        <f t="shared" si="116"/>
        <v>6853.7682684873835</v>
      </c>
      <c r="V115" s="74">
        <f t="shared" si="93"/>
        <v>63393</v>
      </c>
      <c r="W115" s="36">
        <f t="shared" si="94"/>
        <v>1.1590675336157099</v>
      </c>
      <c r="X115" s="1136"/>
      <c r="Y115" s="49">
        <f t="shared" si="122"/>
        <v>599</v>
      </c>
      <c r="Z115" s="50"/>
      <c r="AA115" s="50">
        <v>599</v>
      </c>
      <c r="AB115" s="50">
        <f t="shared" si="81"/>
        <v>0</v>
      </c>
      <c r="AC115" s="51">
        <f t="shared" si="117"/>
        <v>0</v>
      </c>
      <c r="AD115" s="50">
        <f t="shared" si="95"/>
        <v>5835</v>
      </c>
      <c r="AE115" s="51">
        <f t="shared" si="82"/>
        <v>0.10668621233649879</v>
      </c>
      <c r="AF115" s="1047"/>
      <c r="AG115" s="40">
        <f t="shared" si="123"/>
        <v>1115</v>
      </c>
      <c r="AH115" s="41"/>
      <c r="AI115" s="41">
        <v>1081</v>
      </c>
      <c r="AJ115" s="41">
        <f t="shared" si="111"/>
        <v>34</v>
      </c>
      <c r="AK115" s="42">
        <f t="shared" si="118"/>
        <v>63.340070978138364</v>
      </c>
      <c r="AL115" s="41">
        <f t="shared" si="106"/>
        <v>3394</v>
      </c>
      <c r="AM115" s="42">
        <f t="shared" si="96"/>
        <v>6.2055356413038026E-2</v>
      </c>
      <c r="AN115" s="1058"/>
      <c r="AO115" s="220">
        <v>6.45</v>
      </c>
      <c r="AP115" s="67">
        <v>24</v>
      </c>
      <c r="AQ115" s="68">
        <f t="shared" si="101"/>
        <v>76.943340000000006</v>
      </c>
      <c r="AR115" s="68">
        <f t="shared" si="114"/>
        <v>14.016610073158649</v>
      </c>
      <c r="AS115" s="69">
        <f t="shared" si="107"/>
        <v>6480.5378999999994</v>
      </c>
      <c r="AT115" s="140">
        <f t="shared" si="83"/>
        <v>10.367838470658045</v>
      </c>
      <c r="AU115" s="1073"/>
      <c r="AV115" s="70">
        <v>3.15</v>
      </c>
      <c r="AW115" s="71">
        <v>12</v>
      </c>
      <c r="AX115" s="72">
        <f t="shared" si="102"/>
        <v>19.532394</v>
      </c>
      <c r="AY115" s="72">
        <f t="shared" si="127"/>
        <v>3.5581760616747795</v>
      </c>
      <c r="AZ115" s="73">
        <f t="shared" si="108"/>
        <v>1993.2343020000003</v>
      </c>
      <c r="BA115" s="192">
        <f t="shared" si="84"/>
        <v>3.1888604921685344</v>
      </c>
      <c r="BB115" s="1075"/>
      <c r="BC115" s="90">
        <f t="shared" si="119"/>
        <v>20019</v>
      </c>
      <c r="BD115" s="59"/>
      <c r="BE115" s="56">
        <v>20019</v>
      </c>
      <c r="BF115" s="56">
        <f t="shared" si="103"/>
        <v>0</v>
      </c>
      <c r="BG115" s="58">
        <f t="shared" si="97"/>
        <v>43993</v>
      </c>
      <c r="BH115" s="58">
        <f t="shared" si="85"/>
        <v>70.381861024168899</v>
      </c>
      <c r="BI115" s="1140"/>
      <c r="BJ115" s="63">
        <f t="shared" si="124"/>
        <v>1250</v>
      </c>
      <c r="BK115" s="64"/>
      <c r="BL115" s="64">
        <v>1250</v>
      </c>
      <c r="BM115" s="64">
        <f t="shared" si="98"/>
        <v>0</v>
      </c>
      <c r="BN115" s="65"/>
      <c r="BO115" s="64">
        <f t="shared" si="99"/>
        <v>10650</v>
      </c>
      <c r="BP115" s="65">
        <f t="shared" si="100"/>
        <v>0.19472290683525487</v>
      </c>
      <c r="BQ115" s="1071"/>
      <c r="BR115" s="77">
        <f t="shared" si="125"/>
        <v>30291</v>
      </c>
      <c r="BS115" s="35">
        <v>46880</v>
      </c>
      <c r="BT115" s="35">
        <v>73976</v>
      </c>
      <c r="BU115" s="74">
        <f t="shared" si="112"/>
        <v>3195</v>
      </c>
      <c r="BV115" s="74">
        <f t="shared" si="113"/>
        <v>277685</v>
      </c>
      <c r="BW115" s="74">
        <f t="shared" si="86"/>
        <v>444.25220099780284</v>
      </c>
      <c r="BX115" s="1098"/>
      <c r="BY115" s="295">
        <f t="shared" si="126"/>
        <v>1550</v>
      </c>
      <c r="BZ115" s="296"/>
      <c r="CA115" s="296">
        <v>1550</v>
      </c>
      <c r="CB115" s="296">
        <f t="shared" si="87"/>
        <v>0</v>
      </c>
      <c r="CC115" s="297"/>
      <c r="CD115" s="296">
        <f t="shared" si="109"/>
        <v>27200</v>
      </c>
      <c r="CE115" s="297">
        <f t="shared" si="88"/>
        <v>0.4973204756731392</v>
      </c>
      <c r="CF115" s="1061"/>
    </row>
    <row r="116" spans="1:84">
      <c r="A116" s="30">
        <v>44429</v>
      </c>
      <c r="B116" s="32">
        <v>654.42899999999997</v>
      </c>
      <c r="C116" s="842">
        <f t="shared" si="104"/>
        <v>55347.532000000007</v>
      </c>
      <c r="D116" s="851">
        <v>6622.46</v>
      </c>
      <c r="E116" s="843">
        <f t="shared" si="120"/>
        <v>631684.07899999979</v>
      </c>
      <c r="F116" s="243">
        <f t="shared" si="121"/>
        <v>3000</v>
      </c>
      <c r="G116" s="240">
        <v>46000</v>
      </c>
      <c r="H116" s="280">
        <v>13.77</v>
      </c>
      <c r="I116" s="240">
        <v>45600</v>
      </c>
      <c r="J116" s="240">
        <f t="shared" si="89"/>
        <v>3400</v>
      </c>
      <c r="K116" s="280">
        <f t="shared" si="115"/>
        <v>5195.3687871411566</v>
      </c>
      <c r="L116" s="240">
        <f t="shared" si="110"/>
        <v>1770971</v>
      </c>
      <c r="M116" s="280">
        <f t="shared" si="90"/>
        <v>31997.289418433324</v>
      </c>
      <c r="N116" s="280">
        <f t="shared" si="91"/>
        <v>3917.8755257050721</v>
      </c>
      <c r="O116" s="1089"/>
      <c r="P116" s="1084"/>
      <c r="Q116" s="77">
        <f t="shared" si="92"/>
        <v>23021</v>
      </c>
      <c r="R116" s="35"/>
      <c r="S116" s="35">
        <v>20928</v>
      </c>
      <c r="T116" s="35">
        <f t="shared" si="80"/>
        <v>2093</v>
      </c>
      <c r="U116" s="36">
        <f t="shared" si="116"/>
        <v>3198.2079033783652</v>
      </c>
      <c r="V116" s="74">
        <f t="shared" si="93"/>
        <v>65486</v>
      </c>
      <c r="W116" s="36">
        <f t="shared" si="94"/>
        <v>1.1831783213025648</v>
      </c>
      <c r="X116" s="1136"/>
      <c r="Y116" s="49">
        <f t="shared" si="122"/>
        <v>599</v>
      </c>
      <c r="Z116" s="50"/>
      <c r="AA116" s="50">
        <v>599</v>
      </c>
      <c r="AB116" s="50">
        <f t="shared" si="81"/>
        <v>0</v>
      </c>
      <c r="AC116" s="51">
        <f t="shared" si="117"/>
        <v>0</v>
      </c>
      <c r="AD116" s="50">
        <f t="shared" si="95"/>
        <v>5835</v>
      </c>
      <c r="AE116" s="51">
        <f t="shared" si="82"/>
        <v>0.10542475498275153</v>
      </c>
      <c r="AF116" s="1047"/>
      <c r="AG116" s="40">
        <f t="shared" si="123"/>
        <v>1081</v>
      </c>
      <c r="AH116" s="41"/>
      <c r="AI116" s="41">
        <v>1062</v>
      </c>
      <c r="AJ116" s="41">
        <f t="shared" si="111"/>
        <v>19</v>
      </c>
      <c r="AK116" s="42">
        <f t="shared" si="118"/>
        <v>29.032943222259405</v>
      </c>
      <c r="AL116" s="41">
        <f t="shared" si="106"/>
        <v>3413</v>
      </c>
      <c r="AM116" s="42">
        <f t="shared" si="96"/>
        <v>6.1664899529756803E-2</v>
      </c>
      <c r="AN116" s="1058"/>
      <c r="AO116" s="220">
        <v>6.35</v>
      </c>
      <c r="AP116" s="67">
        <v>24</v>
      </c>
      <c r="AQ116" s="68">
        <f t="shared" si="101"/>
        <v>75.750419999999991</v>
      </c>
      <c r="AR116" s="68">
        <f t="shared" si="114"/>
        <v>11.438411104030829</v>
      </c>
      <c r="AS116" s="69">
        <f t="shared" si="107"/>
        <v>6556.2883199999997</v>
      </c>
      <c r="AT116" s="140">
        <f t="shared" si="83"/>
        <v>10.379062157746739</v>
      </c>
      <c r="AU116" s="1073"/>
      <c r="AV116" s="70">
        <v>3.15</v>
      </c>
      <c r="AW116" s="71">
        <v>12</v>
      </c>
      <c r="AX116" s="72">
        <f t="shared" si="102"/>
        <v>19.532394</v>
      </c>
      <c r="AY116" s="72">
        <f t="shared" si="127"/>
        <v>2.9494166820184646</v>
      </c>
      <c r="AZ116" s="73">
        <f t="shared" si="108"/>
        <v>2012.7666960000004</v>
      </c>
      <c r="BA116" s="192">
        <f t="shared" si="84"/>
        <v>3.1863502071895673</v>
      </c>
      <c r="BB116" s="1075"/>
      <c r="BC116" s="90">
        <f t="shared" si="119"/>
        <v>20019</v>
      </c>
      <c r="BD116" s="59"/>
      <c r="BE116" s="56">
        <v>20019</v>
      </c>
      <c r="BF116" s="56">
        <f t="shared" si="103"/>
        <v>0</v>
      </c>
      <c r="BG116" s="58">
        <f t="shared" si="97"/>
        <v>43993</v>
      </c>
      <c r="BH116" s="58">
        <f t="shared" si="85"/>
        <v>69.643990504943559</v>
      </c>
      <c r="BI116" s="1140"/>
      <c r="BJ116" s="63">
        <f t="shared" si="124"/>
        <v>1250</v>
      </c>
      <c r="BK116" s="64"/>
      <c r="BL116" s="64">
        <v>1250</v>
      </c>
      <c r="BM116" s="64">
        <f t="shared" si="98"/>
        <v>0</v>
      </c>
      <c r="BN116" s="65"/>
      <c r="BO116" s="64">
        <f t="shared" si="99"/>
        <v>10650</v>
      </c>
      <c r="BP116" s="65">
        <f t="shared" si="100"/>
        <v>0.19242050395309404</v>
      </c>
      <c r="BQ116" s="1071"/>
      <c r="BR116" s="77">
        <f t="shared" si="125"/>
        <v>73976</v>
      </c>
      <c r="BS116" s="35"/>
      <c r="BT116" s="35">
        <v>68679</v>
      </c>
      <c r="BU116" s="74">
        <f t="shared" si="112"/>
        <v>5297</v>
      </c>
      <c r="BV116" s="74">
        <f t="shared" si="113"/>
        <v>282982</v>
      </c>
      <c r="BW116" s="74">
        <f t="shared" si="86"/>
        <v>447.98026324801532</v>
      </c>
      <c r="BX116" s="1098"/>
      <c r="BY116" s="295">
        <f t="shared" si="126"/>
        <v>1550</v>
      </c>
      <c r="BZ116" s="296"/>
      <c r="CA116" s="296">
        <v>1550</v>
      </c>
      <c r="CB116" s="296">
        <f t="shared" si="87"/>
        <v>0</v>
      </c>
      <c r="CC116" s="297"/>
      <c r="CD116" s="296">
        <f t="shared" si="109"/>
        <v>27200</v>
      </c>
      <c r="CE116" s="297">
        <f t="shared" si="88"/>
        <v>0.49144016033090682</v>
      </c>
      <c r="CF116" s="1061"/>
    </row>
    <row r="117" spans="1:84">
      <c r="A117" s="30">
        <v>44430</v>
      </c>
      <c r="B117" s="32">
        <v>648.274</v>
      </c>
      <c r="C117" s="842">
        <f t="shared" si="104"/>
        <v>55995.806000000004</v>
      </c>
      <c r="D117" s="851">
        <v>6443.28</v>
      </c>
      <c r="E117" s="843">
        <f t="shared" si="120"/>
        <v>638127.35899999982</v>
      </c>
      <c r="F117" s="243">
        <f t="shared" si="121"/>
        <v>45600</v>
      </c>
      <c r="G117" s="240"/>
      <c r="H117" s="280"/>
      <c r="I117" s="240">
        <v>45600</v>
      </c>
      <c r="J117" s="240">
        <f t="shared" si="89"/>
        <v>0</v>
      </c>
      <c r="K117" s="280">
        <f t="shared" si="115"/>
        <v>0</v>
      </c>
      <c r="L117" s="240">
        <f t="shared" si="110"/>
        <v>1770971</v>
      </c>
      <c r="M117" s="280">
        <f t="shared" si="90"/>
        <v>31626.850768073593</v>
      </c>
      <c r="N117" s="280">
        <f t="shared" si="91"/>
        <v>3872.5175423134069</v>
      </c>
      <c r="O117" s="1089"/>
      <c r="P117" s="1084"/>
      <c r="Q117" s="77">
        <f t="shared" si="92"/>
        <v>20928</v>
      </c>
      <c r="R117" s="35"/>
      <c r="S117" s="35">
        <v>17345</v>
      </c>
      <c r="T117" s="35">
        <f t="shared" si="80"/>
        <v>3583</v>
      </c>
      <c r="U117" s="36">
        <f t="shared" si="116"/>
        <v>5526.9839604858444</v>
      </c>
      <c r="V117" s="74">
        <f t="shared" si="93"/>
        <v>69069</v>
      </c>
      <c r="W117" s="36">
        <f t="shared" si="94"/>
        <v>1.2334673778961232</v>
      </c>
      <c r="X117" s="1136"/>
      <c r="Y117" s="49">
        <f t="shared" si="122"/>
        <v>599</v>
      </c>
      <c r="Z117" s="50"/>
      <c r="AA117" s="50">
        <v>510</v>
      </c>
      <c r="AB117" s="50">
        <f t="shared" si="81"/>
        <v>89</v>
      </c>
      <c r="AC117" s="51">
        <f t="shared" si="117"/>
        <v>0.13728762837935812</v>
      </c>
      <c r="AD117" s="50">
        <f t="shared" si="95"/>
        <v>5924</v>
      </c>
      <c r="AE117" s="51">
        <f t="shared" si="82"/>
        <v>0.1057936374734922</v>
      </c>
      <c r="AF117" s="1047"/>
      <c r="AG117" s="40">
        <f t="shared" si="123"/>
        <v>1062</v>
      </c>
      <c r="AH117" s="41"/>
      <c r="AI117" s="41">
        <v>1023</v>
      </c>
      <c r="AJ117" s="41">
        <f t="shared" si="111"/>
        <v>39</v>
      </c>
      <c r="AK117" s="42">
        <f t="shared" si="118"/>
        <v>60.159747267359172</v>
      </c>
      <c r="AL117" s="41">
        <f t="shared" si="106"/>
        <v>3452</v>
      </c>
      <c r="AM117" s="42">
        <f t="shared" si="96"/>
        <v>6.1647474098327999E-2</v>
      </c>
      <c r="AN117" s="1058"/>
      <c r="AO117" s="220">
        <v>6.4</v>
      </c>
      <c r="AP117" s="67">
        <v>24</v>
      </c>
      <c r="AQ117" s="68">
        <f t="shared" si="101"/>
        <v>76.346880000000013</v>
      </c>
      <c r="AR117" s="68">
        <f t="shared" si="114"/>
        <v>11.849070659664026</v>
      </c>
      <c r="AS117" s="69">
        <f t="shared" si="107"/>
        <v>6632.6351999999997</v>
      </c>
      <c r="AT117" s="140">
        <f t="shared" si="83"/>
        <v>10.393905082511909</v>
      </c>
      <c r="AU117" s="1073"/>
      <c r="AV117" s="70">
        <v>3.9</v>
      </c>
      <c r="AW117" s="71">
        <v>12</v>
      </c>
      <c r="AX117" s="72">
        <f t="shared" si="102"/>
        <v>24.182963999999998</v>
      </c>
      <c r="AY117" s="72">
        <f t="shared" si="127"/>
        <v>3.7532070622415912</v>
      </c>
      <c r="AZ117" s="73">
        <f t="shared" si="108"/>
        <v>2036.9496600000004</v>
      </c>
      <c r="BA117" s="192">
        <f t="shared" si="84"/>
        <v>3.1920738568427387</v>
      </c>
      <c r="BB117" s="1075"/>
      <c r="BC117" s="90">
        <f t="shared" si="119"/>
        <v>20019</v>
      </c>
      <c r="BD117" s="59"/>
      <c r="BE117" s="56">
        <v>20019</v>
      </c>
      <c r="BF117" s="56">
        <f t="shared" si="103"/>
        <v>0</v>
      </c>
      <c r="BG117" s="58">
        <f t="shared" si="97"/>
        <v>43993</v>
      </c>
      <c r="BH117" s="58">
        <f t="shared" si="85"/>
        <v>68.940783339772167</v>
      </c>
      <c r="BI117" s="1140"/>
      <c r="BJ117" s="63">
        <f t="shared" si="124"/>
        <v>1250</v>
      </c>
      <c r="BK117" s="64"/>
      <c r="BL117" s="64">
        <v>1250</v>
      </c>
      <c r="BM117" s="64">
        <f t="shared" si="98"/>
        <v>0</v>
      </c>
      <c r="BN117" s="65"/>
      <c r="BO117" s="64">
        <f t="shared" si="99"/>
        <v>10650</v>
      </c>
      <c r="BP117" s="65">
        <f t="shared" si="100"/>
        <v>0.19019281551193315</v>
      </c>
      <c r="BQ117" s="1071"/>
      <c r="BR117" s="77">
        <f t="shared" si="125"/>
        <v>68679</v>
      </c>
      <c r="BS117" s="35"/>
      <c r="BT117" s="35">
        <v>65903</v>
      </c>
      <c r="BU117" s="74">
        <f t="shared" si="112"/>
        <v>2776</v>
      </c>
      <c r="BV117" s="74">
        <f t="shared" si="113"/>
        <v>285758</v>
      </c>
      <c r="BW117" s="74">
        <f t="shared" si="86"/>
        <v>447.80715944824436</v>
      </c>
      <c r="BX117" s="1098"/>
      <c r="BY117" s="295">
        <f t="shared" si="126"/>
        <v>1550</v>
      </c>
      <c r="BZ117" s="296"/>
      <c r="CA117" s="296">
        <v>1150</v>
      </c>
      <c r="CB117" s="296">
        <f t="shared" si="87"/>
        <v>400</v>
      </c>
      <c r="CC117" s="297"/>
      <c r="CD117" s="296">
        <f t="shared" si="109"/>
        <v>27600</v>
      </c>
      <c r="CE117" s="297">
        <f t="shared" si="88"/>
        <v>0.49289405710134787</v>
      </c>
      <c r="CF117" s="1061"/>
    </row>
    <row r="118" spans="1:84">
      <c r="A118" s="30">
        <v>44431</v>
      </c>
      <c r="B118" s="32">
        <v>637.49300000000005</v>
      </c>
      <c r="C118" s="842">
        <f t="shared" si="104"/>
        <v>56633.299000000006</v>
      </c>
      <c r="D118" s="851">
        <v>6465.66</v>
      </c>
      <c r="E118" s="843">
        <f t="shared" si="120"/>
        <v>644593.01899999985</v>
      </c>
      <c r="F118" s="243">
        <f t="shared" si="121"/>
        <v>45600</v>
      </c>
      <c r="G118" s="240"/>
      <c r="H118" s="280"/>
      <c r="I118" s="240">
        <v>45600</v>
      </c>
      <c r="J118" s="240">
        <f t="shared" si="89"/>
        <v>0</v>
      </c>
      <c r="K118" s="280">
        <f t="shared" si="115"/>
        <v>0</v>
      </c>
      <c r="L118" s="240">
        <f t="shared" si="110"/>
        <v>1770971</v>
      </c>
      <c r="M118" s="280">
        <f t="shared" si="90"/>
        <v>31270.842971729402</v>
      </c>
      <c r="N118" s="280">
        <f t="shared" si="91"/>
        <v>3828.9265301493087</v>
      </c>
      <c r="O118" s="1089"/>
      <c r="P118" s="1084"/>
      <c r="Q118" s="77">
        <f t="shared" si="92"/>
        <v>17345</v>
      </c>
      <c r="R118" s="35"/>
      <c r="S118" s="35">
        <v>13421</v>
      </c>
      <c r="T118" s="35">
        <f t="shared" si="80"/>
        <v>3924</v>
      </c>
      <c r="U118" s="36">
        <f t="shared" si="116"/>
        <v>6155.361705932457</v>
      </c>
      <c r="V118" s="74">
        <f t="shared" si="93"/>
        <v>72993</v>
      </c>
      <c r="W118" s="36">
        <f t="shared" si="94"/>
        <v>1.2888707048480434</v>
      </c>
      <c r="X118" s="1136"/>
      <c r="Y118" s="49">
        <f t="shared" si="122"/>
        <v>510</v>
      </c>
      <c r="Z118" s="50"/>
      <c r="AA118" s="50">
        <v>458</v>
      </c>
      <c r="AB118" s="50">
        <f t="shared" si="81"/>
        <v>52</v>
      </c>
      <c r="AC118" s="51">
        <f t="shared" si="117"/>
        <v>8.1569523116332254E-2</v>
      </c>
      <c r="AD118" s="50">
        <f t="shared" si="95"/>
        <v>5976</v>
      </c>
      <c r="AE118" s="51">
        <f t="shared" si="82"/>
        <v>0.10552095861482481</v>
      </c>
      <c r="AF118" s="1047"/>
      <c r="AG118" s="40">
        <f t="shared" si="123"/>
        <v>1023</v>
      </c>
      <c r="AH118" s="41"/>
      <c r="AI118" s="41">
        <v>984</v>
      </c>
      <c r="AJ118" s="41">
        <f t="shared" si="111"/>
        <v>39</v>
      </c>
      <c r="AK118" s="42">
        <f t="shared" si="118"/>
        <v>61.177142337249187</v>
      </c>
      <c r="AL118" s="41">
        <f t="shared" si="106"/>
        <v>3491</v>
      </c>
      <c r="AM118" s="42">
        <f t="shared" si="96"/>
        <v>6.1642179806618708E-2</v>
      </c>
      <c r="AN118" s="1058"/>
      <c r="AO118" s="220">
        <v>6.6</v>
      </c>
      <c r="AP118" s="67">
        <v>24</v>
      </c>
      <c r="AQ118" s="68">
        <f t="shared" si="101"/>
        <v>78.732719999999986</v>
      </c>
      <c r="AR118" s="68">
        <f t="shared" si="114"/>
        <v>12.177058490548527</v>
      </c>
      <c r="AS118" s="69">
        <f t="shared" si="107"/>
        <v>6711.3679199999997</v>
      </c>
      <c r="AT118" s="140">
        <f t="shared" si="83"/>
        <v>10.411791195647437</v>
      </c>
      <c r="AU118" s="1073"/>
      <c r="AV118" s="70">
        <v>3.5</v>
      </c>
      <c r="AW118" s="71">
        <v>12</v>
      </c>
      <c r="AX118" s="72">
        <f t="shared" si="102"/>
        <v>21.702660000000002</v>
      </c>
      <c r="AY118" s="72">
        <f t="shared" si="127"/>
        <v>3.3566039661844269</v>
      </c>
      <c r="AZ118" s="73">
        <f t="shared" si="108"/>
        <v>2058.6523200000006</v>
      </c>
      <c r="BA118" s="192">
        <f t="shared" si="84"/>
        <v>3.1937241939010219</v>
      </c>
      <c r="BB118" s="1075"/>
      <c r="BC118" s="90">
        <f t="shared" si="119"/>
        <v>20019</v>
      </c>
      <c r="BD118" s="59"/>
      <c r="BE118" s="56">
        <v>20019</v>
      </c>
      <c r="BF118" s="56">
        <f t="shared" si="103"/>
        <v>0</v>
      </c>
      <c r="BG118" s="58">
        <f t="shared" si="97"/>
        <v>43993</v>
      </c>
      <c r="BH118" s="58">
        <f t="shared" si="85"/>
        <v>68.249265355447491</v>
      </c>
      <c r="BI118" s="1140"/>
      <c r="BJ118" s="63">
        <f t="shared" si="124"/>
        <v>1250</v>
      </c>
      <c r="BK118" s="64"/>
      <c r="BL118" s="64">
        <v>1000</v>
      </c>
      <c r="BM118" s="64">
        <f t="shared" si="98"/>
        <v>250</v>
      </c>
      <c r="BN118" s="65"/>
      <c r="BO118" s="64">
        <f t="shared" si="99"/>
        <v>10900</v>
      </c>
      <c r="BP118" s="65">
        <f t="shared" si="100"/>
        <v>0.19246627324323803</v>
      </c>
      <c r="BQ118" s="1071"/>
      <c r="BR118" s="77">
        <f t="shared" si="125"/>
        <v>65903</v>
      </c>
      <c r="BS118" s="35"/>
      <c r="BT118" s="35">
        <v>62207</v>
      </c>
      <c r="BU118" s="74">
        <f t="shared" si="112"/>
        <v>3696</v>
      </c>
      <c r="BV118" s="74">
        <f t="shared" si="113"/>
        <v>289454</v>
      </c>
      <c r="BW118" s="74">
        <f t="shared" si="86"/>
        <v>449.04923179132362</v>
      </c>
      <c r="BX118" s="1098"/>
      <c r="BY118" s="295">
        <f t="shared" si="126"/>
        <v>1150</v>
      </c>
      <c r="BZ118" s="296"/>
      <c r="CA118" s="296">
        <v>700</v>
      </c>
      <c r="CB118" s="296">
        <f t="shared" si="87"/>
        <v>450</v>
      </c>
      <c r="CC118" s="297"/>
      <c r="CD118" s="296">
        <f t="shared" si="109"/>
        <v>28050</v>
      </c>
      <c r="CE118" s="297">
        <f t="shared" si="88"/>
        <v>0.49529164811677306</v>
      </c>
      <c r="CF118" s="1061"/>
    </row>
    <row r="119" spans="1:84">
      <c r="A119" s="30">
        <v>44432</v>
      </c>
      <c r="B119" s="32">
        <v>634.524</v>
      </c>
      <c r="C119" s="842">
        <f t="shared" si="104"/>
        <v>57267.823000000004</v>
      </c>
      <c r="D119" s="851">
        <v>6645</v>
      </c>
      <c r="E119" s="843">
        <f t="shared" si="120"/>
        <v>651238.01899999985</v>
      </c>
      <c r="F119" s="243">
        <f t="shared" si="121"/>
        <v>45600</v>
      </c>
      <c r="G119" s="240"/>
      <c r="H119" s="280"/>
      <c r="I119" s="240">
        <v>26400</v>
      </c>
      <c r="J119" s="240">
        <f t="shared" si="89"/>
        <v>19200</v>
      </c>
      <c r="K119" s="280">
        <f t="shared" si="115"/>
        <v>30258.902736539516</v>
      </c>
      <c r="L119" s="240">
        <f t="shared" si="110"/>
        <v>1790171</v>
      </c>
      <c r="M119" s="280">
        <f t="shared" si="90"/>
        <v>31259.630735395684</v>
      </c>
      <c r="N119" s="280">
        <f t="shared" si="91"/>
        <v>3827.5536592868475</v>
      </c>
      <c r="O119" s="1089"/>
      <c r="P119" s="1084"/>
      <c r="Q119" s="77">
        <f t="shared" si="92"/>
        <v>13421</v>
      </c>
      <c r="R119" s="35"/>
      <c r="S119" s="35">
        <v>13421</v>
      </c>
      <c r="T119" s="35">
        <f t="shared" si="80"/>
        <v>0</v>
      </c>
      <c r="U119" s="36">
        <f t="shared" si="116"/>
        <v>0</v>
      </c>
      <c r="V119" s="74">
        <f t="shared" si="93"/>
        <v>72993</v>
      </c>
      <c r="W119" s="36">
        <f t="shared" si="94"/>
        <v>1.2745900957331657</v>
      </c>
      <c r="X119" s="1136"/>
      <c r="Y119" s="49">
        <f t="shared" si="122"/>
        <v>458</v>
      </c>
      <c r="Z119" s="50"/>
      <c r="AA119" s="50">
        <v>458</v>
      </c>
      <c r="AB119" s="50">
        <f t="shared" si="81"/>
        <v>0</v>
      </c>
      <c r="AC119" s="51">
        <f t="shared" si="117"/>
        <v>0</v>
      </c>
      <c r="AD119" s="50">
        <f t="shared" si="95"/>
        <v>5976</v>
      </c>
      <c r="AE119" s="51">
        <f t="shared" si="82"/>
        <v>0.10435179280343868</v>
      </c>
      <c r="AF119" s="1047"/>
      <c r="AG119" s="40">
        <f t="shared" si="123"/>
        <v>984</v>
      </c>
      <c r="AH119" s="41"/>
      <c r="AI119" s="41">
        <v>948</v>
      </c>
      <c r="AJ119" s="41">
        <f t="shared" si="111"/>
        <v>36</v>
      </c>
      <c r="AK119" s="42">
        <f t="shared" si="118"/>
        <v>56.735442631011594</v>
      </c>
      <c r="AL119" s="41">
        <f t="shared" si="106"/>
        <v>3527</v>
      </c>
      <c r="AM119" s="42">
        <f t="shared" si="96"/>
        <v>6.1587813456781826E-2</v>
      </c>
      <c r="AN119" s="1058"/>
      <c r="AO119" s="220">
        <v>7</v>
      </c>
      <c r="AP119" s="67">
        <v>24</v>
      </c>
      <c r="AQ119" s="68">
        <f t="shared" si="101"/>
        <v>83.504400000000004</v>
      </c>
      <c r="AR119" s="68">
        <f t="shared" si="114"/>
        <v>12.566501128668174</v>
      </c>
      <c r="AS119" s="69">
        <f t="shared" si="107"/>
        <v>6794.8723199999995</v>
      </c>
      <c r="AT119" s="140">
        <f t="shared" si="83"/>
        <v>10.43377708573246</v>
      </c>
      <c r="AU119" s="1073"/>
      <c r="AV119" s="70">
        <v>3.1</v>
      </c>
      <c r="AW119" s="71">
        <v>12</v>
      </c>
      <c r="AX119" s="72">
        <f t="shared" si="102"/>
        <v>19.222356000000001</v>
      </c>
      <c r="AY119" s="72">
        <f t="shared" si="127"/>
        <v>2.8927548532731375</v>
      </c>
      <c r="AZ119" s="73">
        <f t="shared" si="108"/>
        <v>2077.8746760000008</v>
      </c>
      <c r="BA119" s="192">
        <f t="shared" si="84"/>
        <v>3.190653210312651</v>
      </c>
      <c r="BB119" s="1075"/>
      <c r="BC119" s="90">
        <f t="shared" si="119"/>
        <v>20019</v>
      </c>
      <c r="BD119" s="59"/>
      <c r="BE119" s="56">
        <v>20019</v>
      </c>
      <c r="BF119" s="56">
        <f t="shared" si="103"/>
        <v>0</v>
      </c>
      <c r="BG119" s="58">
        <f t="shared" si="97"/>
        <v>43993</v>
      </c>
      <c r="BH119" s="58">
        <f t="shared" si="85"/>
        <v>67.55287424335711</v>
      </c>
      <c r="BI119" s="1140"/>
      <c r="BJ119" s="63">
        <f t="shared" si="124"/>
        <v>1000</v>
      </c>
      <c r="BK119" s="64"/>
      <c r="BL119" s="64">
        <v>1000</v>
      </c>
      <c r="BM119" s="64">
        <f t="shared" si="98"/>
        <v>0</v>
      </c>
      <c r="BN119" s="65"/>
      <c r="BO119" s="64">
        <f t="shared" si="99"/>
        <v>10900</v>
      </c>
      <c r="BP119" s="65">
        <f t="shared" si="100"/>
        <v>0.19033375862742327</v>
      </c>
      <c r="BQ119" s="1071"/>
      <c r="BR119" s="77">
        <f t="shared" si="125"/>
        <v>62207</v>
      </c>
      <c r="BS119" s="35"/>
      <c r="BT119" s="35">
        <v>58980</v>
      </c>
      <c r="BU119" s="74">
        <f t="shared" si="112"/>
        <v>3227</v>
      </c>
      <c r="BV119" s="74">
        <f t="shared" si="113"/>
        <v>292681</v>
      </c>
      <c r="BW119" s="74">
        <f t="shared" si="86"/>
        <v>449.42247144818504</v>
      </c>
      <c r="BX119" s="1098"/>
      <c r="BY119" s="295">
        <f t="shared" si="126"/>
        <v>700</v>
      </c>
      <c r="BZ119" s="296">
        <v>1150</v>
      </c>
      <c r="CA119" s="296">
        <v>1420</v>
      </c>
      <c r="CB119" s="296">
        <f t="shared" si="87"/>
        <v>430</v>
      </c>
      <c r="CC119" s="297"/>
      <c r="CD119" s="296">
        <f t="shared" si="109"/>
        <v>28480</v>
      </c>
      <c r="CE119" s="297">
        <f t="shared" si="88"/>
        <v>0.49731242621183624</v>
      </c>
      <c r="CF119" s="1061"/>
    </row>
    <row r="120" spans="1:84">
      <c r="A120" s="30">
        <v>44433</v>
      </c>
      <c r="B120" s="32">
        <v>628.37400000000002</v>
      </c>
      <c r="C120" s="842">
        <f t="shared" si="104"/>
        <v>57896.197000000007</v>
      </c>
      <c r="D120" s="851">
        <v>6506.76</v>
      </c>
      <c r="E120" s="843">
        <f t="shared" si="120"/>
        <v>657744.77899999986</v>
      </c>
      <c r="F120" s="243">
        <f t="shared" si="121"/>
        <v>26400</v>
      </c>
      <c r="G120" s="240"/>
      <c r="H120" s="280"/>
      <c r="I120" s="240">
        <v>0</v>
      </c>
      <c r="J120" s="240">
        <f t="shared" si="89"/>
        <v>26400</v>
      </c>
      <c r="K120" s="280">
        <f t="shared" si="115"/>
        <v>42013.195962913807</v>
      </c>
      <c r="L120" s="240">
        <f t="shared" si="110"/>
        <v>1816571</v>
      </c>
      <c r="M120" s="280">
        <f t="shared" si="90"/>
        <v>31376.344114622931</v>
      </c>
      <c r="N120" s="280">
        <f t="shared" si="91"/>
        <v>3841.8445101779025</v>
      </c>
      <c r="O120" s="1089"/>
      <c r="P120" s="1084"/>
      <c r="Q120" s="77">
        <f t="shared" si="92"/>
        <v>13421</v>
      </c>
      <c r="R120" s="35">
        <v>36220</v>
      </c>
      <c r="S120" s="35">
        <v>49432</v>
      </c>
      <c r="T120" s="35">
        <f t="shared" si="80"/>
        <v>209</v>
      </c>
      <c r="U120" s="36">
        <f t="shared" si="116"/>
        <v>332.60446803973429</v>
      </c>
      <c r="V120" s="74">
        <f t="shared" si="93"/>
        <v>73202</v>
      </c>
      <c r="W120" s="36">
        <f t="shared" si="94"/>
        <v>1.2643662933508395</v>
      </c>
      <c r="X120" s="1136"/>
      <c r="Y120" s="49">
        <f t="shared" si="122"/>
        <v>458</v>
      </c>
      <c r="Z120" s="50"/>
      <c r="AA120" s="50">
        <v>324</v>
      </c>
      <c r="AB120" s="50">
        <f t="shared" si="81"/>
        <v>134</v>
      </c>
      <c r="AC120" s="51">
        <f t="shared" si="117"/>
        <v>0.21324879769054733</v>
      </c>
      <c r="AD120" s="50">
        <f t="shared" si="95"/>
        <v>6110</v>
      </c>
      <c r="AE120" s="51">
        <f t="shared" si="82"/>
        <v>0.10553370198045994</v>
      </c>
      <c r="AF120" s="1047"/>
      <c r="AG120" s="40">
        <f t="shared" si="123"/>
        <v>948</v>
      </c>
      <c r="AH120" s="41"/>
      <c r="AI120" s="41">
        <v>925</v>
      </c>
      <c r="AJ120" s="41">
        <f t="shared" si="111"/>
        <v>23</v>
      </c>
      <c r="AK120" s="42">
        <f t="shared" si="118"/>
        <v>36.602405573750666</v>
      </c>
      <c r="AL120" s="41">
        <f t="shared" si="106"/>
        <v>3550</v>
      </c>
      <c r="AM120" s="42">
        <f t="shared" si="96"/>
        <v>6.1316635356895716E-2</v>
      </c>
      <c r="AN120" s="1058"/>
      <c r="AO120" s="220">
        <v>6.1</v>
      </c>
      <c r="AP120" s="67">
        <v>24</v>
      </c>
      <c r="AQ120" s="68">
        <f t="shared" si="101"/>
        <v>72.768119999999982</v>
      </c>
      <c r="AR120" s="68">
        <f t="shared" si="114"/>
        <v>11.183464581450673</v>
      </c>
      <c r="AS120" s="69">
        <f t="shared" si="107"/>
        <v>6867.6404399999992</v>
      </c>
      <c r="AT120" s="140">
        <f t="shared" si="83"/>
        <v>10.441193391821663</v>
      </c>
      <c r="AU120" s="1073"/>
      <c r="AV120" s="70">
        <v>3.1</v>
      </c>
      <c r="AW120" s="71">
        <v>12</v>
      </c>
      <c r="AX120" s="72">
        <f t="shared" si="102"/>
        <v>19.222356000000001</v>
      </c>
      <c r="AY120" s="72">
        <f t="shared" si="127"/>
        <v>2.9542131567784886</v>
      </c>
      <c r="AZ120" s="73">
        <f t="shared" si="108"/>
        <v>2097.097032000001</v>
      </c>
      <c r="BA120" s="192">
        <f t="shared" si="84"/>
        <v>3.1883142199749814</v>
      </c>
      <c r="BB120" s="1075"/>
      <c r="BC120" s="90">
        <f t="shared" si="119"/>
        <v>20019</v>
      </c>
      <c r="BD120" s="59"/>
      <c r="BE120" s="56">
        <v>20019</v>
      </c>
      <c r="BF120" s="56">
        <f t="shared" si="103"/>
        <v>0</v>
      </c>
      <c r="BG120" s="58">
        <f t="shared" si="97"/>
        <v>43993</v>
      </c>
      <c r="BH120" s="58">
        <f t="shared" si="85"/>
        <v>66.884605404066633</v>
      </c>
      <c r="BI120" s="1140"/>
      <c r="BJ120" s="63">
        <f t="shared" si="124"/>
        <v>1000</v>
      </c>
      <c r="BK120" s="64"/>
      <c r="BL120" s="64">
        <v>810</v>
      </c>
      <c r="BM120" s="64">
        <f t="shared" si="98"/>
        <v>190</v>
      </c>
      <c r="BN120" s="65"/>
      <c r="BO120" s="64">
        <f t="shared" si="99"/>
        <v>11090</v>
      </c>
      <c r="BP120" s="65">
        <f t="shared" si="100"/>
        <v>0.19154971439661225</v>
      </c>
      <c r="BQ120" s="1071"/>
      <c r="BR120" s="77">
        <f t="shared" si="125"/>
        <v>58980</v>
      </c>
      <c r="BS120" s="35"/>
      <c r="BT120" s="35">
        <v>55732</v>
      </c>
      <c r="BU120" s="74">
        <f t="shared" si="112"/>
        <v>3248</v>
      </c>
      <c r="BV120" s="74">
        <f t="shared" si="113"/>
        <v>295929</v>
      </c>
      <c r="BW120" s="74">
        <f t="shared" si="86"/>
        <v>449.91463170549935</v>
      </c>
      <c r="BX120" s="1098"/>
      <c r="BY120" s="295">
        <f t="shared" si="126"/>
        <v>1420</v>
      </c>
      <c r="BZ120" s="296"/>
      <c r="CA120" s="296">
        <v>920</v>
      </c>
      <c r="CB120" s="296">
        <f t="shared" si="87"/>
        <v>500</v>
      </c>
      <c r="CC120" s="297"/>
      <c r="CD120" s="296">
        <f t="shared" si="109"/>
        <v>28980</v>
      </c>
      <c r="CE120" s="297">
        <f t="shared" si="88"/>
        <v>0.50055101201206698</v>
      </c>
      <c r="CF120" s="1061"/>
    </row>
    <row r="121" spans="1:84">
      <c r="A121" s="30">
        <v>44434</v>
      </c>
      <c r="B121" s="384">
        <v>513.15800000000002</v>
      </c>
      <c r="C121" s="842">
        <f t="shared" si="104"/>
        <v>58409.35500000001</v>
      </c>
      <c r="D121" s="851">
        <v>5937.3</v>
      </c>
      <c r="E121" s="843">
        <f t="shared" si="120"/>
        <v>663682.07899999991</v>
      </c>
      <c r="F121" s="243">
        <f t="shared" si="121"/>
        <v>0</v>
      </c>
      <c r="G121" s="240"/>
      <c r="H121" s="280"/>
      <c r="I121" s="240">
        <v>0</v>
      </c>
      <c r="J121" s="240">
        <f t="shared" si="89"/>
        <v>0</v>
      </c>
      <c r="K121" s="280">
        <f t="shared" si="115"/>
        <v>0</v>
      </c>
      <c r="L121" s="240">
        <f t="shared" si="110"/>
        <v>1816571</v>
      </c>
      <c r="M121" s="280">
        <f t="shared" si="90"/>
        <v>31100.6858404788</v>
      </c>
      <c r="N121" s="280">
        <f t="shared" si="91"/>
        <v>3808.0918134539979</v>
      </c>
      <c r="O121" s="1089"/>
      <c r="P121" s="1084"/>
      <c r="Q121" s="77">
        <f t="shared" si="92"/>
        <v>49432</v>
      </c>
      <c r="R121" s="35"/>
      <c r="S121" s="35">
        <v>47017</v>
      </c>
      <c r="T121" s="35">
        <f t="shared" si="80"/>
        <v>2415</v>
      </c>
      <c r="U121" s="36">
        <f t="shared" si="116"/>
        <v>4706.1528807891527</v>
      </c>
      <c r="V121" s="74">
        <f t="shared" si="93"/>
        <v>75617</v>
      </c>
      <c r="W121" s="36">
        <f t="shared" si="94"/>
        <v>1.2946042633067938</v>
      </c>
      <c r="X121" s="1136"/>
      <c r="Y121" s="49">
        <f t="shared" si="122"/>
        <v>324</v>
      </c>
      <c r="Z121" s="50"/>
      <c r="AA121" s="50">
        <v>261</v>
      </c>
      <c r="AB121" s="50">
        <f t="shared" si="81"/>
        <v>63</v>
      </c>
      <c r="AC121" s="51">
        <f t="shared" si="117"/>
        <v>0.12276920558580398</v>
      </c>
      <c r="AD121" s="50">
        <f t="shared" si="95"/>
        <v>6173</v>
      </c>
      <c r="AE121" s="51">
        <f t="shared" si="82"/>
        <v>0.10568512526803281</v>
      </c>
      <c r="AF121" s="1047"/>
      <c r="AG121" s="40">
        <f t="shared" si="123"/>
        <v>925</v>
      </c>
      <c r="AH121" s="41"/>
      <c r="AI121" s="41">
        <v>885</v>
      </c>
      <c r="AJ121" s="41">
        <f t="shared" si="111"/>
        <v>40</v>
      </c>
      <c r="AK121" s="42">
        <f t="shared" si="118"/>
        <v>77.948701959240623</v>
      </c>
      <c r="AL121" s="41">
        <f t="shared" si="106"/>
        <v>3590</v>
      </c>
      <c r="AM121" s="42">
        <f t="shared" si="96"/>
        <v>6.146275712169736E-2</v>
      </c>
      <c r="AN121" s="1058"/>
      <c r="AO121" s="220">
        <v>6.2</v>
      </c>
      <c r="AP121" s="67">
        <v>24</v>
      </c>
      <c r="AQ121" s="68">
        <f t="shared" si="101"/>
        <v>73.961040000000011</v>
      </c>
      <c r="AR121" s="68">
        <f t="shared" si="114"/>
        <v>12.457015815269568</v>
      </c>
      <c r="AS121" s="69">
        <f t="shared" si="107"/>
        <v>6941.6014799999994</v>
      </c>
      <c r="AT121" s="140">
        <f t="shared" si="83"/>
        <v>10.459226939590154</v>
      </c>
      <c r="AU121" s="1073"/>
      <c r="AV121" s="70">
        <v>2.75</v>
      </c>
      <c r="AW121" s="71">
        <v>12</v>
      </c>
      <c r="AX121" s="72">
        <f t="shared" si="102"/>
        <v>17.05209</v>
      </c>
      <c r="AY121" s="72">
        <f t="shared" si="127"/>
        <v>2.8720276893537466</v>
      </c>
      <c r="AZ121" s="73">
        <f t="shared" si="108"/>
        <v>2114.1491220000012</v>
      </c>
      <c r="BA121" s="192">
        <f t="shared" si="84"/>
        <v>3.1854847206142529</v>
      </c>
      <c r="BB121" s="1075"/>
      <c r="BC121" s="90">
        <f t="shared" si="119"/>
        <v>20019</v>
      </c>
      <c r="BD121" s="59"/>
      <c r="BE121" s="56">
        <v>19797</v>
      </c>
      <c r="BF121" s="56">
        <f t="shared" si="103"/>
        <v>222</v>
      </c>
      <c r="BG121" s="58">
        <f t="shared" si="97"/>
        <v>44215</v>
      </c>
      <c r="BH121" s="58">
        <f t="shared" si="85"/>
        <v>66.620753217595933</v>
      </c>
      <c r="BI121" s="1140"/>
      <c r="BJ121" s="63">
        <f t="shared" si="124"/>
        <v>810</v>
      </c>
      <c r="BK121" s="64">
        <v>1100</v>
      </c>
      <c r="BL121" s="64">
        <v>1900</v>
      </c>
      <c r="BM121" s="64">
        <f t="shared" si="98"/>
        <v>10</v>
      </c>
      <c r="BN121" s="65"/>
      <c r="BO121" s="64">
        <f t="shared" si="99"/>
        <v>11100</v>
      </c>
      <c r="BP121" s="65">
        <f t="shared" si="100"/>
        <v>0.19003805126764364</v>
      </c>
      <c r="BQ121" s="1071"/>
      <c r="BR121" s="77">
        <f t="shared" si="125"/>
        <v>55732</v>
      </c>
      <c r="BS121" s="35"/>
      <c r="BT121" s="35">
        <v>52059</v>
      </c>
      <c r="BU121" s="74">
        <f t="shared" si="112"/>
        <v>3673</v>
      </c>
      <c r="BV121" s="74">
        <f t="shared" si="113"/>
        <v>299602</v>
      </c>
      <c r="BW121" s="74">
        <f t="shared" si="86"/>
        <v>451.42397162723455</v>
      </c>
      <c r="BX121" s="1098"/>
      <c r="BY121" s="295">
        <f t="shared" si="126"/>
        <v>920</v>
      </c>
      <c r="BZ121" s="296"/>
      <c r="CA121" s="296">
        <v>420</v>
      </c>
      <c r="CB121" s="296">
        <f t="shared" si="87"/>
        <v>500</v>
      </c>
      <c r="CC121" s="297"/>
      <c r="CD121" s="296">
        <f t="shared" si="109"/>
        <v>29480</v>
      </c>
      <c r="CE121" s="297">
        <f t="shared" si="88"/>
        <v>0.50471367129460676</v>
      </c>
      <c r="CF121" s="1061"/>
    </row>
    <row r="122" spans="1:84">
      <c r="A122" s="30">
        <v>44435</v>
      </c>
      <c r="B122" s="384">
        <v>542.36800000000005</v>
      </c>
      <c r="C122" s="842">
        <f t="shared" si="104"/>
        <v>58951.723000000013</v>
      </c>
      <c r="D122" s="851">
        <v>5482.52</v>
      </c>
      <c r="E122" s="843">
        <f t="shared" si="120"/>
        <v>669164.59899999993</v>
      </c>
      <c r="F122" s="243">
        <f t="shared" si="121"/>
        <v>0</v>
      </c>
      <c r="G122" s="240"/>
      <c r="H122" s="280"/>
      <c r="I122" s="240">
        <v>0</v>
      </c>
      <c r="J122" s="240">
        <f t="shared" si="89"/>
        <v>0</v>
      </c>
      <c r="K122" s="280">
        <f t="shared" si="115"/>
        <v>0</v>
      </c>
      <c r="L122" s="240">
        <f t="shared" si="110"/>
        <v>1816571</v>
      </c>
      <c r="M122" s="280">
        <f t="shared" si="90"/>
        <v>30814.553121712823</v>
      </c>
      <c r="N122" s="280">
        <f t="shared" si="91"/>
        <v>3773.0565840226304</v>
      </c>
      <c r="O122" s="1089"/>
      <c r="P122" s="1084"/>
      <c r="Q122" s="77">
        <f t="shared" si="92"/>
        <v>47017</v>
      </c>
      <c r="R122" s="35"/>
      <c r="S122" s="35">
        <v>43272</v>
      </c>
      <c r="T122" s="35">
        <f t="shared" si="80"/>
        <v>3745</v>
      </c>
      <c r="U122" s="36">
        <f t="shared" si="116"/>
        <v>6904.9058941530466</v>
      </c>
      <c r="V122" s="74">
        <f t="shared" si="93"/>
        <v>79362</v>
      </c>
      <c r="W122" s="36">
        <f t="shared" si="94"/>
        <v>1.3462201944462249</v>
      </c>
      <c r="X122" s="1136"/>
      <c r="Y122" s="49">
        <f t="shared" si="122"/>
        <v>261</v>
      </c>
      <c r="Z122" s="50"/>
      <c r="AA122" s="50">
        <v>253</v>
      </c>
      <c r="AB122" s="50">
        <f t="shared" si="81"/>
        <v>8</v>
      </c>
      <c r="AC122" s="51">
        <f t="shared" si="117"/>
        <v>1.475013275119476E-2</v>
      </c>
      <c r="AD122" s="50">
        <f t="shared" si="95"/>
        <v>6181</v>
      </c>
      <c r="AE122" s="51">
        <f t="shared" si="82"/>
        <v>0.10484850459756705</v>
      </c>
      <c r="AF122" s="1047"/>
      <c r="AG122" s="40">
        <f t="shared" si="123"/>
        <v>885</v>
      </c>
      <c r="AH122" s="41"/>
      <c r="AI122" s="41">
        <v>845</v>
      </c>
      <c r="AJ122" s="41">
        <f t="shared" si="111"/>
        <v>40</v>
      </c>
      <c r="AK122" s="42">
        <f t="shared" si="118"/>
        <v>73.75066375597379</v>
      </c>
      <c r="AL122" s="41">
        <f t="shared" si="106"/>
        <v>3630</v>
      </c>
      <c r="AM122" s="42">
        <f t="shared" si="96"/>
        <v>6.1575808394947154E-2</v>
      </c>
      <c r="AN122" s="1058"/>
      <c r="AO122" s="220">
        <v>7.55</v>
      </c>
      <c r="AP122" s="67">
        <v>24</v>
      </c>
      <c r="AQ122" s="68">
        <f t="shared" si="101"/>
        <v>90.065459999999987</v>
      </c>
      <c r="AR122" s="68">
        <f t="shared" si="114"/>
        <v>16.427748553584845</v>
      </c>
      <c r="AS122" s="69">
        <f t="shared" si="107"/>
        <v>7031.6669399999992</v>
      </c>
      <c r="AT122" s="140">
        <f t="shared" si="83"/>
        <v>10.508127522747211</v>
      </c>
      <c r="AU122" s="1073"/>
      <c r="AV122" s="70">
        <v>3.2</v>
      </c>
      <c r="AW122" s="71">
        <v>12</v>
      </c>
      <c r="AX122" s="72">
        <f t="shared" si="102"/>
        <v>19.842432000000002</v>
      </c>
      <c r="AY122" s="72">
        <f t="shared" si="127"/>
        <v>3.619217440155257</v>
      </c>
      <c r="AZ122" s="73">
        <f t="shared" si="108"/>
        <v>2133.9915540000011</v>
      </c>
      <c r="BA122" s="192">
        <f t="shared" si="84"/>
        <v>3.189038328072106</v>
      </c>
      <c r="BB122" s="1075"/>
      <c r="BC122" s="90">
        <f t="shared" si="119"/>
        <v>19797</v>
      </c>
      <c r="BD122" s="59"/>
      <c r="BE122" s="56">
        <v>19797</v>
      </c>
      <c r="BF122" s="56">
        <f t="shared" si="103"/>
        <v>0</v>
      </c>
      <c r="BG122" s="58">
        <f t="shared" si="97"/>
        <v>44215</v>
      </c>
      <c r="BH122" s="58">
        <f t="shared" si="85"/>
        <v>66.074923966502311</v>
      </c>
      <c r="BI122" s="1140"/>
      <c r="BJ122" s="63">
        <f t="shared" si="124"/>
        <v>1900</v>
      </c>
      <c r="BK122" s="64"/>
      <c r="BL122" s="64">
        <v>1900</v>
      </c>
      <c r="BM122" s="64">
        <f t="shared" si="98"/>
        <v>0</v>
      </c>
      <c r="BN122" s="65"/>
      <c r="BO122" s="64">
        <f t="shared" si="99"/>
        <v>11100</v>
      </c>
      <c r="BP122" s="65">
        <f t="shared" si="100"/>
        <v>0.18828966203413591</v>
      </c>
      <c r="BQ122" s="1071"/>
      <c r="BR122" s="77">
        <f t="shared" si="125"/>
        <v>52059</v>
      </c>
      <c r="BS122" s="35"/>
      <c r="BT122" s="35">
        <v>46823</v>
      </c>
      <c r="BU122" s="74">
        <f t="shared" si="112"/>
        <v>5236</v>
      </c>
      <c r="BV122" s="74">
        <f t="shared" si="113"/>
        <v>304838</v>
      </c>
      <c r="BW122" s="74">
        <f t="shared" si="86"/>
        <v>455.55010001358431</v>
      </c>
      <c r="BX122" s="1098"/>
      <c r="BY122" s="295">
        <f t="shared" si="126"/>
        <v>420</v>
      </c>
      <c r="BZ122" s="296">
        <v>2300</v>
      </c>
      <c r="CA122" s="296">
        <v>2160</v>
      </c>
      <c r="CB122" s="296">
        <f t="shared" si="87"/>
        <v>560</v>
      </c>
      <c r="CC122" s="297"/>
      <c r="CD122" s="296">
        <f t="shared" si="109"/>
        <v>30040</v>
      </c>
      <c r="CE122" s="297">
        <f t="shared" si="88"/>
        <v>0.50956949977526511</v>
      </c>
      <c r="CF122" s="1061"/>
    </row>
    <row r="123" spans="1:84">
      <c r="A123" s="30">
        <v>44436</v>
      </c>
      <c r="B123" s="384">
        <v>456.279</v>
      </c>
      <c r="C123" s="842">
        <f t="shared" si="104"/>
        <v>59408.002000000015</v>
      </c>
      <c r="D123" s="851">
        <v>1086.3599999999999</v>
      </c>
      <c r="E123" s="843">
        <f t="shared" si="120"/>
        <v>670250.95899999992</v>
      </c>
      <c r="F123" s="243">
        <f t="shared" si="121"/>
        <v>0</v>
      </c>
      <c r="G123" s="240"/>
      <c r="H123" s="280"/>
      <c r="I123" s="240">
        <v>0</v>
      </c>
      <c r="J123" s="240">
        <f t="shared" si="89"/>
        <v>0</v>
      </c>
      <c r="K123" s="280">
        <f t="shared" si="115"/>
        <v>0</v>
      </c>
      <c r="L123" s="240">
        <f t="shared" si="110"/>
        <v>1816571</v>
      </c>
      <c r="M123" s="280">
        <f t="shared" si="90"/>
        <v>30577.884103895627</v>
      </c>
      <c r="N123" s="280">
        <f t="shared" si="91"/>
        <v>3744.0778870938689</v>
      </c>
      <c r="O123" s="1089"/>
      <c r="P123" s="1084"/>
      <c r="Q123" s="77">
        <f t="shared" si="92"/>
        <v>43272</v>
      </c>
      <c r="R123" s="35"/>
      <c r="S123" s="35">
        <v>40649</v>
      </c>
      <c r="T123" s="35">
        <f t="shared" si="80"/>
        <v>2623</v>
      </c>
      <c r="U123" s="36">
        <f t="shared" si="116"/>
        <v>5748.6757006130019</v>
      </c>
      <c r="V123" s="74">
        <f t="shared" si="93"/>
        <v>81985</v>
      </c>
      <c r="W123" s="36">
        <f t="shared" si="94"/>
        <v>1.3800329457301053</v>
      </c>
      <c r="X123" s="1136"/>
      <c r="Y123" s="49">
        <f t="shared" si="122"/>
        <v>253</v>
      </c>
      <c r="Z123" s="50"/>
      <c r="AA123" s="50">
        <v>187</v>
      </c>
      <c r="AB123" s="50">
        <f t="shared" si="81"/>
        <v>66</v>
      </c>
      <c r="AC123" s="51">
        <f t="shared" si="117"/>
        <v>0.14464834016029665</v>
      </c>
      <c r="AD123" s="50">
        <f t="shared" si="95"/>
        <v>6247</v>
      </c>
      <c r="AE123" s="51">
        <f t="shared" si="82"/>
        <v>0.10515418444808157</v>
      </c>
      <c r="AF123" s="1047"/>
      <c r="AG123" s="40">
        <f t="shared" si="123"/>
        <v>845</v>
      </c>
      <c r="AH123" s="41"/>
      <c r="AI123" s="41">
        <v>805</v>
      </c>
      <c r="AJ123" s="41">
        <f t="shared" si="111"/>
        <v>40</v>
      </c>
      <c r="AK123" s="42">
        <f t="shared" si="118"/>
        <v>87.665660703210094</v>
      </c>
      <c r="AL123" s="41">
        <f t="shared" si="106"/>
        <v>3670</v>
      </c>
      <c r="AM123" s="42">
        <f t="shared" si="96"/>
        <v>6.1776189678959398E-2</v>
      </c>
      <c r="AN123" s="1058"/>
      <c r="AO123" s="220">
        <v>2.2000000000000002</v>
      </c>
      <c r="AP123" s="67">
        <v>24</v>
      </c>
      <c r="AQ123" s="68">
        <f t="shared" si="101"/>
        <v>26.244240000000001</v>
      </c>
      <c r="AR123" s="68">
        <f t="shared" si="114"/>
        <v>24.157958687727827</v>
      </c>
      <c r="AS123" s="69">
        <f t="shared" si="107"/>
        <v>7057.9111799999991</v>
      </c>
      <c r="AT123" s="140">
        <f t="shared" si="83"/>
        <v>10.530251520311513</v>
      </c>
      <c r="AU123" s="1073"/>
      <c r="AV123" s="70">
        <v>1.05</v>
      </c>
      <c r="AW123" s="71">
        <v>12</v>
      </c>
      <c r="AX123" s="72">
        <f t="shared" si="102"/>
        <v>6.5107980000000012</v>
      </c>
      <c r="AY123" s="72">
        <f t="shared" si="127"/>
        <v>5.9932232409146158</v>
      </c>
      <c r="AZ123" s="73">
        <f t="shared" si="108"/>
        <v>2140.5023520000009</v>
      </c>
      <c r="BA123" s="192">
        <f t="shared" si="84"/>
        <v>3.193583423130919</v>
      </c>
      <c r="BB123" s="1075"/>
      <c r="BC123" s="90">
        <f t="shared" si="119"/>
        <v>19797</v>
      </c>
      <c r="BD123" s="59"/>
      <c r="BE123" s="56">
        <v>19797</v>
      </c>
      <c r="BF123" s="56">
        <f t="shared" si="103"/>
        <v>0</v>
      </c>
      <c r="BG123" s="58">
        <f t="shared" si="97"/>
        <v>44215</v>
      </c>
      <c r="BH123" s="58">
        <f t="shared" si="85"/>
        <v>65.967828029620179</v>
      </c>
      <c r="BI123" s="1140"/>
      <c r="BJ123" s="63">
        <f t="shared" si="124"/>
        <v>1900</v>
      </c>
      <c r="BK123" s="64"/>
      <c r="BL123" s="64">
        <v>1900</v>
      </c>
      <c r="BM123" s="64">
        <f t="shared" si="98"/>
        <v>0</v>
      </c>
      <c r="BN123" s="65"/>
      <c r="BO123" s="64">
        <f t="shared" si="99"/>
        <v>11100</v>
      </c>
      <c r="BP123" s="65">
        <f t="shared" si="100"/>
        <v>0.18684351646769734</v>
      </c>
      <c r="BQ123" s="1071"/>
      <c r="BR123" s="77">
        <f t="shared" si="125"/>
        <v>46823</v>
      </c>
      <c r="BS123" s="35"/>
      <c r="BT123" s="35">
        <v>44595</v>
      </c>
      <c r="BU123" s="74">
        <f t="shared" si="112"/>
        <v>2228</v>
      </c>
      <c r="BV123" s="74">
        <f t="shared" si="113"/>
        <v>307066</v>
      </c>
      <c r="BW123" s="74">
        <f t="shared" si="86"/>
        <v>458.13586072019336</v>
      </c>
      <c r="BX123" s="1098"/>
      <c r="BY123" s="295">
        <f t="shared" si="126"/>
        <v>2160</v>
      </c>
      <c r="BZ123" s="296"/>
      <c r="CA123" s="296">
        <v>1790</v>
      </c>
      <c r="CB123" s="296">
        <f t="shared" si="87"/>
        <v>370</v>
      </c>
      <c r="CC123" s="297"/>
      <c r="CD123" s="296">
        <f t="shared" si="109"/>
        <v>30410</v>
      </c>
      <c r="CE123" s="297">
        <f t="shared" si="88"/>
        <v>0.51188390412456541</v>
      </c>
      <c r="CF123" s="1061"/>
    </row>
    <row r="124" spans="1:84">
      <c r="A124" s="30">
        <v>44437</v>
      </c>
      <c r="B124" s="384">
        <v>23.696000000000002</v>
      </c>
      <c r="C124" s="842">
        <f t="shared" si="104"/>
        <v>59431.698000000019</v>
      </c>
      <c r="D124" s="851">
        <v>4557.54</v>
      </c>
      <c r="E124" s="843">
        <f t="shared" si="120"/>
        <v>674808.49899999995</v>
      </c>
      <c r="F124" s="243">
        <f t="shared" si="121"/>
        <v>0</v>
      </c>
      <c r="G124" s="240"/>
      <c r="H124" s="280"/>
      <c r="I124" s="240">
        <v>0</v>
      </c>
      <c r="J124" s="240">
        <f t="shared" si="89"/>
        <v>0</v>
      </c>
      <c r="K124" s="280">
        <f t="shared" si="115"/>
        <v>0</v>
      </c>
      <c r="L124" s="240">
        <f t="shared" si="110"/>
        <v>1816571</v>
      </c>
      <c r="M124" s="280">
        <f t="shared" si="90"/>
        <v>30565.692402057895</v>
      </c>
      <c r="N124" s="280">
        <f t="shared" si="91"/>
        <v>3742.5850865749844</v>
      </c>
      <c r="O124" s="1089"/>
      <c r="P124" s="1084"/>
      <c r="Q124" s="77">
        <f t="shared" si="92"/>
        <v>40649</v>
      </c>
      <c r="R124" s="35"/>
      <c r="S124" s="35">
        <v>40649</v>
      </c>
      <c r="T124" s="35">
        <f t="shared" si="80"/>
        <v>0</v>
      </c>
      <c r="U124" s="36">
        <f t="shared" si="116"/>
        <v>0</v>
      </c>
      <c r="V124" s="74">
        <f t="shared" si="93"/>
        <v>81985</v>
      </c>
      <c r="W124" s="36">
        <f t="shared" si="94"/>
        <v>1.3794827130801475</v>
      </c>
      <c r="X124" s="1136"/>
      <c r="Y124" s="49">
        <f t="shared" si="122"/>
        <v>187</v>
      </c>
      <c r="Z124" s="50">
        <v>720</v>
      </c>
      <c r="AA124" s="50">
        <v>797</v>
      </c>
      <c r="AB124" s="50">
        <f t="shared" si="81"/>
        <v>110</v>
      </c>
      <c r="AC124" s="51">
        <f t="shared" si="117"/>
        <v>4.6421336934503712</v>
      </c>
      <c r="AD124" s="50">
        <f t="shared" si="95"/>
        <v>6357</v>
      </c>
      <c r="AE124" s="51">
        <f t="shared" si="82"/>
        <v>0.10696312260841004</v>
      </c>
      <c r="AF124" s="1047"/>
      <c r="AG124" s="40">
        <f t="shared" si="123"/>
        <v>805</v>
      </c>
      <c r="AH124" s="41"/>
      <c r="AI124" s="41">
        <v>805</v>
      </c>
      <c r="AJ124" s="41">
        <f t="shared" si="111"/>
        <v>0</v>
      </c>
      <c r="AK124" s="42">
        <f t="shared" si="118"/>
        <v>0</v>
      </c>
      <c r="AL124" s="41">
        <f t="shared" si="106"/>
        <v>3670</v>
      </c>
      <c r="AM124" s="42">
        <f t="shared" si="96"/>
        <v>6.1751558907167665E-2</v>
      </c>
      <c r="AN124" s="1058"/>
      <c r="AO124" s="220">
        <v>5</v>
      </c>
      <c r="AP124" s="67">
        <v>24</v>
      </c>
      <c r="AQ124" s="68">
        <f t="shared" si="101"/>
        <v>59.646000000000001</v>
      </c>
      <c r="AR124" s="68">
        <f t="shared" si="114"/>
        <v>13.087323424478996</v>
      </c>
      <c r="AS124" s="69">
        <f t="shared" si="107"/>
        <v>7117.5571799999989</v>
      </c>
      <c r="AT124" s="140">
        <f t="shared" si="83"/>
        <v>10.547521542107903</v>
      </c>
      <c r="AU124" s="1073"/>
      <c r="AV124" s="70">
        <v>1.75</v>
      </c>
      <c r="AW124" s="71">
        <v>12</v>
      </c>
      <c r="AX124" s="72">
        <f t="shared" si="102"/>
        <v>10.851330000000001</v>
      </c>
      <c r="AY124" s="72">
        <f t="shared" si="127"/>
        <v>2.380962097973907</v>
      </c>
      <c r="AZ124" s="73">
        <f t="shared" si="108"/>
        <v>2151.3536820000008</v>
      </c>
      <c r="BA124" s="192">
        <f t="shared" si="84"/>
        <v>3.1880951191161584</v>
      </c>
      <c r="BB124" s="1075"/>
      <c r="BC124" s="90">
        <f t="shared" si="119"/>
        <v>19797</v>
      </c>
      <c r="BD124" s="59"/>
      <c r="BE124" s="56">
        <v>19797</v>
      </c>
      <c r="BF124" s="56">
        <f t="shared" si="103"/>
        <v>0</v>
      </c>
      <c r="BG124" s="58">
        <f t="shared" si="97"/>
        <v>44215</v>
      </c>
      <c r="BH124" s="58">
        <f t="shared" si="85"/>
        <v>65.522292717892995</v>
      </c>
      <c r="BI124" s="1140"/>
      <c r="BJ124" s="63">
        <f t="shared" si="124"/>
        <v>1900</v>
      </c>
      <c r="BK124" s="64"/>
      <c r="BL124" s="64">
        <v>1900</v>
      </c>
      <c r="BM124" s="64">
        <f t="shared" si="98"/>
        <v>0</v>
      </c>
      <c r="BN124" s="65"/>
      <c r="BO124" s="64">
        <f t="shared" si="99"/>
        <v>11100</v>
      </c>
      <c r="BP124" s="65">
        <f t="shared" si="100"/>
        <v>0.1867690201279458</v>
      </c>
      <c r="BQ124" s="1071"/>
      <c r="BR124" s="77">
        <f t="shared" si="125"/>
        <v>44595</v>
      </c>
      <c r="BS124" s="35"/>
      <c r="BT124" s="35">
        <v>41380</v>
      </c>
      <c r="BU124" s="74">
        <f t="shared" si="112"/>
        <v>3215</v>
      </c>
      <c r="BV124" s="74">
        <f t="shared" si="113"/>
        <v>310281</v>
      </c>
      <c r="BW124" s="74">
        <f t="shared" si="86"/>
        <v>459.80600490332597</v>
      </c>
      <c r="BX124" s="1098"/>
      <c r="BY124" s="295">
        <f t="shared" si="126"/>
        <v>1790</v>
      </c>
      <c r="BZ124" s="296"/>
      <c r="CA124" s="296">
        <v>1750</v>
      </c>
      <c r="CB124" s="296">
        <f t="shared" si="87"/>
        <v>40</v>
      </c>
      <c r="CC124" s="297"/>
      <c r="CD124" s="296">
        <f t="shared" si="109"/>
        <v>30450</v>
      </c>
      <c r="CE124" s="297">
        <f t="shared" si="88"/>
        <v>0.51235285251314866</v>
      </c>
      <c r="CF124" s="1061"/>
    </row>
    <row r="125" spans="1:84">
      <c r="A125" s="30">
        <v>44438</v>
      </c>
      <c r="B125" s="384">
        <v>614.55700000000002</v>
      </c>
      <c r="C125" s="842">
        <f t="shared" si="104"/>
        <v>60046.255000000019</v>
      </c>
      <c r="D125" s="851">
        <v>6573.08</v>
      </c>
      <c r="E125" s="843">
        <f t="shared" si="120"/>
        <v>681381.57899999991</v>
      </c>
      <c r="F125" s="243">
        <f t="shared" si="121"/>
        <v>0</v>
      </c>
      <c r="G125" s="240"/>
      <c r="H125" s="280"/>
      <c r="I125" s="240">
        <v>0</v>
      </c>
      <c r="J125" s="240">
        <f t="shared" si="89"/>
        <v>0</v>
      </c>
      <c r="K125" s="280">
        <f t="shared" si="115"/>
        <v>0</v>
      </c>
      <c r="L125" s="240">
        <f t="shared" si="110"/>
        <v>1816571</v>
      </c>
      <c r="M125" s="280">
        <f t="shared" si="90"/>
        <v>30252.860898652205</v>
      </c>
      <c r="N125" s="280">
        <f t="shared" si="91"/>
        <v>3704.2807516410194</v>
      </c>
      <c r="O125" s="1089"/>
      <c r="P125" s="1084"/>
      <c r="Q125" s="77">
        <f t="shared" si="92"/>
        <v>40649</v>
      </c>
      <c r="R125" s="35"/>
      <c r="S125" s="35">
        <v>37746</v>
      </c>
      <c r="T125" s="35">
        <f t="shared" si="80"/>
        <v>2903</v>
      </c>
      <c r="U125" s="36">
        <f t="shared" si="116"/>
        <v>4723.7278234565711</v>
      </c>
      <c r="V125" s="74">
        <f t="shared" si="93"/>
        <v>84888</v>
      </c>
      <c r="W125" s="36">
        <f t="shared" si="94"/>
        <v>1.4137101472856213</v>
      </c>
      <c r="X125" s="1136"/>
      <c r="Y125" s="49">
        <f t="shared" si="122"/>
        <v>797</v>
      </c>
      <c r="Z125" s="50"/>
      <c r="AA125" s="50">
        <v>797</v>
      </c>
      <c r="AB125" s="50">
        <f t="shared" si="81"/>
        <v>0</v>
      </c>
      <c r="AC125" s="51">
        <f t="shared" si="117"/>
        <v>0</v>
      </c>
      <c r="AD125" s="50">
        <f t="shared" si="95"/>
        <v>6357</v>
      </c>
      <c r="AE125" s="51">
        <f t="shared" si="82"/>
        <v>0.10586838429807151</v>
      </c>
      <c r="AF125" s="1047"/>
      <c r="AG125" s="40">
        <f t="shared" si="123"/>
        <v>805</v>
      </c>
      <c r="AH125" s="41"/>
      <c r="AI125" s="41">
        <v>785</v>
      </c>
      <c r="AJ125" s="41">
        <f t="shared" si="111"/>
        <v>20</v>
      </c>
      <c r="AK125" s="42"/>
      <c r="AL125" s="41">
        <f t="shared" si="106"/>
        <v>3690</v>
      </c>
      <c r="AM125" s="42">
        <f t="shared" si="96"/>
        <v>6.1452625147063691E-2</v>
      </c>
      <c r="AN125" s="1058"/>
      <c r="AO125" s="220">
        <v>7.1</v>
      </c>
      <c r="AP125" s="67">
        <v>24</v>
      </c>
      <c r="AQ125" s="68">
        <f t="shared" si="101"/>
        <v>84.697319999999991</v>
      </c>
      <c r="AR125" s="68">
        <f t="shared" si="114"/>
        <v>12.885484430434438</v>
      </c>
      <c r="AS125" s="69">
        <f t="shared" si="107"/>
        <v>7202.2544999999991</v>
      </c>
      <c r="AT125" s="140">
        <f t="shared" si="83"/>
        <v>10.570075156082257</v>
      </c>
      <c r="AU125" s="1073"/>
      <c r="AV125" s="70">
        <v>3.55</v>
      </c>
      <c r="AW125" s="71">
        <v>12</v>
      </c>
      <c r="AX125" s="72">
        <f t="shared" si="102"/>
        <v>22.012697999999997</v>
      </c>
      <c r="AY125" s="72">
        <f t="shared" si="127"/>
        <v>3.3489167939535189</v>
      </c>
      <c r="AZ125" s="73">
        <f t="shared" si="108"/>
        <v>2173.3663800000008</v>
      </c>
      <c r="BA125" s="192">
        <f t="shared" si="84"/>
        <v>3.1896465166986867</v>
      </c>
      <c r="BB125" s="1075"/>
      <c r="BC125" s="90">
        <f t="shared" si="119"/>
        <v>19797</v>
      </c>
      <c r="BD125" s="59"/>
      <c r="BE125" s="56">
        <v>16723</v>
      </c>
      <c r="BF125" s="56">
        <f t="shared" si="103"/>
        <v>3074</v>
      </c>
      <c r="BG125" s="58">
        <f t="shared" si="97"/>
        <v>47289</v>
      </c>
      <c r="BH125" s="58">
        <f t="shared" si="85"/>
        <v>69.401641396589625</v>
      </c>
      <c r="BI125" s="1140"/>
      <c r="BJ125" s="63">
        <f t="shared" si="124"/>
        <v>1900</v>
      </c>
      <c r="BK125" s="64"/>
      <c r="BL125" s="64">
        <v>1810</v>
      </c>
      <c r="BM125" s="64">
        <f t="shared" si="98"/>
        <v>90</v>
      </c>
      <c r="BN125" s="65"/>
      <c r="BO125" s="64">
        <f t="shared" si="99"/>
        <v>11190</v>
      </c>
      <c r="BP125" s="65">
        <f t="shared" si="100"/>
        <v>0.18635633479556712</v>
      </c>
      <c r="BQ125" s="1071"/>
      <c r="BR125" s="77">
        <f t="shared" si="125"/>
        <v>41380</v>
      </c>
      <c r="BS125" s="35"/>
      <c r="BT125" s="35">
        <v>38680</v>
      </c>
      <c r="BU125" s="74">
        <f t="shared" si="112"/>
        <v>2700</v>
      </c>
      <c r="BV125" s="74">
        <f t="shared" si="113"/>
        <v>312981</v>
      </c>
      <c r="BW125" s="74">
        <f t="shared" si="86"/>
        <v>459.33293421188898</v>
      </c>
      <c r="BX125" s="1098"/>
      <c r="BY125" s="295">
        <f t="shared" si="126"/>
        <v>1750</v>
      </c>
      <c r="BZ125" s="296"/>
      <c r="CA125" s="296">
        <v>1650</v>
      </c>
      <c r="CB125" s="296">
        <f t="shared" si="87"/>
        <v>100</v>
      </c>
      <c r="CC125" s="297"/>
      <c r="CD125" s="296">
        <f t="shared" si="109"/>
        <v>30550</v>
      </c>
      <c r="CE125" s="297">
        <f t="shared" si="88"/>
        <v>0.50877444396823734</v>
      </c>
      <c r="CF125" s="1061"/>
    </row>
    <row r="126" spans="1:84" ht="15.75" thickBot="1">
      <c r="A126" s="30">
        <v>44439</v>
      </c>
      <c r="B126" s="385">
        <v>644.87099999999998</v>
      </c>
      <c r="C126" s="845">
        <f t="shared" si="104"/>
        <v>60691.126000000018</v>
      </c>
      <c r="D126" s="852">
        <v>6389.3</v>
      </c>
      <c r="E126" s="847">
        <f t="shared" si="120"/>
        <v>687770.87899999996</v>
      </c>
      <c r="F126" s="243">
        <f t="shared" si="121"/>
        <v>0</v>
      </c>
      <c r="G126" s="240"/>
      <c r="H126" s="280"/>
      <c r="I126" s="240">
        <v>0</v>
      </c>
      <c r="J126" s="240">
        <f t="shared" si="89"/>
        <v>0</v>
      </c>
      <c r="K126" s="280">
        <f t="shared" si="115"/>
        <v>0</v>
      </c>
      <c r="L126" s="240">
        <f t="shared" si="110"/>
        <v>1816571</v>
      </c>
      <c r="M126" s="280">
        <f t="shared" si="90"/>
        <v>29931.410400920879</v>
      </c>
      <c r="N126" s="280">
        <f t="shared" si="91"/>
        <v>3664.9210727220375</v>
      </c>
      <c r="O126" s="1090"/>
      <c r="P126" s="1085"/>
      <c r="Q126" s="79">
        <f t="shared" si="92"/>
        <v>37746</v>
      </c>
      <c r="R126" s="76"/>
      <c r="S126" s="76">
        <v>34002</v>
      </c>
      <c r="T126" s="76">
        <f t="shared" si="80"/>
        <v>3744</v>
      </c>
      <c r="U126" s="80">
        <f t="shared" si="116"/>
        <v>5805.8123252557489</v>
      </c>
      <c r="V126" s="81">
        <f t="shared" si="93"/>
        <v>88632</v>
      </c>
      <c r="W126" s="80">
        <f t="shared" si="94"/>
        <v>1.4603782437649941</v>
      </c>
      <c r="X126" s="1137"/>
      <c r="Y126" s="83">
        <f t="shared" si="122"/>
        <v>797</v>
      </c>
      <c r="Z126" s="82"/>
      <c r="AA126" s="82">
        <v>725</v>
      </c>
      <c r="AB126" s="82">
        <f t="shared" si="81"/>
        <v>72</v>
      </c>
      <c r="AC126" s="84">
        <f t="shared" si="117"/>
        <v>0.11165023702414902</v>
      </c>
      <c r="AD126" s="82">
        <f t="shared" si="95"/>
        <v>6429</v>
      </c>
      <c r="AE126" s="84">
        <f t="shared" si="82"/>
        <v>0.10592981913039475</v>
      </c>
      <c r="AF126" s="1048"/>
      <c r="AG126" s="40">
        <f t="shared" si="123"/>
        <v>785</v>
      </c>
      <c r="AH126" s="41"/>
      <c r="AI126" s="41">
        <v>745</v>
      </c>
      <c r="AJ126" s="41">
        <f t="shared" si="111"/>
        <v>40</v>
      </c>
      <c r="AK126" s="42"/>
      <c r="AL126" s="41">
        <f t="shared" si="106"/>
        <v>3730</v>
      </c>
      <c r="AM126" s="42">
        <f t="shared" si="96"/>
        <v>6.1458737806248623E-2</v>
      </c>
      <c r="AN126" s="1059"/>
      <c r="AO126" s="220">
        <v>8.85</v>
      </c>
      <c r="AP126" s="67">
        <v>24</v>
      </c>
      <c r="AQ126" s="68">
        <f t="shared" si="101"/>
        <v>105.57341999999998</v>
      </c>
      <c r="AR126" s="68">
        <f t="shared" si="114"/>
        <v>16.523472054841687</v>
      </c>
      <c r="AS126" s="69">
        <f t="shared" si="107"/>
        <v>7307.8279199999988</v>
      </c>
      <c r="AT126" s="140">
        <f t="shared" si="83"/>
        <v>10.625381421535877</v>
      </c>
      <c r="AU126" s="1074"/>
      <c r="AV126" s="113">
        <v>2.7</v>
      </c>
      <c r="AW126" s="104">
        <v>12</v>
      </c>
      <c r="AX126" s="105">
        <f t="shared" si="102"/>
        <v>16.742052000000005</v>
      </c>
      <c r="AY126" s="105">
        <f t="shared" si="127"/>
        <v>2.6203264833393334</v>
      </c>
      <c r="AZ126" s="106">
        <f t="shared" si="108"/>
        <v>2190.1084320000009</v>
      </c>
      <c r="BA126" s="193">
        <f t="shared" si="84"/>
        <v>3.1843576093020376</v>
      </c>
      <c r="BB126" s="1076"/>
      <c r="BC126" s="87">
        <f t="shared" si="119"/>
        <v>16723</v>
      </c>
      <c r="BD126" s="100"/>
      <c r="BE126" s="88">
        <v>16723</v>
      </c>
      <c r="BF126" s="88">
        <f t="shared" si="103"/>
        <v>0</v>
      </c>
      <c r="BG126" s="89">
        <f t="shared" si="97"/>
        <v>47289</v>
      </c>
      <c r="BH126" s="89">
        <f t="shared" si="85"/>
        <v>68.756909377665011</v>
      </c>
      <c r="BI126" s="1141"/>
      <c r="BJ126" s="207">
        <f t="shared" si="124"/>
        <v>1810</v>
      </c>
      <c r="BK126" s="85"/>
      <c r="BL126" s="85">
        <v>1420</v>
      </c>
      <c r="BM126" s="85">
        <f t="shared" si="98"/>
        <v>390</v>
      </c>
      <c r="BN126" s="86"/>
      <c r="BO126" s="85">
        <f t="shared" si="99"/>
        <v>11580</v>
      </c>
      <c r="BP126" s="86">
        <f t="shared" si="100"/>
        <v>0.19080219404728124</v>
      </c>
      <c r="BQ126" s="1072"/>
      <c r="BR126" s="79">
        <f t="shared" si="125"/>
        <v>38680</v>
      </c>
      <c r="BS126" s="76"/>
      <c r="BT126" s="76">
        <v>34080</v>
      </c>
      <c r="BU126" s="81">
        <f t="shared" si="112"/>
        <v>4600</v>
      </c>
      <c r="BV126" s="81">
        <f t="shared" si="113"/>
        <v>317581</v>
      </c>
      <c r="BW126" s="81">
        <f t="shared" si="86"/>
        <v>461.75406621134363</v>
      </c>
      <c r="BX126" s="1099"/>
      <c r="BY126" s="295">
        <f t="shared" si="126"/>
        <v>1650</v>
      </c>
      <c r="BZ126" s="296"/>
      <c r="CA126" s="296">
        <v>1240</v>
      </c>
      <c r="CB126" s="296">
        <f t="shared" si="87"/>
        <v>410</v>
      </c>
      <c r="CC126" s="297"/>
      <c r="CD126" s="296">
        <f t="shared" si="109"/>
        <v>30960</v>
      </c>
      <c r="CE126" s="297">
        <f t="shared" si="88"/>
        <v>0.51012400066527008</v>
      </c>
      <c r="CF126" s="1062"/>
    </row>
    <row r="127" spans="1:84">
      <c r="A127" s="30">
        <v>44440</v>
      </c>
      <c r="B127" s="386">
        <v>626.38</v>
      </c>
      <c r="C127" s="848">
        <f t="shared" si="104"/>
        <v>61317.506000000016</v>
      </c>
      <c r="D127" s="853">
        <v>6694.56</v>
      </c>
      <c r="E127" s="850">
        <f t="shared" si="120"/>
        <v>694465.43900000001</v>
      </c>
      <c r="F127" s="242">
        <f t="shared" si="121"/>
        <v>0</v>
      </c>
      <c r="G127" s="241"/>
      <c r="H127" s="313"/>
      <c r="I127" s="241">
        <v>0</v>
      </c>
      <c r="J127" s="241">
        <f t="shared" si="89"/>
        <v>0</v>
      </c>
      <c r="K127" s="313">
        <f t="shared" si="115"/>
        <v>0</v>
      </c>
      <c r="L127" s="241">
        <f t="shared" si="110"/>
        <v>1816571</v>
      </c>
      <c r="M127" s="313">
        <f t="shared" si="90"/>
        <v>29625.650462691676</v>
      </c>
      <c r="N127" s="313">
        <f t="shared" si="91"/>
        <v>3627.4826083863936</v>
      </c>
      <c r="O127" s="1052">
        <f>SUM(J127:J156)/SUM(B127:B156)</f>
        <v>8.6110374641803524</v>
      </c>
      <c r="P127" s="1083">
        <f>O127/8.167</f>
        <v>1.0543697152173812</v>
      </c>
      <c r="Q127" s="117">
        <f t="shared" si="92"/>
        <v>34002</v>
      </c>
      <c r="R127" s="118"/>
      <c r="S127" s="118">
        <v>29694</v>
      </c>
      <c r="T127" s="118">
        <f t="shared" si="80"/>
        <v>4308</v>
      </c>
      <c r="U127" s="119">
        <f t="shared" si="116"/>
        <v>6877.6142277850504</v>
      </c>
      <c r="V127" s="120">
        <f t="shared" si="93"/>
        <v>92940</v>
      </c>
      <c r="W127" s="119">
        <f t="shared" si="94"/>
        <v>1.5157172243763466</v>
      </c>
      <c r="X127" s="1135">
        <f>SUM(T127:T156)/SUM(B127:B156)</f>
        <v>4.2112948222282638</v>
      </c>
      <c r="Y127" s="121">
        <f t="shared" si="122"/>
        <v>725</v>
      </c>
      <c r="Z127" s="122"/>
      <c r="AA127" s="122">
        <v>689</v>
      </c>
      <c r="AB127" s="122">
        <f t="shared" si="81"/>
        <v>36</v>
      </c>
      <c r="AC127" s="123">
        <f t="shared" si="117"/>
        <v>5.7473099396532459E-2</v>
      </c>
      <c r="AD127" s="122">
        <f t="shared" si="95"/>
        <v>6465</v>
      </c>
      <c r="AE127" s="123">
        <f t="shared" si="82"/>
        <v>0.10543481660849022</v>
      </c>
      <c r="AF127" s="1046">
        <f>SUM(AB127:AB156)/SUM(B127:B156)</f>
        <v>9.7239074977494191E-2</v>
      </c>
      <c r="AG127" s="124">
        <f t="shared" si="123"/>
        <v>745</v>
      </c>
      <c r="AH127" s="125"/>
      <c r="AI127" s="125">
        <v>705</v>
      </c>
      <c r="AJ127" s="125">
        <f t="shared" si="111"/>
        <v>40</v>
      </c>
      <c r="AK127" s="126">
        <f t="shared" ref="AK127:AK155" si="128">AJ127*1000/B127</f>
        <v>63.858999329480504</v>
      </c>
      <c r="AL127" s="125">
        <f t="shared" si="106"/>
        <v>3770</v>
      </c>
      <c r="AM127" s="126">
        <f t="shared" si="96"/>
        <v>6.148325732621935E-2</v>
      </c>
      <c r="AN127" s="1057">
        <f>SUM(AJ127:AJ156)/SUM(B127:B156)</f>
        <v>5.4821183919658463E-2</v>
      </c>
      <c r="AO127" s="219">
        <v>8.1999999999999993</v>
      </c>
      <c r="AP127" s="135">
        <v>24</v>
      </c>
      <c r="AQ127" s="102">
        <f t="shared" si="101"/>
        <v>97.819439999999986</v>
      </c>
      <c r="AR127" s="102">
        <f t="shared" si="114"/>
        <v>14.611780311178029</v>
      </c>
      <c r="AS127" s="103">
        <f t="shared" si="107"/>
        <v>7405.647359999999</v>
      </c>
      <c r="AT127" s="136">
        <f t="shared" si="83"/>
        <v>10.663809808395662</v>
      </c>
      <c r="AU127" s="1064">
        <f>1000*SUM(AQ127:AQ156)/SUM(D127:D156)</f>
        <v>14.221550567470498</v>
      </c>
      <c r="AV127" s="277">
        <v>3.1</v>
      </c>
      <c r="AW127" s="137">
        <v>12</v>
      </c>
      <c r="AX127" s="138">
        <f t="shared" si="102"/>
        <v>19.222356000000001</v>
      </c>
      <c r="AY127" s="138">
        <f t="shared" si="127"/>
        <v>2.8713397146339714</v>
      </c>
      <c r="AZ127" s="139">
        <f t="shared" si="108"/>
        <v>2209.3307880000011</v>
      </c>
      <c r="BA127" s="194">
        <f t="shared" si="84"/>
        <v>3.1813401559353927</v>
      </c>
      <c r="BB127" s="1065">
        <f>1000*SUM(AX127:AX156)/SUM(D127:D156)</f>
        <v>3.5710074568420787</v>
      </c>
      <c r="BC127" s="127">
        <f t="shared" si="119"/>
        <v>16723</v>
      </c>
      <c r="BD127" s="128"/>
      <c r="BE127" s="129">
        <v>14160</v>
      </c>
      <c r="BF127" s="129">
        <f t="shared" si="103"/>
        <v>2563</v>
      </c>
      <c r="BG127" s="130">
        <f t="shared" si="97"/>
        <v>49852</v>
      </c>
      <c r="BH127" s="130">
        <f t="shared" si="85"/>
        <v>71.784709793167977</v>
      </c>
      <c r="BI127" s="1139">
        <f>1000*SUM(BF127:BF156)/SUM(D127:D156)</f>
        <v>63.746617712045861</v>
      </c>
      <c r="BJ127" s="63">
        <f t="shared" si="124"/>
        <v>1420</v>
      </c>
      <c r="BK127" s="64"/>
      <c r="BL127" s="64">
        <v>1420</v>
      </c>
      <c r="BM127" s="64">
        <f t="shared" si="98"/>
        <v>0</v>
      </c>
      <c r="BN127" s="65"/>
      <c r="BO127" s="64">
        <f t="shared" si="99"/>
        <v>11580</v>
      </c>
      <c r="BP127" s="65">
        <f t="shared" si="100"/>
        <v>0.18885308218504512</v>
      </c>
      <c r="BQ127" s="1067">
        <v>6.53225138583374E-2</v>
      </c>
      <c r="BR127" s="117">
        <f t="shared" si="125"/>
        <v>34080</v>
      </c>
      <c r="BS127" s="118"/>
      <c r="BT127" s="118">
        <v>30000</v>
      </c>
      <c r="BU127" s="120">
        <f t="shared" si="112"/>
        <v>4080</v>
      </c>
      <c r="BV127" s="120">
        <f t="shared" si="113"/>
        <v>321661</v>
      </c>
      <c r="BW127" s="120">
        <f t="shared" si="86"/>
        <v>463.17783713351929</v>
      </c>
      <c r="BX127" s="1063">
        <f>1000*SUM(BU127:BU156)/SUM(D127:D156)</f>
        <v>394.98461017279845</v>
      </c>
      <c r="BY127" s="301">
        <f t="shared" si="126"/>
        <v>1240</v>
      </c>
      <c r="BZ127" s="302"/>
      <c r="CA127" s="302">
        <v>920</v>
      </c>
      <c r="CB127" s="302">
        <f t="shared" si="87"/>
        <v>320</v>
      </c>
      <c r="CC127" s="304"/>
      <c r="CD127" s="302">
        <f t="shared" si="109"/>
        <v>31280</v>
      </c>
      <c r="CE127" s="304">
        <f t="shared" si="88"/>
        <v>0.5101316416881011</v>
      </c>
      <c r="CF127" s="1060">
        <v>0.55132338061026798</v>
      </c>
    </row>
    <row r="128" spans="1:84">
      <c r="A128" s="30">
        <v>44441</v>
      </c>
      <c r="B128" s="387">
        <v>564.37900000000002</v>
      </c>
      <c r="C128" s="842">
        <f t="shared" si="104"/>
        <v>61881.885000000017</v>
      </c>
      <c r="D128" s="854">
        <v>5690.66</v>
      </c>
      <c r="E128" s="843">
        <f t="shared" si="120"/>
        <v>700156.09900000005</v>
      </c>
      <c r="F128" s="243">
        <f t="shared" si="121"/>
        <v>0</v>
      </c>
      <c r="G128" s="240"/>
      <c r="H128" s="280"/>
      <c r="I128" s="240">
        <v>0</v>
      </c>
      <c r="J128" s="240">
        <f t="shared" si="89"/>
        <v>0</v>
      </c>
      <c r="K128" s="280">
        <f t="shared" si="115"/>
        <v>0</v>
      </c>
      <c r="L128" s="240">
        <f t="shared" si="110"/>
        <v>1816571</v>
      </c>
      <c r="M128" s="280">
        <f t="shared" si="90"/>
        <v>29355.456770588025</v>
      </c>
      <c r="N128" s="280">
        <f t="shared" si="91"/>
        <v>3594.3990168468258</v>
      </c>
      <c r="O128" s="1089"/>
      <c r="P128" s="1084"/>
      <c r="Q128" s="77">
        <f t="shared" si="92"/>
        <v>29694</v>
      </c>
      <c r="R128" s="35"/>
      <c r="S128" s="35">
        <v>27545</v>
      </c>
      <c r="T128" s="35">
        <f t="shared" si="80"/>
        <v>2149</v>
      </c>
      <c r="U128" s="36">
        <f t="shared" si="116"/>
        <v>3807.7249507866168</v>
      </c>
      <c r="V128" s="74">
        <f t="shared" si="93"/>
        <v>95089</v>
      </c>
      <c r="W128" s="36">
        <f t="shared" si="94"/>
        <v>1.5366209351896758</v>
      </c>
      <c r="X128" s="1136"/>
      <c r="Y128" s="49">
        <f t="shared" si="122"/>
        <v>689</v>
      </c>
      <c r="Z128" s="50"/>
      <c r="AA128" s="50">
        <v>617</v>
      </c>
      <c r="AB128" s="50">
        <f t="shared" si="81"/>
        <v>72</v>
      </c>
      <c r="AC128" s="51">
        <f t="shared" si="117"/>
        <v>0.12757384665269261</v>
      </c>
      <c r="AD128" s="50">
        <f t="shared" si="95"/>
        <v>6537</v>
      </c>
      <c r="AE128" s="51">
        <f t="shared" si="82"/>
        <v>0.10563673036139733</v>
      </c>
      <c r="AF128" s="1047"/>
      <c r="AG128" s="40">
        <f t="shared" si="123"/>
        <v>705</v>
      </c>
      <c r="AH128" s="41"/>
      <c r="AI128" s="41">
        <v>686</v>
      </c>
      <c r="AJ128" s="41">
        <f t="shared" si="111"/>
        <v>19</v>
      </c>
      <c r="AK128" s="42">
        <f t="shared" si="128"/>
        <v>33.66532064446055</v>
      </c>
      <c r="AL128" s="41">
        <f t="shared" si="106"/>
        <v>3789</v>
      </c>
      <c r="AM128" s="42">
        <f t="shared" si="96"/>
        <v>6.1229550457294557E-2</v>
      </c>
      <c r="AN128" s="1058"/>
      <c r="AO128" s="220">
        <v>7.4</v>
      </c>
      <c r="AP128" s="67">
        <v>24</v>
      </c>
      <c r="AQ128" s="68">
        <f t="shared" si="101"/>
        <v>88.276080000000007</v>
      </c>
      <c r="AR128" s="68">
        <f t="shared" si="114"/>
        <v>15.512450225457153</v>
      </c>
      <c r="AS128" s="69">
        <f t="shared" si="107"/>
        <v>7493.9234399999987</v>
      </c>
      <c r="AT128" s="140">
        <f t="shared" si="83"/>
        <v>10.703218111937062</v>
      </c>
      <c r="AU128" s="1073"/>
      <c r="AV128" s="70">
        <v>3.62</v>
      </c>
      <c r="AW128" s="71">
        <v>12</v>
      </c>
      <c r="AX128" s="72">
        <f t="shared" si="102"/>
        <v>22.446751200000001</v>
      </c>
      <c r="AY128" s="72">
        <f t="shared" si="127"/>
        <v>3.9444899537136293</v>
      </c>
      <c r="AZ128" s="73">
        <f t="shared" si="108"/>
        <v>2231.7775392000012</v>
      </c>
      <c r="BA128" s="192">
        <f t="shared" si="84"/>
        <v>3.1875428099355902</v>
      </c>
      <c r="BB128" s="1075"/>
      <c r="BC128" s="90">
        <f t="shared" si="119"/>
        <v>14160</v>
      </c>
      <c r="BD128" s="59"/>
      <c r="BE128" s="56">
        <v>14160</v>
      </c>
      <c r="BF128" s="56">
        <f t="shared" si="103"/>
        <v>0</v>
      </c>
      <c r="BG128" s="58">
        <f t="shared" si="97"/>
        <v>49852</v>
      </c>
      <c r="BH128" s="58">
        <f t="shared" si="85"/>
        <v>71.201265076746836</v>
      </c>
      <c r="BI128" s="1140"/>
      <c r="BJ128" s="63">
        <f t="shared" si="124"/>
        <v>1420</v>
      </c>
      <c r="BK128" s="64">
        <v>1100</v>
      </c>
      <c r="BL128" s="64">
        <v>2440</v>
      </c>
      <c r="BM128" s="64">
        <f t="shared" si="98"/>
        <v>80</v>
      </c>
      <c r="BN128" s="65"/>
      <c r="BO128" s="64">
        <f t="shared" si="99"/>
        <v>11660</v>
      </c>
      <c r="BP128" s="65">
        <f t="shared" si="100"/>
        <v>0.18842347805015955</v>
      </c>
      <c r="BQ128" s="1071"/>
      <c r="BR128" s="77">
        <f t="shared" si="125"/>
        <v>30000</v>
      </c>
      <c r="BS128" s="35"/>
      <c r="BT128" s="35">
        <v>26653</v>
      </c>
      <c r="BU128" s="74">
        <f t="shared" si="112"/>
        <v>3347</v>
      </c>
      <c r="BV128" s="74">
        <f t="shared" si="113"/>
        <v>325008</v>
      </c>
      <c r="BW128" s="74">
        <f t="shared" si="86"/>
        <v>464.19362834115651</v>
      </c>
      <c r="BX128" s="1098"/>
      <c r="BY128" s="295">
        <f t="shared" si="126"/>
        <v>920</v>
      </c>
      <c r="BZ128" s="296">
        <v>2300</v>
      </c>
      <c r="CA128" s="296">
        <v>2540</v>
      </c>
      <c r="CB128" s="296">
        <f t="shared" si="87"/>
        <v>680</v>
      </c>
      <c r="CC128" s="297"/>
      <c r="CD128" s="296">
        <f t="shared" si="109"/>
        <v>31960</v>
      </c>
      <c r="CE128" s="297">
        <f t="shared" si="88"/>
        <v>0.51646778374640645</v>
      </c>
      <c r="CF128" s="1061"/>
    </row>
    <row r="129" spans="1:84">
      <c r="A129" s="30">
        <v>44442</v>
      </c>
      <c r="B129" s="387">
        <v>567.20299999999997</v>
      </c>
      <c r="C129" s="842">
        <f t="shared" si="104"/>
        <v>62449.088000000018</v>
      </c>
      <c r="D129" s="854">
        <v>6690.52</v>
      </c>
      <c r="E129" s="843">
        <f t="shared" si="120"/>
        <v>706846.61900000006</v>
      </c>
      <c r="F129" s="243">
        <f t="shared" si="121"/>
        <v>0</v>
      </c>
      <c r="G129" s="240"/>
      <c r="H129" s="280"/>
      <c r="I129" s="240">
        <v>0</v>
      </c>
      <c r="J129" s="240">
        <f t="shared" si="89"/>
        <v>0</v>
      </c>
      <c r="K129" s="280">
        <f t="shared" si="115"/>
        <v>0</v>
      </c>
      <c r="L129" s="240">
        <f t="shared" si="110"/>
        <v>1816571</v>
      </c>
      <c r="M129" s="280">
        <f t="shared" si="90"/>
        <v>29088.831529453233</v>
      </c>
      <c r="N129" s="280">
        <f t="shared" si="91"/>
        <v>3561.7523606530222</v>
      </c>
      <c r="O129" s="1089"/>
      <c r="P129" s="1084"/>
      <c r="Q129" s="77">
        <f t="shared" si="92"/>
        <v>27545</v>
      </c>
      <c r="R129" s="35"/>
      <c r="S129" s="35">
        <v>24343</v>
      </c>
      <c r="T129" s="35">
        <f t="shared" si="80"/>
        <v>3202</v>
      </c>
      <c r="U129" s="36">
        <f t="shared" si="116"/>
        <v>5645.2451767709272</v>
      </c>
      <c r="V129" s="74">
        <f t="shared" si="93"/>
        <v>98291</v>
      </c>
      <c r="W129" s="36">
        <f t="shared" si="94"/>
        <v>1.5739381173989277</v>
      </c>
      <c r="X129" s="1136"/>
      <c r="Y129" s="49">
        <f t="shared" si="122"/>
        <v>617</v>
      </c>
      <c r="Z129" s="50"/>
      <c r="AA129" s="50">
        <v>563</v>
      </c>
      <c r="AB129" s="50">
        <f t="shared" si="81"/>
        <v>54</v>
      </c>
      <c r="AC129" s="51">
        <f t="shared" si="117"/>
        <v>9.5204009851851984E-2</v>
      </c>
      <c r="AD129" s="50">
        <f t="shared" si="95"/>
        <v>6591</v>
      </c>
      <c r="AE129" s="51">
        <f t="shared" si="82"/>
        <v>0.10554197364739736</v>
      </c>
      <c r="AF129" s="1047"/>
      <c r="AG129" s="40">
        <f t="shared" si="123"/>
        <v>686</v>
      </c>
      <c r="AH129" s="41"/>
      <c r="AI129" s="41">
        <v>646</v>
      </c>
      <c r="AJ129" s="41">
        <f t="shared" si="111"/>
        <v>40</v>
      </c>
      <c r="AK129" s="42">
        <f t="shared" si="128"/>
        <v>70.521488779149621</v>
      </c>
      <c r="AL129" s="41">
        <f t="shared" si="106"/>
        <v>3829</v>
      </c>
      <c r="AM129" s="42">
        <f t="shared" si="96"/>
        <v>6.1313945849777646E-2</v>
      </c>
      <c r="AN129" s="1058"/>
      <c r="AO129" s="220">
        <v>6.8</v>
      </c>
      <c r="AP129" s="67">
        <v>24</v>
      </c>
      <c r="AQ129" s="68">
        <f t="shared" si="101"/>
        <v>81.118559999999988</v>
      </c>
      <c r="AR129" s="68">
        <f t="shared" si="114"/>
        <v>12.124402886472199</v>
      </c>
      <c r="AS129" s="69">
        <f t="shared" si="107"/>
        <v>7575.0419999999986</v>
      </c>
      <c r="AT129" s="140">
        <f t="shared" si="83"/>
        <v>10.71667006162761</v>
      </c>
      <c r="AU129" s="1073"/>
      <c r="AV129" s="70">
        <v>3.15</v>
      </c>
      <c r="AW129" s="71">
        <v>12</v>
      </c>
      <c r="AX129" s="72">
        <f t="shared" si="102"/>
        <v>19.532394</v>
      </c>
      <c r="AY129" s="72">
        <f t="shared" si="127"/>
        <v>2.9194134387162731</v>
      </c>
      <c r="AZ129" s="73">
        <f t="shared" si="108"/>
        <v>2251.3099332000011</v>
      </c>
      <c r="BA129" s="192">
        <f t="shared" si="84"/>
        <v>3.1850048832163984</v>
      </c>
      <c r="BB129" s="1075"/>
      <c r="BC129" s="90">
        <f t="shared" si="119"/>
        <v>14160</v>
      </c>
      <c r="BD129" s="59"/>
      <c r="BE129" s="56">
        <v>14160</v>
      </c>
      <c r="BF129" s="56">
        <f t="shared" si="103"/>
        <v>0</v>
      </c>
      <c r="BG129" s="58">
        <f t="shared" si="97"/>
        <v>49852</v>
      </c>
      <c r="BH129" s="58">
        <f t="shared" si="85"/>
        <v>70.527323269265011</v>
      </c>
      <c r="BI129" s="1140"/>
      <c r="BJ129" s="63">
        <f t="shared" si="124"/>
        <v>2440</v>
      </c>
      <c r="BK129" s="64"/>
      <c r="BL129" s="64">
        <v>2420</v>
      </c>
      <c r="BM129" s="64">
        <f t="shared" si="98"/>
        <v>20</v>
      </c>
      <c r="BN129" s="65"/>
      <c r="BO129" s="64">
        <f t="shared" si="99"/>
        <v>11680</v>
      </c>
      <c r="BP129" s="65">
        <f t="shared" si="100"/>
        <v>0.18703235506017313</v>
      </c>
      <c r="BQ129" s="1071"/>
      <c r="BR129" s="77">
        <f t="shared" si="125"/>
        <v>26653</v>
      </c>
      <c r="BS129" s="35"/>
      <c r="BT129" s="35">
        <v>23705</v>
      </c>
      <c r="BU129" s="74">
        <f t="shared" si="112"/>
        <v>2948</v>
      </c>
      <c r="BV129" s="74">
        <f t="shared" si="113"/>
        <v>327956</v>
      </c>
      <c r="BW129" s="74">
        <f t="shared" si="86"/>
        <v>463.97052936883324</v>
      </c>
      <c r="BX129" s="1098"/>
      <c r="BY129" s="295">
        <f t="shared" si="126"/>
        <v>2540</v>
      </c>
      <c r="BZ129" s="296"/>
      <c r="CA129" s="296">
        <v>2380</v>
      </c>
      <c r="CB129" s="296">
        <f t="shared" si="87"/>
        <v>160</v>
      </c>
      <c r="CC129" s="297"/>
      <c r="CD129" s="296">
        <f t="shared" si="109"/>
        <v>32120</v>
      </c>
      <c r="CE129" s="297">
        <f t="shared" si="88"/>
        <v>0.5143389764154761</v>
      </c>
      <c r="CF129" s="1061"/>
    </row>
    <row r="130" spans="1:84">
      <c r="A130" s="30">
        <v>44443</v>
      </c>
      <c r="B130" s="387">
        <v>551.21699999999998</v>
      </c>
      <c r="C130" s="842">
        <f t="shared" si="104"/>
        <v>63000.305000000015</v>
      </c>
      <c r="D130" s="854">
        <v>5636.54</v>
      </c>
      <c r="E130" s="843">
        <f t="shared" si="120"/>
        <v>712483.1590000001</v>
      </c>
      <c r="F130" s="243">
        <f t="shared" si="121"/>
        <v>0</v>
      </c>
      <c r="G130" s="240"/>
      <c r="H130" s="280"/>
      <c r="I130" s="240">
        <v>0</v>
      </c>
      <c r="J130" s="240">
        <f t="shared" si="89"/>
        <v>0</v>
      </c>
      <c r="K130" s="280">
        <f t="shared" si="115"/>
        <v>0</v>
      </c>
      <c r="L130" s="240">
        <f t="shared" si="110"/>
        <v>1816571</v>
      </c>
      <c r="M130" s="280">
        <f t="shared" si="90"/>
        <v>28834.320722733002</v>
      </c>
      <c r="N130" s="280">
        <f t="shared" si="91"/>
        <v>3530.5890440471412</v>
      </c>
      <c r="O130" s="1089"/>
      <c r="P130" s="1084"/>
      <c r="Q130" s="77">
        <f t="shared" si="92"/>
        <v>24343</v>
      </c>
      <c r="R130" s="35"/>
      <c r="S130" s="35">
        <v>21710</v>
      </c>
      <c r="T130" s="35">
        <f t="shared" si="80"/>
        <v>2633</v>
      </c>
      <c r="U130" s="36">
        <f t="shared" si="116"/>
        <v>4776.7031858596529</v>
      </c>
      <c r="V130" s="74">
        <f t="shared" si="93"/>
        <v>100924</v>
      </c>
      <c r="W130" s="36">
        <f t="shared" si="94"/>
        <v>1.6019604984452056</v>
      </c>
      <c r="X130" s="1136"/>
      <c r="Y130" s="49">
        <f t="shared" si="122"/>
        <v>563</v>
      </c>
      <c r="Z130" s="50"/>
      <c r="AA130" s="50">
        <v>563</v>
      </c>
      <c r="AB130" s="50">
        <f t="shared" si="81"/>
        <v>0</v>
      </c>
      <c r="AC130" s="51">
        <f t="shared" si="117"/>
        <v>0</v>
      </c>
      <c r="AD130" s="50">
        <f t="shared" si="95"/>
        <v>6591</v>
      </c>
      <c r="AE130" s="51">
        <f t="shared" si="82"/>
        <v>0.10461854113245957</v>
      </c>
      <c r="AF130" s="1047"/>
      <c r="AG130" s="40">
        <f t="shared" si="123"/>
        <v>646</v>
      </c>
      <c r="AH130" s="41"/>
      <c r="AI130" s="41">
        <v>606</v>
      </c>
      <c r="AJ130" s="41">
        <f t="shared" si="111"/>
        <v>40</v>
      </c>
      <c r="AK130" s="42">
        <f t="shared" si="128"/>
        <v>72.5667024057676</v>
      </c>
      <c r="AL130" s="41">
        <f t="shared" si="106"/>
        <v>3869</v>
      </c>
      <c r="AM130" s="42">
        <f t="shared" si="96"/>
        <v>6.141240109869308E-2</v>
      </c>
      <c r="AN130" s="1058"/>
      <c r="AO130" s="220">
        <v>6.8</v>
      </c>
      <c r="AP130" s="67">
        <v>24</v>
      </c>
      <c r="AQ130" s="68">
        <f t="shared" si="101"/>
        <v>81.118559999999988</v>
      </c>
      <c r="AR130" s="68">
        <f t="shared" si="114"/>
        <v>14.391552264332372</v>
      </c>
      <c r="AS130" s="69">
        <f t="shared" si="107"/>
        <v>7656.1605599999984</v>
      </c>
      <c r="AT130" s="140">
        <f t="shared" si="83"/>
        <v>10.745742496911422</v>
      </c>
      <c r="AU130" s="1073"/>
      <c r="AV130" s="70">
        <v>3</v>
      </c>
      <c r="AW130" s="71">
        <v>12</v>
      </c>
      <c r="AX130" s="72">
        <f t="shared" si="102"/>
        <v>18.60228</v>
      </c>
      <c r="AY130" s="72">
        <f t="shared" si="127"/>
        <v>3.3003012486383487</v>
      </c>
      <c r="AZ130" s="73">
        <f t="shared" si="108"/>
        <v>2269.9122132000011</v>
      </c>
      <c r="BA130" s="192">
        <f t="shared" si="84"/>
        <v>3.1859170066362239</v>
      </c>
      <c r="BB130" s="1075"/>
      <c r="BC130" s="90">
        <f t="shared" si="119"/>
        <v>14160</v>
      </c>
      <c r="BD130" s="59"/>
      <c r="BE130" s="56">
        <v>14160</v>
      </c>
      <c r="BF130" s="56">
        <f t="shared" si="103"/>
        <v>0</v>
      </c>
      <c r="BG130" s="58">
        <f t="shared" si="97"/>
        <v>49852</v>
      </c>
      <c r="BH130" s="58">
        <f t="shared" si="85"/>
        <v>69.969373128719795</v>
      </c>
      <c r="BI130" s="1140"/>
      <c r="BJ130" s="63">
        <f t="shared" si="124"/>
        <v>2420</v>
      </c>
      <c r="BK130" s="64"/>
      <c r="BL130" s="64">
        <v>2240</v>
      </c>
      <c r="BM130" s="64">
        <f t="shared" si="98"/>
        <v>180</v>
      </c>
      <c r="BN130" s="65"/>
      <c r="BO130" s="64">
        <f t="shared" si="99"/>
        <v>11860</v>
      </c>
      <c r="BP130" s="65">
        <f t="shared" si="100"/>
        <v>0.18825305687012145</v>
      </c>
      <c r="BQ130" s="1071"/>
      <c r="BR130" s="77">
        <f t="shared" si="125"/>
        <v>23705</v>
      </c>
      <c r="BS130" s="35"/>
      <c r="BT130" s="35">
        <v>19160</v>
      </c>
      <c r="BU130" s="74">
        <f t="shared" si="112"/>
        <v>4545</v>
      </c>
      <c r="BV130" s="74">
        <f t="shared" si="113"/>
        <v>332501</v>
      </c>
      <c r="BW130" s="74">
        <f t="shared" si="86"/>
        <v>466.67910083191168</v>
      </c>
      <c r="BX130" s="1098"/>
      <c r="BY130" s="295">
        <f t="shared" si="126"/>
        <v>2380</v>
      </c>
      <c r="BZ130" s="296"/>
      <c r="CA130" s="296">
        <v>2175</v>
      </c>
      <c r="CB130" s="296">
        <f t="shared" si="87"/>
        <v>205</v>
      </c>
      <c r="CC130" s="297"/>
      <c r="CD130" s="296">
        <f t="shared" si="109"/>
        <v>32325</v>
      </c>
      <c r="CE130" s="297">
        <f t="shared" si="88"/>
        <v>0.51309275407476185</v>
      </c>
      <c r="CF130" s="1061"/>
    </row>
    <row r="131" spans="1:84">
      <c r="A131" s="30">
        <v>44444</v>
      </c>
      <c r="B131" s="387">
        <v>236.52799999999999</v>
      </c>
      <c r="C131" s="842">
        <f t="shared" si="104"/>
        <v>63236.833000000013</v>
      </c>
      <c r="D131" s="854">
        <v>2777.42</v>
      </c>
      <c r="E131" s="843">
        <f t="shared" si="120"/>
        <v>715260.57900000014</v>
      </c>
      <c r="F131" s="243">
        <f t="shared" si="121"/>
        <v>0</v>
      </c>
      <c r="G131" s="240"/>
      <c r="H131" s="280"/>
      <c r="I131" s="240">
        <v>0</v>
      </c>
      <c r="J131" s="240">
        <f t="shared" si="89"/>
        <v>0</v>
      </c>
      <c r="K131" s="280">
        <f t="shared" si="115"/>
        <v>0</v>
      </c>
      <c r="L131" s="240">
        <f t="shared" si="110"/>
        <v>1816571</v>
      </c>
      <c r="M131" s="280">
        <f t="shared" si="90"/>
        <v>28726.470220290754</v>
      </c>
      <c r="N131" s="280">
        <f t="shared" si="91"/>
        <v>3517.3833990805379</v>
      </c>
      <c r="O131" s="1089"/>
      <c r="P131" s="1084"/>
      <c r="Q131" s="77">
        <f t="shared" si="92"/>
        <v>21710</v>
      </c>
      <c r="R131" s="35"/>
      <c r="S131" s="35">
        <v>19635</v>
      </c>
      <c r="T131" s="35">
        <f t="shared" ref="T131:T194" si="129">Q131+R131-S131</f>
        <v>2075</v>
      </c>
      <c r="U131" s="36">
        <f t="shared" si="116"/>
        <v>8772.745721436786</v>
      </c>
      <c r="V131" s="74">
        <f t="shared" si="93"/>
        <v>102999</v>
      </c>
      <c r="W131" s="36">
        <f t="shared" si="94"/>
        <v>1.6287817576190127</v>
      </c>
      <c r="X131" s="1136"/>
      <c r="Y131" s="49">
        <f t="shared" si="122"/>
        <v>563</v>
      </c>
      <c r="Z131" s="50"/>
      <c r="AA131" s="50">
        <v>493</v>
      </c>
      <c r="AB131" s="50">
        <f t="shared" ref="AB131:AB194" si="130">Y131+Z131-AA131</f>
        <v>70</v>
      </c>
      <c r="AC131" s="51">
        <f t="shared" si="117"/>
        <v>0.29594804843401207</v>
      </c>
      <c r="AD131" s="50">
        <f t="shared" si="95"/>
        <v>6661</v>
      </c>
      <c r="AE131" s="51">
        <f t="shared" ref="AE131:AE194" si="131">AD131/C131</f>
        <v>0.10533418079301977</v>
      </c>
      <c r="AF131" s="1047"/>
      <c r="AG131" s="40">
        <f t="shared" si="123"/>
        <v>606</v>
      </c>
      <c r="AH131" s="41"/>
      <c r="AI131" s="41">
        <v>587</v>
      </c>
      <c r="AJ131" s="41">
        <f t="shared" si="111"/>
        <v>19</v>
      </c>
      <c r="AK131" s="42">
        <f t="shared" si="128"/>
        <v>80.328756003517555</v>
      </c>
      <c r="AL131" s="41">
        <f t="shared" si="106"/>
        <v>3888</v>
      </c>
      <c r="AM131" s="42">
        <f t="shared" si="96"/>
        <v>6.1483154920171271E-2</v>
      </c>
      <c r="AN131" s="1058"/>
      <c r="AO131" s="220">
        <v>2.35</v>
      </c>
      <c r="AP131" s="67">
        <v>24</v>
      </c>
      <c r="AQ131" s="68">
        <f t="shared" si="101"/>
        <v>28.033620000000003</v>
      </c>
      <c r="AR131" s="68">
        <f t="shared" si="114"/>
        <v>10.093403230336069</v>
      </c>
      <c r="AS131" s="69">
        <f t="shared" si="107"/>
        <v>7684.1941799999986</v>
      </c>
      <c r="AT131" s="140">
        <f t="shared" ref="AT131:AT194" si="132">AS131*1000/E131</f>
        <v>10.74320940592477</v>
      </c>
      <c r="AU131" s="1073"/>
      <c r="AV131" s="70">
        <v>1.2</v>
      </c>
      <c r="AW131" s="71">
        <v>12</v>
      </c>
      <c r="AX131" s="72">
        <f t="shared" si="102"/>
        <v>7.440912</v>
      </c>
      <c r="AY131" s="72">
        <f t="shared" si="127"/>
        <v>2.679073384651943</v>
      </c>
      <c r="AZ131" s="73">
        <f t="shared" si="108"/>
        <v>2277.3531252000012</v>
      </c>
      <c r="BA131" s="192">
        <f t="shared" ref="BA131:BA194" si="133">AZ131*1000/E131</f>
        <v>3.1839488880876807</v>
      </c>
      <c r="BB131" s="1075"/>
      <c r="BC131" s="90">
        <f t="shared" si="119"/>
        <v>14160</v>
      </c>
      <c r="BD131" s="59"/>
      <c r="BE131" s="56">
        <v>13950</v>
      </c>
      <c r="BF131" s="56">
        <f t="shared" si="103"/>
        <v>210</v>
      </c>
      <c r="BG131" s="58">
        <f t="shared" si="97"/>
        <v>50062</v>
      </c>
      <c r="BH131" s="58">
        <f t="shared" ref="BH131:BH194" si="134">BG131*1000/E131</f>
        <v>69.991275165746259</v>
      </c>
      <c r="BI131" s="1140"/>
      <c r="BJ131" s="63">
        <f t="shared" si="124"/>
        <v>2240</v>
      </c>
      <c r="BK131" s="64"/>
      <c r="BL131" s="64">
        <v>2020</v>
      </c>
      <c r="BM131" s="64">
        <f t="shared" si="98"/>
        <v>220</v>
      </c>
      <c r="BN131" s="65"/>
      <c r="BO131" s="64">
        <f t="shared" si="99"/>
        <v>12080</v>
      </c>
      <c r="BP131" s="65">
        <f t="shared" si="100"/>
        <v>0.19102790931987371</v>
      </c>
      <c r="BQ131" s="1071"/>
      <c r="BR131" s="77">
        <f t="shared" si="125"/>
        <v>19160</v>
      </c>
      <c r="BS131" s="35"/>
      <c r="BT131" s="35">
        <v>16388</v>
      </c>
      <c r="BU131" s="74">
        <f t="shared" si="112"/>
        <v>2772</v>
      </c>
      <c r="BV131" s="74">
        <f t="shared" si="113"/>
        <v>335273</v>
      </c>
      <c r="BW131" s="74">
        <f t="shared" ref="BW131:BW194" si="135">BV131*1000/E131</f>
        <v>468.74245532829781</v>
      </c>
      <c r="BX131" s="1098"/>
      <c r="BY131" s="295">
        <f t="shared" si="126"/>
        <v>2175</v>
      </c>
      <c r="BZ131" s="296"/>
      <c r="CA131" s="296">
        <v>2065</v>
      </c>
      <c r="CB131" s="296">
        <f t="shared" ref="CB131:CB194" si="136">BY131+BZ131-CA131</f>
        <v>110</v>
      </c>
      <c r="CC131" s="297"/>
      <c r="CD131" s="296">
        <f t="shared" si="109"/>
        <v>32435</v>
      </c>
      <c r="CE131" s="297">
        <f t="shared" ref="CE131:CE156" si="137">CD131/C131</f>
        <v>0.51291309923759143</v>
      </c>
      <c r="CF131" s="1061"/>
    </row>
    <row r="132" spans="1:84">
      <c r="A132" s="30">
        <v>44445</v>
      </c>
      <c r="B132" s="387">
        <v>644.58799999999997</v>
      </c>
      <c r="C132" s="842">
        <f t="shared" si="104"/>
        <v>63881.421000000017</v>
      </c>
      <c r="D132" s="854">
        <v>6927.38</v>
      </c>
      <c r="E132" s="843">
        <f t="shared" si="120"/>
        <v>722187.95900000015</v>
      </c>
      <c r="F132" s="243">
        <f t="shared" si="121"/>
        <v>0</v>
      </c>
      <c r="G132" s="240"/>
      <c r="H132" s="280"/>
      <c r="I132" s="240">
        <v>0</v>
      </c>
      <c r="J132" s="240">
        <f t="shared" ref="J132:J195" si="138">F132+G132-I132</f>
        <v>0</v>
      </c>
      <c r="K132" s="280">
        <f t="shared" si="115"/>
        <v>0</v>
      </c>
      <c r="L132" s="240">
        <f t="shared" si="110"/>
        <v>1816571</v>
      </c>
      <c r="M132" s="280">
        <f t="shared" ref="M132:M195" si="139">L132*1000/C132</f>
        <v>28436.609135541919</v>
      </c>
      <c r="N132" s="280">
        <f t="shared" ref="N132:N195" si="140">M132/8.167</f>
        <v>3481.89165367233</v>
      </c>
      <c r="O132" s="1089"/>
      <c r="P132" s="1084"/>
      <c r="Q132" s="77">
        <f t="shared" ref="Q132:Q195" si="141">S131</f>
        <v>19635</v>
      </c>
      <c r="R132" s="35">
        <v>32080</v>
      </c>
      <c r="S132" s="35">
        <v>50144</v>
      </c>
      <c r="T132" s="35">
        <f t="shared" si="129"/>
        <v>1571</v>
      </c>
      <c r="U132" s="36">
        <f t="shared" si="116"/>
        <v>2437.2157098797993</v>
      </c>
      <c r="V132" s="74">
        <f t="shared" ref="V132:V194" si="142">V131+T132</f>
        <v>104570</v>
      </c>
      <c r="W132" s="36">
        <f t="shared" ref="W132:W195" si="143">V132/C132</f>
        <v>1.6369391657709049</v>
      </c>
      <c r="X132" s="1136"/>
      <c r="Y132" s="49">
        <f t="shared" si="122"/>
        <v>493</v>
      </c>
      <c r="Z132" s="50"/>
      <c r="AA132" s="50">
        <v>458</v>
      </c>
      <c r="AB132" s="50">
        <f t="shared" si="130"/>
        <v>35</v>
      </c>
      <c r="AC132" s="51">
        <f t="shared" si="117"/>
        <v>5.4298249424438561E-2</v>
      </c>
      <c r="AD132" s="50">
        <f t="shared" ref="AD132:AD194" si="144">AD131+AB132</f>
        <v>6696</v>
      </c>
      <c r="AE132" s="51">
        <f t="shared" si="131"/>
        <v>0.10481920870232361</v>
      </c>
      <c r="AF132" s="1047"/>
      <c r="AG132" s="40">
        <f t="shared" si="123"/>
        <v>587</v>
      </c>
      <c r="AH132" s="41"/>
      <c r="AI132" s="41">
        <v>493</v>
      </c>
      <c r="AJ132" s="41">
        <f t="shared" si="111"/>
        <v>94</v>
      </c>
      <c r="AK132" s="42">
        <f t="shared" si="128"/>
        <v>145.82958416849212</v>
      </c>
      <c r="AL132" s="41">
        <f t="shared" si="106"/>
        <v>3982</v>
      </c>
      <c r="AM132" s="42">
        <f t="shared" ref="AM132:AM195" si="145">AL132/C132</f>
        <v>6.2334242690061624E-2</v>
      </c>
      <c r="AN132" s="1058"/>
      <c r="AO132" s="220">
        <v>7.35</v>
      </c>
      <c r="AP132" s="67">
        <v>24</v>
      </c>
      <c r="AQ132" s="68">
        <f t="shared" si="101"/>
        <v>87.679619999999986</v>
      </c>
      <c r="AR132" s="68">
        <f t="shared" si="114"/>
        <v>12.65696699184973</v>
      </c>
      <c r="AS132" s="69">
        <f t="shared" si="107"/>
        <v>7771.8737999999985</v>
      </c>
      <c r="AT132" s="140">
        <f t="shared" si="132"/>
        <v>10.761566574388146</v>
      </c>
      <c r="AU132" s="1073"/>
      <c r="AV132" s="70">
        <v>3.2</v>
      </c>
      <c r="AW132" s="71">
        <v>12</v>
      </c>
      <c r="AX132" s="72">
        <f t="shared" si="102"/>
        <v>19.842432000000002</v>
      </c>
      <c r="AY132" s="72">
        <f t="shared" si="127"/>
        <v>2.8643487148099283</v>
      </c>
      <c r="AZ132" s="73">
        <f t="shared" si="108"/>
        <v>2297.1955572000011</v>
      </c>
      <c r="BA132" s="192">
        <f t="shared" si="133"/>
        <v>3.1808832154732736</v>
      </c>
      <c r="BB132" s="1075"/>
      <c r="BC132" s="90">
        <f t="shared" si="119"/>
        <v>13950</v>
      </c>
      <c r="BD132" s="59"/>
      <c r="BE132" s="56">
        <v>13950</v>
      </c>
      <c r="BF132" s="56">
        <f t="shared" si="103"/>
        <v>0</v>
      </c>
      <c r="BG132" s="58">
        <f t="shared" ref="BG132:BG194" si="146">BG131+BF132</f>
        <v>50062</v>
      </c>
      <c r="BH132" s="58">
        <f t="shared" si="134"/>
        <v>69.319904016843338</v>
      </c>
      <c r="BI132" s="1140"/>
      <c r="BJ132" s="63">
        <f t="shared" si="124"/>
        <v>2020</v>
      </c>
      <c r="BK132" s="64"/>
      <c r="BL132" s="64">
        <v>1920</v>
      </c>
      <c r="BM132" s="64">
        <f t="shared" ref="BM132:BM195" si="147">BJ132+BK132-BL132</f>
        <v>100</v>
      </c>
      <c r="BN132" s="65"/>
      <c r="BO132" s="64">
        <f t="shared" ref="BO132:BO194" si="148">BO131+BM132</f>
        <v>12180</v>
      </c>
      <c r="BP132" s="65">
        <f t="shared" ref="BP132:BP195" si="149">BO132/C132</f>
        <v>0.19066576493343812</v>
      </c>
      <c r="BQ132" s="1071"/>
      <c r="BR132" s="77">
        <f t="shared" si="125"/>
        <v>16388</v>
      </c>
      <c r="BS132" s="35"/>
      <c r="BT132" s="35">
        <v>16388</v>
      </c>
      <c r="BU132" s="74">
        <f t="shared" si="112"/>
        <v>0</v>
      </c>
      <c r="BV132" s="74">
        <f t="shared" si="113"/>
        <v>335273</v>
      </c>
      <c r="BW132" s="74">
        <f t="shared" si="135"/>
        <v>464.24617832765603</v>
      </c>
      <c r="BX132" s="1098"/>
      <c r="BY132" s="295">
        <f t="shared" si="126"/>
        <v>2065</v>
      </c>
      <c r="BZ132" s="296"/>
      <c r="CA132" s="296">
        <v>1990</v>
      </c>
      <c r="CB132" s="296">
        <f t="shared" si="136"/>
        <v>75</v>
      </c>
      <c r="CC132" s="297"/>
      <c r="CD132" s="296">
        <f t="shared" si="109"/>
        <v>32510</v>
      </c>
      <c r="CE132" s="297">
        <f t="shared" si="137"/>
        <v>0.50891165993317511</v>
      </c>
      <c r="CF132" s="1061"/>
    </row>
    <row r="133" spans="1:84">
      <c r="A133" s="30">
        <v>44446</v>
      </c>
      <c r="B133" s="387">
        <v>661.95399999999995</v>
      </c>
      <c r="C133" s="842">
        <f t="shared" si="104"/>
        <v>64543.375000000015</v>
      </c>
      <c r="D133" s="854">
        <v>6810.9189999999999</v>
      </c>
      <c r="E133" s="843">
        <f t="shared" si="120"/>
        <v>728998.87800000014</v>
      </c>
      <c r="F133" s="243">
        <f t="shared" si="121"/>
        <v>0</v>
      </c>
      <c r="G133" s="240"/>
      <c r="H133" s="280"/>
      <c r="I133" s="240">
        <v>0</v>
      </c>
      <c r="J133" s="240">
        <f t="shared" si="138"/>
        <v>0</v>
      </c>
      <c r="K133" s="280">
        <f t="shared" si="115"/>
        <v>0</v>
      </c>
      <c r="L133" s="240">
        <f t="shared" si="110"/>
        <v>1816571</v>
      </c>
      <c r="M133" s="280">
        <f t="shared" si="139"/>
        <v>28144.964529667057</v>
      </c>
      <c r="N133" s="280">
        <f t="shared" si="140"/>
        <v>3446.1815268356872</v>
      </c>
      <c r="O133" s="1089"/>
      <c r="P133" s="1084"/>
      <c r="Q133" s="77">
        <f t="shared" si="141"/>
        <v>50144</v>
      </c>
      <c r="R133" s="35"/>
      <c r="S133" s="35">
        <v>47752</v>
      </c>
      <c r="T133" s="35">
        <f t="shared" si="129"/>
        <v>2392</v>
      </c>
      <c r="U133" s="36">
        <f t="shared" si="116"/>
        <v>3613.5441435507605</v>
      </c>
      <c r="V133" s="74">
        <f t="shared" si="142"/>
        <v>106962</v>
      </c>
      <c r="W133" s="36">
        <f t="shared" si="143"/>
        <v>1.6572111390208519</v>
      </c>
      <c r="X133" s="1136"/>
      <c r="Y133" s="49">
        <f t="shared" si="122"/>
        <v>458</v>
      </c>
      <c r="Z133" s="50"/>
      <c r="AA133" s="50">
        <v>407</v>
      </c>
      <c r="AB133" s="50">
        <f t="shared" si="130"/>
        <v>51</v>
      </c>
      <c r="AC133" s="51">
        <f t="shared" si="117"/>
        <v>7.7044628478716043E-2</v>
      </c>
      <c r="AD133" s="50">
        <f t="shared" si="144"/>
        <v>6747</v>
      </c>
      <c r="AE133" s="51">
        <f t="shared" si="131"/>
        <v>0.10453435383569575</v>
      </c>
      <c r="AF133" s="1047"/>
      <c r="AG133" s="40">
        <f t="shared" si="123"/>
        <v>493</v>
      </c>
      <c r="AH133" s="41"/>
      <c r="AI133" s="41">
        <v>458</v>
      </c>
      <c r="AJ133" s="41">
        <f t="shared" si="111"/>
        <v>35</v>
      </c>
      <c r="AK133" s="42">
        <f t="shared" si="128"/>
        <v>52.873764642256113</v>
      </c>
      <c r="AL133" s="41">
        <f t="shared" si="106"/>
        <v>4017</v>
      </c>
      <c r="AM133" s="42">
        <f t="shared" si="145"/>
        <v>6.2237216445529833E-2</v>
      </c>
      <c r="AN133" s="1058"/>
      <c r="AO133" s="220">
        <v>8</v>
      </c>
      <c r="AP133" s="67">
        <v>24</v>
      </c>
      <c r="AQ133" s="68">
        <f t="shared" ref="AQ133:AQ194" si="150">AO133*AP133*0.49705</f>
        <v>95.433599999999998</v>
      </c>
      <c r="AR133" s="68">
        <f t="shared" si="114"/>
        <v>14.011853613293594</v>
      </c>
      <c r="AS133" s="69">
        <f t="shared" si="107"/>
        <v>7867.3073999999988</v>
      </c>
      <c r="AT133" s="140">
        <f t="shared" si="132"/>
        <v>10.791933482235068</v>
      </c>
      <c r="AU133" s="1073"/>
      <c r="AV133" s="70">
        <v>3.05</v>
      </c>
      <c r="AW133" s="71">
        <v>12</v>
      </c>
      <c r="AX133" s="72">
        <f t="shared" ref="AX133:AX194" si="151">AV133*AW133*0.51673</f>
        <v>18.912317999999999</v>
      </c>
      <c r="AY133" s="72">
        <f t="shared" si="127"/>
        <v>2.7767644865546046</v>
      </c>
      <c r="AZ133" s="73">
        <f t="shared" si="108"/>
        <v>2316.1078752000012</v>
      </c>
      <c r="BA133" s="192">
        <f t="shared" si="133"/>
        <v>3.1771075993343305</v>
      </c>
      <c r="BB133" s="1075"/>
      <c r="BC133" s="90">
        <f t="shared" si="119"/>
        <v>13950</v>
      </c>
      <c r="BD133" s="59"/>
      <c r="BE133" s="56">
        <v>13950</v>
      </c>
      <c r="BF133" s="56">
        <f t="shared" ref="BF133:BF196" si="152">BC133-BE133+BD133</f>
        <v>0</v>
      </c>
      <c r="BG133" s="58">
        <f t="shared" si="146"/>
        <v>50062</v>
      </c>
      <c r="BH133" s="58">
        <f t="shared" si="134"/>
        <v>68.672259328223532</v>
      </c>
      <c r="BI133" s="1140"/>
      <c r="BJ133" s="63">
        <f t="shared" si="124"/>
        <v>1920</v>
      </c>
      <c r="BK133" s="64"/>
      <c r="BL133" s="64">
        <v>1630</v>
      </c>
      <c r="BM133" s="64">
        <f t="shared" si="147"/>
        <v>290</v>
      </c>
      <c r="BN133" s="65"/>
      <c r="BO133" s="64">
        <f t="shared" si="148"/>
        <v>12470</v>
      </c>
      <c r="BP133" s="65">
        <f t="shared" si="149"/>
        <v>0.19320340778584941</v>
      </c>
      <c r="BQ133" s="1071"/>
      <c r="BR133" s="77">
        <f t="shared" si="125"/>
        <v>16388</v>
      </c>
      <c r="BS133" s="35"/>
      <c r="BT133" s="35">
        <v>13615</v>
      </c>
      <c r="BU133" s="74">
        <f t="shared" si="112"/>
        <v>2773</v>
      </c>
      <c r="BV133" s="74">
        <f t="shared" si="113"/>
        <v>338046</v>
      </c>
      <c r="BW133" s="74">
        <f t="shared" si="135"/>
        <v>463.71264785403406</v>
      </c>
      <c r="BX133" s="1098"/>
      <c r="BY133" s="295">
        <f t="shared" si="126"/>
        <v>1990</v>
      </c>
      <c r="BZ133" s="296"/>
      <c r="CA133" s="296">
        <v>1840</v>
      </c>
      <c r="CB133" s="296">
        <f t="shared" si="136"/>
        <v>150</v>
      </c>
      <c r="CC133" s="297"/>
      <c r="CD133" s="296">
        <f t="shared" si="109"/>
        <v>32660</v>
      </c>
      <c r="CE133" s="297">
        <f t="shared" si="137"/>
        <v>0.50601630299004341</v>
      </c>
      <c r="CF133" s="1061"/>
    </row>
    <row r="134" spans="1:84">
      <c r="A134" s="30">
        <v>44447</v>
      </c>
      <c r="B134" s="387">
        <v>604.87599999999998</v>
      </c>
      <c r="C134" s="842">
        <f t="shared" ref="C134:C156" si="153">C133+B134</f>
        <v>65148.251000000011</v>
      </c>
      <c r="D134" s="854">
        <v>5074.3599999999997</v>
      </c>
      <c r="E134" s="843">
        <f t="shared" si="120"/>
        <v>734073.23800000013</v>
      </c>
      <c r="F134" s="243">
        <f t="shared" si="121"/>
        <v>0</v>
      </c>
      <c r="G134" s="240">
        <v>31630</v>
      </c>
      <c r="H134" s="280">
        <v>8.52</v>
      </c>
      <c r="I134" s="240">
        <v>31630</v>
      </c>
      <c r="J134" s="240">
        <f t="shared" si="138"/>
        <v>0</v>
      </c>
      <c r="K134" s="280">
        <f t="shared" si="115"/>
        <v>0</v>
      </c>
      <c r="L134" s="240">
        <f t="shared" si="110"/>
        <v>1816571</v>
      </c>
      <c r="M134" s="280">
        <f t="shared" si="139"/>
        <v>27883.64955492051</v>
      </c>
      <c r="N134" s="280">
        <f t="shared" si="140"/>
        <v>3414.185080803295</v>
      </c>
      <c r="O134" s="1089"/>
      <c r="P134" s="1084"/>
      <c r="Q134" s="77">
        <f t="shared" si="141"/>
        <v>47752</v>
      </c>
      <c r="R134" s="35"/>
      <c r="S134" s="35">
        <v>44771</v>
      </c>
      <c r="T134" s="35">
        <f t="shared" si="129"/>
        <v>2981</v>
      </c>
      <c r="U134" s="36">
        <f t="shared" si="116"/>
        <v>4928.2828216031057</v>
      </c>
      <c r="V134" s="74">
        <f t="shared" si="142"/>
        <v>109943</v>
      </c>
      <c r="W134" s="36">
        <f t="shared" si="143"/>
        <v>1.6875817587182806</v>
      </c>
      <c r="X134" s="1136"/>
      <c r="Y134" s="49">
        <f t="shared" si="122"/>
        <v>407</v>
      </c>
      <c r="Z134" s="50">
        <v>900</v>
      </c>
      <c r="AA134" s="50">
        <v>1183</v>
      </c>
      <c r="AB134" s="50">
        <f t="shared" si="130"/>
        <v>124</v>
      </c>
      <c r="AC134" s="51">
        <f t="shared" si="117"/>
        <v>0.20500069435719057</v>
      </c>
      <c r="AD134" s="50">
        <f t="shared" si="144"/>
        <v>6871</v>
      </c>
      <c r="AE134" s="51">
        <f t="shared" si="131"/>
        <v>0.10546714446716304</v>
      </c>
      <c r="AF134" s="1047"/>
      <c r="AG134" s="40">
        <f t="shared" si="123"/>
        <v>458</v>
      </c>
      <c r="AH134" s="41"/>
      <c r="AI134" s="41">
        <v>407</v>
      </c>
      <c r="AJ134" s="41">
        <f t="shared" si="111"/>
        <v>51</v>
      </c>
      <c r="AK134" s="42">
        <f t="shared" si="128"/>
        <v>84.314801711425162</v>
      </c>
      <c r="AL134" s="41">
        <f t="shared" ref="AL134:AL197" si="154">AL133+AJ134</f>
        <v>4068</v>
      </c>
      <c r="AM134" s="42">
        <f t="shared" si="145"/>
        <v>6.2442198179656419E-2</v>
      </c>
      <c r="AN134" s="1058"/>
      <c r="AO134" s="220">
        <v>6.9</v>
      </c>
      <c r="AP134" s="67">
        <v>24</v>
      </c>
      <c r="AQ134" s="68">
        <f t="shared" si="150"/>
        <v>82.311480000000003</v>
      </c>
      <c r="AR134" s="68">
        <f t="shared" si="114"/>
        <v>16.22105644849794</v>
      </c>
      <c r="AS134" s="69">
        <f t="shared" ref="AS134:AS194" si="155">AS133+AQ134</f>
        <v>7949.6188799999991</v>
      </c>
      <c r="AT134" s="140">
        <f t="shared" si="132"/>
        <v>10.829462877108725</v>
      </c>
      <c r="AU134" s="1073"/>
      <c r="AV134" s="70">
        <v>2.0499999999999998</v>
      </c>
      <c r="AW134" s="71">
        <v>12</v>
      </c>
      <c r="AX134" s="72">
        <f t="shared" si="151"/>
        <v>12.711558</v>
      </c>
      <c r="AY134" s="72">
        <f t="shared" si="127"/>
        <v>2.5050564012013341</v>
      </c>
      <c r="AZ134" s="73">
        <f t="shared" ref="AZ134:AZ194" si="156">AZ133+AX134</f>
        <v>2328.8194332000012</v>
      </c>
      <c r="BA134" s="192">
        <f t="shared" si="133"/>
        <v>3.1724619733378714</v>
      </c>
      <c r="BB134" s="1075"/>
      <c r="BC134" s="90">
        <f t="shared" si="119"/>
        <v>13950</v>
      </c>
      <c r="BD134" s="59"/>
      <c r="BE134" s="56">
        <v>13950</v>
      </c>
      <c r="BF134" s="56">
        <f t="shared" si="152"/>
        <v>0</v>
      </c>
      <c r="BG134" s="58">
        <f t="shared" si="146"/>
        <v>50062</v>
      </c>
      <c r="BH134" s="58">
        <f t="shared" si="134"/>
        <v>68.197554969304022</v>
      </c>
      <c r="BI134" s="1140"/>
      <c r="BJ134" s="63">
        <f t="shared" si="124"/>
        <v>1630</v>
      </c>
      <c r="BK134" s="64"/>
      <c r="BL134" s="64">
        <v>1340</v>
      </c>
      <c r="BM134" s="64">
        <f t="shared" si="147"/>
        <v>290</v>
      </c>
      <c r="BN134" s="65"/>
      <c r="BO134" s="64">
        <f t="shared" si="148"/>
        <v>12760</v>
      </c>
      <c r="BP134" s="65">
        <f t="shared" si="149"/>
        <v>0.19586097560777185</v>
      </c>
      <c r="BQ134" s="1071"/>
      <c r="BR134" s="77">
        <f t="shared" si="125"/>
        <v>13615</v>
      </c>
      <c r="BS134" s="35"/>
      <c r="BT134" s="35">
        <v>11767</v>
      </c>
      <c r="BU134" s="74">
        <f t="shared" si="112"/>
        <v>1848</v>
      </c>
      <c r="BV134" s="74">
        <f t="shared" si="113"/>
        <v>339894</v>
      </c>
      <c r="BW134" s="74">
        <f t="shared" si="135"/>
        <v>463.02464441565701</v>
      </c>
      <c r="BX134" s="1098"/>
      <c r="BY134" s="295">
        <f t="shared" si="126"/>
        <v>1840</v>
      </c>
      <c r="BZ134" s="296"/>
      <c r="CA134" s="296">
        <v>1620</v>
      </c>
      <c r="CB134" s="296">
        <f t="shared" si="136"/>
        <v>220</v>
      </c>
      <c r="CC134" s="297"/>
      <c r="CD134" s="296">
        <f t="shared" ref="CD134:CD197" si="157">CD133+CB134</f>
        <v>32880</v>
      </c>
      <c r="CE134" s="297">
        <f t="shared" si="137"/>
        <v>0.50469505313350616</v>
      </c>
      <c r="CF134" s="1061"/>
    </row>
    <row r="135" spans="1:84">
      <c r="A135" s="30">
        <v>44448</v>
      </c>
      <c r="B135" s="388">
        <v>197.38</v>
      </c>
      <c r="C135" s="842">
        <f t="shared" si="153"/>
        <v>65345.631000000008</v>
      </c>
      <c r="D135" s="855">
        <v>0</v>
      </c>
      <c r="E135" s="843">
        <f t="shared" si="120"/>
        <v>734073.23800000013</v>
      </c>
      <c r="F135" s="243">
        <f t="shared" si="121"/>
        <v>31630</v>
      </c>
      <c r="G135" s="240"/>
      <c r="H135" s="280"/>
      <c r="I135" s="240">
        <v>0</v>
      </c>
      <c r="J135" s="240">
        <f t="shared" si="138"/>
        <v>31630</v>
      </c>
      <c r="K135" s="280">
        <f t="shared" si="115"/>
        <v>160249.26537643126</v>
      </c>
      <c r="L135" s="240">
        <f t="shared" ref="L135:L198" si="158">L134+J135</f>
        <v>1848201</v>
      </c>
      <c r="M135" s="280">
        <f t="shared" si="139"/>
        <v>28283.467030871579</v>
      </c>
      <c r="N135" s="280">
        <f t="shared" si="140"/>
        <v>3463.1403245832716</v>
      </c>
      <c r="O135" s="1089"/>
      <c r="P135" s="1084"/>
      <c r="Q135" s="77">
        <f t="shared" si="141"/>
        <v>44771</v>
      </c>
      <c r="R135" s="35"/>
      <c r="S135" s="35">
        <v>42728</v>
      </c>
      <c r="T135" s="35">
        <f t="shared" si="129"/>
        <v>2043</v>
      </c>
      <c r="U135" s="36">
        <f t="shared" si="116"/>
        <v>10350.592765224441</v>
      </c>
      <c r="V135" s="74">
        <f t="shared" si="142"/>
        <v>111986</v>
      </c>
      <c r="W135" s="36">
        <f t="shared" si="143"/>
        <v>1.713748850324821</v>
      </c>
      <c r="X135" s="1136"/>
      <c r="Y135" s="49">
        <f t="shared" si="122"/>
        <v>1183</v>
      </c>
      <c r="Z135" s="50"/>
      <c r="AA135" s="50">
        <v>1183</v>
      </c>
      <c r="AB135" s="50">
        <f t="shared" si="130"/>
        <v>0</v>
      </c>
      <c r="AC135" s="51">
        <f t="shared" si="117"/>
        <v>0</v>
      </c>
      <c r="AD135" s="50">
        <f t="shared" si="144"/>
        <v>6871</v>
      </c>
      <c r="AE135" s="51">
        <f t="shared" si="131"/>
        <v>0.10514857527353282</v>
      </c>
      <c r="AF135" s="1047"/>
      <c r="AG135" s="40">
        <f t="shared" si="123"/>
        <v>407</v>
      </c>
      <c r="AH135" s="41">
        <v>1000</v>
      </c>
      <c r="AI135" s="41">
        <v>1379</v>
      </c>
      <c r="AJ135" s="41">
        <f t="shared" si="111"/>
        <v>28</v>
      </c>
      <c r="AK135" s="42">
        <f t="shared" si="128"/>
        <v>141.85834431046712</v>
      </c>
      <c r="AL135" s="41">
        <f t="shared" si="154"/>
        <v>4096</v>
      </c>
      <c r="AM135" s="42">
        <f t="shared" si="145"/>
        <v>6.2682078928888135E-2</v>
      </c>
      <c r="AN135" s="1058"/>
      <c r="AO135" s="220">
        <v>0</v>
      </c>
      <c r="AP135" s="67">
        <v>24</v>
      </c>
      <c r="AQ135" s="68">
        <f t="shared" si="150"/>
        <v>0</v>
      </c>
      <c r="AR135" s="68">
        <v>0</v>
      </c>
      <c r="AS135" s="69">
        <f t="shared" si="155"/>
        <v>7949.6188799999991</v>
      </c>
      <c r="AT135" s="140">
        <f t="shared" si="132"/>
        <v>10.829462877108725</v>
      </c>
      <c r="AU135" s="1073"/>
      <c r="AV135" s="70">
        <v>0.35</v>
      </c>
      <c r="AW135" s="71">
        <v>12</v>
      </c>
      <c r="AX135" s="72">
        <f t="shared" si="151"/>
        <v>2.1702659999999998</v>
      </c>
      <c r="AY135" s="72">
        <v>0</v>
      </c>
      <c r="AZ135" s="73">
        <f t="shared" si="156"/>
        <v>2330.9896992000013</v>
      </c>
      <c r="BA135" s="192">
        <f t="shared" si="133"/>
        <v>3.1754184440108966</v>
      </c>
      <c r="BB135" s="1075"/>
      <c r="BC135" s="90">
        <f t="shared" si="119"/>
        <v>13950</v>
      </c>
      <c r="BD135" s="59"/>
      <c r="BE135" s="56">
        <v>13950</v>
      </c>
      <c r="BF135" s="56">
        <f t="shared" si="152"/>
        <v>0</v>
      </c>
      <c r="BG135" s="58">
        <f t="shared" si="146"/>
        <v>50062</v>
      </c>
      <c r="BH135" s="58">
        <f t="shared" si="134"/>
        <v>68.197554969304022</v>
      </c>
      <c r="BI135" s="1140"/>
      <c r="BJ135" s="63">
        <f t="shared" si="124"/>
        <v>1340</v>
      </c>
      <c r="BK135" s="64"/>
      <c r="BL135" s="64">
        <v>1150</v>
      </c>
      <c r="BM135" s="64">
        <f t="shared" si="147"/>
        <v>190</v>
      </c>
      <c r="BN135" s="65"/>
      <c r="BO135" s="64">
        <f t="shared" si="148"/>
        <v>12950</v>
      </c>
      <c r="BP135" s="65">
        <f t="shared" si="149"/>
        <v>0.19817698294167513</v>
      </c>
      <c r="BQ135" s="1071"/>
      <c r="BR135" s="77">
        <f t="shared" si="125"/>
        <v>11767</v>
      </c>
      <c r="BS135" s="35"/>
      <c r="BT135" s="35">
        <v>10842</v>
      </c>
      <c r="BU135" s="74">
        <f t="shared" si="112"/>
        <v>925</v>
      </c>
      <c r="BV135" s="74">
        <f t="shared" si="113"/>
        <v>340819</v>
      </c>
      <c r="BW135" s="74">
        <f t="shared" si="135"/>
        <v>464.28473666819593</v>
      </c>
      <c r="BX135" s="1098"/>
      <c r="BY135" s="295">
        <f t="shared" si="126"/>
        <v>1620</v>
      </c>
      <c r="BZ135" s="296"/>
      <c r="CA135" s="296">
        <v>1530</v>
      </c>
      <c r="CB135" s="296">
        <f t="shared" si="136"/>
        <v>90</v>
      </c>
      <c r="CC135" s="297"/>
      <c r="CD135" s="296">
        <f t="shared" si="157"/>
        <v>32970</v>
      </c>
      <c r="CE135" s="297">
        <f t="shared" si="137"/>
        <v>0.50454788630015668</v>
      </c>
      <c r="CF135" s="1061"/>
    </row>
    <row r="136" spans="1:84">
      <c r="A136" s="30">
        <v>44449</v>
      </c>
      <c r="B136" s="388"/>
      <c r="C136" s="842">
        <f t="shared" si="153"/>
        <v>65345.631000000008</v>
      </c>
      <c r="D136" s="855">
        <v>0</v>
      </c>
      <c r="E136" s="843">
        <f t="shared" si="120"/>
        <v>734073.23800000013</v>
      </c>
      <c r="F136" s="243">
        <f t="shared" si="121"/>
        <v>0</v>
      </c>
      <c r="G136" s="240"/>
      <c r="H136" s="280"/>
      <c r="I136" s="240">
        <v>0</v>
      </c>
      <c r="J136" s="240">
        <f t="shared" si="138"/>
        <v>0</v>
      </c>
      <c r="K136" s="280">
        <v>0</v>
      </c>
      <c r="L136" s="240">
        <f t="shared" si="158"/>
        <v>1848201</v>
      </c>
      <c r="M136" s="280">
        <f t="shared" si="139"/>
        <v>28283.467030871579</v>
      </c>
      <c r="N136" s="280">
        <f t="shared" si="140"/>
        <v>3463.1403245832716</v>
      </c>
      <c r="O136" s="1089"/>
      <c r="P136" s="1084"/>
      <c r="Q136" s="77">
        <f t="shared" si="141"/>
        <v>42728</v>
      </c>
      <c r="R136" s="35"/>
      <c r="S136" s="35">
        <v>42728</v>
      </c>
      <c r="T136" s="35">
        <f t="shared" si="129"/>
        <v>0</v>
      </c>
      <c r="U136" s="36" t="e">
        <f t="shared" si="116"/>
        <v>#DIV/0!</v>
      </c>
      <c r="V136" s="74">
        <f t="shared" si="142"/>
        <v>111986</v>
      </c>
      <c r="W136" s="36">
        <f t="shared" si="143"/>
        <v>1.713748850324821</v>
      </c>
      <c r="X136" s="1136"/>
      <c r="Y136" s="49">
        <f t="shared" si="122"/>
        <v>1183</v>
      </c>
      <c r="Z136" s="50"/>
      <c r="AA136" s="50">
        <v>1183</v>
      </c>
      <c r="AB136" s="50">
        <f t="shared" si="130"/>
        <v>0</v>
      </c>
      <c r="AC136" s="51"/>
      <c r="AD136" s="50">
        <f t="shared" si="144"/>
        <v>6871</v>
      </c>
      <c r="AE136" s="51">
        <f t="shared" si="131"/>
        <v>0.10514857527353282</v>
      </c>
      <c r="AF136" s="1047"/>
      <c r="AG136" s="40">
        <f t="shared" si="123"/>
        <v>1379</v>
      </c>
      <c r="AH136" s="41"/>
      <c r="AI136" s="41">
        <v>1379</v>
      </c>
      <c r="AJ136" s="41">
        <f t="shared" si="111"/>
        <v>0</v>
      </c>
      <c r="AK136" s="42" t="e">
        <f t="shared" si="128"/>
        <v>#DIV/0!</v>
      </c>
      <c r="AL136" s="41">
        <f t="shared" si="154"/>
        <v>4096</v>
      </c>
      <c r="AM136" s="42">
        <f t="shared" si="145"/>
        <v>6.2682078928888135E-2</v>
      </c>
      <c r="AN136" s="1058"/>
      <c r="AO136" s="220">
        <v>0</v>
      </c>
      <c r="AP136" s="67">
        <v>24</v>
      </c>
      <c r="AQ136" s="68">
        <f t="shared" si="150"/>
        <v>0</v>
      </c>
      <c r="AR136" s="68">
        <v>0</v>
      </c>
      <c r="AS136" s="69">
        <f t="shared" si="155"/>
        <v>7949.6188799999991</v>
      </c>
      <c r="AT136" s="140">
        <f t="shared" si="132"/>
        <v>10.829462877108725</v>
      </c>
      <c r="AU136" s="1073"/>
      <c r="AV136" s="70">
        <v>3.5000000000000003E-2</v>
      </c>
      <c r="AW136" s="71">
        <v>12</v>
      </c>
      <c r="AX136" s="72">
        <f t="shared" si="151"/>
        <v>0.21702660000000004</v>
      </c>
      <c r="AY136" s="72">
        <v>0</v>
      </c>
      <c r="AZ136" s="73">
        <f t="shared" si="156"/>
        <v>2331.2067258000011</v>
      </c>
      <c r="BA136" s="192">
        <f t="shared" si="133"/>
        <v>3.1757140910781994</v>
      </c>
      <c r="BB136" s="1075"/>
      <c r="BC136" s="90">
        <f t="shared" si="119"/>
        <v>13950</v>
      </c>
      <c r="BD136" s="59"/>
      <c r="BE136" s="56">
        <v>13950</v>
      </c>
      <c r="BF136" s="56">
        <f t="shared" si="152"/>
        <v>0</v>
      </c>
      <c r="BG136" s="58">
        <f t="shared" si="146"/>
        <v>50062</v>
      </c>
      <c r="BH136" s="58">
        <f t="shared" si="134"/>
        <v>68.197554969304022</v>
      </c>
      <c r="BI136" s="1140"/>
      <c r="BJ136" s="63">
        <f t="shared" si="124"/>
        <v>1150</v>
      </c>
      <c r="BK136" s="64"/>
      <c r="BL136" s="64">
        <v>950</v>
      </c>
      <c r="BM136" s="64">
        <f t="shared" si="147"/>
        <v>200</v>
      </c>
      <c r="BN136" s="65"/>
      <c r="BO136" s="64">
        <f t="shared" si="148"/>
        <v>13150</v>
      </c>
      <c r="BP136" s="65">
        <f t="shared" si="149"/>
        <v>0.20123763132687475</v>
      </c>
      <c r="BQ136" s="1071"/>
      <c r="BR136" s="77">
        <f t="shared" si="125"/>
        <v>10842</v>
      </c>
      <c r="BS136" s="35">
        <v>48240</v>
      </c>
      <c r="BT136" s="35">
        <v>59082</v>
      </c>
      <c r="BU136" s="74">
        <f t="shared" si="112"/>
        <v>0</v>
      </c>
      <c r="BV136" s="74">
        <f t="shared" si="113"/>
        <v>340819</v>
      </c>
      <c r="BW136" s="74">
        <f t="shared" si="135"/>
        <v>464.28473666819593</v>
      </c>
      <c r="BX136" s="1098"/>
      <c r="BY136" s="295">
        <f t="shared" si="126"/>
        <v>1530</v>
      </c>
      <c r="BZ136" s="296"/>
      <c r="CA136" s="296">
        <v>1490</v>
      </c>
      <c r="CB136" s="296">
        <f t="shared" si="136"/>
        <v>40</v>
      </c>
      <c r="CC136" s="297"/>
      <c r="CD136" s="296">
        <f t="shared" si="157"/>
        <v>33010</v>
      </c>
      <c r="CE136" s="297">
        <f t="shared" si="137"/>
        <v>0.50516001597719662</v>
      </c>
      <c r="CF136" s="1061"/>
    </row>
    <row r="137" spans="1:84">
      <c r="A137" s="30">
        <v>44450</v>
      </c>
      <c r="B137" s="388">
        <v>25.018000000000001</v>
      </c>
      <c r="C137" s="842">
        <f t="shared" si="153"/>
        <v>65370.649000000005</v>
      </c>
      <c r="D137" s="855">
        <v>3786.34</v>
      </c>
      <c r="E137" s="843">
        <f t="shared" si="120"/>
        <v>737859.5780000001</v>
      </c>
      <c r="F137" s="243">
        <f t="shared" si="121"/>
        <v>0</v>
      </c>
      <c r="G137" s="240"/>
      <c r="H137" s="280"/>
      <c r="I137" s="240">
        <v>0</v>
      </c>
      <c r="J137" s="240">
        <f t="shared" si="138"/>
        <v>0</v>
      </c>
      <c r="K137" s="280">
        <f t="shared" si="115"/>
        <v>0</v>
      </c>
      <c r="L137" s="240">
        <f t="shared" si="158"/>
        <v>1848201</v>
      </c>
      <c r="M137" s="280">
        <f t="shared" si="139"/>
        <v>28272.642665670948</v>
      </c>
      <c r="N137" s="280">
        <f t="shared" si="140"/>
        <v>3461.8149462068018</v>
      </c>
      <c r="O137" s="1089"/>
      <c r="P137" s="1084"/>
      <c r="Q137" s="77">
        <f t="shared" si="141"/>
        <v>42728</v>
      </c>
      <c r="R137" s="35"/>
      <c r="S137" s="35">
        <v>42728</v>
      </c>
      <c r="T137" s="35">
        <f t="shared" si="129"/>
        <v>0</v>
      </c>
      <c r="U137" s="36">
        <f t="shared" si="116"/>
        <v>0</v>
      </c>
      <c r="V137" s="74">
        <f t="shared" si="142"/>
        <v>111986</v>
      </c>
      <c r="W137" s="36">
        <f t="shared" si="143"/>
        <v>1.7130929815305946</v>
      </c>
      <c r="X137" s="1136"/>
      <c r="Y137" s="49">
        <f t="shared" si="122"/>
        <v>1183</v>
      </c>
      <c r="Z137" s="50"/>
      <c r="AA137" s="50">
        <v>1183</v>
      </c>
      <c r="AB137" s="50">
        <f t="shared" si="130"/>
        <v>0</v>
      </c>
      <c r="AC137" s="51">
        <f t="shared" ref="AC137:AC180" si="159">AB137/B137</f>
        <v>0</v>
      </c>
      <c r="AD137" s="50">
        <f t="shared" si="144"/>
        <v>6871</v>
      </c>
      <c r="AE137" s="51">
        <f t="shared" si="131"/>
        <v>0.10510833386402511</v>
      </c>
      <c r="AF137" s="1047"/>
      <c r="AG137" s="40">
        <f t="shared" si="123"/>
        <v>1379</v>
      </c>
      <c r="AH137" s="41"/>
      <c r="AI137" s="41">
        <v>1379</v>
      </c>
      <c r="AJ137" s="41">
        <f t="shared" si="111"/>
        <v>0</v>
      </c>
      <c r="AK137" s="42">
        <f t="shared" si="128"/>
        <v>0</v>
      </c>
      <c r="AL137" s="41">
        <f t="shared" si="154"/>
        <v>4096</v>
      </c>
      <c r="AM137" s="42">
        <f t="shared" si="145"/>
        <v>6.2658089871495681E-2</v>
      </c>
      <c r="AN137" s="1058"/>
      <c r="AO137" s="220">
        <v>3.15</v>
      </c>
      <c r="AP137" s="67">
        <v>24</v>
      </c>
      <c r="AQ137" s="68">
        <f t="shared" si="150"/>
        <v>37.576979999999999</v>
      </c>
      <c r="AR137" s="68">
        <f t="shared" si="114"/>
        <v>9.9243543897272808</v>
      </c>
      <c r="AS137" s="69">
        <f t="shared" si="155"/>
        <v>7987.1958599999989</v>
      </c>
      <c r="AT137" s="140">
        <f t="shared" si="132"/>
        <v>10.824818296253108</v>
      </c>
      <c r="AU137" s="1073"/>
      <c r="AV137" s="70">
        <v>1.7</v>
      </c>
      <c r="AW137" s="71">
        <v>12</v>
      </c>
      <c r="AX137" s="72">
        <f t="shared" si="151"/>
        <v>10.541292</v>
      </c>
      <c r="AY137" s="72">
        <f t="shared" si="127"/>
        <v>2.7840320731894121</v>
      </c>
      <c r="AZ137" s="73">
        <f t="shared" si="156"/>
        <v>2341.748017800001</v>
      </c>
      <c r="BA137" s="192">
        <f t="shared" si="133"/>
        <v>3.1737041675970499</v>
      </c>
      <c r="BB137" s="1075"/>
      <c r="BC137" s="90">
        <f t="shared" si="119"/>
        <v>13950</v>
      </c>
      <c r="BD137" s="59"/>
      <c r="BE137" s="56">
        <v>13950</v>
      </c>
      <c r="BF137" s="56">
        <f t="shared" si="152"/>
        <v>0</v>
      </c>
      <c r="BG137" s="58">
        <f t="shared" si="146"/>
        <v>50062</v>
      </c>
      <c r="BH137" s="58">
        <f t="shared" si="134"/>
        <v>67.847597961247843</v>
      </c>
      <c r="BI137" s="1140"/>
      <c r="BJ137" s="63">
        <f t="shared" si="124"/>
        <v>950</v>
      </c>
      <c r="BK137" s="64"/>
      <c r="BL137" s="64">
        <v>950</v>
      </c>
      <c r="BM137" s="64">
        <f t="shared" si="147"/>
        <v>0</v>
      </c>
      <c r="BN137" s="65"/>
      <c r="BO137" s="64">
        <f t="shared" si="148"/>
        <v>13150</v>
      </c>
      <c r="BP137" s="65">
        <f t="shared" si="149"/>
        <v>0.20116061567631061</v>
      </c>
      <c r="BQ137" s="1071"/>
      <c r="BR137" s="77">
        <f t="shared" si="125"/>
        <v>59082</v>
      </c>
      <c r="BS137" s="35"/>
      <c r="BT137" s="35">
        <v>59082</v>
      </c>
      <c r="BU137" s="74">
        <f t="shared" si="112"/>
        <v>0</v>
      </c>
      <c r="BV137" s="74">
        <f t="shared" si="113"/>
        <v>340819</v>
      </c>
      <c r="BW137" s="74">
        <f t="shared" si="135"/>
        <v>461.90225099985076</v>
      </c>
      <c r="BX137" s="1098"/>
      <c r="BY137" s="295">
        <f t="shared" si="126"/>
        <v>1490</v>
      </c>
      <c r="BZ137" s="296"/>
      <c r="CA137" s="296">
        <v>1490</v>
      </c>
      <c r="CB137" s="296">
        <f t="shared" si="136"/>
        <v>0</v>
      </c>
      <c r="CC137" s="297"/>
      <c r="CD137" s="296">
        <f t="shared" si="157"/>
        <v>33010</v>
      </c>
      <c r="CE137" s="297">
        <f t="shared" si="137"/>
        <v>0.50496668619581853</v>
      </c>
      <c r="CF137" s="1061"/>
    </row>
    <row r="138" spans="1:84">
      <c r="A138" s="30">
        <v>44451</v>
      </c>
      <c r="B138" s="388">
        <v>508.17399999999998</v>
      </c>
      <c r="C138" s="842">
        <f t="shared" si="153"/>
        <v>65878.823000000004</v>
      </c>
      <c r="D138" s="855">
        <v>6191.04</v>
      </c>
      <c r="E138" s="843">
        <f t="shared" si="120"/>
        <v>744050.61800000013</v>
      </c>
      <c r="F138" s="243">
        <f t="shared" si="121"/>
        <v>0</v>
      </c>
      <c r="G138" s="240"/>
      <c r="H138" s="280"/>
      <c r="I138" s="240">
        <v>0</v>
      </c>
      <c r="J138" s="240">
        <f t="shared" si="138"/>
        <v>0</v>
      </c>
      <c r="K138" s="280">
        <f t="shared" si="115"/>
        <v>0</v>
      </c>
      <c r="L138" s="240">
        <f t="shared" si="158"/>
        <v>1848201</v>
      </c>
      <c r="M138" s="280">
        <f t="shared" si="139"/>
        <v>28054.554040833424</v>
      </c>
      <c r="N138" s="280">
        <f t="shared" si="140"/>
        <v>3435.1113065793343</v>
      </c>
      <c r="O138" s="1089"/>
      <c r="P138" s="1084"/>
      <c r="Q138" s="77">
        <f t="shared" si="141"/>
        <v>42728</v>
      </c>
      <c r="R138" s="35"/>
      <c r="S138" s="35">
        <v>42728</v>
      </c>
      <c r="T138" s="35">
        <f t="shared" si="129"/>
        <v>0</v>
      </c>
      <c r="U138" s="36">
        <f t="shared" si="116"/>
        <v>0</v>
      </c>
      <c r="V138" s="74">
        <f t="shared" si="142"/>
        <v>111986</v>
      </c>
      <c r="W138" s="36">
        <f t="shared" si="143"/>
        <v>1.6998785785835913</v>
      </c>
      <c r="X138" s="1136"/>
      <c r="Y138" s="49">
        <f t="shared" si="122"/>
        <v>1183</v>
      </c>
      <c r="Z138" s="50"/>
      <c r="AA138" s="50">
        <v>1183</v>
      </c>
      <c r="AB138" s="50">
        <f t="shared" si="130"/>
        <v>0</v>
      </c>
      <c r="AC138" s="51">
        <f t="shared" si="159"/>
        <v>0</v>
      </c>
      <c r="AD138" s="50">
        <f t="shared" si="144"/>
        <v>6871</v>
      </c>
      <c r="AE138" s="51">
        <f t="shared" si="131"/>
        <v>0.10429755249270314</v>
      </c>
      <c r="AF138" s="1047"/>
      <c r="AG138" s="40">
        <f t="shared" si="123"/>
        <v>1379</v>
      </c>
      <c r="AH138" s="41"/>
      <c r="AI138" s="41">
        <v>1363</v>
      </c>
      <c r="AJ138" s="41">
        <f t="shared" ref="AJ138:AJ201" si="160">AG138+AH138-AI138</f>
        <v>16</v>
      </c>
      <c r="AK138" s="42">
        <f t="shared" si="128"/>
        <v>31.485278664394482</v>
      </c>
      <c r="AL138" s="41">
        <f t="shared" si="154"/>
        <v>4112</v>
      </c>
      <c r="AM138" s="42">
        <f t="shared" si="145"/>
        <v>6.2417630017464032E-2</v>
      </c>
      <c r="AN138" s="1058"/>
      <c r="AO138" s="220">
        <v>9</v>
      </c>
      <c r="AP138" s="67">
        <v>24</v>
      </c>
      <c r="AQ138" s="68">
        <f t="shared" si="150"/>
        <v>107.36279999999999</v>
      </c>
      <c r="AR138" s="68">
        <f t="shared" si="114"/>
        <v>17.341642115056597</v>
      </c>
      <c r="AS138" s="69">
        <f t="shared" si="155"/>
        <v>8094.5586599999988</v>
      </c>
      <c r="AT138" s="140">
        <f t="shared" si="132"/>
        <v>10.879042990056353</v>
      </c>
      <c r="AU138" s="1073"/>
      <c r="AV138" s="70">
        <v>2.75</v>
      </c>
      <c r="AW138" s="71">
        <v>12</v>
      </c>
      <c r="AX138" s="72">
        <f t="shared" si="151"/>
        <v>17.05209</v>
      </c>
      <c r="AY138" s="72">
        <f t="shared" si="127"/>
        <v>2.754317529849589</v>
      </c>
      <c r="AZ138" s="73">
        <f t="shared" si="156"/>
        <v>2358.8001078000011</v>
      </c>
      <c r="BA138" s="192">
        <f t="shared" si="133"/>
        <v>3.1702145670417288</v>
      </c>
      <c r="BB138" s="1075"/>
      <c r="BC138" s="90">
        <f t="shared" si="119"/>
        <v>13950</v>
      </c>
      <c r="BD138" s="59"/>
      <c r="BE138" s="56">
        <v>13950</v>
      </c>
      <c r="BF138" s="56">
        <f t="shared" si="152"/>
        <v>0</v>
      </c>
      <c r="BG138" s="58">
        <f t="shared" si="146"/>
        <v>50062</v>
      </c>
      <c r="BH138" s="58">
        <f t="shared" si="134"/>
        <v>67.283056809449477</v>
      </c>
      <c r="BI138" s="1140"/>
      <c r="BJ138" s="63">
        <f t="shared" si="124"/>
        <v>950</v>
      </c>
      <c r="BK138" s="64"/>
      <c r="BL138" s="64">
        <v>910</v>
      </c>
      <c r="BM138" s="64">
        <f t="shared" si="147"/>
        <v>40</v>
      </c>
      <c r="BN138" s="65"/>
      <c r="BO138" s="64">
        <f t="shared" si="148"/>
        <v>13190</v>
      </c>
      <c r="BP138" s="65">
        <f t="shared" si="149"/>
        <v>0.20021608461341209</v>
      </c>
      <c r="BQ138" s="1071"/>
      <c r="BR138" s="77">
        <f t="shared" si="125"/>
        <v>59082</v>
      </c>
      <c r="BS138" s="35"/>
      <c r="BT138" s="35">
        <v>59082</v>
      </c>
      <c r="BU138" s="74">
        <f t="shared" ref="BU138:BU201" si="161">BR138+BS138-BT138</f>
        <v>0</v>
      </c>
      <c r="BV138" s="74">
        <f t="shared" ref="BV138:BV201" si="162">BV137+BU138</f>
        <v>340819</v>
      </c>
      <c r="BW138" s="74">
        <f t="shared" si="135"/>
        <v>458.05888975150333</v>
      </c>
      <c r="BX138" s="1098"/>
      <c r="BY138" s="295">
        <f t="shared" si="126"/>
        <v>1490</v>
      </c>
      <c r="BZ138" s="296"/>
      <c r="CA138" s="296">
        <v>1490</v>
      </c>
      <c r="CB138" s="296">
        <f t="shared" si="136"/>
        <v>0</v>
      </c>
      <c r="CC138" s="297"/>
      <c r="CD138" s="296">
        <f t="shared" si="157"/>
        <v>33010</v>
      </c>
      <c r="CE138" s="297">
        <f t="shared" si="137"/>
        <v>0.50107148999914586</v>
      </c>
      <c r="CF138" s="1061"/>
    </row>
    <row r="139" spans="1:84">
      <c r="A139" s="30">
        <v>44452</v>
      </c>
      <c r="B139" s="388">
        <v>606.85699999999997</v>
      </c>
      <c r="C139" s="842">
        <f t="shared" si="153"/>
        <v>66485.680000000008</v>
      </c>
      <c r="D139" s="855">
        <v>6663.72</v>
      </c>
      <c r="E139" s="843">
        <f t="shared" si="120"/>
        <v>750714.33800000011</v>
      </c>
      <c r="F139" s="243">
        <f t="shared" si="121"/>
        <v>0</v>
      </c>
      <c r="G139" s="240"/>
      <c r="H139" s="280"/>
      <c r="I139" s="240">
        <v>0</v>
      </c>
      <c r="J139" s="240">
        <f t="shared" si="138"/>
        <v>0</v>
      </c>
      <c r="K139" s="280">
        <f t="shared" si="115"/>
        <v>0</v>
      </c>
      <c r="L139" s="240">
        <f t="shared" si="158"/>
        <v>1848201</v>
      </c>
      <c r="M139" s="280">
        <f t="shared" si="139"/>
        <v>27798.482319801795</v>
      </c>
      <c r="N139" s="280">
        <f t="shared" si="140"/>
        <v>3403.756865409795</v>
      </c>
      <c r="O139" s="1089"/>
      <c r="P139" s="1084"/>
      <c r="Q139" s="77">
        <f t="shared" si="141"/>
        <v>42728</v>
      </c>
      <c r="R139" s="35"/>
      <c r="S139" s="35">
        <v>42728</v>
      </c>
      <c r="T139" s="35">
        <f t="shared" si="129"/>
        <v>0</v>
      </c>
      <c r="U139" s="36">
        <f t="shared" si="116"/>
        <v>0</v>
      </c>
      <c r="V139" s="74">
        <f t="shared" si="142"/>
        <v>111986</v>
      </c>
      <c r="W139" s="36">
        <f t="shared" si="143"/>
        <v>1.6843627078793506</v>
      </c>
      <c r="X139" s="1136"/>
      <c r="Y139" s="49">
        <f t="shared" si="122"/>
        <v>1183</v>
      </c>
      <c r="Z139" s="50"/>
      <c r="AA139" s="50">
        <v>1183</v>
      </c>
      <c r="AB139" s="50">
        <f t="shared" si="130"/>
        <v>0</v>
      </c>
      <c r="AC139" s="51">
        <f t="shared" si="159"/>
        <v>0</v>
      </c>
      <c r="AD139" s="50">
        <f t="shared" si="144"/>
        <v>6871</v>
      </c>
      <c r="AE139" s="51">
        <f t="shared" si="131"/>
        <v>0.10334556253316503</v>
      </c>
      <c r="AF139" s="1047"/>
      <c r="AG139" s="40">
        <f t="shared" si="123"/>
        <v>1363</v>
      </c>
      <c r="AH139" s="41"/>
      <c r="AI139" s="41">
        <v>1331</v>
      </c>
      <c r="AJ139" s="41">
        <f t="shared" si="160"/>
        <v>32</v>
      </c>
      <c r="AK139" s="42">
        <f t="shared" si="128"/>
        <v>52.730709211560551</v>
      </c>
      <c r="AL139" s="41">
        <f t="shared" si="154"/>
        <v>4144</v>
      </c>
      <c r="AM139" s="42">
        <f t="shared" si="145"/>
        <v>6.2329211342953841E-2</v>
      </c>
      <c r="AN139" s="1058"/>
      <c r="AO139" s="220">
        <v>8.9</v>
      </c>
      <c r="AP139" s="67">
        <v>24</v>
      </c>
      <c r="AQ139" s="68">
        <f t="shared" si="150"/>
        <v>106.16988000000001</v>
      </c>
      <c r="AR139" s="68">
        <f t="shared" si="114"/>
        <v>15.932524175685653</v>
      </c>
      <c r="AS139" s="69">
        <f t="shared" si="155"/>
        <v>8200.7285399999982</v>
      </c>
      <c r="AT139" s="140">
        <f t="shared" si="132"/>
        <v>10.923900243930065</v>
      </c>
      <c r="AU139" s="1073"/>
      <c r="AV139" s="70">
        <v>3.25</v>
      </c>
      <c r="AW139" s="71">
        <v>12</v>
      </c>
      <c r="AX139" s="72">
        <f t="shared" si="151"/>
        <v>20.152470000000001</v>
      </c>
      <c r="AY139" s="72">
        <f t="shared" si="127"/>
        <v>3.0242071995822153</v>
      </c>
      <c r="AZ139" s="73">
        <f t="shared" si="156"/>
        <v>2378.9525778000011</v>
      </c>
      <c r="BA139" s="192">
        <f t="shared" si="133"/>
        <v>3.1689185318317454</v>
      </c>
      <c r="BB139" s="1075"/>
      <c r="BC139" s="90">
        <f t="shared" si="119"/>
        <v>13950</v>
      </c>
      <c r="BD139" s="59"/>
      <c r="BE139" s="56">
        <v>13950</v>
      </c>
      <c r="BF139" s="56">
        <f t="shared" si="152"/>
        <v>0</v>
      </c>
      <c r="BG139" s="58">
        <f t="shared" si="146"/>
        <v>50062</v>
      </c>
      <c r="BH139" s="58">
        <f t="shared" si="134"/>
        <v>66.685818381158981</v>
      </c>
      <c r="BI139" s="1140"/>
      <c r="BJ139" s="63">
        <f t="shared" si="124"/>
        <v>910</v>
      </c>
      <c r="BK139" s="64"/>
      <c r="BL139" s="64">
        <v>390</v>
      </c>
      <c r="BM139" s="64">
        <f t="shared" si="147"/>
        <v>520</v>
      </c>
      <c r="BN139" s="65"/>
      <c r="BO139" s="64">
        <f t="shared" si="148"/>
        <v>13710</v>
      </c>
      <c r="BP139" s="65">
        <f t="shared" si="149"/>
        <v>0.20620981841503311</v>
      </c>
      <c r="BQ139" s="1071"/>
      <c r="BR139" s="77">
        <f t="shared" si="125"/>
        <v>59082</v>
      </c>
      <c r="BS139" s="35"/>
      <c r="BT139" s="35">
        <v>57416</v>
      </c>
      <c r="BU139" s="74">
        <f t="shared" si="161"/>
        <v>1666</v>
      </c>
      <c r="BV139" s="74">
        <f t="shared" si="162"/>
        <v>342485</v>
      </c>
      <c r="BW139" s="74">
        <f t="shared" si="135"/>
        <v>456.21214710301689</v>
      </c>
      <c r="BX139" s="1098"/>
      <c r="BY139" s="295">
        <f t="shared" si="126"/>
        <v>1490</v>
      </c>
      <c r="BZ139" s="296"/>
      <c r="CA139" s="296">
        <v>1240</v>
      </c>
      <c r="CB139" s="296">
        <f t="shared" si="136"/>
        <v>250</v>
      </c>
      <c r="CC139" s="297"/>
      <c r="CD139" s="296">
        <f t="shared" si="157"/>
        <v>33260</v>
      </c>
      <c r="CE139" s="297">
        <f t="shared" si="137"/>
        <v>0.50025810069175791</v>
      </c>
      <c r="CF139" s="1061"/>
    </row>
    <row r="140" spans="1:84">
      <c r="A140" s="30">
        <v>44453</v>
      </c>
      <c r="B140" s="388">
        <v>548.66600000000005</v>
      </c>
      <c r="C140" s="842">
        <f t="shared" si="153"/>
        <v>67034.346000000005</v>
      </c>
      <c r="D140" s="855">
        <v>3573.78</v>
      </c>
      <c r="E140" s="843">
        <f t="shared" si="120"/>
        <v>754288.11800000013</v>
      </c>
      <c r="F140" s="243">
        <f t="shared" si="121"/>
        <v>0</v>
      </c>
      <c r="G140" s="240"/>
      <c r="H140" s="280"/>
      <c r="I140" s="240">
        <v>0</v>
      </c>
      <c r="J140" s="240">
        <f t="shared" si="138"/>
        <v>0</v>
      </c>
      <c r="K140" s="280">
        <f t="shared" si="115"/>
        <v>0</v>
      </c>
      <c r="L140" s="240">
        <f t="shared" si="158"/>
        <v>1848201</v>
      </c>
      <c r="M140" s="280">
        <f t="shared" si="139"/>
        <v>27570.955939511961</v>
      </c>
      <c r="N140" s="280">
        <f t="shared" si="140"/>
        <v>3375.8976294247536</v>
      </c>
      <c r="O140" s="1089"/>
      <c r="P140" s="1084"/>
      <c r="Q140" s="77">
        <f t="shared" si="141"/>
        <v>42728</v>
      </c>
      <c r="R140" s="35"/>
      <c r="S140" s="35">
        <v>42728</v>
      </c>
      <c r="T140" s="35">
        <f t="shared" si="129"/>
        <v>0</v>
      </c>
      <c r="U140" s="36">
        <f t="shared" si="116"/>
        <v>0</v>
      </c>
      <c r="V140" s="74">
        <f t="shared" si="142"/>
        <v>111986</v>
      </c>
      <c r="W140" s="36">
        <f t="shared" si="143"/>
        <v>1.6705764534496987</v>
      </c>
      <c r="X140" s="1136"/>
      <c r="Y140" s="49">
        <f t="shared" si="122"/>
        <v>1183</v>
      </c>
      <c r="Z140" s="50"/>
      <c r="AA140" s="50">
        <v>1137</v>
      </c>
      <c r="AB140" s="50">
        <f t="shared" si="130"/>
        <v>46</v>
      </c>
      <c r="AC140" s="51">
        <f t="shared" si="159"/>
        <v>8.3839713049469064E-2</v>
      </c>
      <c r="AD140" s="50">
        <f t="shared" si="144"/>
        <v>6917</v>
      </c>
      <c r="AE140" s="51">
        <f t="shared" si="131"/>
        <v>0.10318591010047297</v>
      </c>
      <c r="AF140" s="1047"/>
      <c r="AG140" s="40">
        <f t="shared" si="123"/>
        <v>1331</v>
      </c>
      <c r="AH140" s="41"/>
      <c r="AI140" s="41">
        <v>1298</v>
      </c>
      <c r="AJ140" s="41">
        <f t="shared" si="160"/>
        <v>33</v>
      </c>
      <c r="AK140" s="42">
        <f t="shared" si="128"/>
        <v>60.14588110070607</v>
      </c>
      <c r="AL140" s="41">
        <f t="shared" si="154"/>
        <v>4177</v>
      </c>
      <c r="AM140" s="42">
        <f t="shared" si="145"/>
        <v>6.2311341114598177E-2</v>
      </c>
      <c r="AN140" s="1058"/>
      <c r="AO140" s="220">
        <v>5.8</v>
      </c>
      <c r="AP140" s="67">
        <v>24</v>
      </c>
      <c r="AQ140" s="68">
        <f t="shared" si="150"/>
        <v>69.189359999999994</v>
      </c>
      <c r="AR140" s="68">
        <f t="shared" ref="AR140:AR179" si="163">AQ140*1000/D140</f>
        <v>19.360273995601297</v>
      </c>
      <c r="AS140" s="69">
        <f t="shared" si="155"/>
        <v>8269.9178999999986</v>
      </c>
      <c r="AT140" s="140">
        <f t="shared" si="132"/>
        <v>10.963871367784156</v>
      </c>
      <c r="AU140" s="1073"/>
      <c r="AV140" s="70">
        <v>1.3</v>
      </c>
      <c r="AW140" s="71">
        <v>12</v>
      </c>
      <c r="AX140" s="72">
        <f t="shared" si="151"/>
        <v>8.0609880000000018</v>
      </c>
      <c r="AY140" s="72">
        <f t="shared" si="127"/>
        <v>2.2555915585178723</v>
      </c>
      <c r="AZ140" s="73">
        <f t="shared" si="156"/>
        <v>2387.0135658000013</v>
      </c>
      <c r="BA140" s="192">
        <f t="shared" si="133"/>
        <v>3.1645912335583164</v>
      </c>
      <c r="BB140" s="1075"/>
      <c r="BC140" s="90">
        <f t="shared" si="119"/>
        <v>13950</v>
      </c>
      <c r="BD140" s="59"/>
      <c r="BE140" s="56">
        <v>13950</v>
      </c>
      <c r="BF140" s="56">
        <f t="shared" si="152"/>
        <v>0</v>
      </c>
      <c r="BG140" s="58">
        <f t="shared" si="146"/>
        <v>50062</v>
      </c>
      <c r="BH140" s="58">
        <f t="shared" si="134"/>
        <v>66.369864253913633</v>
      </c>
      <c r="BI140" s="1140"/>
      <c r="BJ140" s="63">
        <f t="shared" si="124"/>
        <v>390</v>
      </c>
      <c r="BK140" s="64"/>
      <c r="BL140" s="64">
        <v>40</v>
      </c>
      <c r="BM140" s="64">
        <f t="shared" si="147"/>
        <v>350</v>
      </c>
      <c r="BN140" s="65"/>
      <c r="BO140" s="64">
        <f t="shared" si="148"/>
        <v>14060</v>
      </c>
      <c r="BP140" s="65">
        <f t="shared" si="149"/>
        <v>0.20974322625598524</v>
      </c>
      <c r="BQ140" s="1071"/>
      <c r="BR140" s="77">
        <f t="shared" si="125"/>
        <v>57416</v>
      </c>
      <c r="BS140" s="35"/>
      <c r="BT140" s="35">
        <v>54644</v>
      </c>
      <c r="BU140" s="74">
        <f t="shared" si="161"/>
        <v>2772</v>
      </c>
      <c r="BV140" s="74">
        <f t="shared" si="162"/>
        <v>345257</v>
      </c>
      <c r="BW140" s="74">
        <f t="shared" si="135"/>
        <v>457.7256246796664</v>
      </c>
      <c r="BX140" s="1098"/>
      <c r="BY140" s="295">
        <f t="shared" si="126"/>
        <v>1240</v>
      </c>
      <c r="BZ140" s="296"/>
      <c r="CA140" s="296">
        <v>1100</v>
      </c>
      <c r="CB140" s="296">
        <f t="shared" si="136"/>
        <v>140</v>
      </c>
      <c r="CC140" s="297"/>
      <c r="CD140" s="296">
        <f t="shared" si="157"/>
        <v>33400</v>
      </c>
      <c r="CE140" s="297">
        <f t="shared" si="137"/>
        <v>0.49825204530226935</v>
      </c>
      <c r="CF140" s="1061"/>
    </row>
    <row r="141" spans="1:84">
      <c r="A141" s="30">
        <v>44454</v>
      </c>
      <c r="B141" s="388">
        <v>97.664000000000001</v>
      </c>
      <c r="C141" s="842">
        <f t="shared" si="153"/>
        <v>67132.010000000009</v>
      </c>
      <c r="D141" s="855">
        <v>1333.92</v>
      </c>
      <c r="E141" s="843">
        <f t="shared" si="120"/>
        <v>755622.03800000018</v>
      </c>
      <c r="F141" s="243">
        <f t="shared" si="121"/>
        <v>0</v>
      </c>
      <c r="G141" s="240"/>
      <c r="H141" s="280"/>
      <c r="I141" s="240">
        <v>0</v>
      </c>
      <c r="J141" s="240">
        <f t="shared" si="138"/>
        <v>0</v>
      </c>
      <c r="K141" s="280">
        <f t="shared" si="115"/>
        <v>0</v>
      </c>
      <c r="L141" s="240">
        <f t="shared" si="158"/>
        <v>1848201</v>
      </c>
      <c r="M141" s="280">
        <f t="shared" si="139"/>
        <v>27530.845568306384</v>
      </c>
      <c r="N141" s="280">
        <f t="shared" si="140"/>
        <v>3370.9863558597262</v>
      </c>
      <c r="O141" s="1089"/>
      <c r="P141" s="1084"/>
      <c r="Q141" s="77">
        <f t="shared" si="141"/>
        <v>42728</v>
      </c>
      <c r="R141" s="35"/>
      <c r="S141" s="35">
        <v>37480</v>
      </c>
      <c r="T141" s="35">
        <f t="shared" si="129"/>
        <v>5248</v>
      </c>
      <c r="U141" s="36">
        <f t="shared" si="116"/>
        <v>53735.255570117952</v>
      </c>
      <c r="V141" s="74">
        <f t="shared" si="142"/>
        <v>117234</v>
      </c>
      <c r="W141" s="36">
        <f t="shared" si="143"/>
        <v>1.746320421509798</v>
      </c>
      <c r="X141" s="1136"/>
      <c r="Y141" s="49">
        <f t="shared" si="122"/>
        <v>1137</v>
      </c>
      <c r="Z141" s="50"/>
      <c r="AA141" s="50">
        <v>1137</v>
      </c>
      <c r="AB141" s="50">
        <f t="shared" si="130"/>
        <v>0</v>
      </c>
      <c r="AC141" s="51">
        <f t="shared" si="159"/>
        <v>0</v>
      </c>
      <c r="AD141" s="50">
        <f t="shared" si="144"/>
        <v>6917</v>
      </c>
      <c r="AE141" s="51">
        <f t="shared" si="131"/>
        <v>0.10303579469764125</v>
      </c>
      <c r="AF141" s="1047"/>
      <c r="AG141" s="40">
        <f t="shared" si="123"/>
        <v>1298</v>
      </c>
      <c r="AH141" s="41"/>
      <c r="AI141" s="41">
        <v>1281</v>
      </c>
      <c r="AJ141" s="41">
        <f t="shared" si="160"/>
        <v>17</v>
      </c>
      <c r="AK141" s="42">
        <f t="shared" si="128"/>
        <v>174.06618610747051</v>
      </c>
      <c r="AL141" s="41">
        <f t="shared" si="154"/>
        <v>4194</v>
      </c>
      <c r="AM141" s="42">
        <f t="shared" si="145"/>
        <v>6.2473922648822809E-2</v>
      </c>
      <c r="AN141" s="1058"/>
      <c r="AO141" s="220">
        <v>0</v>
      </c>
      <c r="AP141" s="67">
        <v>24</v>
      </c>
      <c r="AQ141" s="68">
        <f t="shared" si="150"/>
        <v>0</v>
      </c>
      <c r="AR141" s="68">
        <f t="shared" si="163"/>
        <v>0</v>
      </c>
      <c r="AS141" s="69">
        <f t="shared" si="155"/>
        <v>8269.9178999999986</v>
      </c>
      <c r="AT141" s="140">
        <f t="shared" si="132"/>
        <v>10.944516549423346</v>
      </c>
      <c r="AU141" s="1073"/>
      <c r="AV141" s="70">
        <v>4.0999999999999996</v>
      </c>
      <c r="AW141" s="71">
        <v>12</v>
      </c>
      <c r="AX141" s="72">
        <f t="shared" si="151"/>
        <v>25.423116</v>
      </c>
      <c r="AY141" s="72">
        <f t="shared" si="127"/>
        <v>19.058951061532927</v>
      </c>
      <c r="AZ141" s="73">
        <f t="shared" si="156"/>
        <v>2412.4366818000012</v>
      </c>
      <c r="BA141" s="192">
        <f t="shared" si="133"/>
        <v>3.1926499764158556</v>
      </c>
      <c r="BB141" s="1075"/>
      <c r="BC141" s="90">
        <f t="shared" si="119"/>
        <v>13950</v>
      </c>
      <c r="BD141" s="59"/>
      <c r="BE141" s="56">
        <v>13532</v>
      </c>
      <c r="BF141" s="56">
        <f t="shared" si="152"/>
        <v>418</v>
      </c>
      <c r="BG141" s="58">
        <f t="shared" si="146"/>
        <v>50480</v>
      </c>
      <c r="BH141" s="58">
        <f t="shared" si="134"/>
        <v>66.805886357697773</v>
      </c>
      <c r="BI141" s="1140"/>
      <c r="BJ141" s="63">
        <f t="shared" si="124"/>
        <v>40</v>
      </c>
      <c r="BK141" s="64">
        <v>1100</v>
      </c>
      <c r="BL141" s="64">
        <v>890</v>
      </c>
      <c r="BM141" s="64">
        <f t="shared" si="147"/>
        <v>250</v>
      </c>
      <c r="BN141" s="65"/>
      <c r="BO141" s="64">
        <f t="shared" si="148"/>
        <v>14310</v>
      </c>
      <c r="BP141" s="65">
        <f t="shared" si="149"/>
        <v>0.21316209659147697</v>
      </c>
      <c r="BQ141" s="1071"/>
      <c r="BR141" s="77">
        <f t="shared" si="125"/>
        <v>54644</v>
      </c>
      <c r="BS141" s="35"/>
      <c r="BT141" s="35">
        <v>54644</v>
      </c>
      <c r="BU141" s="74">
        <f t="shared" si="161"/>
        <v>0</v>
      </c>
      <c r="BV141" s="74">
        <f t="shared" si="162"/>
        <v>345257</v>
      </c>
      <c r="BW141" s="74">
        <f t="shared" si="135"/>
        <v>456.91758926702971</v>
      </c>
      <c r="BX141" s="1098"/>
      <c r="BY141" s="295">
        <f t="shared" si="126"/>
        <v>1100</v>
      </c>
      <c r="BZ141" s="296"/>
      <c r="CA141" s="296">
        <v>1065</v>
      </c>
      <c r="CB141" s="296">
        <f t="shared" si="136"/>
        <v>35</v>
      </c>
      <c r="CC141" s="297"/>
      <c r="CD141" s="296">
        <f t="shared" si="157"/>
        <v>33435</v>
      </c>
      <c r="CE141" s="297">
        <f t="shared" si="137"/>
        <v>0.49804854643857671</v>
      </c>
      <c r="CF141" s="1061"/>
    </row>
    <row r="142" spans="1:84">
      <c r="A142" s="30">
        <v>44455</v>
      </c>
      <c r="B142" s="388">
        <v>296.07</v>
      </c>
      <c r="C142" s="842">
        <f t="shared" si="153"/>
        <v>67428.080000000016</v>
      </c>
      <c r="D142" s="855">
        <v>6233.72</v>
      </c>
      <c r="E142" s="843">
        <f t="shared" si="120"/>
        <v>761855.75800000015</v>
      </c>
      <c r="F142" s="243">
        <f t="shared" si="121"/>
        <v>0</v>
      </c>
      <c r="G142" s="240"/>
      <c r="H142" s="280"/>
      <c r="I142" s="240">
        <v>0</v>
      </c>
      <c r="J142" s="240">
        <f t="shared" si="138"/>
        <v>0</v>
      </c>
      <c r="K142" s="280">
        <f t="shared" si="115"/>
        <v>0</v>
      </c>
      <c r="L142" s="240">
        <f t="shared" si="158"/>
        <v>1848201</v>
      </c>
      <c r="M142" s="280">
        <f t="shared" si="139"/>
        <v>27409.960360728048</v>
      </c>
      <c r="N142" s="280">
        <f t="shared" si="140"/>
        <v>3356.1846896936513</v>
      </c>
      <c r="O142" s="1089"/>
      <c r="P142" s="1084"/>
      <c r="Q142" s="77">
        <f t="shared" si="141"/>
        <v>37480</v>
      </c>
      <c r="R142" s="35"/>
      <c r="S142" s="35">
        <v>35611</v>
      </c>
      <c r="T142" s="35">
        <f t="shared" si="129"/>
        <v>1869</v>
      </c>
      <c r="U142" s="36">
        <f t="shared" si="116"/>
        <v>6312.6963218157871</v>
      </c>
      <c r="V142" s="74">
        <f t="shared" si="142"/>
        <v>119103</v>
      </c>
      <c r="W142" s="36">
        <f t="shared" si="143"/>
        <v>1.7663709243982622</v>
      </c>
      <c r="X142" s="1136"/>
      <c r="Y142" s="49">
        <f t="shared" si="122"/>
        <v>1137</v>
      </c>
      <c r="Z142" s="50"/>
      <c r="AA142" s="50">
        <v>1137</v>
      </c>
      <c r="AB142" s="50">
        <f t="shared" si="130"/>
        <v>0</v>
      </c>
      <c r="AC142" s="51">
        <f t="shared" si="159"/>
        <v>0</v>
      </c>
      <c r="AD142" s="50">
        <f t="shared" si="144"/>
        <v>6917</v>
      </c>
      <c r="AE142" s="51">
        <f t="shared" si="131"/>
        <v>0.1025833747601889</v>
      </c>
      <c r="AF142" s="1047"/>
      <c r="AG142" s="40">
        <f t="shared" si="123"/>
        <v>1281</v>
      </c>
      <c r="AH142" s="41"/>
      <c r="AI142" s="41">
        <v>1281</v>
      </c>
      <c r="AJ142" s="41">
        <f t="shared" si="160"/>
        <v>0</v>
      </c>
      <c r="AK142" s="42">
        <f t="shared" si="128"/>
        <v>0</v>
      </c>
      <c r="AL142" s="41">
        <f t="shared" si="154"/>
        <v>4194</v>
      </c>
      <c r="AM142" s="42">
        <f t="shared" si="145"/>
        <v>6.2199605861534231E-2</v>
      </c>
      <c r="AN142" s="1058"/>
      <c r="AO142" s="220">
        <v>7.95</v>
      </c>
      <c r="AP142" s="67">
        <v>24</v>
      </c>
      <c r="AQ142" s="68">
        <f t="shared" si="150"/>
        <v>94.837140000000005</v>
      </c>
      <c r="AR142" s="68">
        <f t="shared" si="163"/>
        <v>15.213570708982758</v>
      </c>
      <c r="AS142" s="69">
        <f t="shared" si="155"/>
        <v>8364.7550399999982</v>
      </c>
      <c r="AT142" s="140">
        <f t="shared" si="132"/>
        <v>10.979447161965266</v>
      </c>
      <c r="AU142" s="1073"/>
      <c r="AV142" s="70">
        <v>4.3</v>
      </c>
      <c r="AW142" s="71">
        <v>12</v>
      </c>
      <c r="AX142" s="72">
        <f t="shared" si="151"/>
        <v>26.663267999999999</v>
      </c>
      <c r="AY142" s="72">
        <f t="shared" si="127"/>
        <v>4.2772642980435434</v>
      </c>
      <c r="AZ142" s="73">
        <f t="shared" si="156"/>
        <v>2439.099949800001</v>
      </c>
      <c r="BA142" s="192">
        <f t="shared" si="133"/>
        <v>3.2015245985710599</v>
      </c>
      <c r="BB142" s="1075"/>
      <c r="BC142" s="90">
        <f t="shared" si="119"/>
        <v>13532</v>
      </c>
      <c r="BD142" s="59"/>
      <c r="BE142" s="56">
        <v>10096</v>
      </c>
      <c r="BF142" s="56">
        <f t="shared" si="152"/>
        <v>3436</v>
      </c>
      <c r="BG142" s="58">
        <f t="shared" si="146"/>
        <v>53916</v>
      </c>
      <c r="BH142" s="58">
        <f t="shared" si="134"/>
        <v>70.769301713409106</v>
      </c>
      <c r="BI142" s="1140"/>
      <c r="BJ142" s="63">
        <f t="shared" si="124"/>
        <v>890</v>
      </c>
      <c r="BK142" s="64"/>
      <c r="BL142" s="64">
        <v>890</v>
      </c>
      <c r="BM142" s="64">
        <f t="shared" si="147"/>
        <v>0</v>
      </c>
      <c r="BN142" s="65"/>
      <c r="BO142" s="64">
        <f t="shared" si="148"/>
        <v>14310</v>
      </c>
      <c r="BP142" s="65">
        <f t="shared" si="149"/>
        <v>0.21222612300394728</v>
      </c>
      <c r="BQ142" s="1071"/>
      <c r="BR142" s="77">
        <f t="shared" si="125"/>
        <v>54644</v>
      </c>
      <c r="BS142" s="35"/>
      <c r="BT142" s="35">
        <v>51871</v>
      </c>
      <c r="BU142" s="74">
        <f t="shared" si="161"/>
        <v>2773</v>
      </c>
      <c r="BV142" s="74">
        <f t="shared" si="162"/>
        <v>348030</v>
      </c>
      <c r="BW142" s="74">
        <f t="shared" si="135"/>
        <v>456.81875649747326</v>
      </c>
      <c r="BX142" s="1098"/>
      <c r="BY142" s="295">
        <f t="shared" si="126"/>
        <v>1065</v>
      </c>
      <c r="BZ142" s="296"/>
      <c r="CA142" s="296">
        <v>1065</v>
      </c>
      <c r="CB142" s="296">
        <f t="shared" si="136"/>
        <v>0</v>
      </c>
      <c r="CC142" s="297"/>
      <c r="CD142" s="296">
        <f t="shared" si="157"/>
        <v>33435</v>
      </c>
      <c r="CE142" s="297">
        <f t="shared" si="137"/>
        <v>0.49586166475450572</v>
      </c>
      <c r="CF142" s="1061"/>
    </row>
    <row r="143" spans="1:84">
      <c r="A143" s="30">
        <v>44456</v>
      </c>
      <c r="B143" s="388">
        <v>514.60799999999995</v>
      </c>
      <c r="C143" s="842">
        <f t="shared" si="153"/>
        <v>67942.688000000009</v>
      </c>
      <c r="D143" s="855">
        <v>6311.24</v>
      </c>
      <c r="E143" s="843">
        <f t="shared" si="120"/>
        <v>768166.99800000014</v>
      </c>
      <c r="F143" s="243">
        <f t="shared" si="121"/>
        <v>0</v>
      </c>
      <c r="G143" s="240"/>
      <c r="H143" s="280"/>
      <c r="I143" s="240">
        <v>0</v>
      </c>
      <c r="J143" s="240">
        <f t="shared" si="138"/>
        <v>0</v>
      </c>
      <c r="K143" s="280">
        <f t="shared" si="115"/>
        <v>0</v>
      </c>
      <c r="L143" s="240">
        <f t="shared" si="158"/>
        <v>1848201</v>
      </c>
      <c r="M143" s="280">
        <f t="shared" si="139"/>
        <v>27202.353253966045</v>
      </c>
      <c r="N143" s="280">
        <f t="shared" si="140"/>
        <v>3330.76444887548</v>
      </c>
      <c r="O143" s="1089"/>
      <c r="P143" s="1084"/>
      <c r="Q143" s="77">
        <f t="shared" si="141"/>
        <v>35611</v>
      </c>
      <c r="R143" s="35"/>
      <c r="S143" s="35">
        <v>32657</v>
      </c>
      <c r="T143" s="35">
        <f t="shared" si="129"/>
        <v>2954</v>
      </c>
      <c r="U143" s="36">
        <f t="shared" si="116"/>
        <v>5740.291639461494</v>
      </c>
      <c r="V143" s="74">
        <f t="shared" si="142"/>
        <v>122057</v>
      </c>
      <c r="W143" s="36">
        <f t="shared" si="143"/>
        <v>1.7964699895299989</v>
      </c>
      <c r="X143" s="1136"/>
      <c r="Y143" s="49">
        <f t="shared" si="122"/>
        <v>1137</v>
      </c>
      <c r="Z143" s="50"/>
      <c r="AA143" s="50">
        <v>1057</v>
      </c>
      <c r="AB143" s="50">
        <f t="shared" si="130"/>
        <v>80</v>
      </c>
      <c r="AC143" s="51">
        <f t="shared" si="159"/>
        <v>0.15545813512421106</v>
      </c>
      <c r="AD143" s="50">
        <f t="shared" si="144"/>
        <v>6997</v>
      </c>
      <c r="AE143" s="51">
        <f t="shared" si="131"/>
        <v>0.10298385604054992</v>
      </c>
      <c r="AF143" s="1047"/>
      <c r="AG143" s="40">
        <f t="shared" si="123"/>
        <v>1281</v>
      </c>
      <c r="AH143" s="41"/>
      <c r="AI143" s="41">
        <v>1264</v>
      </c>
      <c r="AJ143" s="41">
        <f t="shared" si="160"/>
        <v>17</v>
      </c>
      <c r="AK143" s="42">
        <f t="shared" si="128"/>
        <v>33.034853713894854</v>
      </c>
      <c r="AL143" s="41">
        <f t="shared" si="154"/>
        <v>4211</v>
      </c>
      <c r="AM143" s="42">
        <f t="shared" si="145"/>
        <v>6.1978707701408564E-2</v>
      </c>
      <c r="AN143" s="1058"/>
      <c r="AO143" s="220">
        <v>7.75</v>
      </c>
      <c r="AP143" s="67">
        <v>24</v>
      </c>
      <c r="AQ143" s="68">
        <f t="shared" si="150"/>
        <v>92.451300000000003</v>
      </c>
      <c r="AR143" s="68">
        <f t="shared" si="163"/>
        <v>14.648674428479982</v>
      </c>
      <c r="AS143" s="69">
        <f t="shared" si="155"/>
        <v>8457.2063399999988</v>
      </c>
      <c r="AT143" s="140">
        <f t="shared" si="132"/>
        <v>11.009593437389505</v>
      </c>
      <c r="AU143" s="1073"/>
      <c r="AV143" s="70">
        <v>4.0999999999999996</v>
      </c>
      <c r="AW143" s="71">
        <v>12</v>
      </c>
      <c r="AX143" s="72">
        <f t="shared" si="151"/>
        <v>25.423116</v>
      </c>
      <c r="AY143" s="72">
        <f t="shared" si="127"/>
        <v>4.0282283671671495</v>
      </c>
      <c r="AZ143" s="73">
        <f t="shared" si="156"/>
        <v>2464.5230658000009</v>
      </c>
      <c r="BA143" s="192">
        <f t="shared" si="133"/>
        <v>3.2083167751499793</v>
      </c>
      <c r="BB143" s="1075"/>
      <c r="BC143" s="90">
        <f t="shared" si="119"/>
        <v>10096</v>
      </c>
      <c r="BD143" s="59"/>
      <c r="BE143" s="56">
        <v>9901</v>
      </c>
      <c r="BF143" s="56">
        <f t="shared" si="152"/>
        <v>195</v>
      </c>
      <c r="BG143" s="58">
        <f t="shared" si="146"/>
        <v>54111</v>
      </c>
      <c r="BH143" s="58">
        <f t="shared" si="134"/>
        <v>70.441714029479812</v>
      </c>
      <c r="BI143" s="1140"/>
      <c r="BJ143" s="63">
        <f t="shared" si="124"/>
        <v>890</v>
      </c>
      <c r="BK143" s="64">
        <v>1100</v>
      </c>
      <c r="BL143" s="64">
        <v>1670</v>
      </c>
      <c r="BM143" s="64">
        <f t="shared" si="147"/>
        <v>320</v>
      </c>
      <c r="BN143" s="65"/>
      <c r="BO143" s="64">
        <f t="shared" si="148"/>
        <v>14630</v>
      </c>
      <c r="BP143" s="65">
        <f t="shared" si="149"/>
        <v>0.21532854278594332</v>
      </c>
      <c r="BQ143" s="1071"/>
      <c r="BR143" s="77">
        <f t="shared" si="125"/>
        <v>51871</v>
      </c>
      <c r="BS143" s="35"/>
      <c r="BT143" s="35">
        <v>49099</v>
      </c>
      <c r="BU143" s="74">
        <f t="shared" si="161"/>
        <v>2772</v>
      </c>
      <c r="BV143" s="74">
        <f t="shared" si="162"/>
        <v>350802</v>
      </c>
      <c r="BW143" s="74">
        <f t="shared" si="135"/>
        <v>456.67413584981938</v>
      </c>
      <c r="BX143" s="1098"/>
      <c r="BY143" s="295">
        <f t="shared" si="126"/>
        <v>1065</v>
      </c>
      <c r="BZ143" s="296">
        <v>1150</v>
      </c>
      <c r="CA143" s="296">
        <v>1940</v>
      </c>
      <c r="CB143" s="296">
        <f t="shared" si="136"/>
        <v>275</v>
      </c>
      <c r="CC143" s="297"/>
      <c r="CD143" s="296">
        <f t="shared" si="157"/>
        <v>33710</v>
      </c>
      <c r="CE143" s="297">
        <f t="shared" si="137"/>
        <v>0.49615346393124737</v>
      </c>
      <c r="CF143" s="1061"/>
    </row>
    <row r="144" spans="1:84">
      <c r="A144" s="30">
        <v>44457</v>
      </c>
      <c r="B144" s="388">
        <v>557.01800000000003</v>
      </c>
      <c r="C144" s="842">
        <f t="shared" si="153"/>
        <v>68499.706000000006</v>
      </c>
      <c r="D144" s="855">
        <v>6517.38</v>
      </c>
      <c r="E144" s="843">
        <f t="shared" si="120"/>
        <v>774684.37800000014</v>
      </c>
      <c r="F144" s="243">
        <f t="shared" si="121"/>
        <v>0</v>
      </c>
      <c r="G144" s="240"/>
      <c r="H144" s="280"/>
      <c r="I144" s="240">
        <v>0</v>
      </c>
      <c r="J144" s="240">
        <f t="shared" si="138"/>
        <v>0</v>
      </c>
      <c r="K144" s="280">
        <f t="shared" si="115"/>
        <v>0</v>
      </c>
      <c r="L144" s="240">
        <f t="shared" si="158"/>
        <v>1848201</v>
      </c>
      <c r="M144" s="280">
        <f t="shared" si="139"/>
        <v>26981.152298668258</v>
      </c>
      <c r="N144" s="280">
        <f t="shared" si="140"/>
        <v>3303.679723113537</v>
      </c>
      <c r="O144" s="1089"/>
      <c r="P144" s="1084"/>
      <c r="Q144" s="77">
        <f t="shared" si="141"/>
        <v>32657</v>
      </c>
      <c r="R144" s="35"/>
      <c r="S144" s="35">
        <v>29156</v>
      </c>
      <c r="T144" s="35">
        <f t="shared" si="129"/>
        <v>3501</v>
      </c>
      <c r="U144" s="36">
        <f t="shared" si="116"/>
        <v>6285.2546955394619</v>
      </c>
      <c r="V144" s="74">
        <f t="shared" si="142"/>
        <v>125558</v>
      </c>
      <c r="W144" s="36">
        <f t="shared" si="143"/>
        <v>1.8329713707092405</v>
      </c>
      <c r="X144" s="1136"/>
      <c r="Y144" s="49">
        <f t="shared" si="122"/>
        <v>1057</v>
      </c>
      <c r="Z144" s="50"/>
      <c r="AA144" s="50">
        <v>990</v>
      </c>
      <c r="AB144" s="50">
        <f t="shared" si="130"/>
        <v>67</v>
      </c>
      <c r="AC144" s="51">
        <f t="shared" si="159"/>
        <v>0.12028336606716479</v>
      </c>
      <c r="AD144" s="50">
        <f t="shared" si="144"/>
        <v>7064</v>
      </c>
      <c r="AE144" s="51">
        <f t="shared" si="131"/>
        <v>0.10312453019871355</v>
      </c>
      <c r="AF144" s="1047"/>
      <c r="AG144" s="40">
        <f t="shared" si="123"/>
        <v>1264</v>
      </c>
      <c r="AH144" s="41"/>
      <c r="AI144" s="41">
        <v>1229</v>
      </c>
      <c r="AJ144" s="41">
        <f t="shared" si="160"/>
        <v>35</v>
      </c>
      <c r="AK144" s="42">
        <f t="shared" si="128"/>
        <v>62.83459421419056</v>
      </c>
      <c r="AL144" s="41">
        <f t="shared" si="154"/>
        <v>4246</v>
      </c>
      <c r="AM144" s="42">
        <f t="shared" si="145"/>
        <v>6.1985667500529119E-2</v>
      </c>
      <c r="AN144" s="1058"/>
      <c r="AO144" s="220">
        <v>9.0500000000000007</v>
      </c>
      <c r="AP144" s="67">
        <v>24</v>
      </c>
      <c r="AQ144" s="68">
        <f t="shared" si="150"/>
        <v>107.95926</v>
      </c>
      <c r="AR144" s="68">
        <f t="shared" si="163"/>
        <v>16.564825129116301</v>
      </c>
      <c r="AS144" s="69">
        <f t="shared" si="155"/>
        <v>8565.1655999999984</v>
      </c>
      <c r="AT144" s="140">
        <f t="shared" si="132"/>
        <v>11.056329317124808</v>
      </c>
      <c r="AU144" s="1073"/>
      <c r="AV144" s="70">
        <v>4.3</v>
      </c>
      <c r="AW144" s="71">
        <v>12</v>
      </c>
      <c r="AX144" s="72">
        <f t="shared" si="151"/>
        <v>26.663267999999999</v>
      </c>
      <c r="AY144" s="72">
        <f t="shared" si="127"/>
        <v>4.0911022527457348</v>
      </c>
      <c r="AZ144" s="73">
        <f t="shared" si="156"/>
        <v>2491.1863338000007</v>
      </c>
      <c r="BA144" s="192">
        <f t="shared" si="133"/>
        <v>3.2157436041649468</v>
      </c>
      <c r="BB144" s="1075"/>
      <c r="BC144" s="90">
        <f t="shared" si="119"/>
        <v>9901</v>
      </c>
      <c r="BD144" s="59"/>
      <c r="BE144" s="56">
        <v>9901</v>
      </c>
      <c r="BF144" s="56">
        <f t="shared" si="152"/>
        <v>0</v>
      </c>
      <c r="BG144" s="58">
        <f t="shared" si="146"/>
        <v>54111</v>
      </c>
      <c r="BH144" s="58">
        <f t="shared" si="134"/>
        <v>69.84909149671789</v>
      </c>
      <c r="BI144" s="1140"/>
      <c r="BJ144" s="63">
        <f t="shared" si="124"/>
        <v>1670</v>
      </c>
      <c r="BK144" s="64"/>
      <c r="BL144" s="64">
        <v>1400</v>
      </c>
      <c r="BM144" s="64">
        <f t="shared" si="147"/>
        <v>270</v>
      </c>
      <c r="BN144" s="65"/>
      <c r="BO144" s="64">
        <f t="shared" si="148"/>
        <v>14900</v>
      </c>
      <c r="BP144" s="65">
        <f t="shared" si="149"/>
        <v>0.21751918176115967</v>
      </c>
      <c r="BQ144" s="1071"/>
      <c r="BR144" s="77">
        <f t="shared" si="125"/>
        <v>49099</v>
      </c>
      <c r="BS144" s="35"/>
      <c r="BT144" s="35">
        <v>47250</v>
      </c>
      <c r="BU144" s="74">
        <f t="shared" si="161"/>
        <v>1849</v>
      </c>
      <c r="BV144" s="74">
        <f t="shared" si="162"/>
        <v>352651</v>
      </c>
      <c r="BW144" s="74">
        <f t="shared" si="135"/>
        <v>455.21893820866484</v>
      </c>
      <c r="BX144" s="1098"/>
      <c r="BY144" s="295">
        <f t="shared" si="126"/>
        <v>1940</v>
      </c>
      <c r="BZ144" s="296"/>
      <c r="CA144" s="296">
        <v>1780</v>
      </c>
      <c r="CB144" s="296">
        <f t="shared" si="136"/>
        <v>160</v>
      </c>
      <c r="CC144" s="297"/>
      <c r="CD144" s="296">
        <f t="shared" si="157"/>
        <v>33870</v>
      </c>
      <c r="CE144" s="297">
        <f t="shared" si="137"/>
        <v>0.49445467692956224</v>
      </c>
      <c r="CF144" s="1061"/>
    </row>
    <row r="145" spans="1:84">
      <c r="A145" s="30">
        <v>44458</v>
      </c>
      <c r="B145" s="389">
        <v>575.10400000000004</v>
      </c>
      <c r="C145" s="842">
        <f t="shared" si="153"/>
        <v>69074.810000000012</v>
      </c>
      <c r="D145" s="855">
        <v>7131.34</v>
      </c>
      <c r="E145" s="843">
        <f t="shared" si="120"/>
        <v>781815.71800000011</v>
      </c>
      <c r="F145" s="243">
        <f t="shared" si="121"/>
        <v>0</v>
      </c>
      <c r="G145" s="240"/>
      <c r="H145" s="280"/>
      <c r="I145" s="240">
        <v>0</v>
      </c>
      <c r="J145" s="240">
        <f t="shared" si="138"/>
        <v>0</v>
      </c>
      <c r="K145" s="280">
        <f t="shared" si="115"/>
        <v>0</v>
      </c>
      <c r="L145" s="240">
        <f t="shared" si="158"/>
        <v>1848201</v>
      </c>
      <c r="M145" s="280">
        <f t="shared" si="139"/>
        <v>26756.512250992797</v>
      </c>
      <c r="N145" s="280">
        <f t="shared" si="140"/>
        <v>3276.1739011868249</v>
      </c>
      <c r="O145" s="1089"/>
      <c r="P145" s="1084"/>
      <c r="Q145" s="77">
        <f t="shared" si="141"/>
        <v>29156</v>
      </c>
      <c r="R145" s="35"/>
      <c r="S145" s="35">
        <v>26741</v>
      </c>
      <c r="T145" s="35">
        <f t="shared" si="129"/>
        <v>2415</v>
      </c>
      <c r="U145" s="36">
        <f t="shared" si="116"/>
        <v>4199.2404851991987</v>
      </c>
      <c r="V145" s="74">
        <f t="shared" si="142"/>
        <v>127973</v>
      </c>
      <c r="W145" s="36">
        <f t="shared" si="143"/>
        <v>1.8526724865403172</v>
      </c>
      <c r="X145" s="1136"/>
      <c r="Y145" s="49">
        <f t="shared" si="122"/>
        <v>990</v>
      </c>
      <c r="Z145" s="50"/>
      <c r="AA145" s="50">
        <v>938</v>
      </c>
      <c r="AB145" s="50">
        <f t="shared" si="130"/>
        <v>52</v>
      </c>
      <c r="AC145" s="51">
        <f t="shared" si="159"/>
        <v>9.0418428666815043E-2</v>
      </c>
      <c r="AD145" s="50">
        <f t="shared" si="144"/>
        <v>7116</v>
      </c>
      <c r="AE145" s="51">
        <f t="shared" si="131"/>
        <v>0.10301874156439951</v>
      </c>
      <c r="AF145" s="1047"/>
      <c r="AG145" s="40">
        <f t="shared" si="123"/>
        <v>1229</v>
      </c>
      <c r="AH145" s="41"/>
      <c r="AI145" s="41">
        <v>1229</v>
      </c>
      <c r="AJ145" s="41">
        <f t="shared" si="160"/>
        <v>0</v>
      </c>
      <c r="AK145" s="42">
        <f t="shared" si="128"/>
        <v>0</v>
      </c>
      <c r="AL145" s="41">
        <f t="shared" si="154"/>
        <v>4246</v>
      </c>
      <c r="AM145" s="42">
        <f t="shared" si="145"/>
        <v>6.1469586380331689E-2</v>
      </c>
      <c r="AN145" s="1058"/>
      <c r="AO145" s="220">
        <v>7.35</v>
      </c>
      <c r="AP145" s="67">
        <v>24</v>
      </c>
      <c r="AQ145" s="68">
        <f t="shared" si="150"/>
        <v>87.679619999999986</v>
      </c>
      <c r="AR145" s="68">
        <f t="shared" si="163"/>
        <v>12.294971211581551</v>
      </c>
      <c r="AS145" s="69">
        <f t="shared" si="155"/>
        <v>8652.8452199999992</v>
      </c>
      <c r="AT145" s="140">
        <f t="shared" si="132"/>
        <v>11.067627601725958</v>
      </c>
      <c r="AU145" s="1073"/>
      <c r="AV145" s="70">
        <v>3.9</v>
      </c>
      <c r="AW145" s="71">
        <v>12</v>
      </c>
      <c r="AX145" s="72">
        <f t="shared" si="151"/>
        <v>24.182963999999998</v>
      </c>
      <c r="AY145" s="72">
        <f t="shared" si="127"/>
        <v>3.391082741812899</v>
      </c>
      <c r="AZ145" s="73">
        <f t="shared" si="156"/>
        <v>2515.3692978000008</v>
      </c>
      <c r="BA145" s="192">
        <f t="shared" si="133"/>
        <v>3.2173429618870881</v>
      </c>
      <c r="BB145" s="1075"/>
      <c r="BC145" s="90">
        <f t="shared" si="119"/>
        <v>9901</v>
      </c>
      <c r="BD145" s="59"/>
      <c r="BE145" s="56">
        <v>9901</v>
      </c>
      <c r="BF145" s="56">
        <f t="shared" si="152"/>
        <v>0</v>
      </c>
      <c r="BG145" s="58">
        <f t="shared" si="146"/>
        <v>54111</v>
      </c>
      <c r="BH145" s="58">
        <f t="shared" si="134"/>
        <v>69.211962300302574</v>
      </c>
      <c r="BI145" s="1140"/>
      <c r="BJ145" s="63">
        <f t="shared" si="124"/>
        <v>1400</v>
      </c>
      <c r="BK145" s="64"/>
      <c r="BL145" s="64">
        <v>930</v>
      </c>
      <c r="BM145" s="64">
        <f t="shared" si="147"/>
        <v>470</v>
      </c>
      <c r="BN145" s="65"/>
      <c r="BO145" s="64">
        <f t="shared" si="148"/>
        <v>15370</v>
      </c>
      <c r="BP145" s="65">
        <f t="shared" si="149"/>
        <v>0.2225123746268719</v>
      </c>
      <c r="BQ145" s="1071"/>
      <c r="BR145" s="77">
        <f t="shared" si="125"/>
        <v>47250</v>
      </c>
      <c r="BS145" s="35"/>
      <c r="BT145" s="35">
        <v>45402</v>
      </c>
      <c r="BU145" s="74">
        <f t="shared" si="161"/>
        <v>1848</v>
      </c>
      <c r="BV145" s="74">
        <f t="shared" si="162"/>
        <v>354499</v>
      </c>
      <c r="BW145" s="74">
        <f t="shared" si="135"/>
        <v>453.43038242677022</v>
      </c>
      <c r="BX145" s="1098"/>
      <c r="BY145" s="295">
        <f t="shared" si="126"/>
        <v>1780</v>
      </c>
      <c r="BZ145" s="296"/>
      <c r="CA145" s="296">
        <v>1565</v>
      </c>
      <c r="CB145" s="296">
        <f t="shared" si="136"/>
        <v>215</v>
      </c>
      <c r="CC145" s="297"/>
      <c r="CD145" s="296">
        <f t="shared" si="157"/>
        <v>34085</v>
      </c>
      <c r="CE145" s="297">
        <f t="shared" si="137"/>
        <v>0.49345050677663815</v>
      </c>
      <c r="CF145" s="1061"/>
    </row>
    <row r="146" spans="1:84">
      <c r="A146" s="30">
        <v>44459</v>
      </c>
      <c r="B146" s="389">
        <v>628.96400000000006</v>
      </c>
      <c r="C146" s="842">
        <f t="shared" si="153"/>
        <v>69703.774000000019</v>
      </c>
      <c r="D146" s="855">
        <v>6480.64</v>
      </c>
      <c r="E146" s="843">
        <f t="shared" si="120"/>
        <v>788296.35800000012</v>
      </c>
      <c r="F146" s="243">
        <f t="shared" si="121"/>
        <v>0</v>
      </c>
      <c r="G146" s="240"/>
      <c r="H146" s="280"/>
      <c r="I146" s="240">
        <v>0</v>
      </c>
      <c r="J146" s="240">
        <f t="shared" si="138"/>
        <v>0</v>
      </c>
      <c r="K146" s="280">
        <f t="shared" si="115"/>
        <v>0</v>
      </c>
      <c r="L146" s="240">
        <f t="shared" si="158"/>
        <v>1848201</v>
      </c>
      <c r="M146" s="280">
        <f t="shared" si="139"/>
        <v>26515.077935378355</v>
      </c>
      <c r="N146" s="280">
        <f t="shared" si="140"/>
        <v>3246.6117222209323</v>
      </c>
      <c r="O146" s="1089"/>
      <c r="P146" s="1084"/>
      <c r="Q146" s="77">
        <f t="shared" si="141"/>
        <v>26741</v>
      </c>
      <c r="R146" s="35"/>
      <c r="S146" s="35">
        <v>24343</v>
      </c>
      <c r="T146" s="35">
        <f t="shared" si="129"/>
        <v>2398</v>
      </c>
      <c r="U146" s="36">
        <f t="shared" si="116"/>
        <v>3812.6188462296727</v>
      </c>
      <c r="V146" s="74">
        <f t="shared" si="142"/>
        <v>130371</v>
      </c>
      <c r="W146" s="36">
        <f t="shared" si="143"/>
        <v>1.8703578374393324</v>
      </c>
      <c r="X146" s="1136"/>
      <c r="Y146" s="49">
        <f t="shared" si="122"/>
        <v>938</v>
      </c>
      <c r="Z146" s="50"/>
      <c r="AA146" s="50">
        <v>850</v>
      </c>
      <c r="AB146" s="50">
        <f t="shared" si="130"/>
        <v>88</v>
      </c>
      <c r="AC146" s="51">
        <f t="shared" si="159"/>
        <v>0.13991261821026321</v>
      </c>
      <c r="AD146" s="50">
        <f t="shared" si="144"/>
        <v>7204</v>
      </c>
      <c r="AE146" s="51">
        <f t="shared" si="131"/>
        <v>0.10335164922346957</v>
      </c>
      <c r="AF146" s="1047"/>
      <c r="AG146" s="40">
        <f t="shared" si="123"/>
        <v>1229</v>
      </c>
      <c r="AH146" s="41"/>
      <c r="AI146" s="41">
        <v>1211</v>
      </c>
      <c r="AJ146" s="41">
        <f t="shared" si="160"/>
        <v>18</v>
      </c>
      <c r="AK146" s="42">
        <f t="shared" si="128"/>
        <v>28.618490088462931</v>
      </c>
      <c r="AL146" s="41">
        <f t="shared" si="154"/>
        <v>4264</v>
      </c>
      <c r="AM146" s="42">
        <f t="shared" si="145"/>
        <v>6.1173158285518357E-2</v>
      </c>
      <c r="AN146" s="1058"/>
      <c r="AO146" s="220">
        <v>7.1</v>
      </c>
      <c r="AP146" s="67">
        <v>24</v>
      </c>
      <c r="AQ146" s="68">
        <f t="shared" si="150"/>
        <v>84.697319999999991</v>
      </c>
      <c r="AR146" s="68">
        <f t="shared" si="163"/>
        <v>13.069283280663637</v>
      </c>
      <c r="AS146" s="69">
        <f t="shared" si="155"/>
        <v>8737.5425399999986</v>
      </c>
      <c r="AT146" s="140">
        <f t="shared" si="132"/>
        <v>11.08408335434679</v>
      </c>
      <c r="AU146" s="1073"/>
      <c r="AV146" s="70">
        <v>3.85</v>
      </c>
      <c r="AW146" s="71">
        <v>12</v>
      </c>
      <c r="AX146" s="72">
        <f t="shared" si="151"/>
        <v>23.872926000000003</v>
      </c>
      <c r="AY146" s="72">
        <f t="shared" si="127"/>
        <v>3.6837296933636186</v>
      </c>
      <c r="AZ146" s="73">
        <f t="shared" si="156"/>
        <v>2539.2422238000008</v>
      </c>
      <c r="BA146" s="192">
        <f t="shared" si="133"/>
        <v>3.2211771601258627</v>
      </c>
      <c r="BB146" s="1075"/>
      <c r="BC146" s="90">
        <f t="shared" si="119"/>
        <v>9901</v>
      </c>
      <c r="BD146" s="59"/>
      <c r="BE146" s="56">
        <v>9901</v>
      </c>
      <c r="BF146" s="56">
        <f t="shared" si="152"/>
        <v>0</v>
      </c>
      <c r="BG146" s="58">
        <f t="shared" si="146"/>
        <v>54111</v>
      </c>
      <c r="BH146" s="58">
        <f t="shared" si="134"/>
        <v>68.642965872994679</v>
      </c>
      <c r="BI146" s="1140"/>
      <c r="BJ146" s="63">
        <f t="shared" si="124"/>
        <v>930</v>
      </c>
      <c r="BK146" s="64"/>
      <c r="BL146" s="64">
        <v>815</v>
      </c>
      <c r="BM146" s="64">
        <f t="shared" si="147"/>
        <v>115</v>
      </c>
      <c r="BN146" s="65"/>
      <c r="BO146" s="64">
        <f t="shared" si="148"/>
        <v>15485</v>
      </c>
      <c r="BP146" s="65">
        <f t="shared" si="149"/>
        <v>0.2221543986986988</v>
      </c>
      <c r="BQ146" s="1071"/>
      <c r="BR146" s="77">
        <f t="shared" si="125"/>
        <v>45402</v>
      </c>
      <c r="BS146" s="35"/>
      <c r="BT146" s="35">
        <v>41705</v>
      </c>
      <c r="BU146" s="74">
        <f t="shared" si="161"/>
        <v>3697</v>
      </c>
      <c r="BV146" s="74">
        <f t="shared" si="162"/>
        <v>358196</v>
      </c>
      <c r="BW146" s="74">
        <f t="shared" si="135"/>
        <v>454.39255980934007</v>
      </c>
      <c r="BX146" s="1098"/>
      <c r="BY146" s="295">
        <f t="shared" si="126"/>
        <v>1565</v>
      </c>
      <c r="BZ146" s="296"/>
      <c r="CA146" s="296">
        <v>1100</v>
      </c>
      <c r="CB146" s="296">
        <f t="shared" si="136"/>
        <v>465</v>
      </c>
      <c r="CC146" s="297"/>
      <c r="CD146" s="296">
        <f t="shared" si="157"/>
        <v>34550</v>
      </c>
      <c r="CE146" s="297">
        <f t="shared" si="137"/>
        <v>0.49566900064837222</v>
      </c>
      <c r="CF146" s="1061"/>
    </row>
    <row r="147" spans="1:84">
      <c r="A147" s="30">
        <v>44460</v>
      </c>
      <c r="B147" s="856">
        <v>567.63599999999997</v>
      </c>
      <c r="C147" s="842">
        <f t="shared" si="153"/>
        <v>70271.410000000018</v>
      </c>
      <c r="D147" s="855">
        <v>6382.22</v>
      </c>
      <c r="E147" s="843">
        <f t="shared" si="120"/>
        <v>794678.5780000001</v>
      </c>
      <c r="F147" s="243">
        <f t="shared" si="121"/>
        <v>0</v>
      </c>
      <c r="G147" s="240"/>
      <c r="H147" s="280"/>
      <c r="I147" s="240">
        <v>0</v>
      </c>
      <c r="J147" s="240">
        <f t="shared" si="138"/>
        <v>0</v>
      </c>
      <c r="K147" s="280">
        <f t="shared" si="115"/>
        <v>0</v>
      </c>
      <c r="L147" s="240">
        <f t="shared" si="158"/>
        <v>1848201</v>
      </c>
      <c r="M147" s="280">
        <f t="shared" si="139"/>
        <v>26300.895342785916</v>
      </c>
      <c r="N147" s="280">
        <f t="shared" si="140"/>
        <v>3220.3863527348985</v>
      </c>
      <c r="O147" s="1089"/>
      <c r="P147" s="1084"/>
      <c r="Q147" s="77">
        <f t="shared" si="141"/>
        <v>24343</v>
      </c>
      <c r="R147" s="35">
        <v>36160</v>
      </c>
      <c r="S147" s="35">
        <v>56420</v>
      </c>
      <c r="T147" s="35">
        <f t="shared" si="129"/>
        <v>4083</v>
      </c>
      <c r="U147" s="36">
        <f t="shared" si="116"/>
        <v>7192.9898737923604</v>
      </c>
      <c r="V147" s="74">
        <f t="shared" si="142"/>
        <v>134454</v>
      </c>
      <c r="W147" s="36">
        <f t="shared" si="143"/>
        <v>1.913352813043028</v>
      </c>
      <c r="X147" s="1136"/>
      <c r="Y147" s="49">
        <f t="shared" si="122"/>
        <v>850</v>
      </c>
      <c r="Z147" s="50"/>
      <c r="AA147" s="50">
        <v>761</v>
      </c>
      <c r="AB147" s="50">
        <f t="shared" si="130"/>
        <v>89</v>
      </c>
      <c r="AC147" s="51">
        <f t="shared" si="159"/>
        <v>0.15679061934056332</v>
      </c>
      <c r="AD147" s="50">
        <f t="shared" si="144"/>
        <v>7293</v>
      </c>
      <c r="AE147" s="51">
        <f t="shared" si="131"/>
        <v>0.10378331671443619</v>
      </c>
      <c r="AF147" s="1047"/>
      <c r="AG147" s="40">
        <f t="shared" si="123"/>
        <v>1211</v>
      </c>
      <c r="AH147" s="41"/>
      <c r="AI147" s="41">
        <v>1156</v>
      </c>
      <c r="AJ147" s="41">
        <f t="shared" si="160"/>
        <v>55</v>
      </c>
      <c r="AK147" s="42">
        <f t="shared" si="128"/>
        <v>96.89307936776386</v>
      </c>
      <c r="AL147" s="41">
        <f t="shared" si="154"/>
        <v>4319</v>
      </c>
      <c r="AM147" s="42">
        <f t="shared" si="145"/>
        <v>6.1461695446270379E-2</v>
      </c>
      <c r="AN147" s="1058"/>
      <c r="AO147" s="220">
        <v>8</v>
      </c>
      <c r="AP147" s="67">
        <v>24</v>
      </c>
      <c r="AQ147" s="68">
        <f t="shared" si="150"/>
        <v>95.433599999999998</v>
      </c>
      <c r="AR147" s="68">
        <f t="shared" si="163"/>
        <v>14.953041418189907</v>
      </c>
      <c r="AS147" s="69">
        <f t="shared" si="155"/>
        <v>8832.9761399999988</v>
      </c>
      <c r="AT147" s="140">
        <f t="shared" si="132"/>
        <v>11.115155717712071</v>
      </c>
      <c r="AU147" s="1073"/>
      <c r="AV147" s="70">
        <v>3.9</v>
      </c>
      <c r="AW147" s="71">
        <v>12</v>
      </c>
      <c r="AX147" s="72">
        <f t="shared" si="151"/>
        <v>24.182963999999998</v>
      </c>
      <c r="AY147" s="72">
        <f t="shared" si="127"/>
        <v>3.7891147594410719</v>
      </c>
      <c r="AZ147" s="73">
        <f t="shared" si="156"/>
        <v>2563.4251878000009</v>
      </c>
      <c r="BA147" s="192">
        <f t="shared" si="133"/>
        <v>3.2257383787184466</v>
      </c>
      <c r="BB147" s="1075"/>
      <c r="BC147" s="90">
        <f t="shared" si="119"/>
        <v>9901</v>
      </c>
      <c r="BD147" s="59"/>
      <c r="BE147" s="56">
        <v>9901</v>
      </c>
      <c r="BF147" s="56">
        <f t="shared" si="152"/>
        <v>0</v>
      </c>
      <c r="BG147" s="58">
        <f t="shared" si="146"/>
        <v>54111</v>
      </c>
      <c r="BH147" s="58">
        <f t="shared" si="134"/>
        <v>68.091680709681839</v>
      </c>
      <c r="BI147" s="1140"/>
      <c r="BJ147" s="63">
        <f t="shared" si="124"/>
        <v>815</v>
      </c>
      <c r="BK147" s="64"/>
      <c r="BL147" s="64">
        <v>450</v>
      </c>
      <c r="BM147" s="64">
        <f t="shared" si="147"/>
        <v>365</v>
      </c>
      <c r="BN147" s="65"/>
      <c r="BO147" s="64">
        <f t="shared" si="148"/>
        <v>15850</v>
      </c>
      <c r="BP147" s="65">
        <f t="shared" si="149"/>
        <v>0.22555403399476395</v>
      </c>
      <c r="BQ147" s="1071"/>
      <c r="BR147" s="77">
        <f t="shared" si="125"/>
        <v>41705</v>
      </c>
      <c r="BS147" s="35"/>
      <c r="BT147" s="35">
        <v>39890</v>
      </c>
      <c r="BU147" s="74">
        <f t="shared" si="161"/>
        <v>1815</v>
      </c>
      <c r="BV147" s="74">
        <f t="shared" si="162"/>
        <v>360011</v>
      </c>
      <c r="BW147" s="74">
        <f t="shared" si="135"/>
        <v>453.02718604300912</v>
      </c>
      <c r="BX147" s="1098"/>
      <c r="BY147" s="295">
        <f t="shared" si="126"/>
        <v>1100</v>
      </c>
      <c r="BZ147" s="296"/>
      <c r="CA147" s="296">
        <v>790</v>
      </c>
      <c r="CB147" s="296">
        <f t="shared" si="136"/>
        <v>310</v>
      </c>
      <c r="CC147" s="297"/>
      <c r="CD147" s="296">
        <f t="shared" si="157"/>
        <v>34860</v>
      </c>
      <c r="CE147" s="297">
        <f t="shared" si="137"/>
        <v>0.49607656940425687</v>
      </c>
      <c r="CF147" s="1061"/>
    </row>
    <row r="148" spans="1:84">
      <c r="A148" s="30">
        <v>44461</v>
      </c>
      <c r="B148" s="856">
        <v>592.62900000000002</v>
      </c>
      <c r="C148" s="842">
        <f t="shared" si="153"/>
        <v>70864.039000000019</v>
      </c>
      <c r="D148" s="855">
        <v>6711.74</v>
      </c>
      <c r="E148" s="843">
        <f t="shared" si="120"/>
        <v>801390.31800000009</v>
      </c>
      <c r="F148" s="243">
        <f t="shared" si="121"/>
        <v>0</v>
      </c>
      <c r="G148" s="240">
        <v>28750</v>
      </c>
      <c r="H148" s="280">
        <v>10.56</v>
      </c>
      <c r="I148" s="240">
        <v>28750</v>
      </c>
      <c r="J148" s="240">
        <f t="shared" si="138"/>
        <v>0</v>
      </c>
      <c r="K148" s="280">
        <f t="shared" si="115"/>
        <v>0</v>
      </c>
      <c r="L148" s="240">
        <f t="shared" si="158"/>
        <v>1848201</v>
      </c>
      <c r="M148" s="280">
        <f t="shared" si="139"/>
        <v>26080.943537525422</v>
      </c>
      <c r="N148" s="280">
        <f t="shared" si="140"/>
        <v>3193.4545778774855</v>
      </c>
      <c r="O148" s="1089"/>
      <c r="P148" s="1084"/>
      <c r="Q148" s="77">
        <f t="shared" si="141"/>
        <v>56420</v>
      </c>
      <c r="R148" s="35"/>
      <c r="S148" s="35">
        <v>51984</v>
      </c>
      <c r="T148" s="35">
        <f t="shared" si="129"/>
        <v>4436</v>
      </c>
      <c r="U148" s="36">
        <f t="shared" si="116"/>
        <v>7485.2901224880998</v>
      </c>
      <c r="V148" s="74">
        <f t="shared" si="142"/>
        <v>138890</v>
      </c>
      <c r="W148" s="36">
        <f t="shared" si="143"/>
        <v>1.959950377652055</v>
      </c>
      <c r="X148" s="1136"/>
      <c r="Y148" s="49">
        <f t="shared" si="122"/>
        <v>761</v>
      </c>
      <c r="Z148" s="50"/>
      <c r="AA148" s="50">
        <v>689</v>
      </c>
      <c r="AB148" s="50">
        <f t="shared" si="130"/>
        <v>72</v>
      </c>
      <c r="AC148" s="51">
        <f t="shared" si="159"/>
        <v>0.12149253580233164</v>
      </c>
      <c r="AD148" s="50">
        <f t="shared" si="144"/>
        <v>7365</v>
      </c>
      <c r="AE148" s="51">
        <f t="shared" si="131"/>
        <v>0.10393141717479579</v>
      </c>
      <c r="AF148" s="1047"/>
      <c r="AG148" s="40">
        <f t="shared" si="123"/>
        <v>1156</v>
      </c>
      <c r="AH148" s="41"/>
      <c r="AI148" s="41">
        <v>1156</v>
      </c>
      <c r="AJ148" s="41">
        <f t="shared" si="160"/>
        <v>0</v>
      </c>
      <c r="AK148" s="42">
        <f t="shared" si="128"/>
        <v>0</v>
      </c>
      <c r="AL148" s="41">
        <f t="shared" si="154"/>
        <v>4319</v>
      </c>
      <c r="AM148" s="42">
        <f t="shared" si="145"/>
        <v>6.0947697322191852E-2</v>
      </c>
      <c r="AN148" s="1058"/>
      <c r="AO148" s="220">
        <v>7.45</v>
      </c>
      <c r="AP148" s="67">
        <v>24</v>
      </c>
      <c r="AQ148" s="68">
        <f t="shared" si="150"/>
        <v>88.872540000000001</v>
      </c>
      <c r="AR148" s="68">
        <f t="shared" si="163"/>
        <v>13.241356190794042</v>
      </c>
      <c r="AS148" s="69">
        <f t="shared" si="155"/>
        <v>8921.8486799999991</v>
      </c>
      <c r="AT148" s="140">
        <f t="shared" si="132"/>
        <v>11.132962901605705</v>
      </c>
      <c r="AU148" s="1073"/>
      <c r="AV148" s="70">
        <v>3.3</v>
      </c>
      <c r="AW148" s="71">
        <v>12</v>
      </c>
      <c r="AX148" s="72">
        <f t="shared" si="151"/>
        <v>20.462508</v>
      </c>
      <c r="AY148" s="72">
        <f t="shared" si="127"/>
        <v>3.0487635099095018</v>
      </c>
      <c r="AZ148" s="73">
        <f t="shared" si="156"/>
        <v>2583.887695800001</v>
      </c>
      <c r="BA148" s="192">
        <f t="shared" si="133"/>
        <v>3.2242561929728737</v>
      </c>
      <c r="BB148" s="1075"/>
      <c r="BC148" s="90">
        <f t="shared" si="119"/>
        <v>9901</v>
      </c>
      <c r="BD148" s="59"/>
      <c r="BE148" s="56">
        <v>9901</v>
      </c>
      <c r="BF148" s="56">
        <f t="shared" si="152"/>
        <v>0</v>
      </c>
      <c r="BG148" s="58">
        <f t="shared" si="146"/>
        <v>54111</v>
      </c>
      <c r="BH148" s="58">
        <f t="shared" si="134"/>
        <v>67.521404719541408</v>
      </c>
      <c r="BI148" s="1140"/>
      <c r="BJ148" s="63">
        <f t="shared" si="124"/>
        <v>450</v>
      </c>
      <c r="BK148" s="64"/>
      <c r="BL148" s="64">
        <v>100</v>
      </c>
      <c r="BM148" s="64">
        <f t="shared" si="147"/>
        <v>350</v>
      </c>
      <c r="BN148" s="65"/>
      <c r="BO148" s="64">
        <f t="shared" si="148"/>
        <v>16200</v>
      </c>
      <c r="BP148" s="65">
        <f t="shared" si="149"/>
        <v>0.22860678319507016</v>
      </c>
      <c r="BQ148" s="1071"/>
      <c r="BR148" s="77">
        <f t="shared" si="125"/>
        <v>39890</v>
      </c>
      <c r="BS148" s="35"/>
      <c r="BT148" s="35">
        <v>37118</v>
      </c>
      <c r="BU148" s="74">
        <f t="shared" si="161"/>
        <v>2772</v>
      </c>
      <c r="BV148" s="74">
        <f t="shared" si="162"/>
        <v>362783</v>
      </c>
      <c r="BW148" s="74">
        <f t="shared" si="135"/>
        <v>452.69201767421396</v>
      </c>
      <c r="BX148" s="1098"/>
      <c r="BY148" s="295">
        <f t="shared" si="126"/>
        <v>790</v>
      </c>
      <c r="BZ148" s="296">
        <v>2300</v>
      </c>
      <c r="CA148" s="296">
        <v>2490</v>
      </c>
      <c r="CB148" s="296">
        <f t="shared" si="136"/>
        <v>600</v>
      </c>
      <c r="CC148" s="297"/>
      <c r="CD148" s="296">
        <f t="shared" si="157"/>
        <v>35460</v>
      </c>
      <c r="CE148" s="297">
        <f t="shared" si="137"/>
        <v>0.50039484766032016</v>
      </c>
      <c r="CF148" s="1061"/>
    </row>
    <row r="149" spans="1:84">
      <c r="A149" s="30">
        <v>44462</v>
      </c>
      <c r="B149" s="857">
        <v>587.30200000000002</v>
      </c>
      <c r="C149" s="842">
        <f t="shared" si="153"/>
        <v>71451.341000000015</v>
      </c>
      <c r="D149" s="855">
        <v>6768.3</v>
      </c>
      <c r="E149" s="843">
        <f t="shared" si="120"/>
        <v>808158.61800000013</v>
      </c>
      <c r="F149" s="243">
        <f t="shared" si="121"/>
        <v>28750</v>
      </c>
      <c r="G149" s="240"/>
      <c r="H149" s="280"/>
      <c r="I149" s="240">
        <v>0</v>
      </c>
      <c r="J149" s="240">
        <f t="shared" si="138"/>
        <v>28750</v>
      </c>
      <c r="K149" s="280">
        <f t="shared" si="115"/>
        <v>48952.668303530379</v>
      </c>
      <c r="L149" s="240">
        <f t="shared" si="158"/>
        <v>1876951</v>
      </c>
      <c r="M149" s="280">
        <f t="shared" si="139"/>
        <v>26268.940144874254</v>
      </c>
      <c r="N149" s="280">
        <f t="shared" si="140"/>
        <v>3216.473631060886</v>
      </c>
      <c r="O149" s="1089"/>
      <c r="P149" s="1084"/>
      <c r="Q149" s="77">
        <f t="shared" si="141"/>
        <v>51984</v>
      </c>
      <c r="R149" s="35"/>
      <c r="S149" s="35">
        <v>51531</v>
      </c>
      <c r="T149" s="35">
        <f t="shared" si="129"/>
        <v>453</v>
      </c>
      <c r="U149" s="36">
        <f t="shared" si="116"/>
        <v>771.32378231301777</v>
      </c>
      <c r="V149" s="74">
        <f t="shared" si="142"/>
        <v>139343</v>
      </c>
      <c r="W149" s="36">
        <f t="shared" si="143"/>
        <v>1.9501803332144594</v>
      </c>
      <c r="X149" s="1136"/>
      <c r="Y149" s="49">
        <f t="shared" si="122"/>
        <v>689</v>
      </c>
      <c r="Z149" s="50"/>
      <c r="AA149" s="50">
        <v>581</v>
      </c>
      <c r="AB149" s="50">
        <f t="shared" si="130"/>
        <v>108</v>
      </c>
      <c r="AC149" s="51">
        <f t="shared" si="159"/>
        <v>0.18389176267065324</v>
      </c>
      <c r="AD149" s="50">
        <f t="shared" si="144"/>
        <v>7473</v>
      </c>
      <c r="AE149" s="51">
        <f t="shared" si="131"/>
        <v>0.10458865985454351</v>
      </c>
      <c r="AF149" s="1047"/>
      <c r="AG149" s="40">
        <f t="shared" si="123"/>
        <v>1156</v>
      </c>
      <c r="AH149" s="41"/>
      <c r="AI149" s="41">
        <v>1119</v>
      </c>
      <c r="AJ149" s="41">
        <f t="shared" si="160"/>
        <v>37</v>
      </c>
      <c r="AK149" s="42">
        <f t="shared" si="128"/>
        <v>62.999955729760835</v>
      </c>
      <c r="AL149" s="41">
        <f t="shared" si="154"/>
        <v>4356</v>
      </c>
      <c r="AM149" s="42">
        <f t="shared" si="145"/>
        <v>6.0964566081411951E-2</v>
      </c>
      <c r="AN149" s="1058"/>
      <c r="AO149" s="220">
        <v>7.85</v>
      </c>
      <c r="AP149" s="67">
        <v>24</v>
      </c>
      <c r="AQ149" s="68">
        <f t="shared" si="150"/>
        <v>93.64421999999999</v>
      </c>
      <c r="AR149" s="68">
        <f t="shared" si="163"/>
        <v>13.835707637072822</v>
      </c>
      <c r="AS149" s="69">
        <f t="shared" si="155"/>
        <v>9015.4928999999993</v>
      </c>
      <c r="AT149" s="140">
        <f t="shared" si="132"/>
        <v>11.155598293700306</v>
      </c>
      <c r="AU149" s="1073"/>
      <c r="AV149" s="70">
        <v>3.8</v>
      </c>
      <c r="AW149" s="71">
        <v>12</v>
      </c>
      <c r="AX149" s="72">
        <f t="shared" si="151"/>
        <v>23.562887999999997</v>
      </c>
      <c r="AY149" s="72">
        <f t="shared" si="127"/>
        <v>3.4813598688001415</v>
      </c>
      <c r="AZ149" s="73">
        <f t="shared" si="156"/>
        <v>2607.4505838000009</v>
      </c>
      <c r="BA149" s="192">
        <f t="shared" si="133"/>
        <v>3.2264094272146964</v>
      </c>
      <c r="BB149" s="1075"/>
      <c r="BC149" s="90">
        <f t="shared" si="119"/>
        <v>9901</v>
      </c>
      <c r="BD149" s="59"/>
      <c r="BE149" s="56">
        <v>7099</v>
      </c>
      <c r="BF149" s="56">
        <f t="shared" si="152"/>
        <v>2802</v>
      </c>
      <c r="BG149" s="58">
        <f t="shared" si="146"/>
        <v>56913</v>
      </c>
      <c r="BH149" s="58">
        <f t="shared" si="134"/>
        <v>70.423056479736744</v>
      </c>
      <c r="BI149" s="1140"/>
      <c r="BJ149" s="63">
        <f t="shared" si="124"/>
        <v>100</v>
      </c>
      <c r="BK149" s="64"/>
      <c r="BL149" s="64">
        <v>0</v>
      </c>
      <c r="BM149" s="64">
        <f t="shared" si="147"/>
        <v>100</v>
      </c>
      <c r="BN149" s="65"/>
      <c r="BO149" s="64">
        <f t="shared" si="148"/>
        <v>16300</v>
      </c>
      <c r="BP149" s="65">
        <f t="shared" si="149"/>
        <v>0.22812727895477841</v>
      </c>
      <c r="BQ149" s="1071"/>
      <c r="BR149" s="77">
        <f t="shared" si="125"/>
        <v>37118</v>
      </c>
      <c r="BS149" s="35"/>
      <c r="BT149" s="35">
        <v>34345</v>
      </c>
      <c r="BU149" s="74">
        <f t="shared" si="161"/>
        <v>2773</v>
      </c>
      <c r="BV149" s="74">
        <f t="shared" si="162"/>
        <v>365556</v>
      </c>
      <c r="BW149" s="74">
        <f t="shared" si="135"/>
        <v>452.3319950539709</v>
      </c>
      <c r="BX149" s="1098"/>
      <c r="BY149" s="295">
        <f t="shared" si="126"/>
        <v>2490</v>
      </c>
      <c r="BZ149" s="296"/>
      <c r="CA149" s="296">
        <v>2100</v>
      </c>
      <c r="CB149" s="296">
        <f t="shared" si="136"/>
        <v>390</v>
      </c>
      <c r="CC149" s="297"/>
      <c r="CD149" s="296">
        <f t="shared" si="157"/>
        <v>35850</v>
      </c>
      <c r="CE149" s="297">
        <f t="shared" si="137"/>
        <v>0.50174005831465074</v>
      </c>
      <c r="CF149" s="1061"/>
    </row>
    <row r="150" spans="1:84">
      <c r="A150" s="30">
        <v>44463</v>
      </c>
      <c r="B150" s="856">
        <v>578.43399999999997</v>
      </c>
      <c r="C150" s="842">
        <f t="shared" si="153"/>
        <v>72029.775000000009</v>
      </c>
      <c r="D150" s="855">
        <v>6251.36</v>
      </c>
      <c r="E150" s="843">
        <f t="shared" si="120"/>
        <v>814409.97800000012</v>
      </c>
      <c r="F150" s="243">
        <f t="shared" si="121"/>
        <v>0</v>
      </c>
      <c r="G150" s="240"/>
      <c r="H150" s="280"/>
      <c r="I150" s="240">
        <v>0</v>
      </c>
      <c r="J150" s="240">
        <f t="shared" si="138"/>
        <v>0</v>
      </c>
      <c r="K150" s="280">
        <f t="shared" si="115"/>
        <v>0</v>
      </c>
      <c r="L150" s="240">
        <f t="shared" si="158"/>
        <v>1876951</v>
      </c>
      <c r="M150" s="280">
        <f t="shared" si="139"/>
        <v>26057.987825173685</v>
      </c>
      <c r="N150" s="280">
        <f t="shared" si="140"/>
        <v>3190.6437890502857</v>
      </c>
      <c r="O150" s="1089"/>
      <c r="P150" s="1084"/>
      <c r="Q150" s="77">
        <f t="shared" si="141"/>
        <v>51531</v>
      </c>
      <c r="R150" s="35"/>
      <c r="S150" s="35">
        <v>51531</v>
      </c>
      <c r="T150" s="35">
        <f t="shared" si="129"/>
        <v>0</v>
      </c>
      <c r="U150" s="36">
        <f t="shared" si="116"/>
        <v>0</v>
      </c>
      <c r="V150" s="74">
        <f t="shared" si="142"/>
        <v>139343</v>
      </c>
      <c r="W150" s="36">
        <f t="shared" si="143"/>
        <v>1.9345194400510064</v>
      </c>
      <c r="X150" s="1136"/>
      <c r="Y150" s="49">
        <f t="shared" si="122"/>
        <v>581</v>
      </c>
      <c r="Z150" s="50"/>
      <c r="AA150" s="50">
        <v>581</v>
      </c>
      <c r="AB150" s="50">
        <f t="shared" si="130"/>
        <v>0</v>
      </c>
      <c r="AC150" s="51">
        <f t="shared" si="159"/>
        <v>0</v>
      </c>
      <c r="AD150" s="50">
        <f t="shared" si="144"/>
        <v>7473</v>
      </c>
      <c r="AE150" s="51">
        <f t="shared" si="131"/>
        <v>0.1037487622306192</v>
      </c>
      <c r="AF150" s="1047"/>
      <c r="AG150" s="40">
        <f t="shared" si="123"/>
        <v>1119</v>
      </c>
      <c r="AH150" s="41"/>
      <c r="AI150" s="41">
        <v>1119</v>
      </c>
      <c r="AJ150" s="41">
        <f t="shared" si="160"/>
        <v>0</v>
      </c>
      <c r="AK150" s="42">
        <f t="shared" si="128"/>
        <v>0</v>
      </c>
      <c r="AL150" s="41">
        <f t="shared" si="154"/>
        <v>4356</v>
      </c>
      <c r="AM150" s="42">
        <f t="shared" si="145"/>
        <v>6.0474991071400676E-2</v>
      </c>
      <c r="AN150" s="1058"/>
      <c r="AO150" s="220">
        <v>8.5500000000000007</v>
      </c>
      <c r="AP150" s="67">
        <v>24</v>
      </c>
      <c r="AQ150" s="68">
        <f t="shared" si="150"/>
        <v>101.99466000000001</v>
      </c>
      <c r="AR150" s="68">
        <f t="shared" si="163"/>
        <v>16.315595326456965</v>
      </c>
      <c r="AS150" s="69">
        <f t="shared" si="155"/>
        <v>9117.4875599999996</v>
      </c>
      <c r="AT150" s="140">
        <f t="shared" si="132"/>
        <v>11.195206107850508</v>
      </c>
      <c r="AU150" s="1073"/>
      <c r="AV150" s="70">
        <v>3.65</v>
      </c>
      <c r="AW150" s="71">
        <v>12</v>
      </c>
      <c r="AX150" s="72">
        <f t="shared" si="151"/>
        <v>22.632774000000001</v>
      </c>
      <c r="AY150" s="72">
        <f t="shared" si="127"/>
        <v>3.6204560287681407</v>
      </c>
      <c r="AZ150" s="73">
        <f t="shared" si="156"/>
        <v>2630.0833578000011</v>
      </c>
      <c r="BA150" s="192">
        <f t="shared" si="133"/>
        <v>3.2294341042565184</v>
      </c>
      <c r="BB150" s="1075"/>
      <c r="BC150" s="90">
        <f t="shared" si="119"/>
        <v>7099</v>
      </c>
      <c r="BD150" s="59"/>
      <c r="BE150" s="56">
        <v>7099</v>
      </c>
      <c r="BF150" s="56">
        <f t="shared" si="152"/>
        <v>0</v>
      </c>
      <c r="BG150" s="58">
        <f t="shared" si="146"/>
        <v>56913</v>
      </c>
      <c r="BH150" s="58">
        <f t="shared" si="134"/>
        <v>69.882493507465341</v>
      </c>
      <c r="BI150" s="1140"/>
      <c r="BJ150" s="63">
        <f t="shared" si="124"/>
        <v>0</v>
      </c>
      <c r="BK150" s="64"/>
      <c r="BL150" s="64">
        <v>0</v>
      </c>
      <c r="BM150" s="64">
        <f t="shared" si="147"/>
        <v>0</v>
      </c>
      <c r="BN150" s="65"/>
      <c r="BO150" s="64">
        <f t="shared" si="148"/>
        <v>16300</v>
      </c>
      <c r="BP150" s="65">
        <f t="shared" si="149"/>
        <v>0.22629530635074174</v>
      </c>
      <c r="BQ150" s="1071"/>
      <c r="BR150" s="77">
        <f t="shared" si="125"/>
        <v>34345</v>
      </c>
      <c r="BS150" s="35"/>
      <c r="BT150" s="35">
        <v>31573</v>
      </c>
      <c r="BU150" s="74">
        <f t="shared" si="161"/>
        <v>2772</v>
      </c>
      <c r="BV150" s="74">
        <f t="shared" si="162"/>
        <v>368328</v>
      </c>
      <c r="BW150" s="74">
        <f t="shared" si="135"/>
        <v>452.26361408848055</v>
      </c>
      <c r="BX150" s="1098"/>
      <c r="BY150" s="295">
        <f t="shared" si="126"/>
        <v>2100</v>
      </c>
      <c r="BZ150" s="296"/>
      <c r="CA150" s="296">
        <v>1700</v>
      </c>
      <c r="CB150" s="296">
        <f t="shared" si="136"/>
        <v>400</v>
      </c>
      <c r="CC150" s="297"/>
      <c r="CD150" s="296">
        <f t="shared" si="157"/>
        <v>36250</v>
      </c>
      <c r="CE150" s="297">
        <f t="shared" si="137"/>
        <v>0.50326410154689494</v>
      </c>
      <c r="CF150" s="1061"/>
    </row>
    <row r="151" spans="1:84">
      <c r="A151" s="30">
        <v>44464</v>
      </c>
      <c r="B151" s="856">
        <v>570.77099999999996</v>
      </c>
      <c r="C151" s="842">
        <f t="shared" si="153"/>
        <v>72600.546000000002</v>
      </c>
      <c r="D151" s="855">
        <v>6022.18</v>
      </c>
      <c r="E151" s="843">
        <f t="shared" si="120"/>
        <v>820432.15800000017</v>
      </c>
      <c r="F151" s="243">
        <f t="shared" si="121"/>
        <v>0</v>
      </c>
      <c r="G151" s="240">
        <v>31900</v>
      </c>
      <c r="H151" s="280">
        <v>7.18</v>
      </c>
      <c r="I151" s="240">
        <v>31900</v>
      </c>
      <c r="J151" s="240"/>
      <c r="K151" s="280">
        <f t="shared" si="115"/>
        <v>0</v>
      </c>
      <c r="L151" s="240">
        <f t="shared" si="158"/>
        <v>1876951</v>
      </c>
      <c r="M151" s="280">
        <f t="shared" si="139"/>
        <v>25853.125126634721</v>
      </c>
      <c r="N151" s="280">
        <f t="shared" si="140"/>
        <v>3165.5595845028433</v>
      </c>
      <c r="O151" s="1089"/>
      <c r="P151" s="1084"/>
      <c r="Q151" s="77">
        <f t="shared" si="141"/>
        <v>51531</v>
      </c>
      <c r="R151" s="35"/>
      <c r="S151" s="35">
        <v>46771</v>
      </c>
      <c r="T151" s="35">
        <f t="shared" si="129"/>
        <v>4760</v>
      </c>
      <c r="U151" s="36">
        <f t="shared" si="116"/>
        <v>8339.5967910072522</v>
      </c>
      <c r="V151" s="74">
        <f t="shared" si="142"/>
        <v>144103</v>
      </c>
      <c r="W151" s="36">
        <f t="shared" si="143"/>
        <v>1.984874879591126</v>
      </c>
      <c r="X151" s="1136"/>
      <c r="Y151" s="49">
        <f t="shared" si="122"/>
        <v>581</v>
      </c>
      <c r="Z151" s="50"/>
      <c r="AA151" s="50">
        <v>510</v>
      </c>
      <c r="AB151" s="50">
        <f t="shared" si="130"/>
        <v>71</v>
      </c>
      <c r="AC151" s="51">
        <f t="shared" si="159"/>
        <v>0.12439314541208296</v>
      </c>
      <c r="AD151" s="50">
        <f t="shared" si="144"/>
        <v>7544</v>
      </c>
      <c r="AE151" s="51">
        <f t="shared" si="131"/>
        <v>0.10391106425012285</v>
      </c>
      <c r="AF151" s="1047"/>
      <c r="AG151" s="40">
        <f t="shared" si="123"/>
        <v>1119</v>
      </c>
      <c r="AH151" s="41"/>
      <c r="AI151" s="41">
        <v>1081</v>
      </c>
      <c r="AJ151" s="41">
        <f t="shared" si="160"/>
        <v>38</v>
      </c>
      <c r="AK151" s="42">
        <f t="shared" si="128"/>
        <v>66.576613037452859</v>
      </c>
      <c r="AL151" s="41">
        <f t="shared" si="154"/>
        <v>4394</v>
      </c>
      <c r="AM151" s="42">
        <f t="shared" si="145"/>
        <v>6.0522960805280995E-2</v>
      </c>
      <c r="AN151" s="1058"/>
      <c r="AO151" s="220">
        <v>7</v>
      </c>
      <c r="AP151" s="67">
        <v>24</v>
      </c>
      <c r="AQ151" s="68">
        <f t="shared" si="150"/>
        <v>83.504400000000004</v>
      </c>
      <c r="AR151" s="68">
        <f t="shared" si="163"/>
        <v>13.866141496933006</v>
      </c>
      <c r="AS151" s="69">
        <f t="shared" si="155"/>
        <v>9200.9919599999994</v>
      </c>
      <c r="AT151" s="140">
        <f t="shared" si="132"/>
        <v>11.214811450625753</v>
      </c>
      <c r="AU151" s="1073"/>
      <c r="AV151" s="70">
        <v>4.8</v>
      </c>
      <c r="AW151" s="71">
        <v>12</v>
      </c>
      <c r="AX151" s="72">
        <f t="shared" si="151"/>
        <v>29.763648</v>
      </c>
      <c r="AY151" s="72">
        <f t="shared" si="127"/>
        <v>4.9423378245087326</v>
      </c>
      <c r="AZ151" s="73">
        <f t="shared" si="156"/>
        <v>2659.8470058000012</v>
      </c>
      <c r="BA151" s="192">
        <f t="shared" si="133"/>
        <v>3.2420072517440262</v>
      </c>
      <c r="BB151" s="1075"/>
      <c r="BC151" s="90">
        <f t="shared" si="119"/>
        <v>7099</v>
      </c>
      <c r="BD151" s="59"/>
      <c r="BE151" s="56">
        <v>6395</v>
      </c>
      <c r="BF151" s="56">
        <f t="shared" si="152"/>
        <v>704</v>
      </c>
      <c r="BG151" s="58">
        <f t="shared" si="146"/>
        <v>57617</v>
      </c>
      <c r="BH151" s="58">
        <f t="shared" si="134"/>
        <v>70.227622647624187</v>
      </c>
      <c r="BI151" s="1140"/>
      <c r="BJ151" s="63">
        <f t="shared" si="124"/>
        <v>0</v>
      </c>
      <c r="BK151" s="64"/>
      <c r="BL151" s="64">
        <v>0</v>
      </c>
      <c r="BM151" s="64">
        <f t="shared" si="147"/>
        <v>0</v>
      </c>
      <c r="BN151" s="65"/>
      <c r="BO151" s="64">
        <f t="shared" si="148"/>
        <v>16300</v>
      </c>
      <c r="BP151" s="65">
        <f t="shared" si="149"/>
        <v>0.22451621782568962</v>
      </c>
      <c r="BQ151" s="1071"/>
      <c r="BR151" s="77">
        <f t="shared" si="125"/>
        <v>31573</v>
      </c>
      <c r="BS151" s="35"/>
      <c r="BT151" s="35">
        <v>28796</v>
      </c>
      <c r="BU151" s="74">
        <f t="shared" si="161"/>
        <v>2777</v>
      </c>
      <c r="BV151" s="74">
        <f t="shared" si="162"/>
        <v>371105</v>
      </c>
      <c r="BW151" s="74">
        <f t="shared" si="135"/>
        <v>452.32868602403067</v>
      </c>
      <c r="BX151" s="1098"/>
      <c r="BY151" s="295">
        <f t="shared" si="126"/>
        <v>1700</v>
      </c>
      <c r="BZ151" s="296"/>
      <c r="CA151" s="296">
        <v>1350</v>
      </c>
      <c r="CB151" s="296">
        <f t="shared" si="136"/>
        <v>350</v>
      </c>
      <c r="CC151" s="297"/>
      <c r="CD151" s="296">
        <f t="shared" si="157"/>
        <v>36600</v>
      </c>
      <c r="CE151" s="297">
        <f t="shared" si="137"/>
        <v>0.50412844002578161</v>
      </c>
      <c r="CF151" s="1061"/>
    </row>
    <row r="152" spans="1:84">
      <c r="A152" s="30">
        <v>44465</v>
      </c>
      <c r="B152" s="856">
        <v>566.32799999999997</v>
      </c>
      <c r="C152" s="842">
        <f t="shared" si="153"/>
        <v>73166.873999999996</v>
      </c>
      <c r="D152" s="855">
        <v>6367.04</v>
      </c>
      <c r="E152" s="843">
        <f t="shared" si="120"/>
        <v>826799.19800000021</v>
      </c>
      <c r="F152" s="243">
        <f t="shared" si="121"/>
        <v>31900</v>
      </c>
      <c r="G152" s="240"/>
      <c r="H152" s="280"/>
      <c r="I152" s="240">
        <v>0</v>
      </c>
      <c r="J152" s="240">
        <f t="shared" si="138"/>
        <v>31900</v>
      </c>
      <c r="K152" s="280">
        <f t="shared" si="115"/>
        <v>56327.781780169797</v>
      </c>
      <c r="L152" s="240">
        <f t="shared" si="158"/>
        <v>1908851</v>
      </c>
      <c r="M152" s="280">
        <f t="shared" si="139"/>
        <v>26089.005797897011</v>
      </c>
      <c r="N152" s="280">
        <f t="shared" si="140"/>
        <v>3194.4417531403224</v>
      </c>
      <c r="O152" s="1089"/>
      <c r="P152" s="1084"/>
      <c r="Q152" s="77">
        <f t="shared" si="141"/>
        <v>46771</v>
      </c>
      <c r="R152" s="35"/>
      <c r="S152" s="35">
        <v>45776</v>
      </c>
      <c r="T152" s="35">
        <f t="shared" si="129"/>
        <v>995</v>
      </c>
      <c r="U152" s="36">
        <f t="shared" si="116"/>
        <v>1756.9323784096848</v>
      </c>
      <c r="V152" s="74">
        <f t="shared" si="142"/>
        <v>145098</v>
      </c>
      <c r="W152" s="36">
        <f t="shared" si="143"/>
        <v>1.9831105535546045</v>
      </c>
      <c r="X152" s="1136"/>
      <c r="Y152" s="49">
        <f t="shared" si="122"/>
        <v>510</v>
      </c>
      <c r="Z152" s="50"/>
      <c r="AA152" s="50">
        <v>476</v>
      </c>
      <c r="AB152" s="50">
        <f t="shared" si="130"/>
        <v>34</v>
      </c>
      <c r="AC152" s="51">
        <f t="shared" si="159"/>
        <v>6.0035880267265612E-2</v>
      </c>
      <c r="AD152" s="50">
        <f t="shared" si="144"/>
        <v>7578</v>
      </c>
      <c r="AE152" s="51">
        <f t="shared" si="131"/>
        <v>0.1035714604945402</v>
      </c>
      <c r="AF152" s="1047"/>
      <c r="AG152" s="40">
        <f t="shared" si="123"/>
        <v>1081</v>
      </c>
      <c r="AH152" s="41"/>
      <c r="AI152" s="41">
        <v>1062</v>
      </c>
      <c r="AJ152" s="41">
        <f t="shared" si="160"/>
        <v>19</v>
      </c>
      <c r="AK152" s="42">
        <f t="shared" si="128"/>
        <v>33.549462502295491</v>
      </c>
      <c r="AL152" s="41">
        <f t="shared" si="154"/>
        <v>4413</v>
      </c>
      <c r="AM152" s="42">
        <f t="shared" si="145"/>
        <v>6.0314179884191854E-2</v>
      </c>
      <c r="AN152" s="1058"/>
      <c r="AO152" s="220">
        <v>8.0500000000000007</v>
      </c>
      <c r="AP152" s="67">
        <v>24</v>
      </c>
      <c r="AQ152" s="68">
        <f t="shared" si="150"/>
        <v>96.030060000000006</v>
      </c>
      <c r="AR152" s="68">
        <f t="shared" si="163"/>
        <v>15.082371086093383</v>
      </c>
      <c r="AS152" s="69">
        <f t="shared" si="155"/>
        <v>9297.0220199999985</v>
      </c>
      <c r="AT152" s="140">
        <f t="shared" si="132"/>
        <v>11.24459486957557</v>
      </c>
      <c r="AU152" s="1073"/>
      <c r="AV152" s="70">
        <v>3.45</v>
      </c>
      <c r="AW152" s="71">
        <v>12</v>
      </c>
      <c r="AX152" s="72">
        <f t="shared" si="151"/>
        <v>21.392622000000003</v>
      </c>
      <c r="AY152" s="72">
        <f t="shared" si="127"/>
        <v>3.3599006759813044</v>
      </c>
      <c r="AZ152" s="73">
        <f t="shared" si="156"/>
        <v>2681.239627800001</v>
      </c>
      <c r="BA152" s="192">
        <f t="shared" si="133"/>
        <v>3.2429151289525078</v>
      </c>
      <c r="BB152" s="1075"/>
      <c r="BC152" s="90">
        <f t="shared" si="119"/>
        <v>6395</v>
      </c>
      <c r="BD152" s="59"/>
      <c r="BE152" s="56">
        <v>6395</v>
      </c>
      <c r="BF152" s="56">
        <f t="shared" si="152"/>
        <v>0</v>
      </c>
      <c r="BG152" s="58">
        <f t="shared" si="146"/>
        <v>57617</v>
      </c>
      <c r="BH152" s="58">
        <f t="shared" si="134"/>
        <v>69.686811670080971</v>
      </c>
      <c r="BI152" s="1140"/>
      <c r="BJ152" s="63">
        <f t="shared" si="124"/>
        <v>0</v>
      </c>
      <c r="BK152" s="64"/>
      <c r="BL152" s="64">
        <v>0</v>
      </c>
      <c r="BM152" s="64">
        <f t="shared" si="147"/>
        <v>0</v>
      </c>
      <c r="BN152" s="65"/>
      <c r="BO152" s="64">
        <f t="shared" si="148"/>
        <v>16300</v>
      </c>
      <c r="BP152" s="65">
        <f t="shared" si="149"/>
        <v>0.22277841199010362</v>
      </c>
      <c r="BQ152" s="1071"/>
      <c r="BR152" s="77">
        <f t="shared" si="125"/>
        <v>28796</v>
      </c>
      <c r="BS152" s="35"/>
      <c r="BT152" s="35">
        <v>27030</v>
      </c>
      <c r="BU152" s="74">
        <f t="shared" si="161"/>
        <v>1766</v>
      </c>
      <c r="BV152" s="74">
        <f t="shared" si="162"/>
        <v>372871</v>
      </c>
      <c r="BW152" s="74">
        <f t="shared" si="135"/>
        <v>450.98132763307291</v>
      </c>
      <c r="BX152" s="1098"/>
      <c r="BY152" s="295">
        <f t="shared" si="126"/>
        <v>1350</v>
      </c>
      <c r="BZ152" s="296"/>
      <c r="CA152" s="296">
        <v>1005</v>
      </c>
      <c r="CB152" s="296">
        <f t="shared" si="136"/>
        <v>345</v>
      </c>
      <c r="CC152" s="297"/>
      <c r="CD152" s="296">
        <f t="shared" si="157"/>
        <v>36945</v>
      </c>
      <c r="CE152" s="297">
        <f t="shared" si="137"/>
        <v>0.50494162153217048</v>
      </c>
      <c r="CF152" s="1061"/>
    </row>
    <row r="153" spans="1:84">
      <c r="A153" s="30">
        <v>44466</v>
      </c>
      <c r="B153" s="856">
        <v>532.69100000000003</v>
      </c>
      <c r="C153" s="842">
        <f t="shared" si="153"/>
        <v>73699.565000000002</v>
      </c>
      <c r="D153" s="855">
        <v>5606.54</v>
      </c>
      <c r="E153" s="843">
        <f t="shared" si="120"/>
        <v>832405.73800000024</v>
      </c>
      <c r="F153" s="243">
        <f t="shared" si="121"/>
        <v>0</v>
      </c>
      <c r="G153" s="240">
        <v>33380</v>
      </c>
      <c r="H153" s="280">
        <v>9.18</v>
      </c>
      <c r="I153" s="240">
        <v>33380</v>
      </c>
      <c r="J153" s="240">
        <f t="shared" si="138"/>
        <v>0</v>
      </c>
      <c r="K153" s="280">
        <f t="shared" si="115"/>
        <v>0</v>
      </c>
      <c r="L153" s="240">
        <f t="shared" si="158"/>
        <v>1908851</v>
      </c>
      <c r="M153" s="280">
        <f t="shared" si="139"/>
        <v>25900.437811267948</v>
      </c>
      <c r="N153" s="280">
        <f t="shared" si="140"/>
        <v>3171.3527380026876</v>
      </c>
      <c r="O153" s="1089"/>
      <c r="P153" s="1084"/>
      <c r="Q153" s="77">
        <f t="shared" si="141"/>
        <v>45776</v>
      </c>
      <c r="R153" s="35"/>
      <c r="S153" s="35">
        <v>45275</v>
      </c>
      <c r="T153" s="35">
        <f t="shared" si="129"/>
        <v>501</v>
      </c>
      <c r="U153" s="36">
        <f t="shared" si="116"/>
        <v>940.50772399008054</v>
      </c>
      <c r="V153" s="74">
        <f t="shared" si="142"/>
        <v>145599</v>
      </c>
      <c r="W153" s="36">
        <f t="shared" si="143"/>
        <v>1.9755747540708009</v>
      </c>
      <c r="X153" s="1136"/>
      <c r="Y153" s="49">
        <f t="shared" si="122"/>
        <v>476</v>
      </c>
      <c r="Z153" s="50"/>
      <c r="AA153" s="50">
        <v>424</v>
      </c>
      <c r="AB153" s="50">
        <f t="shared" si="130"/>
        <v>52</v>
      </c>
      <c r="AC153" s="51">
        <f t="shared" si="159"/>
        <v>9.7617568158651066E-2</v>
      </c>
      <c r="AD153" s="50">
        <f t="shared" si="144"/>
        <v>7630</v>
      </c>
      <c r="AE153" s="51">
        <f t="shared" si="131"/>
        <v>0.10352842652463416</v>
      </c>
      <c r="AF153" s="1047"/>
      <c r="AG153" s="40">
        <f t="shared" si="123"/>
        <v>1062</v>
      </c>
      <c r="AH153" s="41"/>
      <c r="AI153" s="41">
        <v>1023</v>
      </c>
      <c r="AJ153" s="41">
        <f t="shared" si="160"/>
        <v>39</v>
      </c>
      <c r="AK153" s="42">
        <f t="shared" si="128"/>
        <v>73.213176118988301</v>
      </c>
      <c r="AL153" s="41">
        <f t="shared" si="154"/>
        <v>4452</v>
      </c>
      <c r="AM153" s="42">
        <f t="shared" si="145"/>
        <v>6.0407412174006726E-2</v>
      </c>
      <c r="AN153" s="1058"/>
      <c r="AO153" s="220">
        <v>7.05</v>
      </c>
      <c r="AP153" s="67">
        <v>24</v>
      </c>
      <c r="AQ153" s="68">
        <f t="shared" si="150"/>
        <v>84.100859999999997</v>
      </c>
      <c r="AR153" s="68">
        <f t="shared" si="163"/>
        <v>15.000492282227542</v>
      </c>
      <c r="AS153" s="69">
        <f t="shared" si="155"/>
        <v>9381.122879999999</v>
      </c>
      <c r="AT153" s="140">
        <f t="shared" si="132"/>
        <v>11.269892135222157</v>
      </c>
      <c r="AU153" s="1073"/>
      <c r="AV153" s="70">
        <v>3.45</v>
      </c>
      <c r="AW153" s="71">
        <v>12</v>
      </c>
      <c r="AX153" s="72">
        <f t="shared" si="151"/>
        <v>21.392622000000003</v>
      </c>
      <c r="AY153" s="72">
        <f t="shared" si="127"/>
        <v>3.8156549315620691</v>
      </c>
      <c r="AZ153" s="73">
        <f t="shared" si="156"/>
        <v>2702.6322498000009</v>
      </c>
      <c r="BA153" s="192">
        <f t="shared" si="133"/>
        <v>3.2467727292384425</v>
      </c>
      <c r="BB153" s="1075"/>
      <c r="BC153" s="90">
        <f t="shared" si="119"/>
        <v>6395</v>
      </c>
      <c r="BD153" s="59"/>
      <c r="BE153" s="56">
        <v>6395</v>
      </c>
      <c r="BF153" s="56">
        <f t="shared" si="152"/>
        <v>0</v>
      </c>
      <c r="BG153" s="58">
        <f t="shared" si="146"/>
        <v>57617</v>
      </c>
      <c r="BH153" s="58">
        <f t="shared" si="134"/>
        <v>69.217446936916701</v>
      </c>
      <c r="BI153" s="1140"/>
      <c r="BJ153" s="63">
        <f t="shared" si="124"/>
        <v>0</v>
      </c>
      <c r="BK153" s="64"/>
      <c r="BL153" s="64">
        <v>0</v>
      </c>
      <c r="BM153" s="64">
        <f t="shared" si="147"/>
        <v>0</v>
      </c>
      <c r="BN153" s="65"/>
      <c r="BO153" s="64">
        <f t="shared" si="148"/>
        <v>16300</v>
      </c>
      <c r="BP153" s="65">
        <f t="shared" si="149"/>
        <v>0.22116819821121061</v>
      </c>
      <c r="BQ153" s="1071"/>
      <c r="BR153" s="77">
        <f t="shared" si="125"/>
        <v>27030</v>
      </c>
      <c r="BS153" s="35"/>
      <c r="BT153" s="35">
        <v>25520</v>
      </c>
      <c r="BU153" s="74">
        <f t="shared" si="161"/>
        <v>1510</v>
      </c>
      <c r="BV153" s="74">
        <f t="shared" si="162"/>
        <v>374381</v>
      </c>
      <c r="BW153" s="74">
        <f t="shared" si="135"/>
        <v>449.75783191922193</v>
      </c>
      <c r="BX153" s="1098"/>
      <c r="BY153" s="295">
        <f t="shared" si="126"/>
        <v>1005</v>
      </c>
      <c r="BZ153" s="296"/>
      <c r="CA153" s="296">
        <v>575</v>
      </c>
      <c r="CB153" s="296">
        <f t="shared" si="136"/>
        <v>430</v>
      </c>
      <c r="CC153" s="297"/>
      <c r="CD153" s="296">
        <f t="shared" si="157"/>
        <v>37375</v>
      </c>
      <c r="CE153" s="297">
        <f t="shared" si="137"/>
        <v>0.50712646675730033</v>
      </c>
      <c r="CF153" s="1061"/>
    </row>
    <row r="154" spans="1:84">
      <c r="A154" s="30">
        <v>44467</v>
      </c>
      <c r="B154" s="856">
        <v>496.50200000000001</v>
      </c>
      <c r="C154" s="842">
        <f t="shared" si="153"/>
        <v>74196.066999999995</v>
      </c>
      <c r="D154" s="855">
        <v>5609.64</v>
      </c>
      <c r="E154" s="843">
        <f t="shared" si="120"/>
        <v>838015.37800000026</v>
      </c>
      <c r="F154" s="243">
        <f t="shared" si="121"/>
        <v>33380</v>
      </c>
      <c r="G154" s="240"/>
      <c r="H154" s="280"/>
      <c r="I154" s="240">
        <v>0</v>
      </c>
      <c r="J154" s="240">
        <f t="shared" si="138"/>
        <v>33380</v>
      </c>
      <c r="K154" s="280">
        <f t="shared" si="115"/>
        <v>67230.34348300712</v>
      </c>
      <c r="L154" s="240">
        <f t="shared" si="158"/>
        <v>1942231</v>
      </c>
      <c r="M154" s="280">
        <f t="shared" si="139"/>
        <v>26177.007468603424</v>
      </c>
      <c r="N154" s="280">
        <f t="shared" si="140"/>
        <v>3205.2170281135577</v>
      </c>
      <c r="O154" s="1089"/>
      <c r="P154" s="1084"/>
      <c r="Q154" s="77">
        <f t="shared" si="141"/>
        <v>45275</v>
      </c>
      <c r="R154" s="35"/>
      <c r="S154" s="35">
        <v>44771</v>
      </c>
      <c r="T154" s="35">
        <f t="shared" si="129"/>
        <v>504</v>
      </c>
      <c r="U154" s="36">
        <f t="shared" si="116"/>
        <v>1015.1016511514556</v>
      </c>
      <c r="V154" s="74">
        <f t="shared" si="142"/>
        <v>146103</v>
      </c>
      <c r="W154" s="36">
        <f t="shared" si="143"/>
        <v>1.9691475021175988</v>
      </c>
      <c r="X154" s="1136"/>
      <c r="Y154" s="49">
        <f t="shared" si="122"/>
        <v>424</v>
      </c>
      <c r="Z154" s="50"/>
      <c r="AA154" s="50">
        <v>424</v>
      </c>
      <c r="AB154" s="50">
        <f t="shared" si="130"/>
        <v>0</v>
      </c>
      <c r="AC154" s="51">
        <f t="shared" si="159"/>
        <v>0</v>
      </c>
      <c r="AD154" s="50">
        <f t="shared" si="144"/>
        <v>7630</v>
      </c>
      <c r="AE154" s="51">
        <f t="shared" si="131"/>
        <v>0.10283563952251</v>
      </c>
      <c r="AF154" s="1047"/>
      <c r="AG154" s="40">
        <f t="shared" si="123"/>
        <v>1023</v>
      </c>
      <c r="AH154" s="41"/>
      <c r="AI154" s="41">
        <v>1023</v>
      </c>
      <c r="AJ154" s="41">
        <f t="shared" si="160"/>
        <v>0</v>
      </c>
      <c r="AK154" s="42">
        <f t="shared" si="128"/>
        <v>0</v>
      </c>
      <c r="AL154" s="41">
        <f t="shared" si="154"/>
        <v>4452</v>
      </c>
      <c r="AM154" s="42">
        <f t="shared" si="145"/>
        <v>6.0003180492033362E-2</v>
      </c>
      <c r="AN154" s="1058"/>
      <c r="AO154" s="220">
        <v>7.25</v>
      </c>
      <c r="AP154" s="67">
        <v>24</v>
      </c>
      <c r="AQ154" s="68">
        <f t="shared" si="150"/>
        <v>86.486699999999999</v>
      </c>
      <c r="AR154" s="68">
        <f t="shared" si="163"/>
        <v>15.417513423321282</v>
      </c>
      <c r="AS154" s="69">
        <f t="shared" si="155"/>
        <v>9467.6095799999985</v>
      </c>
      <c r="AT154" s="140">
        <f t="shared" si="132"/>
        <v>11.297656139193183</v>
      </c>
      <c r="AU154" s="1073"/>
      <c r="AV154" s="70">
        <v>3.6</v>
      </c>
      <c r="AW154" s="71">
        <v>12</v>
      </c>
      <c r="AX154" s="72">
        <f t="shared" si="151"/>
        <v>22.322736000000003</v>
      </c>
      <c r="AY154" s="72">
        <f t="shared" si="127"/>
        <v>3.9793526857338439</v>
      </c>
      <c r="AZ154" s="73">
        <f t="shared" si="156"/>
        <v>2724.9549858000009</v>
      </c>
      <c r="BA154" s="192">
        <f t="shared" si="133"/>
        <v>3.2516765889229302</v>
      </c>
      <c r="BB154" s="1075"/>
      <c r="BC154" s="90">
        <f t="shared" si="119"/>
        <v>6395</v>
      </c>
      <c r="BD154" s="59"/>
      <c r="BE154" s="56">
        <v>6395</v>
      </c>
      <c r="BF154" s="56">
        <f t="shared" si="152"/>
        <v>0</v>
      </c>
      <c r="BG154" s="58">
        <f t="shared" si="146"/>
        <v>57617</v>
      </c>
      <c r="BH154" s="58">
        <f t="shared" si="134"/>
        <v>68.754108233083031</v>
      </c>
      <c r="BI154" s="1140"/>
      <c r="BJ154" s="63">
        <f t="shared" si="124"/>
        <v>0</v>
      </c>
      <c r="BK154" s="64"/>
      <c r="BL154" s="64">
        <v>0</v>
      </c>
      <c r="BM154" s="64">
        <f t="shared" si="147"/>
        <v>0</v>
      </c>
      <c r="BN154" s="65"/>
      <c r="BO154" s="64">
        <f t="shared" si="148"/>
        <v>16300</v>
      </c>
      <c r="BP154" s="65">
        <f t="shared" si="149"/>
        <v>0.21968819452384183</v>
      </c>
      <c r="BQ154" s="1071"/>
      <c r="BR154" s="77">
        <f t="shared" si="125"/>
        <v>25520</v>
      </c>
      <c r="BS154" s="35"/>
      <c r="BT154" s="35">
        <v>23783</v>
      </c>
      <c r="BU154" s="74">
        <f t="shared" si="161"/>
        <v>1737</v>
      </c>
      <c r="BV154" s="74">
        <f t="shared" si="162"/>
        <v>376118</v>
      </c>
      <c r="BW154" s="74">
        <f t="shared" si="135"/>
        <v>448.81992607061665</v>
      </c>
      <c r="BX154" s="1098"/>
      <c r="BY154" s="295">
        <f t="shared" si="126"/>
        <v>575</v>
      </c>
      <c r="BZ154" s="296"/>
      <c r="CA154" s="296">
        <v>220</v>
      </c>
      <c r="CB154" s="296">
        <f t="shared" si="136"/>
        <v>355</v>
      </c>
      <c r="CC154" s="297"/>
      <c r="CD154" s="296">
        <f t="shared" si="157"/>
        <v>37730</v>
      </c>
      <c r="CE154" s="297">
        <f t="shared" si="137"/>
        <v>0.50851752020764118</v>
      </c>
      <c r="CF154" s="1061"/>
    </row>
    <row r="155" spans="1:84">
      <c r="A155" s="30">
        <v>44468</v>
      </c>
      <c r="B155" s="856">
        <v>536.60500000000002</v>
      </c>
      <c r="C155" s="842">
        <f t="shared" si="153"/>
        <v>74732.671999999991</v>
      </c>
      <c r="D155" s="855">
        <v>5819.08</v>
      </c>
      <c r="E155" s="843">
        <f t="shared" si="120"/>
        <v>843834.45800000022</v>
      </c>
      <c r="F155" s="243">
        <f t="shared" si="121"/>
        <v>0</v>
      </c>
      <c r="G155" s="240"/>
      <c r="H155" s="280"/>
      <c r="I155" s="240">
        <v>0</v>
      </c>
      <c r="J155" s="240">
        <f t="shared" si="138"/>
        <v>0</v>
      </c>
      <c r="K155" s="280">
        <f t="shared" si="115"/>
        <v>0</v>
      </c>
      <c r="L155" s="240">
        <f t="shared" si="158"/>
        <v>1942231</v>
      </c>
      <c r="M155" s="280">
        <f t="shared" si="139"/>
        <v>25989.048002993928</v>
      </c>
      <c r="N155" s="280">
        <f t="shared" si="140"/>
        <v>3182.2025227126151</v>
      </c>
      <c r="O155" s="1089"/>
      <c r="P155" s="1084"/>
      <c r="Q155" s="77">
        <f t="shared" si="141"/>
        <v>44771</v>
      </c>
      <c r="R155" s="35"/>
      <c r="S155" s="35">
        <v>43242</v>
      </c>
      <c r="T155" s="35">
        <f t="shared" si="129"/>
        <v>1529</v>
      </c>
      <c r="U155" s="36">
        <f t="shared" si="116"/>
        <v>2849.3957380195861</v>
      </c>
      <c r="V155" s="74">
        <f t="shared" si="142"/>
        <v>147632</v>
      </c>
      <c r="W155" s="36">
        <f t="shared" si="143"/>
        <v>1.9754679720270141</v>
      </c>
      <c r="X155" s="1136"/>
      <c r="Y155" s="49">
        <f t="shared" si="122"/>
        <v>424</v>
      </c>
      <c r="Z155" s="50"/>
      <c r="AA155" s="50">
        <v>357</v>
      </c>
      <c r="AB155" s="50">
        <f t="shared" si="130"/>
        <v>67</v>
      </c>
      <c r="AC155" s="51">
        <f t="shared" si="159"/>
        <v>0.12485906765684256</v>
      </c>
      <c r="AD155" s="50">
        <f t="shared" si="144"/>
        <v>7697</v>
      </c>
      <c r="AE155" s="51">
        <f t="shared" si="131"/>
        <v>0.10299377493153197</v>
      </c>
      <c r="AF155" s="1047"/>
      <c r="AG155" s="40">
        <f t="shared" si="123"/>
        <v>1023</v>
      </c>
      <c r="AH155" s="41"/>
      <c r="AI155" s="41">
        <v>984</v>
      </c>
      <c r="AJ155" s="41">
        <f t="shared" si="160"/>
        <v>39</v>
      </c>
      <c r="AK155" s="42">
        <f t="shared" si="128"/>
        <v>72.679158785326266</v>
      </c>
      <c r="AL155" s="41">
        <f t="shared" si="154"/>
        <v>4491</v>
      </c>
      <c r="AM155" s="42">
        <f t="shared" si="145"/>
        <v>6.0094198157400296E-2</v>
      </c>
      <c r="AN155" s="1058"/>
      <c r="AO155" s="220">
        <v>7</v>
      </c>
      <c r="AP155" s="67">
        <v>24</v>
      </c>
      <c r="AQ155" s="68">
        <f t="shared" si="150"/>
        <v>83.504400000000004</v>
      </c>
      <c r="AR155" s="68">
        <f t="shared" si="163"/>
        <v>14.350103452779479</v>
      </c>
      <c r="AS155" s="69">
        <f t="shared" si="155"/>
        <v>9551.1139799999983</v>
      </c>
      <c r="AT155" s="140">
        <f t="shared" si="132"/>
        <v>11.318705807105113</v>
      </c>
      <c r="AU155" s="1073"/>
      <c r="AV155" s="70">
        <v>3.6</v>
      </c>
      <c r="AW155" s="71">
        <v>12</v>
      </c>
      <c r="AX155" s="72">
        <f t="shared" si="151"/>
        <v>22.322736000000003</v>
      </c>
      <c r="AY155" s="72">
        <f t="shared" si="127"/>
        <v>3.8361280477326316</v>
      </c>
      <c r="AZ155" s="73">
        <f t="shared" si="156"/>
        <v>2747.277721800001</v>
      </c>
      <c r="BA155" s="192">
        <f t="shared" si="133"/>
        <v>3.2557069645051167</v>
      </c>
      <c r="BB155" s="1075"/>
      <c r="BC155" s="90">
        <f t="shared" si="119"/>
        <v>6395</v>
      </c>
      <c r="BD155" s="59"/>
      <c r="BE155" s="56">
        <v>6395</v>
      </c>
      <c r="BF155" s="56">
        <f t="shared" si="152"/>
        <v>0</v>
      </c>
      <c r="BG155" s="58">
        <f t="shared" si="146"/>
        <v>57617</v>
      </c>
      <c r="BH155" s="58">
        <f t="shared" si="134"/>
        <v>68.279980100077864</v>
      </c>
      <c r="BI155" s="1140"/>
      <c r="BJ155" s="63">
        <f t="shared" si="124"/>
        <v>0</v>
      </c>
      <c r="BK155" s="64"/>
      <c r="BL155" s="64">
        <v>0</v>
      </c>
      <c r="BM155" s="64">
        <f t="shared" si="147"/>
        <v>0</v>
      </c>
      <c r="BN155" s="65"/>
      <c r="BO155" s="64">
        <f t="shared" si="148"/>
        <v>16300</v>
      </c>
      <c r="BP155" s="65">
        <f t="shared" si="149"/>
        <v>0.21811076151539185</v>
      </c>
      <c r="BQ155" s="1071"/>
      <c r="BR155" s="77">
        <f t="shared" si="125"/>
        <v>23783</v>
      </c>
      <c r="BS155" s="35"/>
      <c r="BT155" s="35">
        <v>20083</v>
      </c>
      <c r="BU155" s="74">
        <f t="shared" si="161"/>
        <v>3700</v>
      </c>
      <c r="BV155" s="74">
        <f t="shared" si="162"/>
        <v>379818</v>
      </c>
      <c r="BW155" s="74">
        <f t="shared" si="135"/>
        <v>450.10961142807457</v>
      </c>
      <c r="BX155" s="1098"/>
      <c r="BY155" s="295">
        <f t="shared" si="126"/>
        <v>220</v>
      </c>
      <c r="BZ155" s="296">
        <v>2300</v>
      </c>
      <c r="CA155" s="296">
        <v>1930</v>
      </c>
      <c r="CB155" s="296">
        <f t="shared" si="136"/>
        <v>590</v>
      </c>
      <c r="CC155" s="297"/>
      <c r="CD155" s="296">
        <f t="shared" si="157"/>
        <v>38320</v>
      </c>
      <c r="CE155" s="297">
        <f t="shared" si="137"/>
        <v>0.51276100498587829</v>
      </c>
      <c r="CF155" s="1061"/>
    </row>
    <row r="156" spans="1:84" ht="15.75" thickBot="1">
      <c r="A156" s="30">
        <v>44469</v>
      </c>
      <c r="B156" s="858">
        <v>551.35299999999995</v>
      </c>
      <c r="C156" s="842">
        <f t="shared" si="153"/>
        <v>75284.024999999994</v>
      </c>
      <c r="D156" s="859">
        <v>5952.86</v>
      </c>
      <c r="E156" s="843">
        <f t="shared" si="120"/>
        <v>849787.3180000002</v>
      </c>
      <c r="F156" s="245">
        <f t="shared" si="121"/>
        <v>0</v>
      </c>
      <c r="G156" s="231"/>
      <c r="H156" s="230"/>
      <c r="I156" s="231">
        <v>0</v>
      </c>
      <c r="J156" s="231">
        <f t="shared" si="138"/>
        <v>0</v>
      </c>
      <c r="K156" s="230">
        <f t="shared" si="115"/>
        <v>0</v>
      </c>
      <c r="L156" s="231">
        <f t="shared" si="158"/>
        <v>1942231</v>
      </c>
      <c r="M156" s="230">
        <f t="shared" si="139"/>
        <v>25798.713604911536</v>
      </c>
      <c r="N156" s="230">
        <f t="shared" si="140"/>
        <v>3158.8972211229993</v>
      </c>
      <c r="O156" s="1090"/>
      <c r="P156" s="1085"/>
      <c r="Q156" s="77">
        <f t="shared" si="141"/>
        <v>43242</v>
      </c>
      <c r="R156" s="35"/>
      <c r="S156" s="35">
        <v>40787</v>
      </c>
      <c r="T156" s="35">
        <f t="shared" si="129"/>
        <v>2455</v>
      </c>
      <c r="U156" s="36">
        <f t="shared" si="116"/>
        <v>4452.6827640368338</v>
      </c>
      <c r="V156" s="74">
        <f t="shared" si="142"/>
        <v>150087</v>
      </c>
      <c r="W156" s="36">
        <f t="shared" si="143"/>
        <v>1.9936101981794945</v>
      </c>
      <c r="X156" s="1136"/>
      <c r="Y156" s="49">
        <f t="shared" si="122"/>
        <v>357</v>
      </c>
      <c r="Z156" s="50">
        <v>900</v>
      </c>
      <c r="AA156" s="50">
        <v>1106</v>
      </c>
      <c r="AB156" s="50">
        <f t="shared" si="130"/>
        <v>151</v>
      </c>
      <c r="AC156" s="51">
        <f t="shared" si="159"/>
        <v>0.27387173008943455</v>
      </c>
      <c r="AD156" s="50">
        <f t="shared" si="144"/>
        <v>7848</v>
      </c>
      <c r="AE156" s="51">
        <f t="shared" si="131"/>
        <v>0.1042452233392144</v>
      </c>
      <c r="AF156" s="1047"/>
      <c r="AG156" s="95">
        <f t="shared" si="123"/>
        <v>984</v>
      </c>
      <c r="AH156" s="96"/>
      <c r="AI156" s="96">
        <v>945</v>
      </c>
      <c r="AJ156" s="96">
        <f t="shared" si="160"/>
        <v>39</v>
      </c>
      <c r="AK156" s="42"/>
      <c r="AL156" s="96">
        <f t="shared" si="154"/>
        <v>4530</v>
      </c>
      <c r="AM156" s="97">
        <f t="shared" si="145"/>
        <v>6.0172128150693331E-2</v>
      </c>
      <c r="AN156" s="1059"/>
      <c r="AO156" s="215">
        <v>5.0999999999999996</v>
      </c>
      <c r="AP156" s="101">
        <v>24</v>
      </c>
      <c r="AQ156" s="111">
        <f t="shared" si="150"/>
        <v>60.838919999999995</v>
      </c>
      <c r="AR156" s="111">
        <f t="shared" si="163"/>
        <v>10.220116045060692</v>
      </c>
      <c r="AS156" s="112">
        <f t="shared" si="155"/>
        <v>9611.9528999999984</v>
      </c>
      <c r="AT156" s="181">
        <f t="shared" si="132"/>
        <v>11.311010056753984</v>
      </c>
      <c r="AU156" s="1074"/>
      <c r="AV156" s="113">
        <v>3.45</v>
      </c>
      <c r="AW156" s="104">
        <v>12</v>
      </c>
      <c r="AX156" s="105">
        <f t="shared" si="151"/>
        <v>21.392622000000003</v>
      </c>
      <c r="AY156" s="105">
        <f t="shared" si="127"/>
        <v>3.5936712773356008</v>
      </c>
      <c r="AZ156" s="106">
        <f t="shared" si="156"/>
        <v>2768.6703438000009</v>
      </c>
      <c r="BA156" s="193">
        <f t="shared" si="133"/>
        <v>3.2580744442222898</v>
      </c>
      <c r="BB156" s="1138"/>
      <c r="BC156" s="87">
        <f t="shared" si="119"/>
        <v>6395</v>
      </c>
      <c r="BD156" s="100"/>
      <c r="BE156" s="88">
        <v>6395</v>
      </c>
      <c r="BF156" s="88">
        <f t="shared" si="152"/>
        <v>0</v>
      </c>
      <c r="BG156" s="89">
        <f t="shared" si="146"/>
        <v>57617</v>
      </c>
      <c r="BH156" s="89">
        <f t="shared" si="134"/>
        <v>67.801670817591543</v>
      </c>
      <c r="BI156" s="1141"/>
      <c r="BJ156" s="207">
        <f t="shared" si="124"/>
        <v>0</v>
      </c>
      <c r="BK156" s="85"/>
      <c r="BL156" s="85">
        <v>0</v>
      </c>
      <c r="BM156" s="85">
        <f t="shared" si="147"/>
        <v>0</v>
      </c>
      <c r="BN156" s="86"/>
      <c r="BO156" s="85">
        <f t="shared" si="148"/>
        <v>16300</v>
      </c>
      <c r="BP156" s="86">
        <f t="shared" si="149"/>
        <v>0.21651339709852124</v>
      </c>
      <c r="BQ156" s="1142"/>
      <c r="BR156" s="79">
        <f t="shared" si="125"/>
        <v>20083</v>
      </c>
      <c r="BS156" s="76"/>
      <c r="BT156" s="76">
        <v>18326</v>
      </c>
      <c r="BU156" s="81">
        <f t="shared" si="161"/>
        <v>1757</v>
      </c>
      <c r="BV156" s="81">
        <f t="shared" si="162"/>
        <v>381575</v>
      </c>
      <c r="BW156" s="81">
        <f t="shared" si="135"/>
        <v>449.02411687908938</v>
      </c>
      <c r="BX156" s="1143"/>
      <c r="BY156" s="305">
        <f t="shared" si="126"/>
        <v>1930</v>
      </c>
      <c r="BZ156" s="299"/>
      <c r="CA156" s="299">
        <v>1550</v>
      </c>
      <c r="CB156" s="299">
        <f t="shared" si="136"/>
        <v>380</v>
      </c>
      <c r="CC156" s="300"/>
      <c r="CD156" s="299">
        <f t="shared" si="157"/>
        <v>38700</v>
      </c>
      <c r="CE156" s="300">
        <f t="shared" si="137"/>
        <v>0.51405328022777741</v>
      </c>
      <c r="CF156" s="1061"/>
    </row>
    <row r="157" spans="1:84">
      <c r="A157" s="30">
        <v>44470</v>
      </c>
      <c r="B157" s="32">
        <v>365.70600000000002</v>
      </c>
      <c r="C157" s="848">
        <f>C156+B157</f>
        <v>75649.731</v>
      </c>
      <c r="D157" s="842">
        <v>4036.48</v>
      </c>
      <c r="E157" s="850">
        <f>E156+D157</f>
        <v>853823.79800000018</v>
      </c>
      <c r="F157" s="243">
        <f t="shared" si="121"/>
        <v>0</v>
      </c>
      <c r="G157" s="240">
        <v>32100</v>
      </c>
      <c r="H157" s="280">
        <v>11.74</v>
      </c>
      <c r="I157" s="240">
        <v>30000</v>
      </c>
      <c r="J157" s="240">
        <f t="shared" si="138"/>
        <v>2100</v>
      </c>
      <c r="K157" s="280">
        <f t="shared" si="115"/>
        <v>5742.317599383111</v>
      </c>
      <c r="L157" s="240">
        <f t="shared" si="158"/>
        <v>1944331</v>
      </c>
      <c r="M157" s="280">
        <f t="shared" si="139"/>
        <v>25701.756956677084</v>
      </c>
      <c r="N157" s="280">
        <f t="shared" si="140"/>
        <v>3147.0254630436002</v>
      </c>
      <c r="O157" s="1052">
        <f>SUM(J157:J187)/SUM(B157:B187)</f>
        <v>22.98925344236137</v>
      </c>
      <c r="P157" s="1052">
        <f>O157/8.167</f>
        <v>2.8148957318919274</v>
      </c>
      <c r="Q157" s="117">
        <f t="shared" si="141"/>
        <v>40787</v>
      </c>
      <c r="R157" s="118"/>
      <c r="S157" s="118">
        <v>38804</v>
      </c>
      <c r="T157" s="118">
        <f t="shared" si="129"/>
        <v>1983</v>
      </c>
      <c r="U157" s="119">
        <f t="shared" si="116"/>
        <v>5422.3884759889088</v>
      </c>
      <c r="V157" s="120">
        <f t="shared" si="142"/>
        <v>152070</v>
      </c>
      <c r="W157" s="119">
        <f t="shared" si="143"/>
        <v>2.010185601320909</v>
      </c>
      <c r="X157" s="1135">
        <f>SUM(T157:T187)/SUM(B157:B187)</f>
        <v>2.5147912417154146</v>
      </c>
      <c r="Y157" s="121">
        <f t="shared" si="122"/>
        <v>1106</v>
      </c>
      <c r="Z157" s="122"/>
      <c r="AA157" s="122">
        <v>1073</v>
      </c>
      <c r="AB157" s="122">
        <f t="shared" si="130"/>
        <v>33</v>
      </c>
      <c r="AC157" s="123">
        <f t="shared" si="159"/>
        <v>9.0236419418877459E-2</v>
      </c>
      <c r="AD157" s="122">
        <f t="shared" si="144"/>
        <v>7881</v>
      </c>
      <c r="AE157" s="123">
        <f t="shared" si="131"/>
        <v>0.10417750196626609</v>
      </c>
      <c r="AF157" s="1046">
        <f>SUM(AB157:AB187)/SUM(B157:B187)</f>
        <v>9.165235623539858E-2</v>
      </c>
      <c r="AG157" s="41">
        <f t="shared" si="123"/>
        <v>945</v>
      </c>
      <c r="AH157" s="41"/>
      <c r="AI157" s="41">
        <v>925</v>
      </c>
      <c r="AJ157" s="41">
        <f t="shared" si="160"/>
        <v>20</v>
      </c>
      <c r="AK157" s="126">
        <f t="shared" ref="AK157:AK185" si="164">AJ157*1000/B157</f>
        <v>54.688739041743915</v>
      </c>
      <c r="AL157" s="41">
        <f t="shared" si="154"/>
        <v>4550</v>
      </c>
      <c r="AM157" s="42">
        <f t="shared" si="145"/>
        <v>6.0145620345959987E-2</v>
      </c>
      <c r="AN157" s="1058">
        <f>SUM(AJ157:AJ186)/SUM(B157:B186)</f>
        <v>3.5549787758411867E-2</v>
      </c>
      <c r="AO157" s="219">
        <v>3.25</v>
      </c>
      <c r="AP157" s="135">
        <v>24</v>
      </c>
      <c r="AQ157" s="102">
        <f t="shared" si="150"/>
        <v>38.7699</v>
      </c>
      <c r="AR157" s="102">
        <f t="shared" si="163"/>
        <v>9.6048785080069763</v>
      </c>
      <c r="AS157" s="103">
        <f t="shared" si="155"/>
        <v>9650.7227999999977</v>
      </c>
      <c r="AT157" s="136">
        <f t="shared" si="132"/>
        <v>11.302944263917079</v>
      </c>
      <c r="AU157" s="1064">
        <f>1000*SUM(AQ157:AQ187)/SUM(D157:D187)</f>
        <v>15.270708360381663</v>
      </c>
      <c r="AV157" s="277">
        <v>2.1</v>
      </c>
      <c r="AW157" s="137">
        <v>12</v>
      </c>
      <c r="AX157" s="138">
        <f t="shared" si="151"/>
        <v>13.021596000000002</v>
      </c>
      <c r="AY157" s="138">
        <f t="shared" si="127"/>
        <v>3.2259780799112105</v>
      </c>
      <c r="AZ157" s="139">
        <f t="shared" si="156"/>
        <v>2781.6919398000009</v>
      </c>
      <c r="BA157" s="194">
        <f t="shared" si="133"/>
        <v>3.2579227076076416</v>
      </c>
      <c r="BB157" s="1065">
        <f>1000*SUM(AX157:AX187)/SUM(D157:D187)</f>
        <v>3.4533482336339318</v>
      </c>
      <c r="BC157" s="56">
        <f t="shared" si="119"/>
        <v>6395</v>
      </c>
      <c r="BD157" s="59">
        <v>35540</v>
      </c>
      <c r="BE157" s="56">
        <v>41359</v>
      </c>
      <c r="BF157" s="56">
        <f t="shared" si="152"/>
        <v>576</v>
      </c>
      <c r="BG157" s="58">
        <f t="shared" si="146"/>
        <v>58193</v>
      </c>
      <c r="BH157" s="58">
        <f t="shared" si="134"/>
        <v>68.15574845338287</v>
      </c>
      <c r="BI157" s="1132">
        <f>1000*SUM(BF157:BF187)/SUM(D157:D187)</f>
        <v>34.928456502445933</v>
      </c>
      <c r="BJ157" s="64">
        <f t="shared" si="124"/>
        <v>0</v>
      </c>
      <c r="BK157" s="64">
        <v>2200</v>
      </c>
      <c r="BL157" s="64">
        <v>1780</v>
      </c>
      <c r="BM157" s="64">
        <f t="shared" si="147"/>
        <v>420</v>
      </c>
      <c r="BN157" s="65"/>
      <c r="BO157" s="64">
        <f t="shared" si="148"/>
        <v>16720</v>
      </c>
      <c r="BP157" s="65">
        <f t="shared" si="149"/>
        <v>0.22101863124932988</v>
      </c>
      <c r="BQ157" s="1067">
        <f>SUM(BM157:BM187)/SUM(B157:B187)</f>
        <v>9.1105721903974743E-2</v>
      </c>
      <c r="BR157" s="35">
        <f t="shared" si="125"/>
        <v>18326</v>
      </c>
      <c r="BS157" s="35"/>
      <c r="BT157" s="35">
        <v>15463</v>
      </c>
      <c r="BU157" s="74">
        <f t="shared" si="161"/>
        <v>2863</v>
      </c>
      <c r="BV157" s="74">
        <f t="shared" si="162"/>
        <v>384438</v>
      </c>
      <c r="BW157" s="74">
        <f t="shared" si="135"/>
        <v>450.25449150106721</v>
      </c>
      <c r="BX157" s="1063">
        <f>1000*SUM(BU157:BU187)/SUM(D157:D187)</f>
        <v>340.53108008600981</v>
      </c>
      <c r="BY157" s="296">
        <f t="shared" si="126"/>
        <v>1550</v>
      </c>
      <c r="BZ157" s="296"/>
      <c r="CA157" s="296">
        <v>850</v>
      </c>
      <c r="CB157" s="296">
        <f t="shared" si="136"/>
        <v>700</v>
      </c>
      <c r="CC157" s="297"/>
      <c r="CD157" s="296">
        <f t="shared" si="157"/>
        <v>39400</v>
      </c>
      <c r="CE157" s="297"/>
      <c r="CF157" s="1060">
        <f>SUM(CB157:CB187)/SUM(B157:B187)</f>
        <v>0.35075702933030273</v>
      </c>
    </row>
    <row r="158" spans="1:84">
      <c r="A158" s="30">
        <v>44471</v>
      </c>
      <c r="B158" s="32">
        <v>590.15300000000002</v>
      </c>
      <c r="C158" s="842">
        <f>C157+B158</f>
        <v>76239.884000000005</v>
      </c>
      <c r="D158" s="842">
        <v>5063.8</v>
      </c>
      <c r="E158" s="843">
        <f>E157+D158</f>
        <v>858887.59800000023</v>
      </c>
      <c r="F158" s="240">
        <f t="shared" si="121"/>
        <v>30000</v>
      </c>
      <c r="G158" s="240"/>
      <c r="H158" s="280"/>
      <c r="I158" s="240">
        <v>0</v>
      </c>
      <c r="J158" s="240">
        <f t="shared" si="138"/>
        <v>30000</v>
      </c>
      <c r="K158" s="280">
        <f t="shared" si="115"/>
        <v>50834.275179487355</v>
      </c>
      <c r="L158" s="240">
        <f t="shared" si="158"/>
        <v>1974331</v>
      </c>
      <c r="M158" s="280">
        <f t="shared" si="139"/>
        <v>25896.301206334469</v>
      </c>
      <c r="N158" s="280">
        <f t="shared" si="140"/>
        <v>3170.8462356231748</v>
      </c>
      <c r="O158" s="1089"/>
      <c r="P158" s="1089"/>
      <c r="Q158" s="77">
        <f t="shared" si="141"/>
        <v>38804</v>
      </c>
      <c r="R158" s="35"/>
      <c r="S158" s="35">
        <v>38277</v>
      </c>
      <c r="T158" s="35">
        <f t="shared" si="129"/>
        <v>527</v>
      </c>
      <c r="U158" s="36">
        <f t="shared" si="116"/>
        <v>892.98876731966118</v>
      </c>
      <c r="V158" s="74">
        <f t="shared" si="142"/>
        <v>152597</v>
      </c>
      <c r="W158" s="36">
        <f t="shared" si="143"/>
        <v>2.0015376728537517</v>
      </c>
      <c r="X158" s="1136"/>
      <c r="Y158" s="49">
        <f t="shared" si="122"/>
        <v>1073</v>
      </c>
      <c r="Z158" s="50"/>
      <c r="AA158" s="50">
        <v>990</v>
      </c>
      <c r="AB158" s="50">
        <f t="shared" si="130"/>
        <v>83</v>
      </c>
      <c r="AC158" s="51">
        <f t="shared" si="159"/>
        <v>0.14064149466324835</v>
      </c>
      <c r="AD158" s="50">
        <f t="shared" si="144"/>
        <v>7964</v>
      </c>
      <c r="AE158" s="51">
        <f t="shared" si="131"/>
        <v>0.10445976019585758</v>
      </c>
      <c r="AF158" s="1047"/>
      <c r="AG158" s="41">
        <f t="shared" si="123"/>
        <v>925</v>
      </c>
      <c r="AH158" s="41"/>
      <c r="AI158" s="41">
        <v>905</v>
      </c>
      <c r="AJ158" s="41">
        <f t="shared" si="160"/>
        <v>20</v>
      </c>
      <c r="AK158" s="42">
        <f t="shared" si="164"/>
        <v>33.889516786324904</v>
      </c>
      <c r="AL158" s="41">
        <f t="shared" si="154"/>
        <v>4570</v>
      </c>
      <c r="AM158" s="42">
        <f t="shared" si="145"/>
        <v>5.9942378716106123E-2</v>
      </c>
      <c r="AN158" s="1058"/>
      <c r="AO158" s="220">
        <v>5.75</v>
      </c>
      <c r="AP158" s="67">
        <v>24</v>
      </c>
      <c r="AQ158" s="68">
        <f t="shared" si="150"/>
        <v>68.5929</v>
      </c>
      <c r="AR158" s="68">
        <f t="shared" si="163"/>
        <v>13.545736403491448</v>
      </c>
      <c r="AS158" s="69">
        <f t="shared" si="155"/>
        <v>9719.3156999999974</v>
      </c>
      <c r="AT158" s="140">
        <f t="shared" si="132"/>
        <v>11.316167240780201</v>
      </c>
      <c r="AU158" s="1073"/>
      <c r="AV158" s="70">
        <v>2.15</v>
      </c>
      <c r="AW158" s="71">
        <v>12</v>
      </c>
      <c r="AX158" s="72">
        <f t="shared" si="151"/>
        <v>13.331633999999999</v>
      </c>
      <c r="AY158" s="72">
        <f t="shared" si="127"/>
        <v>2.6327331253209052</v>
      </c>
      <c r="AZ158" s="73">
        <f t="shared" si="156"/>
        <v>2795.023573800001</v>
      </c>
      <c r="BA158" s="192">
        <f t="shared" si="133"/>
        <v>3.2542367363418374</v>
      </c>
      <c r="BB158" s="1075"/>
      <c r="BC158" s="56">
        <f t="shared" si="119"/>
        <v>41359</v>
      </c>
      <c r="BD158" s="59"/>
      <c r="BE158" s="56">
        <v>41359</v>
      </c>
      <c r="BF158" s="56">
        <f t="shared" si="152"/>
        <v>0</v>
      </c>
      <c r="BG158" s="58">
        <f t="shared" si="146"/>
        <v>58193</v>
      </c>
      <c r="BH158" s="58">
        <f t="shared" si="134"/>
        <v>67.753918132602934</v>
      </c>
      <c r="BI158" s="1133"/>
      <c r="BJ158" s="64">
        <f t="shared" si="124"/>
        <v>1780</v>
      </c>
      <c r="BK158" s="64"/>
      <c r="BL158" s="64">
        <v>1590</v>
      </c>
      <c r="BM158" s="64">
        <f t="shared" si="147"/>
        <v>190</v>
      </c>
      <c r="BN158" s="65"/>
      <c r="BO158" s="64">
        <f t="shared" si="148"/>
        <v>16910</v>
      </c>
      <c r="BP158" s="65">
        <f t="shared" si="149"/>
        <v>0.22179991774384125</v>
      </c>
      <c r="BQ158" s="1071"/>
      <c r="BR158" s="35">
        <f t="shared" si="125"/>
        <v>15463</v>
      </c>
      <c r="BS158" s="35"/>
      <c r="BT158" s="35">
        <v>12691</v>
      </c>
      <c r="BU158" s="74">
        <f t="shared" si="161"/>
        <v>2772</v>
      </c>
      <c r="BV158" s="74">
        <f t="shared" si="162"/>
        <v>387210</v>
      </c>
      <c r="BW158" s="74">
        <f t="shared" si="135"/>
        <v>450.82732700024377</v>
      </c>
      <c r="BX158" s="1098"/>
      <c r="BY158" s="296">
        <f t="shared" si="126"/>
        <v>850</v>
      </c>
      <c r="BZ158" s="296"/>
      <c r="CA158" s="296">
        <v>470</v>
      </c>
      <c r="CB158" s="296">
        <f t="shared" si="136"/>
        <v>380</v>
      </c>
      <c r="CC158" s="297"/>
      <c r="CD158" s="296">
        <f t="shared" si="157"/>
        <v>39780</v>
      </c>
      <c r="CE158" s="297"/>
      <c r="CF158" s="1061"/>
    </row>
    <row r="159" spans="1:84">
      <c r="A159" s="30">
        <v>44472</v>
      </c>
      <c r="B159" s="32">
        <v>485.11099999999999</v>
      </c>
      <c r="C159" s="842">
        <f t="shared" ref="C159:C186" si="165">C158+B159</f>
        <v>76724.99500000001</v>
      </c>
      <c r="D159" s="855">
        <v>3459.6</v>
      </c>
      <c r="E159" s="843">
        <f t="shared" ref="E159:E186" si="166">E158+D159</f>
        <v>862347.19800000021</v>
      </c>
      <c r="F159" s="240">
        <f t="shared" si="121"/>
        <v>0</v>
      </c>
      <c r="G159" s="240">
        <v>26250</v>
      </c>
      <c r="H159" s="280">
        <v>3.8</v>
      </c>
      <c r="I159" s="240">
        <v>0</v>
      </c>
      <c r="J159" s="240">
        <f t="shared" si="138"/>
        <v>26250</v>
      </c>
      <c r="K159" s="280">
        <f t="shared" ref="K159:K217" si="167">J159*1000/B159</f>
        <v>54111.327098334194</v>
      </c>
      <c r="L159" s="240">
        <f t="shared" si="158"/>
        <v>2000581</v>
      </c>
      <c r="M159" s="280">
        <f t="shared" si="139"/>
        <v>26074.697039732615</v>
      </c>
      <c r="N159" s="280">
        <f t="shared" si="140"/>
        <v>3192.6897318149399</v>
      </c>
      <c r="O159" s="1089"/>
      <c r="P159" s="1084"/>
      <c r="Q159" s="77">
        <f t="shared" si="141"/>
        <v>38277</v>
      </c>
      <c r="R159" s="35"/>
      <c r="S159" s="35">
        <v>37746</v>
      </c>
      <c r="T159" s="35">
        <f t="shared" si="129"/>
        <v>531</v>
      </c>
      <c r="U159" s="36">
        <f t="shared" ref="U159:U180" si="168">1000*T159/B159</f>
        <v>1094.5948453034459</v>
      </c>
      <c r="V159" s="74">
        <f t="shared" si="142"/>
        <v>153128</v>
      </c>
      <c r="W159" s="36">
        <f t="shared" si="143"/>
        <v>1.9958033232846737</v>
      </c>
      <c r="X159" s="1136"/>
      <c r="Y159" s="49">
        <f t="shared" si="122"/>
        <v>990</v>
      </c>
      <c r="Z159" s="50"/>
      <c r="AA159" s="50">
        <v>973</v>
      </c>
      <c r="AB159" s="50">
        <f t="shared" si="130"/>
        <v>17</v>
      </c>
      <c r="AC159" s="51">
        <f t="shared" si="159"/>
        <v>3.5043526120825959E-2</v>
      </c>
      <c r="AD159" s="50">
        <f t="shared" si="144"/>
        <v>7981</v>
      </c>
      <c r="AE159" s="51">
        <f t="shared" si="131"/>
        <v>0.10402086047708441</v>
      </c>
      <c r="AF159" s="1047"/>
      <c r="AG159" s="41">
        <f t="shared" si="123"/>
        <v>905</v>
      </c>
      <c r="AH159" s="41"/>
      <c r="AI159" s="41">
        <v>885</v>
      </c>
      <c r="AJ159" s="41">
        <f t="shared" si="160"/>
        <v>20</v>
      </c>
      <c r="AK159" s="42">
        <f t="shared" si="164"/>
        <v>41.227677789207007</v>
      </c>
      <c r="AL159" s="41">
        <f t="shared" si="154"/>
        <v>4590</v>
      </c>
      <c r="AM159" s="42">
        <f t="shared" si="145"/>
        <v>5.9824050819423311E-2</v>
      </c>
      <c r="AN159" s="1058"/>
      <c r="AO159" s="220">
        <v>4.75</v>
      </c>
      <c r="AP159" s="67">
        <v>24</v>
      </c>
      <c r="AQ159" s="68">
        <f t="shared" si="150"/>
        <v>56.663699999999999</v>
      </c>
      <c r="AR159" s="68">
        <f t="shared" si="163"/>
        <v>16.378685397155738</v>
      </c>
      <c r="AS159" s="69">
        <f t="shared" si="155"/>
        <v>9775.9793999999965</v>
      </c>
      <c r="AT159" s="140">
        <f t="shared" si="132"/>
        <v>11.336477259592133</v>
      </c>
      <c r="AU159" s="1073"/>
      <c r="AV159" s="70">
        <v>2.0499999999999998</v>
      </c>
      <c r="AW159" s="71">
        <v>12</v>
      </c>
      <c r="AX159" s="72">
        <f t="shared" si="151"/>
        <v>12.711558</v>
      </c>
      <c r="AY159" s="72">
        <f t="shared" si="127"/>
        <v>3.6742854665279228</v>
      </c>
      <c r="AZ159" s="73">
        <f t="shared" si="156"/>
        <v>2807.735131800001</v>
      </c>
      <c r="BA159" s="192">
        <f t="shared" si="133"/>
        <v>3.255921905135013</v>
      </c>
      <c r="BB159" s="1075"/>
      <c r="BC159" s="56">
        <f t="shared" si="119"/>
        <v>41359</v>
      </c>
      <c r="BD159" s="59"/>
      <c r="BE159" s="56">
        <v>41359</v>
      </c>
      <c r="BF159" s="56">
        <f t="shared" si="152"/>
        <v>0</v>
      </c>
      <c r="BG159" s="58">
        <f t="shared" si="146"/>
        <v>58193</v>
      </c>
      <c r="BH159" s="58">
        <f t="shared" si="134"/>
        <v>67.482100173763172</v>
      </c>
      <c r="BI159" s="1133"/>
      <c r="BJ159" s="64">
        <f t="shared" si="124"/>
        <v>1590</v>
      </c>
      <c r="BK159" s="64"/>
      <c r="BL159" s="64">
        <v>1490</v>
      </c>
      <c r="BM159" s="64">
        <f t="shared" si="147"/>
        <v>100</v>
      </c>
      <c r="BN159" s="65"/>
      <c r="BO159" s="64">
        <f t="shared" si="148"/>
        <v>17010</v>
      </c>
      <c r="BP159" s="65">
        <f t="shared" si="149"/>
        <v>0.22170089421315697</v>
      </c>
      <c r="BQ159" s="1071"/>
      <c r="BR159" s="35">
        <f t="shared" si="125"/>
        <v>12691</v>
      </c>
      <c r="BS159" s="35"/>
      <c r="BT159" s="35">
        <v>10230</v>
      </c>
      <c r="BU159" s="74">
        <f t="shared" si="161"/>
        <v>2461</v>
      </c>
      <c r="BV159" s="74">
        <f t="shared" si="162"/>
        <v>389671</v>
      </c>
      <c r="BW159" s="74">
        <f t="shared" si="135"/>
        <v>451.87251828932119</v>
      </c>
      <c r="BX159" s="1098"/>
      <c r="BY159" s="296">
        <f t="shared" si="126"/>
        <v>470</v>
      </c>
      <c r="BZ159" s="296"/>
      <c r="CA159" s="296">
        <v>345</v>
      </c>
      <c r="CB159" s="296">
        <f t="shared" si="136"/>
        <v>125</v>
      </c>
      <c r="CC159" s="297"/>
      <c r="CD159" s="296">
        <f t="shared" si="157"/>
        <v>39905</v>
      </c>
      <c r="CE159" s="297"/>
      <c r="CF159" s="1061"/>
    </row>
    <row r="160" spans="1:84">
      <c r="A160" s="30">
        <v>44473</v>
      </c>
      <c r="B160" s="32">
        <v>49.222999999999999</v>
      </c>
      <c r="C160" s="842">
        <f t="shared" si="165"/>
        <v>76774.218000000008</v>
      </c>
      <c r="D160" s="855">
        <v>0</v>
      </c>
      <c r="E160" s="843">
        <f t="shared" si="166"/>
        <v>862347.19800000021</v>
      </c>
      <c r="F160" s="240">
        <f t="shared" si="121"/>
        <v>0</v>
      </c>
      <c r="G160" s="240"/>
      <c r="H160" s="280"/>
      <c r="I160" s="240">
        <v>0</v>
      </c>
      <c r="J160" s="240">
        <f t="shared" si="138"/>
        <v>0</v>
      </c>
      <c r="K160" s="280">
        <f t="shared" si="167"/>
        <v>0</v>
      </c>
      <c r="L160" s="240">
        <f t="shared" si="158"/>
        <v>2000581</v>
      </c>
      <c r="M160" s="280">
        <f t="shared" si="139"/>
        <v>26057.979515988034</v>
      </c>
      <c r="N160" s="280">
        <f t="shared" si="140"/>
        <v>3190.6427716405087</v>
      </c>
      <c r="O160" s="1089"/>
      <c r="P160" s="1084"/>
      <c r="Q160" s="77">
        <f t="shared" si="141"/>
        <v>37746</v>
      </c>
      <c r="R160" s="35"/>
      <c r="S160" s="35">
        <v>36948</v>
      </c>
      <c r="T160" s="35">
        <f t="shared" si="129"/>
        <v>798</v>
      </c>
      <c r="U160" s="36">
        <f t="shared" si="168"/>
        <v>16211.933445746907</v>
      </c>
      <c r="V160" s="74">
        <f t="shared" si="142"/>
        <v>153926</v>
      </c>
      <c r="W160" s="36">
        <f t="shared" si="143"/>
        <v>2.004917848853895</v>
      </c>
      <c r="X160" s="1136"/>
      <c r="Y160" s="49">
        <f t="shared" si="122"/>
        <v>973</v>
      </c>
      <c r="Z160" s="50"/>
      <c r="AA160" s="50">
        <v>973</v>
      </c>
      <c r="AB160" s="50">
        <f t="shared" si="130"/>
        <v>0</v>
      </c>
      <c r="AC160" s="51">
        <f t="shared" si="159"/>
        <v>0</v>
      </c>
      <c r="AD160" s="50">
        <f t="shared" si="144"/>
        <v>7981</v>
      </c>
      <c r="AE160" s="51">
        <f t="shared" si="131"/>
        <v>0.10395416857257991</v>
      </c>
      <c r="AF160" s="1047"/>
      <c r="AG160" s="41">
        <f t="shared" si="123"/>
        <v>885</v>
      </c>
      <c r="AH160" s="41"/>
      <c r="AI160" s="41">
        <v>885</v>
      </c>
      <c r="AJ160" s="41">
        <f t="shared" si="160"/>
        <v>0</v>
      </c>
      <c r="AK160" s="42">
        <f t="shared" si="164"/>
        <v>0</v>
      </c>
      <c r="AL160" s="41">
        <f t="shared" si="154"/>
        <v>4590</v>
      </c>
      <c r="AM160" s="42">
        <f t="shared" si="145"/>
        <v>5.9785695244723942E-2</v>
      </c>
      <c r="AN160" s="1058"/>
      <c r="AO160" s="220">
        <v>0</v>
      </c>
      <c r="AP160" s="67">
        <v>24</v>
      </c>
      <c r="AQ160" s="68">
        <f t="shared" si="150"/>
        <v>0</v>
      </c>
      <c r="AR160" s="68" t="e">
        <f t="shared" si="163"/>
        <v>#DIV/0!</v>
      </c>
      <c r="AS160" s="69">
        <f t="shared" si="155"/>
        <v>9775.9793999999965</v>
      </c>
      <c r="AT160" s="140">
        <f t="shared" si="132"/>
        <v>11.336477259592133</v>
      </c>
      <c r="AU160" s="1073"/>
      <c r="AV160" s="70">
        <v>0.5</v>
      </c>
      <c r="AW160" s="71">
        <v>12</v>
      </c>
      <c r="AX160" s="72">
        <f t="shared" si="151"/>
        <v>3.1003800000000004</v>
      </c>
      <c r="AY160" s="72">
        <v>0</v>
      </c>
      <c r="AZ160" s="73">
        <f t="shared" si="156"/>
        <v>2810.8355118000009</v>
      </c>
      <c r="BA160" s="192">
        <f t="shared" si="133"/>
        <v>3.2595171855594063</v>
      </c>
      <c r="BB160" s="1075"/>
      <c r="BC160" s="56">
        <f t="shared" ref="BC160:BC223" si="169">BE159</f>
        <v>41359</v>
      </c>
      <c r="BD160" s="59"/>
      <c r="BE160" s="56">
        <v>41359</v>
      </c>
      <c r="BF160" s="56">
        <f t="shared" si="152"/>
        <v>0</v>
      </c>
      <c r="BG160" s="58">
        <f t="shared" si="146"/>
        <v>58193</v>
      </c>
      <c r="BH160" s="58">
        <f t="shared" si="134"/>
        <v>67.482100173763172</v>
      </c>
      <c r="BI160" s="1133"/>
      <c r="BJ160" s="64">
        <f t="shared" si="124"/>
        <v>1490</v>
      </c>
      <c r="BK160" s="64"/>
      <c r="BL160" s="64">
        <v>1490</v>
      </c>
      <c r="BM160" s="64">
        <f t="shared" si="147"/>
        <v>0</v>
      </c>
      <c r="BN160" s="65"/>
      <c r="BO160" s="64">
        <f t="shared" si="148"/>
        <v>17010</v>
      </c>
      <c r="BP160" s="65">
        <f t="shared" si="149"/>
        <v>0.22155875296574168</v>
      </c>
      <c r="BQ160" s="1071"/>
      <c r="BR160" s="35">
        <f t="shared" si="125"/>
        <v>10230</v>
      </c>
      <c r="BS160" s="35">
        <v>32440</v>
      </c>
      <c r="BT160" s="35">
        <v>42670</v>
      </c>
      <c r="BU160" s="74">
        <f t="shared" si="161"/>
        <v>0</v>
      </c>
      <c r="BV160" s="74">
        <f t="shared" si="162"/>
        <v>389671</v>
      </c>
      <c r="BW160" s="74">
        <f t="shared" si="135"/>
        <v>451.87251828932119</v>
      </c>
      <c r="BX160" s="1098"/>
      <c r="BY160" s="296">
        <f t="shared" si="126"/>
        <v>345</v>
      </c>
      <c r="BZ160" s="296"/>
      <c r="CA160" s="296">
        <v>345</v>
      </c>
      <c r="CB160" s="296">
        <f t="shared" si="136"/>
        <v>0</v>
      </c>
      <c r="CC160" s="297"/>
      <c r="CD160" s="296">
        <f t="shared" si="157"/>
        <v>39905</v>
      </c>
      <c r="CE160" s="297"/>
      <c r="CF160" s="1061"/>
    </row>
    <row r="161" spans="1:84">
      <c r="A161" s="30">
        <v>44474</v>
      </c>
      <c r="B161" s="32">
        <v>63.183</v>
      </c>
      <c r="C161" s="842">
        <f t="shared" si="165"/>
        <v>76837.401000000013</v>
      </c>
      <c r="D161" s="855">
        <v>3997.84</v>
      </c>
      <c r="E161" s="843">
        <f t="shared" si="166"/>
        <v>866345.03800000018</v>
      </c>
      <c r="F161" s="240">
        <f t="shared" si="121"/>
        <v>0</v>
      </c>
      <c r="G161" s="240"/>
      <c r="H161" s="280"/>
      <c r="I161" s="240">
        <v>0</v>
      </c>
      <c r="J161" s="240">
        <f t="shared" si="138"/>
        <v>0</v>
      </c>
      <c r="K161" s="280">
        <f t="shared" si="167"/>
        <v>0</v>
      </c>
      <c r="L161" s="240">
        <f t="shared" si="158"/>
        <v>2000581</v>
      </c>
      <c r="M161" s="280">
        <f t="shared" si="139"/>
        <v>26036.55217333548</v>
      </c>
      <c r="N161" s="280">
        <f t="shared" si="140"/>
        <v>3188.0191224850596</v>
      </c>
      <c r="O161" s="1089"/>
      <c r="P161" s="1084"/>
      <c r="Q161" s="77">
        <f t="shared" si="141"/>
        <v>36948</v>
      </c>
      <c r="R161" s="35"/>
      <c r="S161" s="35">
        <v>36948</v>
      </c>
      <c r="T161" s="35">
        <f t="shared" si="129"/>
        <v>0</v>
      </c>
      <c r="U161" s="36">
        <f t="shared" si="168"/>
        <v>0</v>
      </c>
      <c r="V161" s="74">
        <f t="shared" si="142"/>
        <v>153926</v>
      </c>
      <c r="W161" s="36">
        <f t="shared" si="143"/>
        <v>2.0032692152094</v>
      </c>
      <c r="X161" s="1136"/>
      <c r="Y161" s="49">
        <f t="shared" si="122"/>
        <v>973</v>
      </c>
      <c r="Z161" s="50"/>
      <c r="AA161" s="50">
        <v>973</v>
      </c>
      <c r="AB161" s="50">
        <f t="shared" si="130"/>
        <v>0</v>
      </c>
      <c r="AC161" s="51">
        <f t="shared" si="159"/>
        <v>0</v>
      </c>
      <c r="AD161" s="50">
        <f t="shared" si="144"/>
        <v>7981</v>
      </c>
      <c r="AE161" s="51">
        <f t="shared" si="131"/>
        <v>0.10386868759394918</v>
      </c>
      <c r="AF161" s="1047"/>
      <c r="AG161" s="41">
        <f t="shared" si="123"/>
        <v>885</v>
      </c>
      <c r="AH161" s="41"/>
      <c r="AI161" s="41">
        <v>885</v>
      </c>
      <c r="AJ161" s="41">
        <f t="shared" si="160"/>
        <v>0</v>
      </c>
      <c r="AK161" s="42">
        <f t="shared" si="164"/>
        <v>0</v>
      </c>
      <c r="AL161" s="41">
        <f t="shared" si="154"/>
        <v>4590</v>
      </c>
      <c r="AM161" s="42">
        <f t="shared" si="145"/>
        <v>5.9736533774743361E-2</v>
      </c>
      <c r="AN161" s="1058"/>
      <c r="AO161" s="220">
        <v>2.9</v>
      </c>
      <c r="AP161" s="67">
        <v>24</v>
      </c>
      <c r="AQ161" s="68">
        <f t="shared" si="150"/>
        <v>34.594679999999997</v>
      </c>
      <c r="AR161" s="68">
        <f t="shared" si="163"/>
        <v>8.6533428051147609</v>
      </c>
      <c r="AS161" s="69">
        <f t="shared" si="155"/>
        <v>9810.5740799999967</v>
      </c>
      <c r="AT161" s="140">
        <f t="shared" si="132"/>
        <v>11.324095654369057</v>
      </c>
      <c r="AU161" s="1073"/>
      <c r="AV161" s="70">
        <v>0.5</v>
      </c>
      <c r="AW161" s="71">
        <v>12</v>
      </c>
      <c r="AX161" s="72">
        <f t="shared" si="151"/>
        <v>3.1003800000000004</v>
      </c>
      <c r="AY161" s="72">
        <f>AX161*1000/D161</f>
        <v>0.77551377743981764</v>
      </c>
      <c r="AZ161" s="73">
        <f t="shared" si="156"/>
        <v>2813.9358918000007</v>
      </c>
      <c r="BA161" s="192">
        <f t="shared" si="133"/>
        <v>3.2480544914253899</v>
      </c>
      <c r="BB161" s="1075"/>
      <c r="BC161" s="56">
        <f t="shared" si="169"/>
        <v>41359</v>
      </c>
      <c r="BD161" s="59"/>
      <c r="BE161" s="56">
        <v>41359</v>
      </c>
      <c r="BF161" s="56">
        <f t="shared" si="152"/>
        <v>0</v>
      </c>
      <c r="BG161" s="58">
        <f t="shared" si="146"/>
        <v>58193</v>
      </c>
      <c r="BH161" s="58">
        <f t="shared" si="134"/>
        <v>67.17069694811363</v>
      </c>
      <c r="BI161" s="1133"/>
      <c r="BJ161" s="64">
        <f t="shared" si="124"/>
        <v>1490</v>
      </c>
      <c r="BK161" s="64"/>
      <c r="BL161" s="64">
        <v>1450</v>
      </c>
      <c r="BM161" s="64">
        <f t="shared" si="147"/>
        <v>40</v>
      </c>
      <c r="BN161" s="65"/>
      <c r="BO161" s="64">
        <f t="shared" si="148"/>
        <v>17050</v>
      </c>
      <c r="BP161" s="65">
        <f t="shared" si="149"/>
        <v>0.22189714615672643</v>
      </c>
      <c r="BQ161" s="1071"/>
      <c r="BR161" s="35">
        <f t="shared" si="125"/>
        <v>42670</v>
      </c>
      <c r="BS161" s="35"/>
      <c r="BT161" s="35">
        <v>41503</v>
      </c>
      <c r="BU161" s="74">
        <f>BR161+BS161-BT161</f>
        <v>1167</v>
      </c>
      <c r="BV161" s="74">
        <f t="shared" si="162"/>
        <v>390838</v>
      </c>
      <c r="BW161" s="74">
        <f t="shared" si="135"/>
        <v>451.1343435431553</v>
      </c>
      <c r="BX161" s="1098"/>
      <c r="BY161" s="296">
        <f t="shared" si="126"/>
        <v>345</v>
      </c>
      <c r="BZ161" s="296"/>
      <c r="CA161" s="296">
        <v>250</v>
      </c>
      <c r="CB161" s="296">
        <f t="shared" si="136"/>
        <v>95</v>
      </c>
      <c r="CC161" s="297"/>
      <c r="CD161" s="296">
        <f t="shared" si="157"/>
        <v>40000</v>
      </c>
      <c r="CE161" s="297"/>
      <c r="CF161" s="1061"/>
    </row>
    <row r="162" spans="1:84">
      <c r="A162" s="30">
        <v>44475</v>
      </c>
      <c r="B162" s="32">
        <v>644.82899999999995</v>
      </c>
      <c r="C162" s="842">
        <f t="shared" si="165"/>
        <v>77482.23000000001</v>
      </c>
      <c r="D162" s="855">
        <v>6554.5</v>
      </c>
      <c r="E162" s="843">
        <f t="shared" si="166"/>
        <v>872899.53800000018</v>
      </c>
      <c r="F162" s="240">
        <f t="shared" si="121"/>
        <v>0</v>
      </c>
      <c r="G162" s="240"/>
      <c r="H162" s="280"/>
      <c r="I162" s="240">
        <v>0</v>
      </c>
      <c r="J162" s="240">
        <f t="shared" si="138"/>
        <v>0</v>
      </c>
      <c r="K162" s="280">
        <f t="shared" si="167"/>
        <v>0</v>
      </c>
      <c r="L162" s="240">
        <f t="shared" si="158"/>
        <v>2000581</v>
      </c>
      <c r="M162" s="280">
        <f t="shared" si="139"/>
        <v>25819.868633104645</v>
      </c>
      <c r="N162" s="280">
        <f t="shared" si="140"/>
        <v>3161.4875270117113</v>
      </c>
      <c r="O162" s="1089"/>
      <c r="P162" s="1084"/>
      <c r="Q162" s="77">
        <f t="shared" si="141"/>
        <v>36948</v>
      </c>
      <c r="R162" s="35"/>
      <c r="S162" s="35">
        <v>35879</v>
      </c>
      <c r="T162" s="35">
        <f t="shared" si="129"/>
        <v>1069</v>
      </c>
      <c r="U162" s="36">
        <f t="shared" si="168"/>
        <v>1657.8038518739079</v>
      </c>
      <c r="V162" s="74">
        <f t="shared" si="142"/>
        <v>154995</v>
      </c>
      <c r="W162" s="36">
        <f t="shared" si="143"/>
        <v>2.0003941548920312</v>
      </c>
      <c r="X162" s="1136"/>
      <c r="Y162" s="49">
        <f t="shared" si="122"/>
        <v>973</v>
      </c>
      <c r="Z162" s="50"/>
      <c r="AA162" s="50">
        <v>938</v>
      </c>
      <c r="AB162" s="50">
        <f t="shared" si="130"/>
        <v>35</v>
      </c>
      <c r="AC162" s="51">
        <f t="shared" si="159"/>
        <v>5.4277955861166301E-2</v>
      </c>
      <c r="AD162" s="50">
        <f t="shared" si="144"/>
        <v>8016</v>
      </c>
      <c r="AE162" s="51">
        <f t="shared" si="131"/>
        <v>0.10345597951943303</v>
      </c>
      <c r="AF162" s="1047"/>
      <c r="AG162" s="41">
        <f t="shared" si="123"/>
        <v>885</v>
      </c>
      <c r="AH162" s="41"/>
      <c r="AI162" s="41">
        <v>865</v>
      </c>
      <c r="AJ162" s="41">
        <f t="shared" si="160"/>
        <v>20</v>
      </c>
      <c r="AK162" s="42">
        <f t="shared" si="164"/>
        <v>31.015974777809312</v>
      </c>
      <c r="AL162" s="41">
        <f t="shared" si="154"/>
        <v>4610</v>
      </c>
      <c r="AM162" s="42">
        <f t="shared" si="145"/>
        <v>5.949751317172982E-2</v>
      </c>
      <c r="AN162" s="1058"/>
      <c r="AO162" s="220">
        <v>8.25</v>
      </c>
      <c r="AP162" s="67">
        <v>24</v>
      </c>
      <c r="AQ162" s="68">
        <f t="shared" si="150"/>
        <v>98.415899999999993</v>
      </c>
      <c r="AR162" s="68">
        <f t="shared" si="163"/>
        <v>15.015012586772446</v>
      </c>
      <c r="AS162" s="69">
        <f t="shared" si="155"/>
        <v>9908.9899799999966</v>
      </c>
      <c r="AT162" s="140">
        <f t="shared" si="132"/>
        <v>11.351810315656273</v>
      </c>
      <c r="AU162" s="1073"/>
      <c r="AV162" s="70">
        <v>2.25</v>
      </c>
      <c r="AW162" s="71">
        <v>12</v>
      </c>
      <c r="AX162" s="72">
        <f t="shared" si="151"/>
        <v>13.95171</v>
      </c>
      <c r="AY162" s="72">
        <f>AX162*1000/D162</f>
        <v>2.1285696849492717</v>
      </c>
      <c r="AZ162" s="73">
        <f t="shared" si="156"/>
        <v>2827.8876018000005</v>
      </c>
      <c r="BA162" s="192">
        <f t="shared" si="133"/>
        <v>3.2396484116365749</v>
      </c>
      <c r="BB162" s="1075"/>
      <c r="BC162" s="56">
        <f t="shared" si="169"/>
        <v>41359</v>
      </c>
      <c r="BD162" s="59"/>
      <c r="BE162" s="56">
        <v>41359</v>
      </c>
      <c r="BF162" s="56">
        <f t="shared" si="152"/>
        <v>0</v>
      </c>
      <c r="BG162" s="58">
        <f t="shared" si="146"/>
        <v>58193</v>
      </c>
      <c r="BH162" s="58">
        <f t="shared" si="134"/>
        <v>66.666320082300231</v>
      </c>
      <c r="BI162" s="1133"/>
      <c r="BJ162" s="64">
        <f t="shared" si="124"/>
        <v>1450</v>
      </c>
      <c r="BK162" s="64"/>
      <c r="BL162" s="64">
        <v>1450</v>
      </c>
      <c r="BM162" s="64">
        <f t="shared" si="147"/>
        <v>0</v>
      </c>
      <c r="BN162" s="65"/>
      <c r="BO162" s="64">
        <f t="shared" si="148"/>
        <v>17050</v>
      </c>
      <c r="BP162" s="65">
        <f t="shared" si="149"/>
        <v>0.22005045543991181</v>
      </c>
      <c r="BQ162" s="1071"/>
      <c r="BR162" s="35">
        <f t="shared" si="125"/>
        <v>41503</v>
      </c>
      <c r="BS162" s="35"/>
      <c r="BT162" s="35">
        <v>38831</v>
      </c>
      <c r="BU162" s="74">
        <f t="shared" si="161"/>
        <v>2672</v>
      </c>
      <c r="BV162" s="74">
        <f t="shared" si="162"/>
        <v>393510</v>
      </c>
      <c r="BW162" s="74">
        <f t="shared" si="135"/>
        <v>450.80789125128388</v>
      </c>
      <c r="BX162" s="1098"/>
      <c r="BY162" s="296">
        <f t="shared" si="126"/>
        <v>250</v>
      </c>
      <c r="BZ162" s="296">
        <v>1150</v>
      </c>
      <c r="CA162" s="296">
        <v>1810</v>
      </c>
      <c r="CB162" s="296">
        <f t="shared" si="136"/>
        <v>-410</v>
      </c>
      <c r="CC162" s="297"/>
      <c r="CD162" s="296">
        <f t="shared" si="157"/>
        <v>39590</v>
      </c>
      <c r="CE162" s="297"/>
      <c r="CF162" s="1061"/>
    </row>
    <row r="163" spans="1:84">
      <c r="A163" s="30">
        <v>44476</v>
      </c>
      <c r="B163" s="32">
        <v>416.36900000000003</v>
      </c>
      <c r="C163" s="842">
        <f t="shared" si="165"/>
        <v>77898.599000000017</v>
      </c>
      <c r="D163" s="855">
        <v>707.88</v>
      </c>
      <c r="E163" s="843">
        <f t="shared" si="166"/>
        <v>873607.41800000018</v>
      </c>
      <c r="F163" s="240">
        <f t="shared" si="121"/>
        <v>0</v>
      </c>
      <c r="G163" s="240"/>
      <c r="H163" s="280"/>
      <c r="I163" s="240">
        <v>0</v>
      </c>
      <c r="J163" s="240">
        <f t="shared" si="138"/>
        <v>0</v>
      </c>
      <c r="K163" s="280">
        <f t="shared" si="167"/>
        <v>0</v>
      </c>
      <c r="L163" s="240">
        <f t="shared" si="158"/>
        <v>2000581</v>
      </c>
      <c r="M163" s="280">
        <f t="shared" si="139"/>
        <v>25681.861107668952</v>
      </c>
      <c r="N163" s="280">
        <f t="shared" si="140"/>
        <v>3144.5893360681957</v>
      </c>
      <c r="O163" s="1089"/>
      <c r="P163" s="1084"/>
      <c r="Q163" s="77">
        <f t="shared" si="141"/>
        <v>35879</v>
      </c>
      <c r="R163" s="35"/>
      <c r="S163" s="35">
        <v>32387</v>
      </c>
      <c r="T163" s="35">
        <f t="shared" si="129"/>
        <v>3492</v>
      </c>
      <c r="U163" s="36">
        <f t="shared" si="168"/>
        <v>8386.7915238646492</v>
      </c>
      <c r="V163" s="74">
        <f t="shared" si="142"/>
        <v>158487</v>
      </c>
      <c r="W163" s="36">
        <f t="shared" si="143"/>
        <v>2.0345295298571413</v>
      </c>
      <c r="X163" s="1136"/>
      <c r="Y163" s="49">
        <f t="shared" si="122"/>
        <v>938</v>
      </c>
      <c r="Z163" s="50"/>
      <c r="AA163" s="50">
        <v>938</v>
      </c>
      <c r="AB163" s="50">
        <f t="shared" si="130"/>
        <v>0</v>
      </c>
      <c r="AC163" s="51">
        <f t="shared" si="159"/>
        <v>0</v>
      </c>
      <c r="AD163" s="50">
        <f t="shared" si="144"/>
        <v>8016</v>
      </c>
      <c r="AE163" s="51">
        <f t="shared" si="131"/>
        <v>0.10290300599629523</v>
      </c>
      <c r="AF163" s="1047"/>
      <c r="AG163" s="41">
        <f t="shared" si="123"/>
        <v>865</v>
      </c>
      <c r="AH163" s="41"/>
      <c r="AI163" s="41">
        <v>865</v>
      </c>
      <c r="AJ163" s="41">
        <f t="shared" si="160"/>
        <v>0</v>
      </c>
      <c r="AK163" s="42">
        <f t="shared" si="164"/>
        <v>0</v>
      </c>
      <c r="AL163" s="41">
        <f t="shared" si="154"/>
        <v>4610</v>
      </c>
      <c r="AM163" s="42">
        <f t="shared" si="145"/>
        <v>5.9179498208947239E-2</v>
      </c>
      <c r="AN163" s="1058"/>
      <c r="AO163" s="220">
        <v>1.6</v>
      </c>
      <c r="AP163" s="67">
        <v>24</v>
      </c>
      <c r="AQ163" s="68">
        <f t="shared" si="150"/>
        <v>19.086720000000003</v>
      </c>
      <c r="AR163" s="68">
        <f t="shared" si="163"/>
        <v>26.963214104085445</v>
      </c>
      <c r="AS163" s="69">
        <f t="shared" si="155"/>
        <v>9928.076699999996</v>
      </c>
      <c r="AT163" s="140">
        <f t="shared" si="132"/>
        <v>11.364460163043159</v>
      </c>
      <c r="AU163" s="1073"/>
      <c r="AV163" s="70">
        <v>1</v>
      </c>
      <c r="AW163" s="71">
        <v>12</v>
      </c>
      <c r="AX163" s="72">
        <f t="shared" si="151"/>
        <v>6.2007600000000007</v>
      </c>
      <c r="AY163" s="72">
        <f>AX163*1000/D163</f>
        <v>8.7596202746228187</v>
      </c>
      <c r="AZ163" s="73">
        <f t="shared" si="156"/>
        <v>2834.0883618000007</v>
      </c>
      <c r="BA163" s="192">
        <f t="shared" si="133"/>
        <v>3.2441212189890081</v>
      </c>
      <c r="BB163" s="1075"/>
      <c r="BC163" s="56">
        <f t="shared" si="169"/>
        <v>41359</v>
      </c>
      <c r="BD163" s="59"/>
      <c r="BE163" s="56">
        <v>41359</v>
      </c>
      <c r="BF163" s="56">
        <f t="shared" si="152"/>
        <v>0</v>
      </c>
      <c r="BG163" s="58">
        <f t="shared" si="146"/>
        <v>58193</v>
      </c>
      <c r="BH163" s="58">
        <f t="shared" si="134"/>
        <v>66.612300675313165</v>
      </c>
      <c r="BI163" s="1133"/>
      <c r="BJ163" s="64">
        <f t="shared" si="124"/>
        <v>1450</v>
      </c>
      <c r="BK163" s="64"/>
      <c r="BL163" s="64">
        <v>1450</v>
      </c>
      <c r="BM163" s="64">
        <f t="shared" si="147"/>
        <v>0</v>
      </c>
      <c r="BN163" s="65"/>
      <c r="BO163" s="64">
        <f t="shared" si="148"/>
        <v>17050</v>
      </c>
      <c r="BP163" s="65">
        <f t="shared" si="149"/>
        <v>0.21887428296367686</v>
      </c>
      <c r="BQ163" s="1071"/>
      <c r="BR163" s="35">
        <f t="shared" si="125"/>
        <v>38831</v>
      </c>
      <c r="BS163" s="35"/>
      <c r="BT163" s="35">
        <v>38831</v>
      </c>
      <c r="BU163" s="74">
        <f t="shared" si="161"/>
        <v>0</v>
      </c>
      <c r="BV163" s="74">
        <f t="shared" si="162"/>
        <v>393510</v>
      </c>
      <c r="BW163" s="74">
        <f t="shared" si="135"/>
        <v>450.44260372798243</v>
      </c>
      <c r="BX163" s="1098"/>
      <c r="BY163" s="296">
        <f t="shared" si="126"/>
        <v>1810</v>
      </c>
      <c r="BZ163" s="296"/>
      <c r="CA163" s="296">
        <v>1810</v>
      </c>
      <c r="CB163" s="296">
        <f t="shared" si="136"/>
        <v>0</v>
      </c>
      <c r="CC163" s="297"/>
      <c r="CD163" s="296">
        <f t="shared" si="157"/>
        <v>39590</v>
      </c>
      <c r="CE163" s="297"/>
      <c r="CF163" s="1061"/>
    </row>
    <row r="164" spans="1:84">
      <c r="A164" s="30">
        <v>44477</v>
      </c>
      <c r="B164" s="32">
        <v>1.732</v>
      </c>
      <c r="C164" s="842">
        <f t="shared" si="165"/>
        <v>77900.33100000002</v>
      </c>
      <c r="D164" s="855">
        <v>3289.48</v>
      </c>
      <c r="E164" s="843">
        <f t="shared" si="166"/>
        <v>876896.89800000016</v>
      </c>
      <c r="F164" s="240">
        <f t="shared" si="121"/>
        <v>0</v>
      </c>
      <c r="G164" s="240"/>
      <c r="H164" s="280"/>
      <c r="I164" s="240">
        <v>0</v>
      </c>
      <c r="J164" s="240">
        <f t="shared" si="138"/>
        <v>0</v>
      </c>
      <c r="K164" s="280">
        <f t="shared" si="167"/>
        <v>0</v>
      </c>
      <c r="L164" s="240">
        <f t="shared" si="158"/>
        <v>2000581</v>
      </c>
      <c r="M164" s="280">
        <f t="shared" si="139"/>
        <v>25681.290109024048</v>
      </c>
      <c r="N164" s="280">
        <f t="shared" si="140"/>
        <v>3144.5194207204663</v>
      </c>
      <c r="O164" s="1089"/>
      <c r="P164" s="1084"/>
      <c r="Q164" s="77">
        <f t="shared" si="141"/>
        <v>32387</v>
      </c>
      <c r="R164" s="35"/>
      <c r="S164" s="35">
        <v>32387</v>
      </c>
      <c r="T164" s="35">
        <f t="shared" si="129"/>
        <v>0</v>
      </c>
      <c r="U164" s="36">
        <f t="shared" si="168"/>
        <v>0</v>
      </c>
      <c r="V164" s="74">
        <f t="shared" si="142"/>
        <v>158487</v>
      </c>
      <c r="W164" s="36">
        <f t="shared" si="143"/>
        <v>2.0344842950667301</v>
      </c>
      <c r="X164" s="1136"/>
      <c r="Y164" s="49">
        <f t="shared" si="122"/>
        <v>938</v>
      </c>
      <c r="Z164" s="50"/>
      <c r="AA164" s="50">
        <v>886</v>
      </c>
      <c r="AB164" s="50">
        <f t="shared" si="130"/>
        <v>52</v>
      </c>
      <c r="AC164" s="51">
        <f t="shared" si="159"/>
        <v>30.023094688221708</v>
      </c>
      <c r="AD164" s="50">
        <f t="shared" si="144"/>
        <v>8068</v>
      </c>
      <c r="AE164" s="51">
        <f t="shared" si="131"/>
        <v>0.1035682377267434</v>
      </c>
      <c r="AF164" s="1047"/>
      <c r="AG164" s="41">
        <f t="shared" si="123"/>
        <v>865</v>
      </c>
      <c r="AH164" s="41"/>
      <c r="AI164" s="41">
        <v>845</v>
      </c>
      <c r="AJ164" s="41">
        <f t="shared" si="160"/>
        <v>20</v>
      </c>
      <c r="AK164" s="42">
        <f t="shared" si="164"/>
        <v>11547.344110854503</v>
      </c>
      <c r="AL164" s="41">
        <f t="shared" si="154"/>
        <v>4630</v>
      </c>
      <c r="AM164" s="42">
        <f t="shared" si="145"/>
        <v>5.94349207579105E-2</v>
      </c>
      <c r="AN164" s="1058"/>
      <c r="AO164" s="220">
        <v>2.85</v>
      </c>
      <c r="AP164" s="67">
        <v>24</v>
      </c>
      <c r="AQ164" s="68">
        <f t="shared" si="150"/>
        <v>33.998220000000003</v>
      </c>
      <c r="AR164" s="68">
        <f t="shared" si="163"/>
        <v>10.335439035957052</v>
      </c>
      <c r="AS164" s="69">
        <f t="shared" si="155"/>
        <v>9962.0749199999955</v>
      </c>
      <c r="AT164" s="140">
        <f t="shared" si="132"/>
        <v>11.360600023470484</v>
      </c>
      <c r="AU164" s="1073"/>
      <c r="AV164" s="70">
        <v>2.4</v>
      </c>
      <c r="AW164" s="71">
        <v>12</v>
      </c>
      <c r="AX164" s="72">
        <f t="shared" si="151"/>
        <v>14.881824</v>
      </c>
      <c r="AY164" s="72">
        <f>AX164*1000/D164</f>
        <v>4.5240658097936457</v>
      </c>
      <c r="AZ164" s="73">
        <f t="shared" si="156"/>
        <v>2848.9701858000008</v>
      </c>
      <c r="BA164" s="192">
        <f t="shared" si="133"/>
        <v>3.2489226410742762</v>
      </c>
      <c r="BB164" s="1075"/>
      <c r="BC164" s="56">
        <f t="shared" si="169"/>
        <v>41359</v>
      </c>
      <c r="BD164" s="59"/>
      <c r="BE164" s="56">
        <v>41359</v>
      </c>
      <c r="BF164" s="56">
        <f t="shared" si="152"/>
        <v>0</v>
      </c>
      <c r="BG164" s="58">
        <f t="shared" si="146"/>
        <v>58193</v>
      </c>
      <c r="BH164" s="58">
        <f t="shared" si="134"/>
        <v>66.362419724285516</v>
      </c>
      <c r="BI164" s="1133"/>
      <c r="BJ164" s="64">
        <f t="shared" si="124"/>
        <v>1450</v>
      </c>
      <c r="BK164" s="64"/>
      <c r="BL164" s="64">
        <v>1450</v>
      </c>
      <c r="BM164" s="64">
        <f t="shared" si="147"/>
        <v>0</v>
      </c>
      <c r="BN164" s="65"/>
      <c r="BO164" s="64">
        <f t="shared" si="148"/>
        <v>17050</v>
      </c>
      <c r="BP164" s="65">
        <f t="shared" si="149"/>
        <v>0.21886941661390369</v>
      </c>
      <c r="BQ164" s="1071"/>
      <c r="BR164" s="35">
        <f t="shared" si="125"/>
        <v>38831</v>
      </c>
      <c r="BS164" s="35"/>
      <c r="BT164" s="35">
        <v>37400</v>
      </c>
      <c r="BU164" s="74">
        <f t="shared" si="161"/>
        <v>1431</v>
      </c>
      <c r="BV164" s="74">
        <f t="shared" si="162"/>
        <v>394941</v>
      </c>
      <c r="BW164" s="74">
        <f t="shared" si="135"/>
        <v>450.384761196863</v>
      </c>
      <c r="BX164" s="1098"/>
      <c r="BY164" s="296">
        <f t="shared" si="126"/>
        <v>1810</v>
      </c>
      <c r="BZ164" s="296"/>
      <c r="CA164" s="296">
        <v>1750</v>
      </c>
      <c r="CB164" s="296">
        <f t="shared" si="136"/>
        <v>60</v>
      </c>
      <c r="CC164" s="297"/>
      <c r="CD164" s="296">
        <f t="shared" si="157"/>
        <v>39650</v>
      </c>
      <c r="CE164" s="297"/>
      <c r="CF164" s="1061"/>
    </row>
    <row r="165" spans="1:84">
      <c r="A165" s="30">
        <v>44478</v>
      </c>
      <c r="B165" s="32">
        <v>572.31500000000005</v>
      </c>
      <c r="C165" s="842">
        <f t="shared" si="165"/>
        <v>78472.646000000022</v>
      </c>
      <c r="D165" s="855">
        <v>4878.2</v>
      </c>
      <c r="E165" s="843">
        <f t="shared" si="166"/>
        <v>881775.09800000011</v>
      </c>
      <c r="F165" s="240">
        <f t="shared" ref="F165:F217" si="170">I164</f>
        <v>0</v>
      </c>
      <c r="G165" s="240">
        <v>32100</v>
      </c>
      <c r="H165" s="280">
        <v>5.34</v>
      </c>
      <c r="I165" s="240">
        <v>7000</v>
      </c>
      <c r="J165" s="240">
        <f t="shared" si="138"/>
        <v>25100</v>
      </c>
      <c r="K165" s="280">
        <f t="shared" si="167"/>
        <v>43856.966880127198</v>
      </c>
      <c r="L165" s="240">
        <f t="shared" si="158"/>
        <v>2025681</v>
      </c>
      <c r="M165" s="280">
        <f t="shared" si="139"/>
        <v>25813.84856068189</v>
      </c>
      <c r="N165" s="280">
        <f t="shared" si="140"/>
        <v>3160.7504053730736</v>
      </c>
      <c r="O165" s="1089"/>
      <c r="P165" s="1084"/>
      <c r="Q165" s="77">
        <f t="shared" si="141"/>
        <v>32387</v>
      </c>
      <c r="R165" s="35"/>
      <c r="S165" s="35">
        <v>30502</v>
      </c>
      <c r="T165" s="35">
        <f t="shared" si="129"/>
        <v>1885</v>
      </c>
      <c r="U165" s="36">
        <f t="shared" si="168"/>
        <v>3293.6407398023812</v>
      </c>
      <c r="V165" s="74">
        <f t="shared" si="142"/>
        <v>160372</v>
      </c>
      <c r="W165" s="36">
        <f t="shared" si="143"/>
        <v>2.0436675475426171</v>
      </c>
      <c r="X165" s="1136"/>
      <c r="Y165" s="49">
        <f t="shared" ref="Y165:Y225" si="171">AA164</f>
        <v>886</v>
      </c>
      <c r="Z165" s="50"/>
      <c r="AA165" s="50">
        <v>815</v>
      </c>
      <c r="AB165" s="50">
        <f t="shared" si="130"/>
        <v>71</v>
      </c>
      <c r="AC165" s="51">
        <f t="shared" si="159"/>
        <v>0.12405755571669447</v>
      </c>
      <c r="AD165" s="50">
        <f t="shared" si="144"/>
        <v>8139</v>
      </c>
      <c r="AE165" s="51">
        <f t="shared" si="131"/>
        <v>0.10371766997636345</v>
      </c>
      <c r="AF165" s="1047"/>
      <c r="AG165" s="41">
        <f t="shared" ref="AG165:AG224" si="172">AI164</f>
        <v>845</v>
      </c>
      <c r="AH165" s="41"/>
      <c r="AI165" s="41">
        <v>845</v>
      </c>
      <c r="AJ165" s="41">
        <f t="shared" si="160"/>
        <v>0</v>
      </c>
      <c r="AK165" s="42">
        <f t="shared" si="164"/>
        <v>0</v>
      </c>
      <c r="AL165" s="41">
        <f t="shared" si="154"/>
        <v>4630</v>
      </c>
      <c r="AM165" s="42">
        <f t="shared" si="145"/>
        <v>5.900145128278201E-2</v>
      </c>
      <c r="AN165" s="1058"/>
      <c r="AO165" s="220">
        <v>8.0500000000000007</v>
      </c>
      <c r="AP165" s="67">
        <v>24</v>
      </c>
      <c r="AQ165" s="68">
        <f t="shared" si="150"/>
        <v>96.030060000000006</v>
      </c>
      <c r="AR165" s="68">
        <f t="shared" si="163"/>
        <v>19.685552047886517</v>
      </c>
      <c r="AS165" s="69">
        <f t="shared" si="155"/>
        <v>10058.104979999995</v>
      </c>
      <c r="AT165" s="140">
        <f t="shared" si="132"/>
        <v>11.40665573660824</v>
      </c>
      <c r="AU165" s="1073"/>
      <c r="AV165" s="70">
        <v>2.4</v>
      </c>
      <c r="AW165" s="71">
        <v>12</v>
      </c>
      <c r="AX165" s="72">
        <f t="shared" si="151"/>
        <v>14.881824</v>
      </c>
      <c r="AY165" s="72">
        <f>AX165*1000/D165</f>
        <v>3.0506793489401831</v>
      </c>
      <c r="AZ165" s="73">
        <f t="shared" si="156"/>
        <v>2863.8520098000008</v>
      </c>
      <c r="BA165" s="192">
        <f t="shared" si="133"/>
        <v>3.247825909685647</v>
      </c>
      <c r="BB165" s="1075"/>
      <c r="BC165" s="56">
        <f t="shared" si="169"/>
        <v>41359</v>
      </c>
      <c r="BD165" s="59"/>
      <c r="BE165" s="56">
        <v>41359</v>
      </c>
      <c r="BF165" s="56">
        <f t="shared" si="152"/>
        <v>0</v>
      </c>
      <c r="BG165" s="58">
        <f t="shared" si="146"/>
        <v>58193</v>
      </c>
      <c r="BH165" s="58">
        <f t="shared" si="134"/>
        <v>65.995286249283481</v>
      </c>
      <c r="BI165" s="1133"/>
      <c r="BJ165" s="64">
        <f t="shared" ref="BJ165:BJ225" si="173">BL164</f>
        <v>1450</v>
      </c>
      <c r="BK165" s="64"/>
      <c r="BL165" s="64">
        <v>1450</v>
      </c>
      <c r="BM165" s="64">
        <f t="shared" si="147"/>
        <v>0</v>
      </c>
      <c r="BN165" s="65"/>
      <c r="BO165" s="64">
        <f t="shared" si="148"/>
        <v>17050</v>
      </c>
      <c r="BP165" s="65">
        <f t="shared" si="149"/>
        <v>0.21727316293119509</v>
      </c>
      <c r="BQ165" s="1071"/>
      <c r="BR165" s="35">
        <f t="shared" ref="BR165:BR225" si="174">BT164</f>
        <v>37400</v>
      </c>
      <c r="BS165" s="35"/>
      <c r="BT165" s="35">
        <v>36358</v>
      </c>
      <c r="BU165" s="74">
        <f>BR165+BS165-BT165</f>
        <v>1042</v>
      </c>
      <c r="BV165" s="74">
        <f t="shared" si="162"/>
        <v>395983</v>
      </c>
      <c r="BW165" s="74">
        <f t="shared" si="135"/>
        <v>449.07482746808068</v>
      </c>
      <c r="BX165" s="1098"/>
      <c r="BY165" s="296">
        <f t="shared" ref="BY165:BY225" si="175">CA164</f>
        <v>1750</v>
      </c>
      <c r="BZ165" s="296"/>
      <c r="CA165" s="296">
        <v>1480</v>
      </c>
      <c r="CB165" s="296">
        <f t="shared" si="136"/>
        <v>270</v>
      </c>
      <c r="CC165" s="297"/>
      <c r="CD165" s="296">
        <f t="shared" si="157"/>
        <v>39920</v>
      </c>
      <c r="CE165" s="297"/>
      <c r="CF165" s="1061"/>
    </row>
    <row r="166" spans="1:84">
      <c r="A166" s="30">
        <v>44479</v>
      </c>
      <c r="B166" s="32">
        <v>196.02699999999999</v>
      </c>
      <c r="C166" s="842">
        <f t="shared" si="165"/>
        <v>78668.673000000024</v>
      </c>
      <c r="D166" s="855">
        <v>0</v>
      </c>
      <c r="E166" s="843">
        <f t="shared" si="166"/>
        <v>881775.09800000011</v>
      </c>
      <c r="F166" s="240">
        <f t="shared" si="170"/>
        <v>7000</v>
      </c>
      <c r="G166" s="240"/>
      <c r="H166" s="280"/>
      <c r="I166" s="240">
        <v>7000</v>
      </c>
      <c r="J166" s="240">
        <f t="shared" si="138"/>
        <v>0</v>
      </c>
      <c r="K166" s="280">
        <f t="shared" si="167"/>
        <v>0</v>
      </c>
      <c r="L166" s="240">
        <f t="shared" si="158"/>
        <v>2025681</v>
      </c>
      <c r="M166" s="280">
        <f t="shared" si="139"/>
        <v>25749.52548138189</v>
      </c>
      <c r="N166" s="280">
        <f t="shared" si="140"/>
        <v>3152.8744314169085</v>
      </c>
      <c r="O166" s="1089"/>
      <c r="P166" s="1084"/>
      <c r="Q166" s="77">
        <f t="shared" si="141"/>
        <v>30502</v>
      </c>
      <c r="R166" s="35"/>
      <c r="S166" s="35">
        <v>29694</v>
      </c>
      <c r="T166" s="35">
        <f t="shared" si="129"/>
        <v>808</v>
      </c>
      <c r="U166" s="36">
        <f t="shared" si="168"/>
        <v>4121.8811694307424</v>
      </c>
      <c r="V166" s="74">
        <f t="shared" si="142"/>
        <v>161180</v>
      </c>
      <c r="W166" s="36">
        <f t="shared" si="143"/>
        <v>2.0488460508288981</v>
      </c>
      <c r="X166" s="1136"/>
      <c r="Y166" s="49">
        <f t="shared" si="171"/>
        <v>815</v>
      </c>
      <c r="Z166" s="50"/>
      <c r="AA166" s="50">
        <v>815</v>
      </c>
      <c r="AB166" s="50">
        <f t="shared" si="130"/>
        <v>0</v>
      </c>
      <c r="AC166" s="51">
        <f t="shared" si="159"/>
        <v>0</v>
      </c>
      <c r="AD166" s="50">
        <f t="shared" si="144"/>
        <v>8139</v>
      </c>
      <c r="AE166" s="51">
        <f t="shared" si="131"/>
        <v>0.10345922575813625</v>
      </c>
      <c r="AF166" s="1047"/>
      <c r="AG166" s="41">
        <f t="shared" si="172"/>
        <v>845</v>
      </c>
      <c r="AH166" s="41"/>
      <c r="AI166" s="41">
        <v>845</v>
      </c>
      <c r="AJ166" s="41">
        <f t="shared" si="160"/>
        <v>0</v>
      </c>
      <c r="AK166" s="42">
        <f t="shared" si="164"/>
        <v>0</v>
      </c>
      <c r="AL166" s="41">
        <f t="shared" si="154"/>
        <v>4630</v>
      </c>
      <c r="AM166" s="42">
        <f t="shared" si="145"/>
        <v>5.8854431166011897E-2</v>
      </c>
      <c r="AN166" s="1058"/>
      <c r="AO166" s="220">
        <v>0</v>
      </c>
      <c r="AP166" s="67">
        <v>24</v>
      </c>
      <c r="AQ166" s="68">
        <f t="shared" si="150"/>
        <v>0</v>
      </c>
      <c r="AR166" s="68" t="e">
        <f t="shared" si="163"/>
        <v>#DIV/0!</v>
      </c>
      <c r="AS166" s="69">
        <f t="shared" si="155"/>
        <v>10058.104979999995</v>
      </c>
      <c r="AT166" s="140">
        <f t="shared" si="132"/>
        <v>11.40665573660824</v>
      </c>
      <c r="AU166" s="1073"/>
      <c r="AV166" s="70">
        <v>0.15</v>
      </c>
      <c r="AW166" s="71">
        <v>12</v>
      </c>
      <c r="AX166" s="72">
        <f t="shared" si="151"/>
        <v>0.930114</v>
      </c>
      <c r="AY166" s="72">
        <v>0</v>
      </c>
      <c r="AZ166" s="73">
        <f t="shared" si="156"/>
        <v>2864.7821238000006</v>
      </c>
      <c r="BA166" s="192">
        <f t="shared" si="133"/>
        <v>3.2488807296755846</v>
      </c>
      <c r="BB166" s="1075"/>
      <c r="BC166" s="56">
        <f t="shared" si="169"/>
        <v>41359</v>
      </c>
      <c r="BD166" s="59"/>
      <c r="BE166" s="56">
        <v>41359</v>
      </c>
      <c r="BF166" s="56">
        <f t="shared" si="152"/>
        <v>0</v>
      </c>
      <c r="BG166" s="58">
        <f t="shared" si="146"/>
        <v>58193</v>
      </c>
      <c r="BH166" s="58">
        <f t="shared" si="134"/>
        <v>65.995286249283481</v>
      </c>
      <c r="BI166" s="1133"/>
      <c r="BJ166" s="64">
        <f t="shared" si="173"/>
        <v>1450</v>
      </c>
      <c r="BK166" s="64"/>
      <c r="BL166" s="64">
        <v>1450</v>
      </c>
      <c r="BM166" s="64">
        <f t="shared" si="147"/>
        <v>0</v>
      </c>
      <c r="BN166" s="65"/>
      <c r="BO166" s="64">
        <f t="shared" si="148"/>
        <v>17050</v>
      </c>
      <c r="BP166" s="65">
        <f t="shared" si="149"/>
        <v>0.21673176055734403</v>
      </c>
      <c r="BQ166" s="1071"/>
      <c r="BR166" s="35">
        <f t="shared" si="174"/>
        <v>36358</v>
      </c>
      <c r="BS166" s="35"/>
      <c r="BT166" s="35">
        <v>36358</v>
      </c>
      <c r="BU166" s="74">
        <f t="shared" si="161"/>
        <v>0</v>
      </c>
      <c r="BV166" s="74">
        <f t="shared" si="162"/>
        <v>395983</v>
      </c>
      <c r="BW166" s="74">
        <f t="shared" si="135"/>
        <v>449.07482746808068</v>
      </c>
      <c r="BX166" s="1098"/>
      <c r="BY166" s="296">
        <f t="shared" si="175"/>
        <v>1480</v>
      </c>
      <c r="BZ166" s="296"/>
      <c r="CA166" s="296">
        <v>1480</v>
      </c>
      <c r="CB166" s="296">
        <f t="shared" si="136"/>
        <v>0</v>
      </c>
      <c r="CC166" s="297"/>
      <c r="CD166" s="296">
        <f t="shared" si="157"/>
        <v>39920</v>
      </c>
      <c r="CE166" s="297"/>
      <c r="CF166" s="1061"/>
    </row>
    <row r="167" spans="1:84">
      <c r="A167" s="30">
        <v>44480</v>
      </c>
      <c r="B167" s="32">
        <v>190.959</v>
      </c>
      <c r="C167" s="842">
        <f t="shared" si="165"/>
        <v>78859.632000000027</v>
      </c>
      <c r="D167" s="855">
        <v>5266.48</v>
      </c>
      <c r="E167" s="843">
        <f t="shared" si="166"/>
        <v>887041.5780000001</v>
      </c>
      <c r="F167" s="240">
        <f t="shared" si="170"/>
        <v>7000</v>
      </c>
      <c r="G167" s="240"/>
      <c r="H167" s="280"/>
      <c r="I167" s="240">
        <v>7000</v>
      </c>
      <c r="J167" s="240">
        <f t="shared" si="138"/>
        <v>0</v>
      </c>
      <c r="K167" s="280">
        <f t="shared" si="167"/>
        <v>0</v>
      </c>
      <c r="L167" s="240">
        <f t="shared" si="158"/>
        <v>2025681</v>
      </c>
      <c r="M167" s="280">
        <f t="shared" si="139"/>
        <v>25687.172874456213</v>
      </c>
      <c r="N167" s="280">
        <f t="shared" si="140"/>
        <v>3145.2397299444365</v>
      </c>
      <c r="O167" s="1089"/>
      <c r="P167" s="1084"/>
      <c r="Q167" s="77">
        <f t="shared" si="141"/>
        <v>29694</v>
      </c>
      <c r="R167" s="35"/>
      <c r="S167" s="35">
        <v>29694</v>
      </c>
      <c r="T167" s="35">
        <f t="shared" si="129"/>
        <v>0</v>
      </c>
      <c r="U167" s="36">
        <f t="shared" si="168"/>
        <v>0</v>
      </c>
      <c r="V167" s="74">
        <f t="shared" si="142"/>
        <v>161180</v>
      </c>
      <c r="W167" s="36">
        <f t="shared" si="143"/>
        <v>2.0438847596955556</v>
      </c>
      <c r="X167" s="1136"/>
      <c r="Y167" s="49">
        <f t="shared" si="171"/>
        <v>815</v>
      </c>
      <c r="Z167" s="50"/>
      <c r="AA167" s="50">
        <v>815</v>
      </c>
      <c r="AB167" s="50">
        <f t="shared" si="130"/>
        <v>0</v>
      </c>
      <c r="AC167" s="51">
        <f t="shared" si="159"/>
        <v>0</v>
      </c>
      <c r="AD167" s="50">
        <f t="shared" si="144"/>
        <v>8139</v>
      </c>
      <c r="AE167" s="51">
        <f t="shared" si="131"/>
        <v>0.10320869871672743</v>
      </c>
      <c r="AF167" s="1047"/>
      <c r="AG167" s="41">
        <f t="shared" si="172"/>
        <v>845</v>
      </c>
      <c r="AH167" s="41"/>
      <c r="AI167" s="41">
        <v>845</v>
      </c>
      <c r="AJ167" s="41">
        <f t="shared" si="160"/>
        <v>0</v>
      </c>
      <c r="AK167" s="42">
        <f t="shared" si="164"/>
        <v>0</v>
      </c>
      <c r="AL167" s="41">
        <f t="shared" si="154"/>
        <v>4630</v>
      </c>
      <c r="AM167" s="42">
        <f t="shared" si="145"/>
        <v>5.8711914861585945E-2</v>
      </c>
      <c r="AN167" s="1058"/>
      <c r="AO167" s="220">
        <v>5.75</v>
      </c>
      <c r="AP167" s="67">
        <v>24</v>
      </c>
      <c r="AQ167" s="68">
        <f t="shared" si="150"/>
        <v>68.5929</v>
      </c>
      <c r="AR167" s="68">
        <f t="shared" si="163"/>
        <v>13.024429979796752</v>
      </c>
      <c r="AS167" s="69">
        <f t="shared" si="155"/>
        <v>10126.697879999994</v>
      </c>
      <c r="AT167" s="140">
        <f t="shared" si="132"/>
        <v>11.416260670477829</v>
      </c>
      <c r="AU167" s="1073"/>
      <c r="AV167" s="70">
        <v>2.1</v>
      </c>
      <c r="AW167" s="71">
        <v>12</v>
      </c>
      <c r="AX167" s="72">
        <f t="shared" si="151"/>
        <v>13.021596000000002</v>
      </c>
      <c r="AY167" s="72">
        <f>AX167*1000/D167</f>
        <v>2.4725425711291042</v>
      </c>
      <c r="AZ167" s="73">
        <f t="shared" si="156"/>
        <v>2877.8037198000006</v>
      </c>
      <c r="BA167" s="192">
        <f t="shared" si="133"/>
        <v>3.2442715101230579</v>
      </c>
      <c r="BB167" s="1075"/>
      <c r="BC167" s="56">
        <f t="shared" si="169"/>
        <v>41359</v>
      </c>
      <c r="BD167" s="59"/>
      <c r="BE167" s="56">
        <v>41359</v>
      </c>
      <c r="BF167" s="56">
        <f t="shared" si="152"/>
        <v>0</v>
      </c>
      <c r="BG167" s="58">
        <f t="shared" si="146"/>
        <v>58193</v>
      </c>
      <c r="BH167" s="58">
        <f t="shared" si="134"/>
        <v>65.603463742034421</v>
      </c>
      <c r="BI167" s="1133"/>
      <c r="BJ167" s="64">
        <f t="shared" si="173"/>
        <v>1450</v>
      </c>
      <c r="BK167" s="64"/>
      <c r="BL167" s="64">
        <v>1450</v>
      </c>
      <c r="BM167" s="64">
        <f t="shared" si="147"/>
        <v>0</v>
      </c>
      <c r="BN167" s="65"/>
      <c r="BO167" s="64">
        <f t="shared" si="148"/>
        <v>17050</v>
      </c>
      <c r="BP167" s="65">
        <f t="shared" si="149"/>
        <v>0.21620694349676897</v>
      </c>
      <c r="BQ167" s="1071"/>
      <c r="BR167" s="35">
        <f t="shared" si="174"/>
        <v>36358</v>
      </c>
      <c r="BS167" s="35"/>
      <c r="BT167" s="35">
        <v>35680</v>
      </c>
      <c r="BU167" s="74">
        <f t="shared" si="161"/>
        <v>678</v>
      </c>
      <c r="BV167" s="74">
        <f t="shared" si="162"/>
        <v>396661</v>
      </c>
      <c r="BW167" s="74">
        <f t="shared" si="135"/>
        <v>447.17295089407855</v>
      </c>
      <c r="BX167" s="1098"/>
      <c r="BY167" s="296">
        <f t="shared" si="175"/>
        <v>1480</v>
      </c>
      <c r="BZ167" s="296"/>
      <c r="CA167" s="296">
        <v>1480</v>
      </c>
      <c r="CB167" s="296">
        <f t="shared" si="136"/>
        <v>0</v>
      </c>
      <c r="CC167" s="297"/>
      <c r="CD167" s="296">
        <f t="shared" si="157"/>
        <v>39920</v>
      </c>
      <c r="CE167" s="297"/>
      <c r="CF167" s="1061"/>
    </row>
    <row r="168" spans="1:84">
      <c r="A168" s="30">
        <v>44481</v>
      </c>
      <c r="B168" s="32">
        <v>571.63800000000003</v>
      </c>
      <c r="C168" s="842">
        <f t="shared" si="165"/>
        <v>79431.270000000033</v>
      </c>
      <c r="D168" s="855">
        <v>6174.98</v>
      </c>
      <c r="E168" s="843">
        <f t="shared" si="166"/>
        <v>893216.55800000008</v>
      </c>
      <c r="F168" s="240">
        <f t="shared" si="170"/>
        <v>7000</v>
      </c>
      <c r="G168" s="240">
        <v>31350</v>
      </c>
      <c r="H168" s="280">
        <v>9.85</v>
      </c>
      <c r="I168" s="240">
        <v>37000</v>
      </c>
      <c r="J168" s="240">
        <f t="shared" si="138"/>
        <v>1350</v>
      </c>
      <c r="K168" s="280">
        <f t="shared" si="167"/>
        <v>2361.6344609700545</v>
      </c>
      <c r="L168" s="240">
        <f t="shared" si="158"/>
        <v>2027031</v>
      </c>
      <c r="M168" s="280">
        <f t="shared" si="139"/>
        <v>25519.307446550953</v>
      </c>
      <c r="N168" s="280">
        <f t="shared" si="140"/>
        <v>3124.6856185320135</v>
      </c>
      <c r="O168" s="1089"/>
      <c r="P168" s="1084"/>
      <c r="Q168" s="77">
        <f t="shared" si="141"/>
        <v>29694</v>
      </c>
      <c r="R168" s="35"/>
      <c r="S168" s="35">
        <v>29694</v>
      </c>
      <c r="T168" s="35">
        <f t="shared" si="129"/>
        <v>0</v>
      </c>
      <c r="U168" s="36">
        <f t="shared" si="168"/>
        <v>0</v>
      </c>
      <c r="V168" s="74">
        <f t="shared" si="142"/>
        <v>161180</v>
      </c>
      <c r="W168" s="36">
        <f t="shared" si="143"/>
        <v>2.0291756634383402</v>
      </c>
      <c r="X168" s="1136"/>
      <c r="Y168" s="49">
        <f t="shared" si="171"/>
        <v>815</v>
      </c>
      <c r="Z168" s="50"/>
      <c r="AA168" s="50">
        <v>743</v>
      </c>
      <c r="AB168" s="50">
        <f t="shared" si="130"/>
        <v>72</v>
      </c>
      <c r="AC168" s="51">
        <f t="shared" si="159"/>
        <v>0.12595383791840289</v>
      </c>
      <c r="AD168" s="50">
        <f t="shared" si="144"/>
        <v>8211</v>
      </c>
      <c r="AE168" s="51">
        <f t="shared" si="131"/>
        <v>0.10337238722231178</v>
      </c>
      <c r="AF168" s="1047"/>
      <c r="AG168" s="41">
        <f t="shared" si="172"/>
        <v>845</v>
      </c>
      <c r="AH168" s="41"/>
      <c r="AI168" s="41">
        <v>805</v>
      </c>
      <c r="AJ168" s="41">
        <f t="shared" si="160"/>
        <v>40</v>
      </c>
      <c r="AK168" s="42">
        <f t="shared" si="164"/>
        <v>69.974354399112727</v>
      </c>
      <c r="AL168" s="41">
        <f t="shared" si="154"/>
        <v>4670</v>
      </c>
      <c r="AM168" s="42">
        <f t="shared" si="145"/>
        <v>5.8792966548312751E-2</v>
      </c>
      <c r="AN168" s="1058"/>
      <c r="AO168" s="220">
        <v>8.65</v>
      </c>
      <c r="AP168" s="67">
        <v>24</v>
      </c>
      <c r="AQ168" s="68">
        <f t="shared" si="150"/>
        <v>103.18758000000001</v>
      </c>
      <c r="AR168" s="68">
        <f t="shared" si="163"/>
        <v>16.710593394634479</v>
      </c>
      <c r="AS168" s="69">
        <f t="shared" si="155"/>
        <v>10229.885459999994</v>
      </c>
      <c r="AT168" s="140">
        <f t="shared" si="132"/>
        <v>11.45286142355636</v>
      </c>
      <c r="AU168" s="1073"/>
      <c r="AV168" s="70">
        <v>3.9</v>
      </c>
      <c r="AW168" s="71">
        <v>12</v>
      </c>
      <c r="AX168" s="72">
        <f t="shared" si="151"/>
        <v>24.182963999999998</v>
      </c>
      <c r="AY168" s="72">
        <f>AX168*1000/D168</f>
        <v>3.9162821579988925</v>
      </c>
      <c r="AZ168" s="73">
        <f t="shared" si="156"/>
        <v>2901.9866838000007</v>
      </c>
      <c r="BA168" s="192">
        <f t="shared" si="133"/>
        <v>3.248917250591318</v>
      </c>
      <c r="BB168" s="1075"/>
      <c r="BC168" s="56">
        <f t="shared" si="169"/>
        <v>41359</v>
      </c>
      <c r="BD168" s="59"/>
      <c r="BE168" s="56">
        <v>41359</v>
      </c>
      <c r="BF168" s="56">
        <f t="shared" si="152"/>
        <v>0</v>
      </c>
      <c r="BG168" s="58">
        <f t="shared" si="146"/>
        <v>58193</v>
      </c>
      <c r="BH168" s="58">
        <f t="shared" si="134"/>
        <v>65.149934222334466</v>
      </c>
      <c r="BI168" s="1133"/>
      <c r="BJ168" s="64">
        <f t="shared" si="173"/>
        <v>1450</v>
      </c>
      <c r="BK168" s="64"/>
      <c r="BL168" s="64">
        <v>1450</v>
      </c>
      <c r="BM168" s="64">
        <f t="shared" si="147"/>
        <v>0</v>
      </c>
      <c r="BN168" s="65"/>
      <c r="BO168" s="64">
        <f t="shared" si="148"/>
        <v>17050</v>
      </c>
      <c r="BP168" s="65">
        <f t="shared" si="149"/>
        <v>0.21465098065283347</v>
      </c>
      <c r="BQ168" s="1071"/>
      <c r="BR168" s="35">
        <f t="shared" si="174"/>
        <v>35680</v>
      </c>
      <c r="BS168" s="35"/>
      <c r="BT168" s="35">
        <v>34562</v>
      </c>
      <c r="BU168" s="74">
        <f t="shared" si="161"/>
        <v>1118</v>
      </c>
      <c r="BV168" s="74">
        <f t="shared" si="162"/>
        <v>397779</v>
      </c>
      <c r="BW168" s="74">
        <f t="shared" si="135"/>
        <v>445.33321335944152</v>
      </c>
      <c r="BX168" s="1098"/>
      <c r="BY168" s="296">
        <f t="shared" si="175"/>
        <v>1480</v>
      </c>
      <c r="BZ168" s="296"/>
      <c r="CA168" s="296">
        <v>1000</v>
      </c>
      <c r="CB168" s="296">
        <f t="shared" si="136"/>
        <v>480</v>
      </c>
      <c r="CC168" s="297"/>
      <c r="CD168" s="296">
        <f t="shared" si="157"/>
        <v>40400</v>
      </c>
      <c r="CE168" s="297"/>
      <c r="CF168" s="1061"/>
    </row>
    <row r="169" spans="1:84">
      <c r="A169" s="30">
        <v>44482</v>
      </c>
      <c r="B169" s="32">
        <v>660.59900000000005</v>
      </c>
      <c r="C169" s="842">
        <f t="shared" si="165"/>
        <v>80091.869000000035</v>
      </c>
      <c r="D169" s="842">
        <v>7251.58</v>
      </c>
      <c r="E169" s="843">
        <f t="shared" si="166"/>
        <v>900468.13800000004</v>
      </c>
      <c r="F169" s="240">
        <f t="shared" si="170"/>
        <v>37000</v>
      </c>
      <c r="G169" s="240">
        <v>31970</v>
      </c>
      <c r="H169" s="280">
        <v>19.64</v>
      </c>
      <c r="I169" s="240">
        <v>42000</v>
      </c>
      <c r="J169" s="240">
        <f t="shared" si="138"/>
        <v>26970</v>
      </c>
      <c r="K169" s="280">
        <f t="shared" si="167"/>
        <v>40826.583146507939</v>
      </c>
      <c r="L169" s="240">
        <f t="shared" si="158"/>
        <v>2054001</v>
      </c>
      <c r="M169" s="280">
        <f t="shared" si="139"/>
        <v>25645.562098195001</v>
      </c>
      <c r="N169" s="280">
        <f t="shared" si="140"/>
        <v>3140.1447408099671</v>
      </c>
      <c r="O169" s="1089"/>
      <c r="P169" s="1084"/>
      <c r="Q169" s="77">
        <f t="shared" si="141"/>
        <v>29694</v>
      </c>
      <c r="R169" s="35"/>
      <c r="S169" s="35">
        <v>27009</v>
      </c>
      <c r="T169" s="35">
        <f t="shared" si="129"/>
        <v>2685</v>
      </c>
      <c r="U169" s="36">
        <f t="shared" si="168"/>
        <v>4064.4929828837157</v>
      </c>
      <c r="V169" s="74">
        <f t="shared" si="142"/>
        <v>163865</v>
      </c>
      <c r="W169" s="36">
        <f t="shared" si="143"/>
        <v>2.0459629928226537</v>
      </c>
      <c r="X169" s="1136"/>
      <c r="Y169" s="49">
        <f t="shared" si="171"/>
        <v>743</v>
      </c>
      <c r="Z169" s="50"/>
      <c r="AA169" s="50">
        <v>671</v>
      </c>
      <c r="AB169" s="50">
        <f t="shared" si="130"/>
        <v>72</v>
      </c>
      <c r="AC169" s="51">
        <f t="shared" si="159"/>
        <v>0.10899199060246836</v>
      </c>
      <c r="AD169" s="50">
        <f t="shared" si="144"/>
        <v>8283</v>
      </c>
      <c r="AE169" s="51">
        <f t="shared" si="131"/>
        <v>0.10341873779971343</v>
      </c>
      <c r="AF169" s="1047"/>
      <c r="AG169" s="41">
        <f t="shared" si="172"/>
        <v>805</v>
      </c>
      <c r="AH169" s="41"/>
      <c r="AI169" s="41">
        <v>785</v>
      </c>
      <c r="AJ169" s="41">
        <f t="shared" si="160"/>
        <v>20</v>
      </c>
      <c r="AK169" s="42">
        <f t="shared" si="164"/>
        <v>30.275552945130098</v>
      </c>
      <c r="AL169" s="41">
        <f t="shared" si="154"/>
        <v>4690</v>
      </c>
      <c r="AM169" s="42">
        <f t="shared" si="145"/>
        <v>5.8557754470681636E-2</v>
      </c>
      <c r="AN169" s="1058"/>
      <c r="AO169" s="220">
        <v>8</v>
      </c>
      <c r="AP169" s="67">
        <v>24</v>
      </c>
      <c r="AQ169" s="68">
        <f t="shared" si="150"/>
        <v>95.433599999999998</v>
      </c>
      <c r="AR169" s="68">
        <f t="shared" si="163"/>
        <v>13.160387115635489</v>
      </c>
      <c r="AS169" s="69">
        <f t="shared" si="155"/>
        <v>10325.319059999994</v>
      </c>
      <c r="AT169" s="140">
        <f t="shared" si="132"/>
        <v>11.466612336704349</v>
      </c>
      <c r="AU169" s="1073"/>
      <c r="AV169" s="70">
        <v>3.85</v>
      </c>
      <c r="AW169" s="71">
        <v>12</v>
      </c>
      <c r="AX169" s="72">
        <f t="shared" si="151"/>
        <v>23.872926000000003</v>
      </c>
      <c r="AY169" s="72">
        <f>AX169*1000/D169</f>
        <v>3.2920999285672918</v>
      </c>
      <c r="AZ169" s="73">
        <f t="shared" si="156"/>
        <v>2925.8596098000007</v>
      </c>
      <c r="BA169" s="192">
        <f t="shared" si="133"/>
        <v>3.2492650059762589</v>
      </c>
      <c r="BB169" s="1075"/>
      <c r="BC169" s="56">
        <f t="shared" si="169"/>
        <v>41359</v>
      </c>
      <c r="BD169" s="59"/>
      <c r="BE169" s="56">
        <v>37849</v>
      </c>
      <c r="BF169" s="56">
        <f t="shared" si="152"/>
        <v>3510</v>
      </c>
      <c r="BG169" s="58">
        <f t="shared" si="146"/>
        <v>61703</v>
      </c>
      <c r="BH169" s="58">
        <f t="shared" si="134"/>
        <v>68.523246293918277</v>
      </c>
      <c r="BI169" s="1133"/>
      <c r="BJ169" s="64">
        <f t="shared" si="173"/>
        <v>1450</v>
      </c>
      <c r="BK169" s="64"/>
      <c r="BL169" s="64">
        <v>1450</v>
      </c>
      <c r="BM169" s="64">
        <f t="shared" si="147"/>
        <v>0</v>
      </c>
      <c r="BN169" s="65"/>
      <c r="BO169" s="64">
        <f t="shared" si="148"/>
        <v>17050</v>
      </c>
      <c r="BP169" s="65">
        <f t="shared" si="149"/>
        <v>0.21288053597550574</v>
      </c>
      <c r="BQ169" s="1071"/>
      <c r="BR169" s="35">
        <f t="shared" si="174"/>
        <v>34562</v>
      </c>
      <c r="BS169" s="35"/>
      <c r="BT169" s="35">
        <v>31890</v>
      </c>
      <c r="BU169" s="74">
        <f t="shared" si="161"/>
        <v>2672</v>
      </c>
      <c r="BV169" s="74">
        <f t="shared" si="162"/>
        <v>400451</v>
      </c>
      <c r="BW169" s="74">
        <f t="shared" si="135"/>
        <v>444.71423596333841</v>
      </c>
      <c r="BX169" s="1098"/>
      <c r="BY169" s="296">
        <f t="shared" si="175"/>
        <v>1000</v>
      </c>
      <c r="BZ169" s="296"/>
      <c r="CA169" s="296">
        <v>540</v>
      </c>
      <c r="CB169" s="296">
        <f t="shared" si="136"/>
        <v>460</v>
      </c>
      <c r="CC169" s="297"/>
      <c r="CD169" s="296">
        <f t="shared" si="157"/>
        <v>40860</v>
      </c>
      <c r="CE169" s="297"/>
      <c r="CF169" s="1061"/>
    </row>
    <row r="170" spans="1:84">
      <c r="A170" s="30">
        <v>44483</v>
      </c>
      <c r="B170" s="32">
        <v>698.29200000000003</v>
      </c>
      <c r="C170" s="842">
        <f t="shared" si="165"/>
        <v>80790.161000000036</v>
      </c>
      <c r="D170" s="842">
        <v>7138.4</v>
      </c>
      <c r="E170" s="843">
        <f t="shared" si="166"/>
        <v>907606.53800000006</v>
      </c>
      <c r="F170" s="240">
        <f t="shared" si="170"/>
        <v>42000</v>
      </c>
      <c r="G170" s="240"/>
      <c r="H170" s="280"/>
      <c r="I170" s="240">
        <v>3000</v>
      </c>
      <c r="J170" s="240">
        <f t="shared" si="138"/>
        <v>39000</v>
      </c>
      <c r="K170" s="280">
        <f t="shared" si="167"/>
        <v>55850.561083329034</v>
      </c>
      <c r="L170" s="240">
        <f t="shared" si="158"/>
        <v>2093001</v>
      </c>
      <c r="M170" s="280">
        <f t="shared" si="139"/>
        <v>25906.632368265724</v>
      </c>
      <c r="N170" s="280">
        <f t="shared" si="140"/>
        <v>3172.1112242274671</v>
      </c>
      <c r="O170" s="1089"/>
      <c r="P170" s="1084"/>
      <c r="Q170" s="77">
        <f t="shared" si="141"/>
        <v>27009</v>
      </c>
      <c r="R170" s="35"/>
      <c r="S170" s="35">
        <v>27009</v>
      </c>
      <c r="T170" s="35">
        <f t="shared" si="129"/>
        <v>0</v>
      </c>
      <c r="U170" s="36">
        <f t="shared" si="168"/>
        <v>0</v>
      </c>
      <c r="V170" s="74">
        <f t="shared" si="142"/>
        <v>163865</v>
      </c>
      <c r="W170" s="36">
        <f t="shared" si="143"/>
        <v>2.0282791613696616</v>
      </c>
      <c r="X170" s="1136"/>
      <c r="Y170" s="49">
        <f t="shared" si="171"/>
        <v>671</v>
      </c>
      <c r="Z170" s="50"/>
      <c r="AA170" s="50">
        <v>581</v>
      </c>
      <c r="AB170" s="50">
        <f t="shared" si="130"/>
        <v>90</v>
      </c>
      <c r="AC170" s="51">
        <f t="shared" si="159"/>
        <v>0.12888591019229778</v>
      </c>
      <c r="AD170" s="50">
        <f t="shared" si="144"/>
        <v>8373</v>
      </c>
      <c r="AE170" s="51">
        <f t="shared" si="131"/>
        <v>0.10363885770694276</v>
      </c>
      <c r="AF170" s="1047"/>
      <c r="AG170" s="41">
        <f t="shared" si="172"/>
        <v>785</v>
      </c>
      <c r="AH170" s="41"/>
      <c r="AI170" s="41">
        <v>765</v>
      </c>
      <c r="AJ170" s="41">
        <f t="shared" si="160"/>
        <v>20</v>
      </c>
      <c r="AK170" s="42">
        <f t="shared" si="164"/>
        <v>28.641313376066172</v>
      </c>
      <c r="AL170" s="41">
        <f t="shared" si="154"/>
        <v>4710</v>
      </c>
      <c r="AM170" s="42">
        <f t="shared" si="145"/>
        <v>5.8299178287316421E-2</v>
      </c>
      <c r="AN170" s="1058"/>
      <c r="AO170" s="220">
        <v>7.9</v>
      </c>
      <c r="AP170" s="67">
        <v>24</v>
      </c>
      <c r="AQ170" s="68">
        <f t="shared" si="150"/>
        <v>94.240680000000012</v>
      </c>
      <c r="AR170" s="68">
        <f t="shared" si="163"/>
        <v>13.201933206320746</v>
      </c>
      <c r="AS170" s="69">
        <f t="shared" si="155"/>
        <v>10419.559739999995</v>
      </c>
      <c r="AT170" s="140">
        <f t="shared" si="132"/>
        <v>11.480260777936346</v>
      </c>
      <c r="AU170" s="1073"/>
      <c r="AV170" s="70">
        <v>4.05</v>
      </c>
      <c r="AW170" s="71">
        <v>12</v>
      </c>
      <c r="AX170" s="72">
        <f t="shared" si="151"/>
        <v>25.113077999999998</v>
      </c>
      <c r="AY170" s="72">
        <f>AX170*1000/D170</f>
        <v>3.5180261683290373</v>
      </c>
      <c r="AZ170" s="73">
        <f t="shared" si="156"/>
        <v>2950.9726878000006</v>
      </c>
      <c r="BA170" s="192">
        <f t="shared" si="133"/>
        <v>3.2513788346024457</v>
      </c>
      <c r="BB170" s="1075"/>
      <c r="BC170" s="56">
        <f t="shared" si="169"/>
        <v>37849</v>
      </c>
      <c r="BD170" s="59"/>
      <c r="BE170" s="56">
        <v>37849</v>
      </c>
      <c r="BF170" s="56">
        <f t="shared" si="152"/>
        <v>0</v>
      </c>
      <c r="BG170" s="58">
        <f t="shared" si="146"/>
        <v>61703</v>
      </c>
      <c r="BH170" s="58">
        <f t="shared" si="134"/>
        <v>67.984305331216106</v>
      </c>
      <c r="BI170" s="1133"/>
      <c r="BJ170" s="64">
        <f t="shared" si="173"/>
        <v>1450</v>
      </c>
      <c r="BK170" s="64"/>
      <c r="BL170" s="64">
        <v>1450</v>
      </c>
      <c r="BM170" s="64">
        <f t="shared" si="147"/>
        <v>0</v>
      </c>
      <c r="BN170" s="65"/>
      <c r="BO170" s="64">
        <f t="shared" si="148"/>
        <v>17050</v>
      </c>
      <c r="BP170" s="65">
        <f t="shared" si="149"/>
        <v>0.21104054985111359</v>
      </c>
      <c r="BQ170" s="1071"/>
      <c r="BR170" s="35">
        <f t="shared" si="174"/>
        <v>31890</v>
      </c>
      <c r="BS170" s="35"/>
      <c r="BT170" s="35">
        <v>29138</v>
      </c>
      <c r="BU170" s="74">
        <f t="shared" si="161"/>
        <v>2752</v>
      </c>
      <c r="BV170" s="74">
        <f t="shared" si="162"/>
        <v>403203</v>
      </c>
      <c r="BW170" s="74">
        <f t="shared" si="135"/>
        <v>444.24867287591087</v>
      </c>
      <c r="BX170" s="1098"/>
      <c r="BY170" s="296">
        <f t="shared" si="175"/>
        <v>540</v>
      </c>
      <c r="BZ170" s="296"/>
      <c r="CA170" s="296">
        <v>215</v>
      </c>
      <c r="CB170" s="296">
        <f t="shared" si="136"/>
        <v>325</v>
      </c>
      <c r="CC170" s="297"/>
      <c r="CD170" s="296">
        <f t="shared" si="157"/>
        <v>41185</v>
      </c>
      <c r="CE170" s="297"/>
      <c r="CF170" s="1061"/>
    </row>
    <row r="171" spans="1:84">
      <c r="A171" s="30">
        <v>44484</v>
      </c>
      <c r="B171" s="32">
        <v>461.089</v>
      </c>
      <c r="C171" s="842">
        <f t="shared" si="165"/>
        <v>81251.250000000044</v>
      </c>
      <c r="D171" s="842">
        <v>3522.22</v>
      </c>
      <c r="E171" s="843">
        <f t="shared" si="166"/>
        <v>911128.75800000003</v>
      </c>
      <c r="F171" s="240">
        <f t="shared" si="170"/>
        <v>3000</v>
      </c>
      <c r="G171" s="240"/>
      <c r="H171" s="280"/>
      <c r="I171" s="240">
        <v>3000</v>
      </c>
      <c r="J171" s="240">
        <f t="shared" si="138"/>
        <v>0</v>
      </c>
      <c r="K171" s="280">
        <f t="shared" si="167"/>
        <v>0</v>
      </c>
      <c r="L171" s="240">
        <f t="shared" si="158"/>
        <v>2093001</v>
      </c>
      <c r="M171" s="280">
        <f t="shared" si="139"/>
        <v>25759.616005907588</v>
      </c>
      <c r="N171" s="280">
        <f t="shared" si="140"/>
        <v>3154.1099554190755</v>
      </c>
      <c r="O171" s="1089"/>
      <c r="P171" s="1084"/>
      <c r="Q171" s="77">
        <f t="shared" si="141"/>
        <v>27009</v>
      </c>
      <c r="R171" s="35"/>
      <c r="S171" s="35">
        <v>25406</v>
      </c>
      <c r="T171" s="35">
        <f t="shared" si="129"/>
        <v>1603</v>
      </c>
      <c r="U171" s="36">
        <f t="shared" si="168"/>
        <v>3476.5522491319462</v>
      </c>
      <c r="V171" s="74">
        <f t="shared" si="142"/>
        <v>165468</v>
      </c>
      <c r="W171" s="36">
        <f t="shared" si="143"/>
        <v>2.0364979000323062</v>
      </c>
      <c r="X171" s="1136"/>
      <c r="Y171" s="49">
        <f t="shared" si="171"/>
        <v>581</v>
      </c>
      <c r="Z171" s="50"/>
      <c r="AA171" s="50">
        <v>546</v>
      </c>
      <c r="AB171" s="50">
        <f t="shared" si="130"/>
        <v>35</v>
      </c>
      <c r="AC171" s="51">
        <f t="shared" si="159"/>
        <v>7.5907254347859096E-2</v>
      </c>
      <c r="AD171" s="50">
        <f t="shared" si="144"/>
        <v>8408</v>
      </c>
      <c r="AE171" s="51">
        <f t="shared" si="131"/>
        <v>0.10348148490023225</v>
      </c>
      <c r="AF171" s="1047"/>
      <c r="AG171" s="41">
        <f t="shared" si="172"/>
        <v>765</v>
      </c>
      <c r="AH171" s="41"/>
      <c r="AI171" s="41">
        <v>765</v>
      </c>
      <c r="AJ171" s="41">
        <f t="shared" si="160"/>
        <v>0</v>
      </c>
      <c r="AK171" s="42">
        <f t="shared" si="164"/>
        <v>0</v>
      </c>
      <c r="AL171" s="41">
        <f t="shared" si="154"/>
        <v>4710</v>
      </c>
      <c r="AM171" s="42">
        <f t="shared" si="145"/>
        <v>5.7968338948631529E-2</v>
      </c>
      <c r="AN171" s="1058"/>
      <c r="AO171" s="220">
        <v>6.9</v>
      </c>
      <c r="AP171" s="67">
        <v>24</v>
      </c>
      <c r="AQ171" s="68">
        <f t="shared" si="150"/>
        <v>82.311480000000003</v>
      </c>
      <c r="AR171" s="68">
        <f t="shared" si="163"/>
        <v>23.369204649340475</v>
      </c>
      <c r="AS171" s="69">
        <f t="shared" si="155"/>
        <v>10501.871219999995</v>
      </c>
      <c r="AT171" s="140">
        <f t="shared" si="132"/>
        <v>11.526220775922424</v>
      </c>
      <c r="AU171" s="1073"/>
      <c r="AV171" s="70">
        <v>1.35</v>
      </c>
      <c r="AW171" s="71">
        <v>12</v>
      </c>
      <c r="AX171" s="72">
        <f t="shared" si="151"/>
        <v>8.3710260000000023</v>
      </c>
      <c r="AY171" s="72">
        <f>AX171*1000/D171</f>
        <v>2.3766334868350079</v>
      </c>
      <c r="AZ171" s="73">
        <f t="shared" si="156"/>
        <v>2959.3437138000004</v>
      </c>
      <c r="BA171" s="192">
        <f t="shared" si="133"/>
        <v>3.2479972647290762</v>
      </c>
      <c r="BB171" s="1075"/>
      <c r="BC171" s="56">
        <f t="shared" si="169"/>
        <v>37849</v>
      </c>
      <c r="BD171" s="59"/>
      <c r="BE171" s="56">
        <v>37849</v>
      </c>
      <c r="BF171" s="56">
        <f t="shared" si="152"/>
        <v>0</v>
      </c>
      <c r="BG171" s="58">
        <f t="shared" si="146"/>
        <v>61703</v>
      </c>
      <c r="BH171" s="58">
        <f t="shared" si="134"/>
        <v>67.721493211829895</v>
      </c>
      <c r="BI171" s="1133"/>
      <c r="BJ171" s="64">
        <f t="shared" si="173"/>
        <v>1450</v>
      </c>
      <c r="BK171" s="64"/>
      <c r="BL171" s="64">
        <v>1450</v>
      </c>
      <c r="BM171" s="64">
        <f t="shared" si="147"/>
        <v>0</v>
      </c>
      <c r="BN171" s="65"/>
      <c r="BO171" s="64">
        <f t="shared" si="148"/>
        <v>17050</v>
      </c>
      <c r="BP171" s="65">
        <f t="shared" si="149"/>
        <v>0.20984292549345385</v>
      </c>
      <c r="BQ171" s="1071"/>
      <c r="BR171" s="35">
        <f t="shared" si="174"/>
        <v>29138</v>
      </c>
      <c r="BS171" s="35"/>
      <c r="BT171" s="35">
        <v>27889</v>
      </c>
      <c r="BU171" s="74">
        <f t="shared" si="161"/>
        <v>1249</v>
      </c>
      <c r="BV171" s="74">
        <f t="shared" si="162"/>
        <v>404452</v>
      </c>
      <c r="BW171" s="74">
        <f t="shared" si="135"/>
        <v>443.90213397259487</v>
      </c>
      <c r="BX171" s="1098"/>
      <c r="BY171" s="296">
        <f t="shared" si="175"/>
        <v>215</v>
      </c>
      <c r="BZ171" s="296">
        <v>1150</v>
      </c>
      <c r="CA171" s="296">
        <v>910</v>
      </c>
      <c r="CB171" s="296">
        <f t="shared" si="136"/>
        <v>455</v>
      </c>
      <c r="CC171" s="297"/>
      <c r="CD171" s="296">
        <f t="shared" si="157"/>
        <v>41640</v>
      </c>
      <c r="CE171" s="297"/>
      <c r="CF171" s="1061"/>
    </row>
    <row r="172" spans="1:84">
      <c r="A172" s="30">
        <v>44485</v>
      </c>
      <c r="B172" s="32">
        <v>147.97300000000001</v>
      </c>
      <c r="C172" s="842">
        <f t="shared" si="165"/>
        <v>81399.223000000042</v>
      </c>
      <c r="D172" s="842">
        <v>0</v>
      </c>
      <c r="E172" s="843">
        <f t="shared" si="166"/>
        <v>911128.75800000003</v>
      </c>
      <c r="F172" s="240">
        <f t="shared" si="170"/>
        <v>3000</v>
      </c>
      <c r="G172" s="240"/>
      <c r="H172" s="280"/>
      <c r="I172" s="240">
        <v>3000</v>
      </c>
      <c r="J172" s="240">
        <f t="shared" si="138"/>
        <v>0</v>
      </c>
      <c r="K172" s="280">
        <f t="shared" si="167"/>
        <v>0</v>
      </c>
      <c r="L172" s="240">
        <f t="shared" si="158"/>
        <v>2093001</v>
      </c>
      <c r="M172" s="280">
        <f t="shared" si="139"/>
        <v>25712.788437796255</v>
      </c>
      <c r="N172" s="280">
        <f t="shared" si="140"/>
        <v>3148.3762015178468</v>
      </c>
      <c r="O172" s="1089"/>
      <c r="P172" s="1084"/>
      <c r="Q172" s="77">
        <f t="shared" si="141"/>
        <v>25406</v>
      </c>
      <c r="R172" s="35"/>
      <c r="S172" s="35">
        <v>22495</v>
      </c>
      <c r="T172" s="35">
        <f t="shared" si="129"/>
        <v>2911</v>
      </c>
      <c r="U172" s="36">
        <f t="shared" si="168"/>
        <v>19672.507822372998</v>
      </c>
      <c r="V172" s="74">
        <f t="shared" si="142"/>
        <v>168379</v>
      </c>
      <c r="W172" s="36">
        <f t="shared" si="143"/>
        <v>2.0685578288628124</v>
      </c>
      <c r="X172" s="1136"/>
      <c r="Y172" s="49">
        <f t="shared" si="171"/>
        <v>546</v>
      </c>
      <c r="Z172" s="50"/>
      <c r="AA172" s="50">
        <v>546</v>
      </c>
      <c r="AB172" s="50">
        <f t="shared" si="130"/>
        <v>0</v>
      </c>
      <c r="AC172" s="51">
        <f t="shared" si="159"/>
        <v>0</v>
      </c>
      <c r="AD172" s="50">
        <f t="shared" si="144"/>
        <v>8408</v>
      </c>
      <c r="AE172" s="51">
        <f t="shared" si="131"/>
        <v>0.10329336927454449</v>
      </c>
      <c r="AF172" s="1047"/>
      <c r="AG172" s="41">
        <f t="shared" si="172"/>
        <v>765</v>
      </c>
      <c r="AH172" s="41"/>
      <c r="AI172" s="41">
        <v>765</v>
      </c>
      <c r="AJ172" s="41">
        <f t="shared" si="160"/>
        <v>0</v>
      </c>
      <c r="AK172" s="42">
        <f t="shared" si="164"/>
        <v>0</v>
      </c>
      <c r="AL172" s="41">
        <f t="shared" si="154"/>
        <v>4710</v>
      </c>
      <c r="AM172" s="42">
        <f t="shared" si="145"/>
        <v>5.7862960190664198E-2</v>
      </c>
      <c r="AN172" s="1058"/>
      <c r="AO172" s="220">
        <v>0</v>
      </c>
      <c r="AP172" s="67">
        <v>24</v>
      </c>
      <c r="AQ172" s="68">
        <f t="shared" si="150"/>
        <v>0</v>
      </c>
      <c r="AR172" s="68" t="e">
        <f t="shared" si="163"/>
        <v>#DIV/0!</v>
      </c>
      <c r="AS172" s="69">
        <f t="shared" si="155"/>
        <v>10501.871219999995</v>
      </c>
      <c r="AT172" s="140">
        <f t="shared" si="132"/>
        <v>11.526220775922424</v>
      </c>
      <c r="AU172" s="1073"/>
      <c r="AV172" s="70">
        <v>0</v>
      </c>
      <c r="AW172" s="71">
        <v>12</v>
      </c>
      <c r="AX172" s="72">
        <f t="shared" si="151"/>
        <v>0</v>
      </c>
      <c r="AY172" s="72">
        <v>0</v>
      </c>
      <c r="AZ172" s="73">
        <f t="shared" si="156"/>
        <v>2959.3437138000004</v>
      </c>
      <c r="BA172" s="192">
        <f t="shared" si="133"/>
        <v>3.2479972647290762</v>
      </c>
      <c r="BB172" s="1075"/>
      <c r="BC172" s="56">
        <f t="shared" si="169"/>
        <v>37849</v>
      </c>
      <c r="BD172" s="59"/>
      <c r="BE172" s="56">
        <v>37849</v>
      </c>
      <c r="BF172" s="56">
        <f t="shared" si="152"/>
        <v>0</v>
      </c>
      <c r="BG172" s="58">
        <f t="shared" si="146"/>
        <v>61703</v>
      </c>
      <c r="BH172" s="58">
        <f t="shared" si="134"/>
        <v>67.721493211829895</v>
      </c>
      <c r="BI172" s="1133"/>
      <c r="BJ172" s="64">
        <f t="shared" si="173"/>
        <v>1450</v>
      </c>
      <c r="BK172" s="64"/>
      <c r="BL172" s="64">
        <v>1450</v>
      </c>
      <c r="BM172" s="64">
        <f t="shared" si="147"/>
        <v>0</v>
      </c>
      <c r="BN172" s="65"/>
      <c r="BO172" s="64">
        <f t="shared" si="148"/>
        <v>17050</v>
      </c>
      <c r="BP172" s="65">
        <f t="shared" si="149"/>
        <v>0.20946145886429396</v>
      </c>
      <c r="BQ172" s="1071"/>
      <c r="BR172" s="35">
        <f t="shared" si="174"/>
        <v>27889</v>
      </c>
      <c r="BS172" s="35"/>
      <c r="BT172" s="35">
        <v>27889</v>
      </c>
      <c r="BU172" s="74">
        <f t="shared" si="161"/>
        <v>0</v>
      </c>
      <c r="BV172" s="74">
        <f t="shared" si="162"/>
        <v>404452</v>
      </c>
      <c r="BW172" s="74">
        <f t="shared" si="135"/>
        <v>443.90213397259487</v>
      </c>
      <c r="BX172" s="1098"/>
      <c r="BY172" s="296">
        <f t="shared" si="175"/>
        <v>910</v>
      </c>
      <c r="BZ172" s="296"/>
      <c r="CA172" s="296">
        <v>910</v>
      </c>
      <c r="CB172" s="296">
        <f t="shared" si="136"/>
        <v>0</v>
      </c>
      <c r="CC172" s="297"/>
      <c r="CD172" s="296">
        <f t="shared" si="157"/>
        <v>41640</v>
      </c>
      <c r="CE172" s="297"/>
      <c r="CF172" s="1061"/>
    </row>
    <row r="173" spans="1:84">
      <c r="A173" s="30">
        <v>44486</v>
      </c>
      <c r="B173" s="32">
        <v>158.07900000000001</v>
      </c>
      <c r="C173" s="842">
        <f t="shared" si="165"/>
        <v>81557.30200000004</v>
      </c>
      <c r="D173" s="842">
        <v>3745.5</v>
      </c>
      <c r="E173" s="843">
        <f t="shared" si="166"/>
        <v>914874.25800000003</v>
      </c>
      <c r="F173" s="240">
        <f t="shared" si="170"/>
        <v>3000</v>
      </c>
      <c r="G173" s="240"/>
      <c r="H173" s="280"/>
      <c r="I173" s="240">
        <v>3000</v>
      </c>
      <c r="J173" s="240">
        <f t="shared" si="138"/>
        <v>0</v>
      </c>
      <c r="K173" s="280">
        <f t="shared" si="167"/>
        <v>0</v>
      </c>
      <c r="L173" s="240">
        <f t="shared" si="158"/>
        <v>2093001</v>
      </c>
      <c r="M173" s="280">
        <f t="shared" si="139"/>
        <v>25662.950449243635</v>
      </c>
      <c r="N173" s="280">
        <f t="shared" si="140"/>
        <v>3142.2738397506596</v>
      </c>
      <c r="O173" s="1089"/>
      <c r="P173" s="1084"/>
      <c r="Q173" s="77">
        <f t="shared" si="141"/>
        <v>22495</v>
      </c>
      <c r="R173" s="35"/>
      <c r="S173" s="35">
        <v>22495</v>
      </c>
      <c r="T173" s="35">
        <f t="shared" si="129"/>
        <v>0</v>
      </c>
      <c r="U173" s="36">
        <f t="shared" si="168"/>
        <v>0</v>
      </c>
      <c r="V173" s="74">
        <f t="shared" si="142"/>
        <v>168379</v>
      </c>
      <c r="W173" s="36">
        <f t="shared" si="143"/>
        <v>2.0645484324628582</v>
      </c>
      <c r="X173" s="1136"/>
      <c r="Y173" s="49">
        <f>AA172</f>
        <v>546</v>
      </c>
      <c r="Z173" s="50"/>
      <c r="AA173" s="50">
        <v>510</v>
      </c>
      <c r="AB173" s="50">
        <f t="shared" si="130"/>
        <v>36</v>
      </c>
      <c r="AC173" s="51">
        <f t="shared" si="159"/>
        <v>0.22773423414874841</v>
      </c>
      <c r="AD173" s="50">
        <f t="shared" si="144"/>
        <v>8444</v>
      </c>
      <c r="AE173" s="51">
        <f t="shared" si="131"/>
        <v>0.10353456763442219</v>
      </c>
      <c r="AF173" s="1047"/>
      <c r="AG173" s="41">
        <f t="shared" si="172"/>
        <v>765</v>
      </c>
      <c r="AH173" s="41"/>
      <c r="AI173" s="41">
        <v>745</v>
      </c>
      <c r="AJ173" s="41">
        <f t="shared" si="160"/>
        <v>20</v>
      </c>
      <c r="AK173" s="42">
        <f t="shared" si="164"/>
        <v>126.51901897152689</v>
      </c>
      <c r="AL173" s="41">
        <f t="shared" si="154"/>
        <v>4730</v>
      </c>
      <c r="AM173" s="42">
        <f t="shared" si="145"/>
        <v>5.7996033267505562E-2</v>
      </c>
      <c r="AN173" s="1058"/>
      <c r="AO173" s="220">
        <v>4</v>
      </c>
      <c r="AP173" s="67">
        <v>24</v>
      </c>
      <c r="AQ173" s="68">
        <f t="shared" si="150"/>
        <v>47.716799999999999</v>
      </c>
      <c r="AR173" s="68">
        <f t="shared" si="163"/>
        <v>12.739767721265517</v>
      </c>
      <c r="AS173" s="69">
        <f t="shared" si="155"/>
        <v>10549.588019999996</v>
      </c>
      <c r="AT173" s="140">
        <f t="shared" si="132"/>
        <v>11.53118904346743</v>
      </c>
      <c r="AU173" s="1073"/>
      <c r="AV173" s="70">
        <v>2.4</v>
      </c>
      <c r="AW173" s="71">
        <v>12</v>
      </c>
      <c r="AX173" s="72">
        <f t="shared" si="151"/>
        <v>14.881824</v>
      </c>
      <c r="AY173" s="72">
        <f t="shared" ref="AY173:AY179" si="176">AX173*1000/D173</f>
        <v>3.9732543051661997</v>
      </c>
      <c r="AZ173" s="73">
        <f t="shared" si="156"/>
        <v>2974.2255378000004</v>
      </c>
      <c r="BA173" s="192">
        <f t="shared" si="133"/>
        <v>3.2509664708480632</v>
      </c>
      <c r="BB173" s="1075"/>
      <c r="BC173" s="56">
        <f t="shared" si="169"/>
        <v>37849</v>
      </c>
      <c r="BD173" s="59"/>
      <c r="BE173" s="56">
        <v>37849</v>
      </c>
      <c r="BF173" s="56">
        <f t="shared" si="152"/>
        <v>0</v>
      </c>
      <c r="BG173" s="58">
        <f t="shared" si="146"/>
        <v>61703</v>
      </c>
      <c r="BH173" s="58">
        <f t="shared" si="134"/>
        <v>67.44424106421846</v>
      </c>
      <c r="BI173" s="1133"/>
      <c r="BJ173" s="64">
        <f t="shared" si="173"/>
        <v>1450</v>
      </c>
      <c r="BK173" s="64"/>
      <c r="BL173" s="64">
        <v>1450</v>
      </c>
      <c r="BM173" s="64">
        <f t="shared" si="147"/>
        <v>0</v>
      </c>
      <c r="BN173" s="65"/>
      <c r="BO173" s="64">
        <f t="shared" si="148"/>
        <v>17050</v>
      </c>
      <c r="BP173" s="65">
        <f t="shared" si="149"/>
        <v>0.20905546875496189</v>
      </c>
      <c r="BQ173" s="1071"/>
      <c r="BR173" s="35">
        <f t="shared" si="174"/>
        <v>27889</v>
      </c>
      <c r="BS173" s="35"/>
      <c r="BT173" s="35">
        <v>27100</v>
      </c>
      <c r="BU173" s="74">
        <f t="shared" si="161"/>
        <v>789</v>
      </c>
      <c r="BV173" s="74">
        <f t="shared" si="162"/>
        <v>405241</v>
      </c>
      <c r="BW173" s="74">
        <f t="shared" si="135"/>
        <v>442.94720991045745</v>
      </c>
      <c r="BX173" s="1098"/>
      <c r="BY173" s="296">
        <f t="shared" si="175"/>
        <v>910</v>
      </c>
      <c r="BZ173" s="296"/>
      <c r="CA173" s="296">
        <v>800</v>
      </c>
      <c r="CB173" s="296">
        <f t="shared" si="136"/>
        <v>110</v>
      </c>
      <c r="CC173" s="297"/>
      <c r="CD173" s="296">
        <f t="shared" si="157"/>
        <v>41750</v>
      </c>
      <c r="CE173" s="297"/>
      <c r="CF173" s="1061"/>
    </row>
    <row r="174" spans="1:84" s="865" customFormat="1">
      <c r="A174" s="30">
        <v>44487</v>
      </c>
      <c r="B174" s="860">
        <v>235.95099999999999</v>
      </c>
      <c r="C174" s="861">
        <f t="shared" si="165"/>
        <v>81793.253000000041</v>
      </c>
      <c r="D174" s="861">
        <v>333.12</v>
      </c>
      <c r="E174" s="862">
        <f t="shared" si="166"/>
        <v>915207.37800000003</v>
      </c>
      <c r="F174" s="240">
        <f t="shared" si="170"/>
        <v>3000</v>
      </c>
      <c r="G174" s="240"/>
      <c r="H174" s="280"/>
      <c r="I174" s="240">
        <v>3000</v>
      </c>
      <c r="J174" s="240">
        <f t="shared" si="138"/>
        <v>0</v>
      </c>
      <c r="K174" s="280">
        <f t="shared" si="167"/>
        <v>0</v>
      </c>
      <c r="L174" s="240">
        <f t="shared" si="158"/>
        <v>2093001</v>
      </c>
      <c r="M174" s="280">
        <f t="shared" si="139"/>
        <v>25588.919907611438</v>
      </c>
      <c r="N174" s="280">
        <f t="shared" si="140"/>
        <v>3133.2092454526069</v>
      </c>
      <c r="O174" s="1089"/>
      <c r="P174" s="1084"/>
      <c r="Q174" s="77">
        <f t="shared" si="141"/>
        <v>22495</v>
      </c>
      <c r="R174" s="35"/>
      <c r="S174" s="35">
        <v>21710</v>
      </c>
      <c r="T174" s="35">
        <f t="shared" si="129"/>
        <v>785</v>
      </c>
      <c r="U174" s="36">
        <f t="shared" si="168"/>
        <v>3326.9619539650184</v>
      </c>
      <c r="V174" s="74">
        <f t="shared" si="142"/>
        <v>169164</v>
      </c>
      <c r="W174" s="36">
        <f t="shared" si="143"/>
        <v>2.0681901476641347</v>
      </c>
      <c r="X174" s="1136"/>
      <c r="Y174" s="49">
        <f t="shared" si="171"/>
        <v>510</v>
      </c>
      <c r="Z174" s="50"/>
      <c r="AA174" s="50">
        <v>510</v>
      </c>
      <c r="AB174" s="50">
        <f t="shared" si="130"/>
        <v>0</v>
      </c>
      <c r="AC174" s="51">
        <f t="shared" si="159"/>
        <v>0</v>
      </c>
      <c r="AD174" s="50">
        <f t="shared" si="144"/>
        <v>8444</v>
      </c>
      <c r="AE174" s="51">
        <f t="shared" si="131"/>
        <v>0.10323589893166367</v>
      </c>
      <c r="AF174" s="1047"/>
      <c r="AG174" s="41">
        <f t="shared" si="172"/>
        <v>745</v>
      </c>
      <c r="AH174" s="41"/>
      <c r="AI174" s="41">
        <v>745</v>
      </c>
      <c r="AJ174" s="41">
        <f t="shared" si="160"/>
        <v>0</v>
      </c>
      <c r="AK174" s="42">
        <f t="shared" si="164"/>
        <v>0</v>
      </c>
      <c r="AL174" s="41">
        <f t="shared" si="154"/>
        <v>4730</v>
      </c>
      <c r="AM174" s="42">
        <f t="shared" si="145"/>
        <v>5.7828730690048451E-2</v>
      </c>
      <c r="AN174" s="1058"/>
      <c r="AO174" s="220">
        <v>1.5</v>
      </c>
      <c r="AP174" s="67">
        <v>24</v>
      </c>
      <c r="AQ174" s="68">
        <f t="shared" si="150"/>
        <v>17.893799999999999</v>
      </c>
      <c r="AR174" s="68">
        <f t="shared" si="163"/>
        <v>53.715778097982707</v>
      </c>
      <c r="AS174" s="69">
        <f t="shared" si="155"/>
        <v>10567.481819999995</v>
      </c>
      <c r="AT174" s="140">
        <f t="shared" si="132"/>
        <v>11.546543520106974</v>
      </c>
      <c r="AU174" s="1073"/>
      <c r="AV174" s="70">
        <v>0</v>
      </c>
      <c r="AW174" s="71">
        <v>12</v>
      </c>
      <c r="AX174" s="72">
        <f t="shared" si="151"/>
        <v>0</v>
      </c>
      <c r="AY174" s="72">
        <f t="shared" si="176"/>
        <v>0</v>
      </c>
      <c r="AZ174" s="73">
        <f t="shared" si="156"/>
        <v>2974.2255378000004</v>
      </c>
      <c r="BA174" s="192">
        <f t="shared" si="133"/>
        <v>3.2497831740600329</v>
      </c>
      <c r="BB174" s="1075"/>
      <c r="BC174" s="56">
        <f t="shared" si="169"/>
        <v>37849</v>
      </c>
      <c r="BD174" s="59"/>
      <c r="BE174" s="56">
        <v>37849</v>
      </c>
      <c r="BF174" s="56">
        <f t="shared" si="152"/>
        <v>0</v>
      </c>
      <c r="BG174" s="58">
        <f t="shared" si="146"/>
        <v>61703</v>
      </c>
      <c r="BH174" s="58">
        <f t="shared" si="134"/>
        <v>67.419692501648512</v>
      </c>
      <c r="BI174" s="1133"/>
      <c r="BJ174" s="64">
        <f t="shared" si="173"/>
        <v>1450</v>
      </c>
      <c r="BK174" s="64"/>
      <c r="BL174" s="64">
        <v>1450</v>
      </c>
      <c r="BM174" s="64">
        <f t="shared" si="147"/>
        <v>0</v>
      </c>
      <c r="BN174" s="65"/>
      <c r="BO174" s="64">
        <f t="shared" si="148"/>
        <v>17050</v>
      </c>
      <c r="BP174" s="65">
        <f t="shared" si="149"/>
        <v>0.20845240132459325</v>
      </c>
      <c r="BQ174" s="1071"/>
      <c r="BR174" s="863">
        <f t="shared" si="174"/>
        <v>27100</v>
      </c>
      <c r="BS174" s="863"/>
      <c r="BT174" s="35">
        <v>27100</v>
      </c>
      <c r="BU174" s="864">
        <f t="shared" si="161"/>
        <v>0</v>
      </c>
      <c r="BV174" s="864">
        <f t="shared" si="162"/>
        <v>405241</v>
      </c>
      <c r="BW174" s="864">
        <f t="shared" si="135"/>
        <v>442.78598462085387</v>
      </c>
      <c r="BX174" s="1098"/>
      <c r="BY174" s="296">
        <f t="shared" si="175"/>
        <v>800</v>
      </c>
      <c r="BZ174" s="296"/>
      <c r="CA174" s="296">
        <v>800</v>
      </c>
      <c r="CB174" s="296">
        <f t="shared" si="136"/>
        <v>0</v>
      </c>
      <c r="CC174" s="297"/>
      <c r="CD174" s="296">
        <f t="shared" si="157"/>
        <v>41750</v>
      </c>
      <c r="CE174" s="297"/>
      <c r="CF174" s="1061"/>
    </row>
    <row r="175" spans="1:84">
      <c r="A175" s="30">
        <v>44488</v>
      </c>
      <c r="B175" s="32">
        <v>41.811999999999998</v>
      </c>
      <c r="C175" s="842">
        <f t="shared" si="165"/>
        <v>81835.065000000046</v>
      </c>
      <c r="D175" s="842">
        <v>2498.08</v>
      </c>
      <c r="E175" s="843">
        <f t="shared" si="166"/>
        <v>917705.45799999998</v>
      </c>
      <c r="F175" s="240">
        <f t="shared" si="170"/>
        <v>3000</v>
      </c>
      <c r="G175" s="240"/>
      <c r="H175" s="280"/>
      <c r="I175" s="240">
        <v>3000</v>
      </c>
      <c r="J175" s="240">
        <f t="shared" si="138"/>
        <v>0</v>
      </c>
      <c r="K175" s="280">
        <f t="shared" si="167"/>
        <v>0</v>
      </c>
      <c r="L175" s="240">
        <f t="shared" si="158"/>
        <v>2093001</v>
      </c>
      <c r="M175" s="280">
        <f t="shared" si="139"/>
        <v>25575.845757561245</v>
      </c>
      <c r="N175" s="280">
        <f t="shared" si="140"/>
        <v>3131.6083944607867</v>
      </c>
      <c r="O175" s="1089"/>
      <c r="P175" s="1084"/>
      <c r="Q175" s="77">
        <f t="shared" si="141"/>
        <v>21710</v>
      </c>
      <c r="R175" s="35"/>
      <c r="S175" s="35">
        <v>21710</v>
      </c>
      <c r="T175" s="35">
        <f t="shared" si="129"/>
        <v>0</v>
      </c>
      <c r="U175" s="36">
        <f t="shared" si="168"/>
        <v>0</v>
      </c>
      <c r="V175" s="74">
        <f t="shared" si="142"/>
        <v>169164</v>
      </c>
      <c r="W175" s="36">
        <f t="shared" si="143"/>
        <v>2.0671334470132074</v>
      </c>
      <c r="X175" s="1136"/>
      <c r="Y175" s="49">
        <f t="shared" si="171"/>
        <v>510</v>
      </c>
      <c r="Z175" s="50"/>
      <c r="AA175" s="50">
        <v>424</v>
      </c>
      <c r="AB175" s="50">
        <f t="shared" si="130"/>
        <v>86</v>
      </c>
      <c r="AC175" s="51">
        <f t="shared" si="159"/>
        <v>2.0568257916387642</v>
      </c>
      <c r="AD175" s="50">
        <f t="shared" si="144"/>
        <v>8530</v>
      </c>
      <c r="AE175" s="51">
        <f t="shared" si="131"/>
        <v>0.10423404685998594</v>
      </c>
      <c r="AF175" s="1047"/>
      <c r="AG175" s="41">
        <f t="shared" si="172"/>
        <v>745</v>
      </c>
      <c r="AH175" s="41"/>
      <c r="AI175" s="41">
        <v>745</v>
      </c>
      <c r="AJ175" s="41">
        <f t="shared" si="160"/>
        <v>0</v>
      </c>
      <c r="AK175" s="42">
        <f t="shared" si="164"/>
        <v>0</v>
      </c>
      <c r="AL175" s="41">
        <f t="shared" si="154"/>
        <v>4730</v>
      </c>
      <c r="AM175" s="42">
        <f t="shared" si="145"/>
        <v>5.7799184249441207E-2</v>
      </c>
      <c r="AN175" s="1058"/>
      <c r="AO175" s="220">
        <v>2.6</v>
      </c>
      <c r="AP175" s="67">
        <v>24</v>
      </c>
      <c r="AQ175" s="68">
        <f t="shared" si="150"/>
        <v>31.015920000000001</v>
      </c>
      <c r="AR175" s="68">
        <f t="shared" si="163"/>
        <v>12.415903413821816</v>
      </c>
      <c r="AS175" s="69">
        <f t="shared" si="155"/>
        <v>10598.497739999995</v>
      </c>
      <c r="AT175" s="140">
        <f t="shared" si="132"/>
        <v>11.548909998963953</v>
      </c>
      <c r="AU175" s="1073"/>
      <c r="AV175" s="70">
        <v>1.75</v>
      </c>
      <c r="AW175" s="71">
        <v>12</v>
      </c>
      <c r="AX175" s="72">
        <f t="shared" si="151"/>
        <v>10.851330000000001</v>
      </c>
      <c r="AY175" s="72">
        <f t="shared" si="176"/>
        <v>4.3438680906936531</v>
      </c>
      <c r="AZ175" s="73">
        <f t="shared" si="156"/>
        <v>2985.0768678000004</v>
      </c>
      <c r="BA175" s="192">
        <f t="shared" si="133"/>
        <v>3.2527613754259708</v>
      </c>
      <c r="BB175" s="1075"/>
      <c r="BC175" s="56">
        <f t="shared" si="169"/>
        <v>37849</v>
      </c>
      <c r="BD175" s="59"/>
      <c r="BE175" s="56">
        <v>37849</v>
      </c>
      <c r="BF175" s="56">
        <f t="shared" si="152"/>
        <v>0</v>
      </c>
      <c r="BG175" s="58">
        <f t="shared" si="146"/>
        <v>61703</v>
      </c>
      <c r="BH175" s="58">
        <f t="shared" si="134"/>
        <v>67.236169799482653</v>
      </c>
      <c r="BI175" s="1133"/>
      <c r="BJ175" s="64">
        <f t="shared" si="173"/>
        <v>1450</v>
      </c>
      <c r="BK175" s="64"/>
      <c r="BL175" s="64">
        <v>1450</v>
      </c>
      <c r="BM175" s="64">
        <f t="shared" si="147"/>
        <v>0</v>
      </c>
      <c r="BN175" s="65"/>
      <c r="BO175" s="64">
        <f t="shared" si="148"/>
        <v>17050</v>
      </c>
      <c r="BP175" s="65">
        <f t="shared" si="149"/>
        <v>0.20834589671310202</v>
      </c>
      <c r="BQ175" s="1071"/>
      <c r="BR175" s="35">
        <f t="shared" si="174"/>
        <v>27100</v>
      </c>
      <c r="BS175" s="35"/>
      <c r="BT175" s="35">
        <v>26645</v>
      </c>
      <c r="BU175" s="74">
        <f t="shared" si="161"/>
        <v>455</v>
      </c>
      <c r="BV175" s="74">
        <f t="shared" si="162"/>
        <v>405696</v>
      </c>
      <c r="BW175" s="74">
        <f t="shared" si="135"/>
        <v>442.07648158065115</v>
      </c>
      <c r="BX175" s="1098"/>
      <c r="BY175" s="296">
        <f t="shared" si="175"/>
        <v>800</v>
      </c>
      <c r="BZ175" s="296"/>
      <c r="CA175" s="296">
        <v>800</v>
      </c>
      <c r="CB175" s="296">
        <f t="shared" si="136"/>
        <v>0</v>
      </c>
      <c r="CC175" s="297"/>
      <c r="CD175" s="296">
        <f t="shared" si="157"/>
        <v>41750</v>
      </c>
      <c r="CE175" s="297"/>
      <c r="CF175" s="1061"/>
    </row>
    <row r="176" spans="1:84">
      <c r="A176" s="30">
        <v>44489</v>
      </c>
      <c r="B176" s="32">
        <v>424.74700000000001</v>
      </c>
      <c r="C176" s="842">
        <f t="shared" si="165"/>
        <v>82259.812000000049</v>
      </c>
      <c r="D176" s="842">
        <v>4788.42</v>
      </c>
      <c r="E176" s="843">
        <f t="shared" si="166"/>
        <v>922493.87800000003</v>
      </c>
      <c r="F176" s="240">
        <f t="shared" si="170"/>
        <v>3000</v>
      </c>
      <c r="G176" s="240"/>
      <c r="H176" s="280"/>
      <c r="I176" s="240">
        <v>3000</v>
      </c>
      <c r="J176" s="240">
        <f t="shared" si="138"/>
        <v>0</v>
      </c>
      <c r="K176" s="280">
        <f t="shared" si="167"/>
        <v>0</v>
      </c>
      <c r="L176" s="240">
        <f t="shared" si="158"/>
        <v>2093001</v>
      </c>
      <c r="M176" s="280">
        <f t="shared" si="139"/>
        <v>25443.785356572404</v>
      </c>
      <c r="N176" s="280">
        <f t="shared" si="140"/>
        <v>3115.4383931152693</v>
      </c>
      <c r="O176" s="1089"/>
      <c r="P176" s="1084"/>
      <c r="Q176" s="77">
        <f t="shared" si="141"/>
        <v>21710</v>
      </c>
      <c r="R176" s="35"/>
      <c r="S176" s="35">
        <v>21710</v>
      </c>
      <c r="T176" s="35">
        <f t="shared" si="129"/>
        <v>0</v>
      </c>
      <c r="U176" s="36">
        <f t="shared" si="168"/>
        <v>0</v>
      </c>
      <c r="V176" s="74">
        <f t="shared" si="142"/>
        <v>169164</v>
      </c>
      <c r="W176" s="36">
        <f t="shared" si="143"/>
        <v>2.0564598421401681</v>
      </c>
      <c r="X176" s="1136"/>
      <c r="Y176" s="49">
        <f t="shared" si="171"/>
        <v>424</v>
      </c>
      <c r="Z176" s="50"/>
      <c r="AA176" s="50">
        <v>357</v>
      </c>
      <c r="AB176" s="50">
        <f t="shared" si="130"/>
        <v>67</v>
      </c>
      <c r="AC176" s="51">
        <f t="shared" si="159"/>
        <v>0.15774096108977814</v>
      </c>
      <c r="AD176" s="50">
        <f t="shared" si="144"/>
        <v>8597</v>
      </c>
      <c r="AE176" s="51">
        <f t="shared" si="131"/>
        <v>0.10451032881037942</v>
      </c>
      <c r="AF176" s="1047"/>
      <c r="AG176" s="41">
        <f t="shared" si="172"/>
        <v>745</v>
      </c>
      <c r="AH176" s="41"/>
      <c r="AI176" s="41">
        <v>705</v>
      </c>
      <c r="AJ176" s="41">
        <f t="shared" si="160"/>
        <v>40</v>
      </c>
      <c r="AK176" s="42">
        <f t="shared" si="164"/>
        <v>94.173708113300378</v>
      </c>
      <c r="AL176" s="41">
        <f t="shared" si="154"/>
        <v>4770</v>
      </c>
      <c r="AM176" s="42">
        <f t="shared" si="145"/>
        <v>5.7987003422764902E-2</v>
      </c>
      <c r="AN176" s="1058"/>
      <c r="AO176" s="220">
        <v>7.45</v>
      </c>
      <c r="AP176" s="67">
        <v>24</v>
      </c>
      <c r="AQ176" s="68">
        <f t="shared" si="150"/>
        <v>88.872540000000001</v>
      </c>
      <c r="AR176" s="68">
        <f t="shared" si="163"/>
        <v>18.559888230355732</v>
      </c>
      <c r="AS176" s="69">
        <f t="shared" si="155"/>
        <v>10687.370279999996</v>
      </c>
      <c r="AT176" s="140">
        <f t="shared" si="132"/>
        <v>11.585302119479209</v>
      </c>
      <c r="AU176" s="1073"/>
      <c r="AV176" s="70">
        <v>3.2</v>
      </c>
      <c r="AW176" s="71">
        <v>12</v>
      </c>
      <c r="AX176" s="72">
        <f t="shared" si="151"/>
        <v>19.842432000000002</v>
      </c>
      <c r="AY176" s="72">
        <f t="shared" si="176"/>
        <v>4.1438370067788544</v>
      </c>
      <c r="AZ176" s="73">
        <f t="shared" si="156"/>
        <v>3004.9192998000003</v>
      </c>
      <c r="BA176" s="192">
        <f t="shared" si="133"/>
        <v>3.2573867116763675</v>
      </c>
      <c r="BB176" s="1075"/>
      <c r="BC176" s="56">
        <f t="shared" si="169"/>
        <v>37849</v>
      </c>
      <c r="BD176" s="59"/>
      <c r="BE176" s="56">
        <v>37849</v>
      </c>
      <c r="BF176" s="56">
        <f t="shared" si="152"/>
        <v>0</v>
      </c>
      <c r="BG176" s="58">
        <f t="shared" si="146"/>
        <v>61703</v>
      </c>
      <c r="BH176" s="58">
        <f t="shared" si="134"/>
        <v>66.887164751460816</v>
      </c>
      <c r="BI176" s="1133"/>
      <c r="BJ176" s="64">
        <f t="shared" si="173"/>
        <v>1450</v>
      </c>
      <c r="BK176" s="64"/>
      <c r="BL176" s="64">
        <v>1450</v>
      </c>
      <c r="BM176" s="64">
        <f t="shared" si="147"/>
        <v>0</v>
      </c>
      <c r="BN176" s="65"/>
      <c r="BO176" s="64">
        <f t="shared" si="148"/>
        <v>17050</v>
      </c>
      <c r="BP176" s="65">
        <f t="shared" si="149"/>
        <v>0.20727010657403386</v>
      </c>
      <c r="BQ176" s="1071"/>
      <c r="BR176" s="35">
        <f t="shared" si="174"/>
        <v>26645</v>
      </c>
      <c r="BS176" s="35">
        <v>34960</v>
      </c>
      <c r="BT176" s="35">
        <v>59600</v>
      </c>
      <c r="BU176" s="74">
        <f t="shared" si="161"/>
        <v>2005</v>
      </c>
      <c r="BV176" s="74">
        <f t="shared" si="162"/>
        <v>407701</v>
      </c>
      <c r="BW176" s="74">
        <f t="shared" si="135"/>
        <v>441.95523647691891</v>
      </c>
      <c r="BX176" s="1098"/>
      <c r="BY176" s="296">
        <f t="shared" si="175"/>
        <v>800</v>
      </c>
      <c r="BZ176" s="296"/>
      <c r="CA176" s="296">
        <v>660</v>
      </c>
      <c r="CB176" s="296">
        <f t="shared" si="136"/>
        <v>140</v>
      </c>
      <c r="CC176" s="297"/>
      <c r="CD176" s="296">
        <f t="shared" si="157"/>
        <v>41890</v>
      </c>
      <c r="CE176" s="297"/>
      <c r="CF176" s="1061"/>
    </row>
    <row r="177" spans="1:85">
      <c r="A177" s="30">
        <v>44490</v>
      </c>
      <c r="B177" s="866">
        <v>496.44400000000002</v>
      </c>
      <c r="C177" s="842">
        <f t="shared" si="165"/>
        <v>82756.256000000052</v>
      </c>
      <c r="D177" s="851">
        <v>6716.06</v>
      </c>
      <c r="E177" s="843">
        <f t="shared" si="166"/>
        <v>929209.93800000008</v>
      </c>
      <c r="F177" s="240">
        <f t="shared" si="170"/>
        <v>3000</v>
      </c>
      <c r="G177" s="240"/>
      <c r="H177" s="280"/>
      <c r="I177" s="240">
        <v>3000</v>
      </c>
      <c r="J177" s="240">
        <f t="shared" si="138"/>
        <v>0</v>
      </c>
      <c r="K177" s="280">
        <f t="shared" si="167"/>
        <v>0</v>
      </c>
      <c r="L177" s="240">
        <f t="shared" si="158"/>
        <v>2093001</v>
      </c>
      <c r="M177" s="280">
        <f t="shared" si="139"/>
        <v>25291.151402499392</v>
      </c>
      <c r="N177" s="280">
        <f t="shared" si="140"/>
        <v>3096.7492840087416</v>
      </c>
      <c r="O177" s="1089"/>
      <c r="P177" s="1084"/>
      <c r="Q177" s="77">
        <f t="shared" si="141"/>
        <v>21710</v>
      </c>
      <c r="R177" s="35"/>
      <c r="S177" s="35">
        <v>18611</v>
      </c>
      <c r="T177" s="35">
        <f t="shared" si="129"/>
        <v>3099</v>
      </c>
      <c r="U177" s="36">
        <f t="shared" si="168"/>
        <v>6242.3959197814856</v>
      </c>
      <c r="V177" s="74">
        <f t="shared" si="142"/>
        <v>172263</v>
      </c>
      <c r="W177" s="36">
        <f t="shared" si="143"/>
        <v>2.0815707274142499</v>
      </c>
      <c r="X177" s="1136"/>
      <c r="Y177" s="49">
        <f t="shared" si="171"/>
        <v>357</v>
      </c>
      <c r="Z177" s="50"/>
      <c r="AA177" s="50">
        <v>261</v>
      </c>
      <c r="AB177" s="50">
        <f t="shared" si="130"/>
        <v>96</v>
      </c>
      <c r="AC177" s="51">
        <f t="shared" si="159"/>
        <v>0.19337528502711282</v>
      </c>
      <c r="AD177" s="50">
        <f t="shared" si="144"/>
        <v>8693</v>
      </c>
      <c r="AE177" s="51">
        <f t="shared" si="131"/>
        <v>0.10504341810726665</v>
      </c>
      <c r="AF177" s="1047"/>
      <c r="AG177" s="41">
        <f t="shared" si="172"/>
        <v>705</v>
      </c>
      <c r="AH177" s="41"/>
      <c r="AI177" s="41">
        <v>686</v>
      </c>
      <c r="AJ177" s="41">
        <f t="shared" si="160"/>
        <v>19</v>
      </c>
      <c r="AK177" s="42">
        <f t="shared" si="164"/>
        <v>38.272191828282743</v>
      </c>
      <c r="AL177" s="41">
        <f t="shared" si="154"/>
        <v>4789</v>
      </c>
      <c r="AM177" s="42">
        <f t="shared" si="145"/>
        <v>5.7868736836040491E-2</v>
      </c>
      <c r="AN177" s="1058"/>
      <c r="AO177" s="220">
        <v>7.4</v>
      </c>
      <c r="AP177" s="67">
        <v>24</v>
      </c>
      <c r="AQ177" s="68">
        <f t="shared" si="150"/>
        <v>88.276080000000007</v>
      </c>
      <c r="AR177" s="68">
        <f t="shared" si="163"/>
        <v>13.144027897308838</v>
      </c>
      <c r="AS177" s="69">
        <f t="shared" si="155"/>
        <v>10775.646359999995</v>
      </c>
      <c r="AT177" s="140">
        <f t="shared" si="132"/>
        <v>11.596568137436337</v>
      </c>
      <c r="AU177" s="1073"/>
      <c r="AV177" s="70">
        <v>3.9</v>
      </c>
      <c r="AW177" s="71">
        <v>12</v>
      </c>
      <c r="AX177" s="72">
        <f t="shared" si="151"/>
        <v>24.182963999999998</v>
      </c>
      <c r="AY177" s="72">
        <f t="shared" si="176"/>
        <v>3.6007665208470439</v>
      </c>
      <c r="AZ177" s="73">
        <f t="shared" si="156"/>
        <v>3029.1022638000004</v>
      </c>
      <c r="BA177" s="192">
        <f t="shared" si="133"/>
        <v>3.2598685613713272</v>
      </c>
      <c r="BB177" s="1075"/>
      <c r="BC177" s="56">
        <f t="shared" si="169"/>
        <v>37849</v>
      </c>
      <c r="BD177" s="59"/>
      <c r="BE177" s="56">
        <v>37849</v>
      </c>
      <c r="BF177" s="56">
        <f t="shared" si="152"/>
        <v>0</v>
      </c>
      <c r="BG177" s="58">
        <f t="shared" si="146"/>
        <v>61703</v>
      </c>
      <c r="BH177" s="58">
        <f t="shared" si="134"/>
        <v>66.403723719106409</v>
      </c>
      <c r="BI177" s="1133"/>
      <c r="BJ177" s="64">
        <f t="shared" si="173"/>
        <v>1450</v>
      </c>
      <c r="BK177" s="64"/>
      <c r="BL177" s="64">
        <v>1450</v>
      </c>
      <c r="BM177" s="64">
        <f t="shared" si="147"/>
        <v>0</v>
      </c>
      <c r="BN177" s="65"/>
      <c r="BO177" s="64">
        <f t="shared" si="148"/>
        <v>17050</v>
      </c>
      <c r="BP177" s="65">
        <f t="shared" si="149"/>
        <v>0.20602672020348514</v>
      </c>
      <c r="BQ177" s="1071"/>
      <c r="BR177" s="35">
        <f t="shared" si="174"/>
        <v>59600</v>
      </c>
      <c r="BS177" s="35"/>
      <c r="BT177" s="35">
        <v>57252</v>
      </c>
      <c r="BU177" s="74">
        <f t="shared" si="161"/>
        <v>2348</v>
      </c>
      <c r="BV177" s="74">
        <f t="shared" si="162"/>
        <v>410049</v>
      </c>
      <c r="BW177" s="74">
        <f t="shared" si="135"/>
        <v>441.28779001500516</v>
      </c>
      <c r="BX177" s="1098"/>
      <c r="BY177" s="296">
        <f t="shared" si="175"/>
        <v>660</v>
      </c>
      <c r="BZ177" s="296"/>
      <c r="CA177" s="296">
        <v>520</v>
      </c>
      <c r="CB177" s="296">
        <f t="shared" si="136"/>
        <v>140</v>
      </c>
      <c r="CC177" s="297"/>
      <c r="CD177" s="296">
        <f t="shared" si="157"/>
        <v>42030</v>
      </c>
      <c r="CE177" s="297"/>
      <c r="CF177" s="1061"/>
    </row>
    <row r="178" spans="1:85">
      <c r="A178" s="30">
        <v>44491</v>
      </c>
      <c r="B178" s="384">
        <v>661.57299999999998</v>
      </c>
      <c r="C178" s="842">
        <f t="shared" si="165"/>
        <v>83417.829000000056</v>
      </c>
      <c r="D178" s="851">
        <v>6646.92</v>
      </c>
      <c r="E178" s="843">
        <f t="shared" si="166"/>
        <v>935856.85800000012</v>
      </c>
      <c r="F178" s="240">
        <f t="shared" si="170"/>
        <v>3000</v>
      </c>
      <c r="G178" s="240"/>
      <c r="H178" s="280"/>
      <c r="I178" s="240">
        <v>3000</v>
      </c>
      <c r="J178" s="240">
        <f t="shared" si="138"/>
        <v>0</v>
      </c>
      <c r="K178" s="280">
        <f t="shared" si="167"/>
        <v>0</v>
      </c>
      <c r="L178" s="240">
        <f t="shared" si="158"/>
        <v>2093001</v>
      </c>
      <c r="M178" s="280">
        <f t="shared" si="139"/>
        <v>25090.571465243942</v>
      </c>
      <c r="N178" s="280">
        <f t="shared" si="140"/>
        <v>3072.1894778062865</v>
      </c>
      <c r="O178" s="1089"/>
      <c r="P178" s="1084"/>
      <c r="Q178" s="77">
        <f t="shared" si="141"/>
        <v>18611</v>
      </c>
      <c r="R178" s="35"/>
      <c r="S178" s="35">
        <v>15603</v>
      </c>
      <c r="T178" s="35">
        <f t="shared" si="129"/>
        <v>3008</v>
      </c>
      <c r="U178" s="36">
        <f t="shared" si="168"/>
        <v>4546.7393620960956</v>
      </c>
      <c r="V178" s="74">
        <f t="shared" si="142"/>
        <v>175271</v>
      </c>
      <c r="W178" s="36">
        <f t="shared" si="143"/>
        <v>2.1011215719843284</v>
      </c>
      <c r="X178" s="1136"/>
      <c r="Y178" s="49">
        <f t="shared" si="171"/>
        <v>261</v>
      </c>
      <c r="Z178" s="50"/>
      <c r="AA178" s="50">
        <v>261</v>
      </c>
      <c r="AB178" s="50">
        <f t="shared" si="130"/>
        <v>0</v>
      </c>
      <c r="AC178" s="51">
        <f t="shared" si="159"/>
        <v>0</v>
      </c>
      <c r="AD178" s="50">
        <f t="shared" si="144"/>
        <v>8693</v>
      </c>
      <c r="AE178" s="51">
        <f t="shared" si="131"/>
        <v>0.10421033613809338</v>
      </c>
      <c r="AF178" s="1047"/>
      <c r="AG178" s="41">
        <f t="shared" si="172"/>
        <v>686</v>
      </c>
      <c r="AH178" s="41"/>
      <c r="AI178" s="41">
        <v>686</v>
      </c>
      <c r="AJ178" s="41">
        <f t="shared" si="160"/>
        <v>0</v>
      </c>
      <c r="AK178" s="42">
        <f t="shared" si="164"/>
        <v>0</v>
      </c>
      <c r="AL178" s="41">
        <f t="shared" si="154"/>
        <v>4789</v>
      </c>
      <c r="AM178" s="42">
        <f t="shared" si="145"/>
        <v>5.7409789458797794E-2</v>
      </c>
      <c r="AN178" s="1058"/>
      <c r="AO178" s="220">
        <v>8</v>
      </c>
      <c r="AP178" s="67">
        <v>24</v>
      </c>
      <c r="AQ178" s="68">
        <f t="shared" si="150"/>
        <v>95.433599999999998</v>
      </c>
      <c r="AR178" s="68">
        <f t="shared" si="163"/>
        <v>14.357567113791047</v>
      </c>
      <c r="AS178" s="69">
        <f t="shared" si="155"/>
        <v>10871.079959999995</v>
      </c>
      <c r="AT178" s="140">
        <f t="shared" si="132"/>
        <v>11.61617812282997</v>
      </c>
      <c r="AU178" s="1073"/>
      <c r="AV178" s="70">
        <v>3.8</v>
      </c>
      <c r="AW178" s="71">
        <v>12</v>
      </c>
      <c r="AX178" s="72">
        <f t="shared" si="151"/>
        <v>23.562887999999997</v>
      </c>
      <c r="AY178" s="72">
        <f t="shared" si="176"/>
        <v>3.5449332924121246</v>
      </c>
      <c r="AZ178" s="73">
        <f t="shared" si="156"/>
        <v>3052.6651518000003</v>
      </c>
      <c r="BA178" s="192">
        <f t="shared" si="133"/>
        <v>3.2618932326080148</v>
      </c>
      <c r="BB178" s="1075"/>
      <c r="BC178" s="56">
        <f t="shared" si="169"/>
        <v>37849</v>
      </c>
      <c r="BD178" s="59"/>
      <c r="BE178" s="56">
        <v>37849</v>
      </c>
      <c r="BF178" s="56">
        <f t="shared" si="152"/>
        <v>0</v>
      </c>
      <c r="BG178" s="58">
        <f t="shared" si="146"/>
        <v>61703</v>
      </c>
      <c r="BH178" s="58">
        <f t="shared" si="134"/>
        <v>65.932091507951526</v>
      </c>
      <c r="BI178" s="1133"/>
      <c r="BJ178" s="64">
        <f t="shared" si="173"/>
        <v>1450</v>
      </c>
      <c r="BK178" s="64"/>
      <c r="BL178" s="64">
        <v>1450</v>
      </c>
      <c r="BM178" s="64">
        <f t="shared" si="147"/>
        <v>0</v>
      </c>
      <c r="BN178" s="65"/>
      <c r="BO178" s="64">
        <f t="shared" si="148"/>
        <v>17050</v>
      </c>
      <c r="BP178" s="65">
        <f t="shared" si="149"/>
        <v>0.20439275637346049</v>
      </c>
      <c r="BQ178" s="1071"/>
      <c r="BR178" s="35">
        <f t="shared" si="174"/>
        <v>57252</v>
      </c>
      <c r="BS178" s="35"/>
      <c r="BT178" s="35">
        <v>55023</v>
      </c>
      <c r="BU178" s="74">
        <f t="shared" si="161"/>
        <v>2229</v>
      </c>
      <c r="BV178" s="74">
        <f t="shared" si="162"/>
        <v>412278</v>
      </c>
      <c r="BW178" s="74">
        <f t="shared" si="135"/>
        <v>440.53531955845318</v>
      </c>
      <c r="BX178" s="1098"/>
      <c r="BY178" s="296">
        <f t="shared" si="175"/>
        <v>520</v>
      </c>
      <c r="BZ178" s="296"/>
      <c r="CA178" s="296">
        <v>395</v>
      </c>
      <c r="CB178" s="296">
        <f t="shared" si="136"/>
        <v>125</v>
      </c>
      <c r="CC178" s="297"/>
      <c r="CD178" s="296">
        <f t="shared" si="157"/>
        <v>42155</v>
      </c>
      <c r="CE178" s="297"/>
      <c r="CF178" s="1061"/>
    </row>
    <row r="179" spans="1:85">
      <c r="A179" s="30">
        <v>44492</v>
      </c>
      <c r="B179" s="384">
        <v>618.89599999999996</v>
      </c>
      <c r="C179" s="842">
        <f t="shared" si="165"/>
        <v>84036.725000000049</v>
      </c>
      <c r="D179" s="851">
        <v>4585.3</v>
      </c>
      <c r="E179" s="843">
        <f t="shared" si="166"/>
        <v>940442.15800000017</v>
      </c>
      <c r="F179" s="240">
        <f t="shared" si="170"/>
        <v>3000</v>
      </c>
      <c r="G179" s="240">
        <v>32360</v>
      </c>
      <c r="H179" s="280">
        <v>12</v>
      </c>
      <c r="I179" s="240">
        <v>24000</v>
      </c>
      <c r="J179" s="240">
        <f t="shared" si="138"/>
        <v>11360</v>
      </c>
      <c r="K179" s="280">
        <f t="shared" si="167"/>
        <v>18355.264858716168</v>
      </c>
      <c r="L179" s="240">
        <f t="shared" si="158"/>
        <v>2104361</v>
      </c>
      <c r="M179" s="280">
        <f t="shared" si="139"/>
        <v>25040.96869553161</v>
      </c>
      <c r="N179" s="280">
        <f t="shared" si="140"/>
        <v>3066.1159171705167</v>
      </c>
      <c r="O179" s="1089"/>
      <c r="P179" s="1084"/>
      <c r="Q179" s="77">
        <f t="shared" si="141"/>
        <v>15603</v>
      </c>
      <c r="R179" s="35"/>
      <c r="S179" s="35">
        <v>13660</v>
      </c>
      <c r="T179" s="35">
        <f t="shared" si="129"/>
        <v>1943</v>
      </c>
      <c r="U179" s="36">
        <f t="shared" si="168"/>
        <v>3139.4612341976681</v>
      </c>
      <c r="V179" s="74">
        <f t="shared" si="142"/>
        <v>177214</v>
      </c>
      <c r="W179" s="36">
        <f t="shared" si="143"/>
        <v>2.1087685175737141</v>
      </c>
      <c r="X179" s="1136"/>
      <c r="Y179" s="49">
        <f t="shared" si="171"/>
        <v>261</v>
      </c>
      <c r="Z179" s="50"/>
      <c r="AA179" s="50">
        <v>261</v>
      </c>
      <c r="AB179" s="50">
        <f t="shared" si="130"/>
        <v>0</v>
      </c>
      <c r="AC179" s="51">
        <f t="shared" si="159"/>
        <v>0</v>
      </c>
      <c r="AD179" s="50">
        <f t="shared" si="144"/>
        <v>8693</v>
      </c>
      <c r="AE179" s="51">
        <f t="shared" si="131"/>
        <v>0.10344286976913956</v>
      </c>
      <c r="AF179" s="1047"/>
      <c r="AG179" s="41">
        <f t="shared" si="172"/>
        <v>686</v>
      </c>
      <c r="AH179" s="41"/>
      <c r="AI179" s="41">
        <v>660</v>
      </c>
      <c r="AJ179" s="41">
        <f t="shared" si="160"/>
        <v>26</v>
      </c>
      <c r="AK179" s="42">
        <f t="shared" si="164"/>
        <v>42.010289289315168</v>
      </c>
      <c r="AL179" s="41">
        <f t="shared" si="154"/>
        <v>4815</v>
      </c>
      <c r="AM179" s="42">
        <f t="shared" si="145"/>
        <v>5.7296378458346599E-2</v>
      </c>
      <c r="AN179" s="1058"/>
      <c r="AO179" s="220">
        <v>7.5</v>
      </c>
      <c r="AP179" s="67">
        <v>24</v>
      </c>
      <c r="AQ179" s="68">
        <f t="shared" si="150"/>
        <v>89.468999999999994</v>
      </c>
      <c r="AR179" s="68">
        <f t="shared" si="163"/>
        <v>19.512136610472595</v>
      </c>
      <c r="AS179" s="69">
        <f t="shared" si="155"/>
        <v>10960.548959999995</v>
      </c>
      <c r="AT179" s="140">
        <f t="shared" si="132"/>
        <v>11.654676331513409</v>
      </c>
      <c r="AU179" s="1073"/>
      <c r="AV179" s="70">
        <v>3.05</v>
      </c>
      <c r="AW179" s="71">
        <v>12</v>
      </c>
      <c r="AX179" s="72">
        <f t="shared" si="151"/>
        <v>18.912317999999999</v>
      </c>
      <c r="AY179" s="72">
        <f t="shared" si="176"/>
        <v>4.1245541185963841</v>
      </c>
      <c r="AZ179" s="73">
        <f t="shared" si="156"/>
        <v>3071.5774698000005</v>
      </c>
      <c r="BA179" s="192">
        <f t="shared" si="133"/>
        <v>3.2660992956038877</v>
      </c>
      <c r="BB179" s="1075"/>
      <c r="BC179" s="56">
        <f t="shared" si="169"/>
        <v>37849</v>
      </c>
      <c r="BD179" s="59"/>
      <c r="BE179" s="56">
        <v>37849</v>
      </c>
      <c r="BF179" s="56">
        <f t="shared" si="152"/>
        <v>0</v>
      </c>
      <c r="BG179" s="58">
        <f t="shared" si="146"/>
        <v>61703</v>
      </c>
      <c r="BH179" s="58">
        <f t="shared" si="134"/>
        <v>65.610627378956764</v>
      </c>
      <c r="BI179" s="1133"/>
      <c r="BJ179" s="64">
        <f t="shared" si="173"/>
        <v>1450</v>
      </c>
      <c r="BK179" s="64"/>
      <c r="BL179" s="64">
        <v>1450</v>
      </c>
      <c r="BM179" s="64">
        <f t="shared" si="147"/>
        <v>0</v>
      </c>
      <c r="BN179" s="65"/>
      <c r="BO179" s="64">
        <f t="shared" si="148"/>
        <v>17050</v>
      </c>
      <c r="BP179" s="65">
        <f t="shared" si="149"/>
        <v>0.20288748758355338</v>
      </c>
      <c r="BQ179" s="1071"/>
      <c r="BR179" s="35">
        <f t="shared" si="174"/>
        <v>55023</v>
      </c>
      <c r="BS179" s="35"/>
      <c r="BT179" s="37">
        <v>53581</v>
      </c>
      <c r="BU179" s="74">
        <f t="shared" si="161"/>
        <v>1442</v>
      </c>
      <c r="BV179" s="74">
        <f t="shared" si="162"/>
        <v>413720</v>
      </c>
      <c r="BW179" s="74">
        <f t="shared" si="135"/>
        <v>439.92072928742516</v>
      </c>
      <c r="BX179" s="1098"/>
      <c r="BY179" s="296">
        <f t="shared" si="175"/>
        <v>395</v>
      </c>
      <c r="BZ179" s="296"/>
      <c r="CA179" s="296">
        <v>280</v>
      </c>
      <c r="CB179" s="296">
        <f t="shared" si="136"/>
        <v>115</v>
      </c>
      <c r="CC179" s="297"/>
      <c r="CD179" s="296">
        <f t="shared" si="157"/>
        <v>42270</v>
      </c>
      <c r="CE179" s="297"/>
      <c r="CF179" s="1061"/>
    </row>
    <row r="180" spans="1:85" ht="15" customHeight="1">
      <c r="A180" s="30">
        <v>44493</v>
      </c>
      <c r="B180" s="384">
        <v>144.44800000000001</v>
      </c>
      <c r="C180" s="842">
        <f t="shared" si="165"/>
        <v>84181.173000000053</v>
      </c>
      <c r="D180" s="851">
        <v>0</v>
      </c>
      <c r="E180" s="843">
        <f t="shared" si="166"/>
        <v>940442.15800000017</v>
      </c>
      <c r="F180" s="240">
        <f t="shared" si="170"/>
        <v>24000</v>
      </c>
      <c r="G180" s="240">
        <v>18460</v>
      </c>
      <c r="H180" s="280">
        <v>13.47</v>
      </c>
      <c r="I180" s="240">
        <v>23200</v>
      </c>
      <c r="J180" s="240">
        <f t="shared" si="138"/>
        <v>19260</v>
      </c>
      <c r="K180" s="280">
        <f t="shared" si="167"/>
        <v>133335.17944173681</v>
      </c>
      <c r="L180" s="240">
        <f t="shared" si="158"/>
        <v>2123621</v>
      </c>
      <c r="M180" s="280">
        <f t="shared" si="139"/>
        <v>25226.792693896041</v>
      </c>
      <c r="N180" s="280">
        <f t="shared" si="140"/>
        <v>3088.8689474588027</v>
      </c>
      <c r="O180" s="1089"/>
      <c r="P180" s="1084"/>
      <c r="Q180" s="77">
        <f t="shared" si="141"/>
        <v>13660</v>
      </c>
      <c r="R180" s="35"/>
      <c r="S180" s="35">
        <v>13184</v>
      </c>
      <c r="T180" s="35">
        <f t="shared" si="129"/>
        <v>476</v>
      </c>
      <c r="U180" s="36">
        <f t="shared" si="168"/>
        <v>3295.3035002215329</v>
      </c>
      <c r="V180" s="74">
        <f t="shared" si="142"/>
        <v>177690</v>
      </c>
      <c r="W180" s="36">
        <f t="shared" si="143"/>
        <v>2.1108045144488528</v>
      </c>
      <c r="X180" s="1136"/>
      <c r="Y180" s="49">
        <f t="shared" si="171"/>
        <v>261</v>
      </c>
      <c r="Z180" s="50"/>
      <c r="AA180" s="50">
        <v>261</v>
      </c>
      <c r="AB180" s="50">
        <f t="shared" si="130"/>
        <v>0</v>
      </c>
      <c r="AC180" s="51">
        <f t="shared" si="159"/>
        <v>0</v>
      </c>
      <c r="AD180" s="50">
        <f t="shared" si="144"/>
        <v>8693</v>
      </c>
      <c r="AE180" s="51">
        <f t="shared" si="131"/>
        <v>0.10326537027465743</v>
      </c>
      <c r="AF180" s="1047"/>
      <c r="AG180" s="41">
        <f t="shared" si="172"/>
        <v>660</v>
      </c>
      <c r="AH180" s="41"/>
      <c r="AI180" s="41">
        <v>646</v>
      </c>
      <c r="AJ180" s="41">
        <f t="shared" si="160"/>
        <v>14</v>
      </c>
      <c r="AK180" s="42">
        <f t="shared" si="164"/>
        <v>96.920691182986261</v>
      </c>
      <c r="AL180" s="41">
        <f t="shared" si="154"/>
        <v>4829</v>
      </c>
      <c r="AM180" s="42">
        <f t="shared" si="145"/>
        <v>5.7364370534489902E-2</v>
      </c>
      <c r="AN180" s="1058"/>
      <c r="AO180" s="220">
        <v>0</v>
      </c>
      <c r="AP180" s="67">
        <v>24</v>
      </c>
      <c r="AQ180" s="68">
        <f t="shared" si="150"/>
        <v>0</v>
      </c>
      <c r="AR180" s="68">
        <v>0</v>
      </c>
      <c r="AS180" s="69">
        <f t="shared" si="155"/>
        <v>10960.548959999995</v>
      </c>
      <c r="AT180" s="140">
        <f t="shared" si="132"/>
        <v>11.654676331513409</v>
      </c>
      <c r="AU180" s="1073"/>
      <c r="AV180" s="70">
        <v>0</v>
      </c>
      <c r="AW180" s="71">
        <v>12</v>
      </c>
      <c r="AX180" s="72">
        <f t="shared" si="151"/>
        <v>0</v>
      </c>
      <c r="AY180" s="72">
        <v>0</v>
      </c>
      <c r="AZ180" s="73">
        <f t="shared" si="156"/>
        <v>3071.5774698000005</v>
      </c>
      <c r="BA180" s="192">
        <f t="shared" si="133"/>
        <v>3.2660992956038877</v>
      </c>
      <c r="BB180" s="1075"/>
      <c r="BC180" s="56">
        <f t="shared" si="169"/>
        <v>37849</v>
      </c>
      <c r="BD180" s="59"/>
      <c r="BE180" s="56">
        <v>37849</v>
      </c>
      <c r="BF180" s="56">
        <f t="shared" si="152"/>
        <v>0</v>
      </c>
      <c r="BG180" s="58">
        <f t="shared" si="146"/>
        <v>61703</v>
      </c>
      <c r="BH180" s="58">
        <f t="shared" si="134"/>
        <v>65.610627378956764</v>
      </c>
      <c r="BI180" s="1133"/>
      <c r="BJ180" s="64">
        <f t="shared" si="173"/>
        <v>1450</v>
      </c>
      <c r="BK180" s="64"/>
      <c r="BL180" s="64">
        <v>1450</v>
      </c>
      <c r="BM180" s="64">
        <f t="shared" si="147"/>
        <v>0</v>
      </c>
      <c r="BN180" s="65"/>
      <c r="BO180" s="64">
        <f t="shared" si="148"/>
        <v>17050</v>
      </c>
      <c r="BP180" s="65">
        <f t="shared" si="149"/>
        <v>0.20253934926756115</v>
      </c>
      <c r="BQ180" s="1071"/>
      <c r="BR180" s="35">
        <f t="shared" si="174"/>
        <v>53581</v>
      </c>
      <c r="BS180" s="35"/>
      <c r="BT180" s="37">
        <v>53581</v>
      </c>
      <c r="BU180" s="74">
        <f t="shared" si="161"/>
        <v>0</v>
      </c>
      <c r="BV180" s="74">
        <f t="shared" si="162"/>
        <v>413720</v>
      </c>
      <c r="BW180" s="74">
        <f t="shared" si="135"/>
        <v>439.92072928742516</v>
      </c>
      <c r="BX180" s="1098"/>
      <c r="BY180" s="296">
        <f t="shared" si="175"/>
        <v>280</v>
      </c>
      <c r="BZ180" s="296"/>
      <c r="CA180" s="296">
        <v>280</v>
      </c>
      <c r="CB180" s="296">
        <f t="shared" si="136"/>
        <v>0</v>
      </c>
      <c r="CC180" s="297"/>
      <c r="CD180" s="296">
        <f t="shared" si="157"/>
        <v>42270</v>
      </c>
      <c r="CE180" s="297"/>
      <c r="CF180" s="1061"/>
    </row>
    <row r="181" spans="1:85">
      <c r="A181" s="30">
        <v>44494</v>
      </c>
      <c r="B181" s="867">
        <v>0</v>
      </c>
      <c r="C181" s="842">
        <f t="shared" si="165"/>
        <v>84181.173000000053</v>
      </c>
      <c r="D181" s="851">
        <v>0</v>
      </c>
      <c r="E181" s="843">
        <f t="shared" si="166"/>
        <v>940442.15800000017</v>
      </c>
      <c r="F181" s="240">
        <f t="shared" si="170"/>
        <v>23200</v>
      </c>
      <c r="G181" s="240">
        <v>32540</v>
      </c>
      <c r="H181" s="280">
        <v>8.84</v>
      </c>
      <c r="I181" s="240">
        <v>54000</v>
      </c>
      <c r="J181" s="240">
        <f t="shared" si="138"/>
        <v>1740</v>
      </c>
      <c r="K181" s="280">
        <v>0</v>
      </c>
      <c r="L181" s="240">
        <f t="shared" si="158"/>
        <v>2125361</v>
      </c>
      <c r="M181" s="280">
        <f t="shared" si="139"/>
        <v>25247.462398747979</v>
      </c>
      <c r="N181" s="280">
        <f t="shared" si="140"/>
        <v>3091.3998284251229</v>
      </c>
      <c r="O181" s="1089"/>
      <c r="P181" s="1084"/>
      <c r="Q181" s="77">
        <f t="shared" si="141"/>
        <v>13184</v>
      </c>
      <c r="R181" s="35"/>
      <c r="S181" s="35">
        <v>13184</v>
      </c>
      <c r="T181" s="35">
        <f t="shared" si="129"/>
        <v>0</v>
      </c>
      <c r="U181" s="36">
        <v>0</v>
      </c>
      <c r="V181" s="74">
        <f t="shared" si="142"/>
        <v>177690</v>
      </c>
      <c r="W181" s="36">
        <f t="shared" si="143"/>
        <v>2.1108045144488528</v>
      </c>
      <c r="X181" s="1136"/>
      <c r="Y181" s="49">
        <f t="shared" si="171"/>
        <v>261</v>
      </c>
      <c r="Z181" s="50"/>
      <c r="AA181" s="50">
        <v>261</v>
      </c>
      <c r="AB181" s="50">
        <f t="shared" si="130"/>
        <v>0</v>
      </c>
      <c r="AC181" s="51">
        <v>0</v>
      </c>
      <c r="AD181" s="50">
        <f t="shared" si="144"/>
        <v>8693</v>
      </c>
      <c r="AE181" s="51">
        <f t="shared" si="131"/>
        <v>0.10326537027465743</v>
      </c>
      <c r="AF181" s="1047"/>
      <c r="AG181" s="41">
        <f t="shared" si="172"/>
        <v>646</v>
      </c>
      <c r="AH181" s="41"/>
      <c r="AI181" s="41">
        <v>646</v>
      </c>
      <c r="AJ181" s="41">
        <f t="shared" si="160"/>
        <v>0</v>
      </c>
      <c r="AK181" s="42" t="e">
        <f t="shared" si="164"/>
        <v>#DIV/0!</v>
      </c>
      <c r="AL181" s="41">
        <f t="shared" si="154"/>
        <v>4829</v>
      </c>
      <c r="AM181" s="42">
        <f t="shared" si="145"/>
        <v>5.7364370534489902E-2</v>
      </c>
      <c r="AN181" s="1058"/>
      <c r="AO181" s="220">
        <v>0</v>
      </c>
      <c r="AP181" s="67">
        <v>24</v>
      </c>
      <c r="AQ181" s="68">
        <f t="shared" si="150"/>
        <v>0</v>
      </c>
      <c r="AR181" s="68">
        <v>0</v>
      </c>
      <c r="AS181" s="69">
        <f t="shared" si="155"/>
        <v>10960.548959999995</v>
      </c>
      <c r="AT181" s="140">
        <f t="shared" si="132"/>
        <v>11.654676331513409</v>
      </c>
      <c r="AU181" s="1073"/>
      <c r="AV181" s="70">
        <v>0</v>
      </c>
      <c r="AW181" s="71">
        <v>12</v>
      </c>
      <c r="AX181" s="72">
        <f t="shared" si="151"/>
        <v>0</v>
      </c>
      <c r="AY181" s="72">
        <v>0</v>
      </c>
      <c r="AZ181" s="73">
        <f t="shared" si="156"/>
        <v>3071.5774698000005</v>
      </c>
      <c r="BA181" s="192">
        <f t="shared" si="133"/>
        <v>3.2660992956038877</v>
      </c>
      <c r="BB181" s="1075"/>
      <c r="BC181" s="56">
        <f t="shared" si="169"/>
        <v>37849</v>
      </c>
      <c r="BD181" s="59"/>
      <c r="BE181" s="56">
        <v>37849</v>
      </c>
      <c r="BF181" s="56">
        <f t="shared" si="152"/>
        <v>0</v>
      </c>
      <c r="BG181" s="58">
        <f t="shared" si="146"/>
        <v>61703</v>
      </c>
      <c r="BH181" s="58">
        <f t="shared" si="134"/>
        <v>65.610627378956764</v>
      </c>
      <c r="BI181" s="1133"/>
      <c r="BJ181" s="64">
        <f t="shared" si="173"/>
        <v>1450</v>
      </c>
      <c r="BK181" s="64"/>
      <c r="BL181" s="64">
        <v>1450</v>
      </c>
      <c r="BM181" s="64">
        <f t="shared" si="147"/>
        <v>0</v>
      </c>
      <c r="BN181" s="65"/>
      <c r="BO181" s="64">
        <f t="shared" si="148"/>
        <v>17050</v>
      </c>
      <c r="BP181" s="65">
        <f t="shared" si="149"/>
        <v>0.20253934926756115</v>
      </c>
      <c r="BQ181" s="1071"/>
      <c r="BR181" s="35">
        <f t="shared" si="174"/>
        <v>53581</v>
      </c>
      <c r="BS181" s="35"/>
      <c r="BT181" s="37">
        <v>53581</v>
      </c>
      <c r="BU181" s="74">
        <f t="shared" si="161"/>
        <v>0</v>
      </c>
      <c r="BV181" s="74">
        <f t="shared" si="162"/>
        <v>413720</v>
      </c>
      <c r="BW181" s="74">
        <f t="shared" si="135"/>
        <v>439.92072928742516</v>
      </c>
      <c r="BX181" s="1098"/>
      <c r="BY181" s="296">
        <f t="shared" si="175"/>
        <v>280</v>
      </c>
      <c r="BZ181" s="296"/>
      <c r="CA181" s="296">
        <v>280</v>
      </c>
      <c r="CB181" s="296">
        <f t="shared" si="136"/>
        <v>0</v>
      </c>
      <c r="CC181" s="297"/>
      <c r="CD181" s="296">
        <f t="shared" si="157"/>
        <v>42270</v>
      </c>
      <c r="CE181" s="297"/>
      <c r="CF181" s="1061"/>
    </row>
    <row r="182" spans="1:85">
      <c r="A182" s="30">
        <v>44495</v>
      </c>
      <c r="B182" s="867">
        <v>0</v>
      </c>
      <c r="C182" s="842">
        <f t="shared" si="165"/>
        <v>84181.173000000053</v>
      </c>
      <c r="D182" s="851">
        <v>1464.78</v>
      </c>
      <c r="E182" s="843">
        <f t="shared" si="166"/>
        <v>941906.9380000002</v>
      </c>
      <c r="F182" s="240">
        <f t="shared" si="170"/>
        <v>54000</v>
      </c>
      <c r="G182" s="240"/>
      <c r="H182" s="280"/>
      <c r="I182" s="240">
        <v>54000</v>
      </c>
      <c r="J182" s="240">
        <f t="shared" si="138"/>
        <v>0</v>
      </c>
      <c r="K182" s="280">
        <v>0</v>
      </c>
      <c r="L182" s="240">
        <f t="shared" si="158"/>
        <v>2125361</v>
      </c>
      <c r="M182" s="280">
        <f t="shared" si="139"/>
        <v>25247.462398747979</v>
      </c>
      <c r="N182" s="280">
        <f t="shared" si="140"/>
        <v>3091.3998284251229</v>
      </c>
      <c r="O182" s="1089"/>
      <c r="P182" s="1084"/>
      <c r="Q182" s="77">
        <f t="shared" si="141"/>
        <v>13184</v>
      </c>
      <c r="R182" s="35"/>
      <c r="S182" s="35">
        <v>13184</v>
      </c>
      <c r="T182" s="35">
        <f t="shared" si="129"/>
        <v>0</v>
      </c>
      <c r="U182" s="36">
        <v>0</v>
      </c>
      <c r="V182" s="74">
        <f t="shared" si="142"/>
        <v>177690</v>
      </c>
      <c r="W182" s="36">
        <f t="shared" si="143"/>
        <v>2.1108045144488528</v>
      </c>
      <c r="X182" s="1136"/>
      <c r="Y182" s="49">
        <f t="shared" si="171"/>
        <v>261</v>
      </c>
      <c r="Z182" s="50"/>
      <c r="AA182" s="50">
        <v>261</v>
      </c>
      <c r="AB182" s="50">
        <f t="shared" si="130"/>
        <v>0</v>
      </c>
      <c r="AC182" s="51">
        <v>0</v>
      </c>
      <c r="AD182" s="50">
        <f t="shared" si="144"/>
        <v>8693</v>
      </c>
      <c r="AE182" s="51">
        <f t="shared" si="131"/>
        <v>0.10326537027465743</v>
      </c>
      <c r="AF182" s="1047"/>
      <c r="AG182" s="41">
        <f t="shared" si="172"/>
        <v>646</v>
      </c>
      <c r="AH182" s="41"/>
      <c r="AI182" s="41">
        <v>646</v>
      </c>
      <c r="AJ182" s="41">
        <f t="shared" si="160"/>
        <v>0</v>
      </c>
      <c r="AK182" s="42" t="e">
        <f t="shared" si="164"/>
        <v>#DIV/0!</v>
      </c>
      <c r="AL182" s="41">
        <f t="shared" si="154"/>
        <v>4829</v>
      </c>
      <c r="AM182" s="42">
        <f t="shared" si="145"/>
        <v>5.7364370534489902E-2</v>
      </c>
      <c r="AN182" s="1058"/>
      <c r="AO182" s="220">
        <v>1.5</v>
      </c>
      <c r="AP182" s="67">
        <v>24</v>
      </c>
      <c r="AQ182" s="68">
        <f t="shared" si="150"/>
        <v>17.893799999999999</v>
      </c>
      <c r="AR182" s="68">
        <f>AQ182*1000/D182</f>
        <v>12.216032441731864</v>
      </c>
      <c r="AS182" s="69">
        <f t="shared" si="155"/>
        <v>10978.442759999994</v>
      </c>
      <c r="AT182" s="140">
        <f t="shared" si="132"/>
        <v>11.655549308630309</v>
      </c>
      <c r="AU182" s="1073"/>
      <c r="AV182" s="70">
        <v>1.3</v>
      </c>
      <c r="AW182" s="71">
        <v>12</v>
      </c>
      <c r="AX182" s="72">
        <f t="shared" si="151"/>
        <v>8.0609880000000018</v>
      </c>
      <c r="AY182" s="72">
        <f>AX182*1000/D182</f>
        <v>5.5032073075820271</v>
      </c>
      <c r="AZ182" s="73">
        <f t="shared" si="156"/>
        <v>3079.6384578000007</v>
      </c>
      <c r="BA182" s="192">
        <f t="shared" si="133"/>
        <v>3.2695782710117376</v>
      </c>
      <c r="BB182" s="1075"/>
      <c r="BC182" s="56">
        <f t="shared" si="169"/>
        <v>37849</v>
      </c>
      <c r="BD182" s="59"/>
      <c r="BE182" s="56">
        <v>37849</v>
      </c>
      <c r="BF182" s="56">
        <f t="shared" si="152"/>
        <v>0</v>
      </c>
      <c r="BG182" s="58">
        <f t="shared" si="146"/>
        <v>61703</v>
      </c>
      <c r="BH182" s="58">
        <f t="shared" si="134"/>
        <v>65.508594862903522</v>
      </c>
      <c r="BI182" s="1133"/>
      <c r="BJ182" s="64">
        <f t="shared" si="173"/>
        <v>1450</v>
      </c>
      <c r="BK182" s="64"/>
      <c r="BL182" s="64">
        <v>1450</v>
      </c>
      <c r="BM182" s="64">
        <f t="shared" si="147"/>
        <v>0</v>
      </c>
      <c r="BN182" s="65"/>
      <c r="BO182" s="64">
        <f t="shared" si="148"/>
        <v>17050</v>
      </c>
      <c r="BP182" s="65">
        <f t="shared" si="149"/>
        <v>0.20253934926756115</v>
      </c>
      <c r="BQ182" s="1071"/>
      <c r="BR182" s="35">
        <f t="shared" si="174"/>
        <v>53581</v>
      </c>
      <c r="BS182" s="35"/>
      <c r="BT182" s="37">
        <v>53581</v>
      </c>
      <c r="BU182" s="74">
        <f t="shared" si="161"/>
        <v>0</v>
      </c>
      <c r="BV182" s="74">
        <f t="shared" si="162"/>
        <v>413720</v>
      </c>
      <c r="BW182" s="74">
        <f t="shared" si="135"/>
        <v>439.23659897704238</v>
      </c>
      <c r="BX182" s="1098"/>
      <c r="BY182" s="296">
        <f t="shared" si="175"/>
        <v>280</v>
      </c>
      <c r="BZ182" s="296"/>
      <c r="CA182" s="296">
        <v>280</v>
      </c>
      <c r="CB182" s="296">
        <f t="shared" si="136"/>
        <v>0</v>
      </c>
      <c r="CC182" s="297"/>
      <c r="CD182" s="296">
        <f t="shared" si="157"/>
        <v>42270</v>
      </c>
      <c r="CE182" s="297"/>
      <c r="CF182" s="1061"/>
    </row>
    <row r="183" spans="1:85">
      <c r="A183" s="30">
        <v>44496</v>
      </c>
      <c r="B183" s="384">
        <v>297.93700000000001</v>
      </c>
      <c r="C183" s="842">
        <f t="shared" si="165"/>
        <v>84479.110000000059</v>
      </c>
      <c r="D183" s="851">
        <v>3637.5</v>
      </c>
      <c r="E183" s="843">
        <f t="shared" si="166"/>
        <v>945544.4380000002</v>
      </c>
      <c r="F183" s="240">
        <f t="shared" si="170"/>
        <v>54000</v>
      </c>
      <c r="G183" s="240"/>
      <c r="H183" s="280"/>
      <c r="I183" s="240">
        <v>54000</v>
      </c>
      <c r="J183" s="240">
        <f t="shared" si="138"/>
        <v>0</v>
      </c>
      <c r="K183" s="280">
        <f t="shared" si="167"/>
        <v>0</v>
      </c>
      <c r="L183" s="240">
        <f t="shared" si="158"/>
        <v>2125361</v>
      </c>
      <c r="M183" s="280">
        <f t="shared" si="139"/>
        <v>25158.420821431457</v>
      </c>
      <c r="N183" s="280">
        <f t="shared" si="140"/>
        <v>3080.4972231457641</v>
      </c>
      <c r="O183" s="1089"/>
      <c r="P183" s="1084"/>
      <c r="Q183" s="77">
        <f t="shared" si="141"/>
        <v>13184</v>
      </c>
      <c r="R183" s="35"/>
      <c r="S183" s="35">
        <v>13184</v>
      </c>
      <c r="T183" s="35">
        <f t="shared" si="129"/>
        <v>0</v>
      </c>
      <c r="U183" s="36">
        <f t="shared" ref="U183:U225" si="177">1000*T183/B183</f>
        <v>0</v>
      </c>
      <c r="V183" s="74">
        <f t="shared" si="142"/>
        <v>177690</v>
      </c>
      <c r="W183" s="36">
        <f t="shared" si="143"/>
        <v>2.1033602271614824</v>
      </c>
      <c r="X183" s="1136"/>
      <c r="Y183" s="49">
        <f t="shared" si="171"/>
        <v>261</v>
      </c>
      <c r="Z183" s="50"/>
      <c r="AA183" s="50">
        <v>261</v>
      </c>
      <c r="AB183" s="50">
        <f t="shared" si="130"/>
        <v>0</v>
      </c>
      <c r="AC183" s="51">
        <f t="shared" ref="AC183:AC225" si="178">AB183/B183</f>
        <v>0</v>
      </c>
      <c r="AD183" s="50">
        <f t="shared" si="144"/>
        <v>8693</v>
      </c>
      <c r="AE183" s="51">
        <f t="shared" si="131"/>
        <v>0.10290117876478569</v>
      </c>
      <c r="AF183" s="1047"/>
      <c r="AG183" s="41">
        <f t="shared" si="172"/>
        <v>646</v>
      </c>
      <c r="AH183" s="41"/>
      <c r="AI183" s="41">
        <v>646</v>
      </c>
      <c r="AJ183" s="41">
        <f t="shared" si="160"/>
        <v>0</v>
      </c>
      <c r="AK183" s="42">
        <f t="shared" si="164"/>
        <v>0</v>
      </c>
      <c r="AL183" s="41">
        <f t="shared" si="154"/>
        <v>4829</v>
      </c>
      <c r="AM183" s="42">
        <f t="shared" si="145"/>
        <v>5.7162060537806286E-2</v>
      </c>
      <c r="AN183" s="1058"/>
      <c r="AO183" s="220">
        <v>8</v>
      </c>
      <c r="AP183" s="67">
        <v>24</v>
      </c>
      <c r="AQ183" s="68">
        <f t="shared" si="150"/>
        <v>95.433599999999998</v>
      </c>
      <c r="AR183" s="68">
        <f>AQ183*1000/D183</f>
        <v>26.236041237113401</v>
      </c>
      <c r="AS183" s="69">
        <f t="shared" si="155"/>
        <v>11073.876359999995</v>
      </c>
      <c r="AT183" s="140">
        <f t="shared" si="132"/>
        <v>11.711640315312176</v>
      </c>
      <c r="AU183" s="1073"/>
      <c r="AV183" s="70">
        <v>2.6</v>
      </c>
      <c r="AW183" s="71">
        <v>12</v>
      </c>
      <c r="AX183" s="72">
        <f t="shared" si="151"/>
        <v>16.121976000000004</v>
      </c>
      <c r="AY183" s="72">
        <f>AX183*1000/D183</f>
        <v>4.4321583505154649</v>
      </c>
      <c r="AZ183" s="73">
        <f t="shared" si="156"/>
        <v>3095.7604338000006</v>
      </c>
      <c r="BA183" s="192">
        <f t="shared" si="133"/>
        <v>3.2740507049548104</v>
      </c>
      <c r="BB183" s="1075"/>
      <c r="BC183" s="56">
        <f t="shared" si="169"/>
        <v>37849</v>
      </c>
      <c r="BD183" s="59"/>
      <c r="BE183" s="56">
        <v>37849</v>
      </c>
      <c r="BF183" s="56">
        <f t="shared" si="152"/>
        <v>0</v>
      </c>
      <c r="BG183" s="58">
        <f t="shared" si="146"/>
        <v>61703</v>
      </c>
      <c r="BH183" s="58">
        <f t="shared" si="134"/>
        <v>65.256583953381565</v>
      </c>
      <c r="BI183" s="1133"/>
      <c r="BJ183" s="64">
        <f t="shared" si="173"/>
        <v>1450</v>
      </c>
      <c r="BK183" s="64"/>
      <c r="BL183" s="64">
        <v>1450</v>
      </c>
      <c r="BM183" s="64">
        <f t="shared" si="147"/>
        <v>0</v>
      </c>
      <c r="BN183" s="65"/>
      <c r="BO183" s="64">
        <f t="shared" si="148"/>
        <v>17050</v>
      </c>
      <c r="BP183" s="65">
        <f t="shared" si="149"/>
        <v>0.20182504290113837</v>
      </c>
      <c r="BQ183" s="1071"/>
      <c r="BR183" s="35">
        <f t="shared" si="174"/>
        <v>53581</v>
      </c>
      <c r="BS183" s="35"/>
      <c r="BT183" s="35">
        <v>51995</v>
      </c>
      <c r="BU183" s="74">
        <f t="shared" si="161"/>
        <v>1586</v>
      </c>
      <c r="BV183" s="74">
        <f t="shared" si="162"/>
        <v>415306</v>
      </c>
      <c r="BW183" s="74">
        <f t="shared" si="135"/>
        <v>439.22420069272295</v>
      </c>
      <c r="BX183" s="1098"/>
      <c r="BY183" s="296">
        <f t="shared" si="175"/>
        <v>280</v>
      </c>
      <c r="BZ183" s="296"/>
      <c r="CA183" s="296">
        <v>240</v>
      </c>
      <c r="CB183" s="296">
        <f t="shared" si="136"/>
        <v>40</v>
      </c>
      <c r="CC183" s="297"/>
      <c r="CD183" s="296">
        <f t="shared" si="157"/>
        <v>42310</v>
      </c>
      <c r="CE183" s="297"/>
      <c r="CF183" s="1061"/>
    </row>
    <row r="184" spans="1:85">
      <c r="A184" s="30">
        <v>44497</v>
      </c>
      <c r="B184" s="384">
        <v>378.81299999999999</v>
      </c>
      <c r="C184" s="842">
        <f t="shared" si="165"/>
        <v>84857.923000000053</v>
      </c>
      <c r="D184" s="851">
        <v>5709.68</v>
      </c>
      <c r="E184" s="843">
        <f t="shared" si="166"/>
        <v>951254.11800000025</v>
      </c>
      <c r="F184" s="240">
        <f t="shared" si="170"/>
        <v>54000</v>
      </c>
      <c r="G184" s="240"/>
      <c r="H184" s="280"/>
      <c r="I184" s="240">
        <v>32400</v>
      </c>
      <c r="J184" s="240">
        <f t="shared" si="138"/>
        <v>21600</v>
      </c>
      <c r="K184" s="280">
        <f t="shared" si="167"/>
        <v>57020.218419114448</v>
      </c>
      <c r="L184" s="240">
        <f t="shared" si="158"/>
        <v>2146961</v>
      </c>
      <c r="M184" s="280">
        <f t="shared" si="139"/>
        <v>25300.654601220896</v>
      </c>
      <c r="N184" s="280">
        <f t="shared" si="140"/>
        <v>3097.9128935007834</v>
      </c>
      <c r="O184" s="1089"/>
      <c r="P184" s="1084"/>
      <c r="Q184" s="77">
        <f t="shared" si="141"/>
        <v>13184</v>
      </c>
      <c r="R184" s="35"/>
      <c r="S184" s="35">
        <v>13184</v>
      </c>
      <c r="T184" s="35">
        <f t="shared" si="129"/>
        <v>0</v>
      </c>
      <c r="U184" s="36">
        <f t="shared" si="177"/>
        <v>0</v>
      </c>
      <c r="V184" s="74">
        <f t="shared" si="142"/>
        <v>177690</v>
      </c>
      <c r="W184" s="36">
        <f t="shared" si="143"/>
        <v>2.0939706478557092</v>
      </c>
      <c r="X184" s="1136"/>
      <c r="Y184" s="49">
        <f t="shared" si="171"/>
        <v>261</v>
      </c>
      <c r="Z184" s="50"/>
      <c r="AA184" s="50">
        <v>261</v>
      </c>
      <c r="AB184" s="50">
        <f t="shared" si="130"/>
        <v>0</v>
      </c>
      <c r="AC184" s="51">
        <f t="shared" si="178"/>
        <v>0</v>
      </c>
      <c r="AD184" s="50">
        <f t="shared" si="144"/>
        <v>8693</v>
      </c>
      <c r="AE184" s="51">
        <f t="shared" si="131"/>
        <v>0.10244181913337655</v>
      </c>
      <c r="AF184" s="1047"/>
      <c r="AG184" s="41">
        <f t="shared" si="172"/>
        <v>646</v>
      </c>
      <c r="AH184" s="41"/>
      <c r="AI184" s="41">
        <v>626</v>
      </c>
      <c r="AJ184" s="41">
        <f t="shared" si="160"/>
        <v>20</v>
      </c>
      <c r="AK184" s="42">
        <f t="shared" si="164"/>
        <v>52.796498536217079</v>
      </c>
      <c r="AL184" s="41">
        <f t="shared" si="154"/>
        <v>4849</v>
      </c>
      <c r="AM184" s="42">
        <f t="shared" si="145"/>
        <v>5.7142572296991018E-2</v>
      </c>
      <c r="AN184" s="1058"/>
      <c r="AO184" s="220">
        <v>7.5</v>
      </c>
      <c r="AP184" s="67">
        <v>24</v>
      </c>
      <c r="AQ184" s="68">
        <f t="shared" si="150"/>
        <v>89.468999999999994</v>
      </c>
      <c r="AR184" s="68">
        <f>AQ184*1000/D184</f>
        <v>15.669704782054335</v>
      </c>
      <c r="AS184" s="69">
        <f t="shared" si="155"/>
        <v>11163.345359999994</v>
      </c>
      <c r="AT184" s="140">
        <f t="shared" si="132"/>
        <v>11.735397670047186</v>
      </c>
      <c r="AU184" s="1073"/>
      <c r="AV184" s="70">
        <v>3.3</v>
      </c>
      <c r="AW184" s="71">
        <v>12</v>
      </c>
      <c r="AX184" s="72">
        <f t="shared" si="151"/>
        <v>20.462508</v>
      </c>
      <c r="AY184" s="72">
        <f>AX184*1000/D184</f>
        <v>3.5838274649367383</v>
      </c>
      <c r="AZ184" s="73">
        <f t="shared" si="156"/>
        <v>3116.2229418000006</v>
      </c>
      <c r="BA184" s="192">
        <f t="shared" si="133"/>
        <v>3.2759100673874819</v>
      </c>
      <c r="BB184" s="1075"/>
      <c r="BC184" s="56">
        <f t="shared" si="169"/>
        <v>37849</v>
      </c>
      <c r="BD184" s="59"/>
      <c r="BE184" s="56">
        <v>37849</v>
      </c>
      <c r="BF184" s="56">
        <f t="shared" si="152"/>
        <v>0</v>
      </c>
      <c r="BG184" s="58">
        <f t="shared" si="146"/>
        <v>61703</v>
      </c>
      <c r="BH184" s="58">
        <f t="shared" si="134"/>
        <v>64.864896595380614</v>
      </c>
      <c r="BI184" s="1133"/>
      <c r="BJ184" s="64">
        <f t="shared" si="173"/>
        <v>1450</v>
      </c>
      <c r="BK184" s="64"/>
      <c r="BL184" s="64">
        <v>1450</v>
      </c>
      <c r="BM184" s="64">
        <f t="shared" si="147"/>
        <v>0</v>
      </c>
      <c r="BN184" s="65"/>
      <c r="BO184" s="64">
        <f t="shared" si="148"/>
        <v>17050</v>
      </c>
      <c r="BP184" s="65">
        <f t="shared" si="149"/>
        <v>0.20092407870977455</v>
      </c>
      <c r="BQ184" s="1071"/>
      <c r="BR184" s="35">
        <f t="shared" si="174"/>
        <v>51995</v>
      </c>
      <c r="BS184" s="35"/>
      <c r="BT184" s="35">
        <v>49898</v>
      </c>
      <c r="BU184" s="74">
        <f t="shared" si="161"/>
        <v>2097</v>
      </c>
      <c r="BV184" s="74">
        <f t="shared" si="162"/>
        <v>417403</v>
      </c>
      <c r="BW184" s="74">
        <f t="shared" si="135"/>
        <v>438.7923185842123</v>
      </c>
      <c r="BX184" s="1098"/>
      <c r="BY184" s="296">
        <f t="shared" si="175"/>
        <v>240</v>
      </c>
      <c r="BZ184" s="296"/>
      <c r="CA184" s="296">
        <v>100</v>
      </c>
      <c r="CB184" s="296">
        <f t="shared" si="136"/>
        <v>140</v>
      </c>
      <c r="CC184" s="297"/>
      <c r="CD184" s="296">
        <f t="shared" si="157"/>
        <v>42450</v>
      </c>
      <c r="CE184" s="297"/>
      <c r="CF184" s="1061"/>
    </row>
    <row r="185" spans="1:85">
      <c r="A185" s="30">
        <v>44498</v>
      </c>
      <c r="B185" s="384">
        <v>557.21699999999998</v>
      </c>
      <c r="C185" s="842">
        <f t="shared" si="165"/>
        <v>85415.140000000058</v>
      </c>
      <c r="D185" s="851">
        <v>6586.64</v>
      </c>
      <c r="E185" s="843">
        <f t="shared" si="166"/>
        <v>957840.75800000026</v>
      </c>
      <c r="F185" s="240">
        <f t="shared" si="170"/>
        <v>32400</v>
      </c>
      <c r="G185" s="240"/>
      <c r="H185" s="280"/>
      <c r="I185" s="240">
        <v>18600</v>
      </c>
      <c r="J185" s="240">
        <f t="shared" si="138"/>
        <v>13800</v>
      </c>
      <c r="K185" s="280">
        <f t="shared" si="167"/>
        <v>24765.934994804538</v>
      </c>
      <c r="L185" s="240">
        <f t="shared" si="158"/>
        <v>2160761</v>
      </c>
      <c r="M185" s="280">
        <f t="shared" si="139"/>
        <v>25297.166286913522</v>
      </c>
      <c r="N185" s="280">
        <f t="shared" si="140"/>
        <v>3097.4857704069454</v>
      </c>
      <c r="O185" s="1089"/>
      <c r="P185" s="1084"/>
      <c r="Q185" s="77">
        <f t="shared" si="141"/>
        <v>13184</v>
      </c>
      <c r="R185" s="35"/>
      <c r="S185" s="35">
        <v>13184</v>
      </c>
      <c r="T185" s="35">
        <f t="shared" si="129"/>
        <v>0</v>
      </c>
      <c r="U185" s="36">
        <f t="shared" si="177"/>
        <v>0</v>
      </c>
      <c r="V185" s="74">
        <f t="shared" si="142"/>
        <v>177690</v>
      </c>
      <c r="W185" s="36">
        <f t="shared" si="143"/>
        <v>2.0803103524738105</v>
      </c>
      <c r="X185" s="1136"/>
      <c r="Y185" s="49">
        <f t="shared" si="171"/>
        <v>261</v>
      </c>
      <c r="Z185" s="50"/>
      <c r="AA185" s="50">
        <v>261</v>
      </c>
      <c r="AB185" s="50">
        <f t="shared" si="130"/>
        <v>0</v>
      </c>
      <c r="AC185" s="51">
        <f t="shared" si="178"/>
        <v>0</v>
      </c>
      <c r="AD185" s="50">
        <f t="shared" si="144"/>
        <v>8693</v>
      </c>
      <c r="AE185" s="51">
        <f t="shared" si="131"/>
        <v>0.10177352633268522</v>
      </c>
      <c r="AF185" s="1047"/>
      <c r="AG185" s="41">
        <f t="shared" si="172"/>
        <v>626</v>
      </c>
      <c r="AH185" s="41"/>
      <c r="AI185" s="41">
        <v>587</v>
      </c>
      <c r="AJ185" s="41">
        <f t="shared" si="160"/>
        <v>39</v>
      </c>
      <c r="AK185" s="42">
        <f t="shared" si="164"/>
        <v>69.990685854882386</v>
      </c>
      <c r="AL185" s="41">
        <f t="shared" si="154"/>
        <v>4888</v>
      </c>
      <c r="AM185" s="42">
        <f t="shared" si="145"/>
        <v>5.7226388670673568E-2</v>
      </c>
      <c r="AN185" s="1058"/>
      <c r="AO185" s="220">
        <v>8.4</v>
      </c>
      <c r="AP185" s="67">
        <v>24</v>
      </c>
      <c r="AQ185" s="68">
        <f t="shared" si="150"/>
        <v>100.20528000000002</v>
      </c>
      <c r="AR185" s="68">
        <f>AQ185*1000/D185</f>
        <v>15.21341381948915</v>
      </c>
      <c r="AS185" s="69">
        <f t="shared" si="155"/>
        <v>11263.550639999994</v>
      </c>
      <c r="AT185" s="140">
        <f t="shared" si="132"/>
        <v>11.759314422491917</v>
      </c>
      <c r="AU185" s="1073"/>
      <c r="AV185" s="70">
        <v>3.9</v>
      </c>
      <c r="AW185" s="71">
        <v>12</v>
      </c>
      <c r="AX185" s="72">
        <f t="shared" si="151"/>
        <v>24.182963999999998</v>
      </c>
      <c r="AY185" s="72">
        <f>AX185*1000/D185</f>
        <v>3.671517496022251</v>
      </c>
      <c r="AZ185" s="73">
        <f t="shared" si="156"/>
        <v>3140.4059058000007</v>
      </c>
      <c r="BA185" s="192">
        <f t="shared" si="133"/>
        <v>3.2786304817068559</v>
      </c>
      <c r="BB185" s="1075"/>
      <c r="BC185" s="56">
        <f t="shared" si="169"/>
        <v>37849</v>
      </c>
      <c r="BD185" s="59"/>
      <c r="BE185" s="56">
        <v>37849</v>
      </c>
      <c r="BF185" s="56">
        <f t="shared" si="152"/>
        <v>0</v>
      </c>
      <c r="BG185" s="58">
        <f t="shared" si="146"/>
        <v>61703</v>
      </c>
      <c r="BH185" s="58">
        <f t="shared" si="134"/>
        <v>64.418849881516508</v>
      </c>
      <c r="BI185" s="1133"/>
      <c r="BJ185" s="64">
        <f t="shared" si="173"/>
        <v>1450</v>
      </c>
      <c r="BK185" s="64"/>
      <c r="BL185" s="64">
        <v>1450</v>
      </c>
      <c r="BM185" s="64">
        <f t="shared" si="147"/>
        <v>0</v>
      </c>
      <c r="BN185" s="65"/>
      <c r="BO185" s="64">
        <f t="shared" si="148"/>
        <v>17050</v>
      </c>
      <c r="BP185" s="65">
        <f t="shared" si="149"/>
        <v>0.19961332382057781</v>
      </c>
      <c r="BQ185" s="1071"/>
      <c r="BR185" s="35">
        <f t="shared" si="174"/>
        <v>49898</v>
      </c>
      <c r="BS185" s="35"/>
      <c r="BT185" s="35">
        <v>47830</v>
      </c>
      <c r="BU185" s="74">
        <f t="shared" si="161"/>
        <v>2068</v>
      </c>
      <c r="BV185" s="74">
        <f t="shared" si="162"/>
        <v>419471</v>
      </c>
      <c r="BW185" s="74">
        <f t="shared" si="135"/>
        <v>437.93396396689968</v>
      </c>
      <c r="BX185" s="1098"/>
      <c r="BY185" s="296">
        <f t="shared" si="175"/>
        <v>100</v>
      </c>
      <c r="BZ185" s="296"/>
      <c r="CA185" s="296">
        <v>0</v>
      </c>
      <c r="CB185" s="296">
        <f t="shared" si="136"/>
        <v>100</v>
      </c>
      <c r="CC185" s="297"/>
      <c r="CD185" s="296">
        <f t="shared" si="157"/>
        <v>42550</v>
      </c>
      <c r="CE185" s="297"/>
      <c r="CF185" s="1061"/>
    </row>
    <row r="186" spans="1:85">
      <c r="A186" s="30">
        <v>44499</v>
      </c>
      <c r="B186" s="384">
        <v>558.11900000000003</v>
      </c>
      <c r="C186" s="842">
        <f t="shared" si="165"/>
        <v>85973.259000000064</v>
      </c>
      <c r="D186" s="851">
        <v>5374.64</v>
      </c>
      <c r="E186" s="843">
        <f t="shared" si="166"/>
        <v>963215.39800000028</v>
      </c>
      <c r="F186" s="240">
        <f t="shared" si="170"/>
        <v>18600</v>
      </c>
      <c r="G186" s="240">
        <v>27956</v>
      </c>
      <c r="H186" s="280">
        <v>10.73</v>
      </c>
      <c r="I186" s="240">
        <v>32400</v>
      </c>
      <c r="J186" s="240">
        <f t="shared" si="138"/>
        <v>14156</v>
      </c>
      <c r="K186" s="280">
        <f t="shared" si="167"/>
        <v>25363.766508576125</v>
      </c>
      <c r="L186" s="240">
        <f t="shared" si="158"/>
        <v>2174917</v>
      </c>
      <c r="M186" s="280">
        <f t="shared" si="139"/>
        <v>25297.598640526103</v>
      </c>
      <c r="N186" s="280">
        <f t="shared" si="140"/>
        <v>3097.5387095048491</v>
      </c>
      <c r="O186" s="1089"/>
      <c r="P186" s="1084"/>
      <c r="Q186" s="77">
        <f t="shared" si="141"/>
        <v>13184</v>
      </c>
      <c r="R186" s="35"/>
      <c r="S186" s="35">
        <v>13184</v>
      </c>
      <c r="T186" s="35">
        <f t="shared" si="129"/>
        <v>0</v>
      </c>
      <c r="U186" s="36">
        <f t="shared" si="177"/>
        <v>0</v>
      </c>
      <c r="V186" s="74">
        <f t="shared" si="142"/>
        <v>177690</v>
      </c>
      <c r="W186" s="36">
        <f t="shared" si="143"/>
        <v>2.0668054470285915</v>
      </c>
      <c r="X186" s="1136"/>
      <c r="Y186" s="49">
        <f t="shared" si="171"/>
        <v>261</v>
      </c>
      <c r="Z186" s="50"/>
      <c r="AA186" s="50">
        <v>100</v>
      </c>
      <c r="AB186" s="50">
        <f t="shared" si="130"/>
        <v>161</v>
      </c>
      <c r="AC186" s="51">
        <f t="shared" si="178"/>
        <v>0.28846894658665984</v>
      </c>
      <c r="AD186" s="50">
        <f t="shared" si="144"/>
        <v>8854</v>
      </c>
      <c r="AE186" s="51">
        <f t="shared" si="131"/>
        <v>0.10298551087844644</v>
      </c>
      <c r="AF186" s="1047"/>
      <c r="AG186" s="41">
        <f t="shared" si="172"/>
        <v>587</v>
      </c>
      <c r="AH186" s="41"/>
      <c r="AI186" s="41">
        <v>565</v>
      </c>
      <c r="AJ186" s="41">
        <f t="shared" si="160"/>
        <v>22</v>
      </c>
      <c r="AK186" s="42"/>
      <c r="AL186" s="41">
        <f t="shared" si="154"/>
        <v>4910</v>
      </c>
      <c r="AM186" s="42">
        <f t="shared" si="145"/>
        <v>5.7110781388431446E-2</v>
      </c>
      <c r="AN186" s="1058"/>
      <c r="AO186" s="220">
        <v>6</v>
      </c>
      <c r="AP186" s="67">
        <v>24</v>
      </c>
      <c r="AQ186" s="68">
        <f t="shared" si="150"/>
        <v>71.575199999999995</v>
      </c>
      <c r="AR186" s="68">
        <f>AQ186*1000/D186</f>
        <v>13.317208222318145</v>
      </c>
      <c r="AS186" s="69">
        <f t="shared" si="155"/>
        <v>11335.125839999993</v>
      </c>
      <c r="AT186" s="140">
        <f t="shared" si="132"/>
        <v>11.768007305049322</v>
      </c>
      <c r="AU186" s="1073"/>
      <c r="AV186" s="70">
        <v>3.2</v>
      </c>
      <c r="AW186" s="71">
        <v>12</v>
      </c>
      <c r="AX186" s="72">
        <f t="shared" si="151"/>
        <v>19.842432000000002</v>
      </c>
      <c r="AY186" s="72">
        <f>AX186*1000/D186</f>
        <v>3.6918625247458432</v>
      </c>
      <c r="AZ186" s="73">
        <f t="shared" si="156"/>
        <v>3160.2483378000006</v>
      </c>
      <c r="BA186" s="192">
        <f t="shared" si="133"/>
        <v>3.2809362727816356</v>
      </c>
      <c r="BB186" s="1075"/>
      <c r="BC186" s="56">
        <f t="shared" si="169"/>
        <v>37849</v>
      </c>
      <c r="BD186" s="59"/>
      <c r="BE186" s="56">
        <v>37849</v>
      </c>
      <c r="BF186" s="56">
        <f t="shared" si="152"/>
        <v>0</v>
      </c>
      <c r="BG186" s="58">
        <f t="shared" si="146"/>
        <v>61703</v>
      </c>
      <c r="BH186" s="58">
        <f t="shared" si="134"/>
        <v>64.059399515538047</v>
      </c>
      <c r="BI186" s="1133"/>
      <c r="BJ186" s="64">
        <f t="shared" si="173"/>
        <v>1450</v>
      </c>
      <c r="BK186" s="64"/>
      <c r="BL186" s="64">
        <v>1300</v>
      </c>
      <c r="BM186" s="64">
        <f t="shared" si="147"/>
        <v>150</v>
      </c>
      <c r="BN186" s="65"/>
      <c r="BO186" s="64">
        <f t="shared" si="148"/>
        <v>17200</v>
      </c>
      <c r="BP186" s="65">
        <f t="shared" si="149"/>
        <v>0.20006220771507555</v>
      </c>
      <c r="BQ186" s="1071"/>
      <c r="BR186" s="35">
        <f t="shared" si="174"/>
        <v>47830</v>
      </c>
      <c r="BS186" s="35"/>
      <c r="BT186" s="37">
        <v>46780</v>
      </c>
      <c r="BU186" s="74">
        <f t="shared" si="161"/>
        <v>1050</v>
      </c>
      <c r="BV186" s="74">
        <f t="shared" si="162"/>
        <v>420521</v>
      </c>
      <c r="BW186" s="74">
        <f t="shared" si="135"/>
        <v>436.58043763955681</v>
      </c>
      <c r="BX186" s="1098"/>
      <c r="BY186" s="296">
        <f t="shared" si="175"/>
        <v>0</v>
      </c>
      <c r="BZ186" s="296"/>
      <c r="CA186" s="296">
        <v>0</v>
      </c>
      <c r="CB186" s="296">
        <f t="shared" si="136"/>
        <v>0</v>
      </c>
      <c r="CC186" s="297"/>
      <c r="CD186" s="296">
        <f t="shared" si="157"/>
        <v>42550</v>
      </c>
      <c r="CE186" s="369"/>
      <c r="CF186" s="1061"/>
    </row>
    <row r="187" spans="1:85" ht="15.75" thickBot="1">
      <c r="A187" s="30">
        <v>44500</v>
      </c>
      <c r="B187" s="385">
        <v>287.02499999999998</v>
      </c>
      <c r="C187" s="845">
        <f>C186+B187</f>
        <v>86260.284000000058</v>
      </c>
      <c r="D187" s="852">
        <v>3553.9</v>
      </c>
      <c r="E187" s="847">
        <f>E186+D187</f>
        <v>966769.2980000003</v>
      </c>
      <c r="F187" s="245">
        <f t="shared" si="170"/>
        <v>32400</v>
      </c>
      <c r="G187" s="231">
        <v>26250</v>
      </c>
      <c r="H187" s="230">
        <v>11.31</v>
      </c>
      <c r="I187" s="231">
        <v>39000</v>
      </c>
      <c r="J187" s="231">
        <f t="shared" si="138"/>
        <v>19650</v>
      </c>
      <c r="K187" s="230">
        <f t="shared" si="167"/>
        <v>68460.935458583757</v>
      </c>
      <c r="L187" s="231">
        <f t="shared" si="158"/>
        <v>2194567</v>
      </c>
      <c r="M187" s="230">
        <f t="shared" si="139"/>
        <v>25441.221593937698</v>
      </c>
      <c r="N187" s="230">
        <f t="shared" si="140"/>
        <v>3115.124475809685</v>
      </c>
      <c r="O187" s="1090"/>
      <c r="P187" s="1085"/>
      <c r="Q187" s="79">
        <f t="shared" si="141"/>
        <v>13184</v>
      </c>
      <c r="R187" s="76"/>
      <c r="S187" s="35">
        <v>13184</v>
      </c>
      <c r="T187" s="76">
        <f t="shared" si="129"/>
        <v>0</v>
      </c>
      <c r="U187" s="80">
        <f t="shared" si="177"/>
        <v>0</v>
      </c>
      <c r="V187" s="81">
        <f t="shared" si="142"/>
        <v>177690</v>
      </c>
      <c r="W187" s="80">
        <f t="shared" si="143"/>
        <v>2.0599282979406826</v>
      </c>
      <c r="X187" s="1137"/>
      <c r="Y187" s="83">
        <f t="shared" si="171"/>
        <v>100</v>
      </c>
      <c r="Z187" s="82">
        <v>900</v>
      </c>
      <c r="AA187" s="50">
        <v>1000</v>
      </c>
      <c r="AB187" s="82">
        <f t="shared" si="130"/>
        <v>0</v>
      </c>
      <c r="AC187" s="84">
        <f t="shared" si="178"/>
        <v>0</v>
      </c>
      <c r="AD187" s="82">
        <f t="shared" si="144"/>
        <v>8854</v>
      </c>
      <c r="AE187" s="84">
        <f t="shared" si="131"/>
        <v>0.10264283386778549</v>
      </c>
      <c r="AF187" s="1048"/>
      <c r="AG187" s="41">
        <f t="shared" si="172"/>
        <v>565</v>
      </c>
      <c r="AH187" s="41"/>
      <c r="AI187" s="41">
        <v>548</v>
      </c>
      <c r="AJ187" s="41">
        <f t="shared" si="160"/>
        <v>17</v>
      </c>
      <c r="AK187" s="42"/>
      <c r="AL187" s="41">
        <f t="shared" si="154"/>
        <v>4927</v>
      </c>
      <c r="AM187" s="42">
        <f t="shared" si="145"/>
        <v>5.7117827249444211E-2</v>
      </c>
      <c r="AN187" s="1058"/>
      <c r="AO187" s="220">
        <v>5.3</v>
      </c>
      <c r="AP187" s="67">
        <v>24</v>
      </c>
      <c r="AQ187" s="68">
        <f t="shared" si="150"/>
        <v>63.224759999999996</v>
      </c>
      <c r="AR187" s="68">
        <f t="shared" ref="AR187:AR194" si="179">AQ187*1000/D187</f>
        <v>17.790247333914852</v>
      </c>
      <c r="AS187" s="69">
        <f t="shared" si="155"/>
        <v>11398.350599999992</v>
      </c>
      <c r="AT187" s="140">
        <f t="shared" si="132"/>
        <v>11.790145408610181</v>
      </c>
      <c r="AU187" s="1073"/>
      <c r="AV187" s="70">
        <v>2</v>
      </c>
      <c r="AW187" s="71">
        <v>12</v>
      </c>
      <c r="AX187" s="72">
        <f t="shared" si="151"/>
        <v>12.401520000000001</v>
      </c>
      <c r="AY187" s="72">
        <f t="shared" ref="AY187:AY193" si="180">AX187*1000/D187</f>
        <v>3.4895523228003045</v>
      </c>
      <c r="AZ187" s="73">
        <f t="shared" si="156"/>
        <v>3172.6498578000005</v>
      </c>
      <c r="BA187" s="192">
        <f t="shared" si="133"/>
        <v>3.2817031574786308</v>
      </c>
      <c r="BB187" s="1076"/>
      <c r="BC187" s="56">
        <f t="shared" si="169"/>
        <v>37849</v>
      </c>
      <c r="BD187" s="59"/>
      <c r="BE187" s="56">
        <v>37849</v>
      </c>
      <c r="BF187" s="56">
        <f t="shared" si="152"/>
        <v>0</v>
      </c>
      <c r="BG187" s="58">
        <f t="shared" si="146"/>
        <v>61703</v>
      </c>
      <c r="BH187" s="58">
        <f t="shared" si="134"/>
        <v>63.823913448273345</v>
      </c>
      <c r="BI187" s="1134"/>
      <c r="BJ187" s="64">
        <f t="shared" si="173"/>
        <v>1300</v>
      </c>
      <c r="BK187" s="64"/>
      <c r="BL187" s="64">
        <v>1200</v>
      </c>
      <c r="BM187" s="64">
        <f t="shared" si="147"/>
        <v>100</v>
      </c>
      <c r="BN187" s="65"/>
      <c r="BO187" s="64">
        <f t="shared" si="148"/>
        <v>17300</v>
      </c>
      <c r="BP187" s="65">
        <f t="shared" si="149"/>
        <v>0.20055579691808095</v>
      </c>
      <c r="BQ187" s="1072"/>
      <c r="BR187" s="35">
        <f t="shared" si="174"/>
        <v>46780</v>
      </c>
      <c r="BS187" s="35"/>
      <c r="BT187" s="37">
        <v>45890</v>
      </c>
      <c r="BU187" s="74">
        <f t="shared" si="161"/>
        <v>890</v>
      </c>
      <c r="BV187" s="74">
        <f t="shared" si="162"/>
        <v>421411</v>
      </c>
      <c r="BW187" s="74">
        <f t="shared" si="135"/>
        <v>435.89613455018912</v>
      </c>
      <c r="BX187" s="1098"/>
      <c r="BY187" s="296">
        <f t="shared" si="175"/>
        <v>0</v>
      </c>
      <c r="BZ187" s="296"/>
      <c r="CA187" s="296">
        <v>0</v>
      </c>
      <c r="CB187" s="296">
        <f t="shared" si="136"/>
        <v>0</v>
      </c>
      <c r="CC187" s="297"/>
      <c r="CD187" s="296">
        <f t="shared" si="157"/>
        <v>42550</v>
      </c>
      <c r="CE187" s="369"/>
      <c r="CF187" s="1061"/>
    </row>
    <row r="188" spans="1:85">
      <c r="A188" s="30">
        <v>44501</v>
      </c>
      <c r="B188" s="868">
        <v>415.298</v>
      </c>
      <c r="C188" s="842">
        <f>C187+B188</f>
        <v>86675.582000000053</v>
      </c>
      <c r="D188" s="612">
        <v>5661.52</v>
      </c>
      <c r="E188" s="843">
        <f>E187+D188</f>
        <v>972430.81800000032</v>
      </c>
      <c r="F188" s="240">
        <f t="shared" si="170"/>
        <v>39000</v>
      </c>
      <c r="G188" s="240">
        <v>26250</v>
      </c>
      <c r="H188" s="280">
        <v>5.68</v>
      </c>
      <c r="I188" s="240">
        <v>40800</v>
      </c>
      <c r="J188" s="240">
        <f t="shared" si="138"/>
        <v>24450</v>
      </c>
      <c r="K188" s="280">
        <f t="shared" si="167"/>
        <v>58873.38730261162</v>
      </c>
      <c r="L188" s="240">
        <f t="shared" si="158"/>
        <v>2219017</v>
      </c>
      <c r="M188" s="280">
        <f t="shared" si="139"/>
        <v>25601.408710471638</v>
      </c>
      <c r="N188" s="280">
        <f t="shared" si="140"/>
        <v>3134.7384242037024</v>
      </c>
      <c r="O188" s="1052">
        <f>SUM(J188:J217)/SUM(B188:B217)</f>
        <v>51.473651794286539</v>
      </c>
      <c r="P188" s="1083">
        <f>O188/8.167</f>
        <v>6.3026388875090662</v>
      </c>
      <c r="Q188" s="117">
        <f t="shared" si="141"/>
        <v>13184</v>
      </c>
      <c r="R188" s="118"/>
      <c r="S188" s="118">
        <v>13184</v>
      </c>
      <c r="T188" s="118">
        <f t="shared" si="129"/>
        <v>0</v>
      </c>
      <c r="U188" s="119">
        <f t="shared" si="177"/>
        <v>0</v>
      </c>
      <c r="V188" s="120">
        <f t="shared" si="142"/>
        <v>177690</v>
      </c>
      <c r="W188" s="119">
        <f t="shared" si="143"/>
        <v>2.0500583428444692</v>
      </c>
      <c r="X188" s="1135">
        <f>1000*SUM(T188:T217)/SUM(B188:B217)</f>
        <v>0</v>
      </c>
      <c r="Y188" s="122">
        <f t="shared" si="171"/>
        <v>1000</v>
      </c>
      <c r="Z188" s="122"/>
      <c r="AA188" s="122">
        <v>973</v>
      </c>
      <c r="AB188" s="122">
        <f t="shared" si="130"/>
        <v>27</v>
      </c>
      <c r="AC188" s="123">
        <f t="shared" si="178"/>
        <v>6.5013556530491359E-2</v>
      </c>
      <c r="AD188" s="122">
        <f t="shared" si="144"/>
        <v>8881</v>
      </c>
      <c r="AE188" s="123">
        <f t="shared" si="131"/>
        <v>0.10246253668074584</v>
      </c>
      <c r="AF188" s="1046">
        <f>SUM(AB188:AB217)/SUM(B188:B217)</f>
        <v>5.4344872561273842E-2</v>
      </c>
      <c r="AG188" s="124">
        <f t="shared" si="172"/>
        <v>548</v>
      </c>
      <c r="AH188" s="125"/>
      <c r="AI188" s="125">
        <v>528</v>
      </c>
      <c r="AJ188" s="125">
        <f t="shared" si="160"/>
        <v>20</v>
      </c>
      <c r="AK188" s="126">
        <f t="shared" ref="AK188:AK216" si="181">AJ188*1000/B188</f>
        <v>48.15819002258619</v>
      </c>
      <c r="AL188" s="125">
        <f t="shared" si="154"/>
        <v>4947</v>
      </c>
      <c r="AM188" s="126">
        <f t="shared" si="145"/>
        <v>5.7074897979917771E-2</v>
      </c>
      <c r="AN188" s="1057">
        <f>1000*SUM(AJ188:AJ217)/SUM(B188:B217)</f>
        <v>68.112240276796555</v>
      </c>
      <c r="AO188" s="219">
        <v>8.4</v>
      </c>
      <c r="AP188" s="135">
        <v>24</v>
      </c>
      <c r="AQ188" s="102">
        <f t="shared" si="150"/>
        <v>100.20528000000002</v>
      </c>
      <c r="AR188" s="102">
        <f t="shared" si="179"/>
        <v>17.699359889217032</v>
      </c>
      <c r="AS188" s="103">
        <f t="shared" si="155"/>
        <v>11498.555879999993</v>
      </c>
      <c r="AT188" s="136">
        <f t="shared" si="132"/>
        <v>11.824549024113702</v>
      </c>
      <c r="AU188" s="1117">
        <f>1000*SUM(AQ188:AQ217)/SUM(D188:D217)</f>
        <v>19.499706756892312</v>
      </c>
      <c r="AV188" s="277">
        <v>3.5</v>
      </c>
      <c r="AW188" s="137">
        <v>12</v>
      </c>
      <c r="AX188" s="138">
        <f t="shared" si="151"/>
        <v>21.702660000000002</v>
      </c>
      <c r="AY188" s="138">
        <f t="shared" si="180"/>
        <v>3.8333627718351253</v>
      </c>
      <c r="AZ188" s="139">
        <f t="shared" si="156"/>
        <v>3194.3525178000004</v>
      </c>
      <c r="BA188" s="194">
        <f t="shared" si="133"/>
        <v>3.284914935511638</v>
      </c>
      <c r="BB188" s="1120">
        <f>1000*SUM(AX188:AX217)/SUM(D188:D217)</f>
        <v>4.0747847537014161</v>
      </c>
      <c r="BC188" s="129">
        <f t="shared" si="169"/>
        <v>37849</v>
      </c>
      <c r="BD188" s="128"/>
      <c r="BE188" s="129">
        <v>37849</v>
      </c>
      <c r="BF188" s="129">
        <f t="shared" si="152"/>
        <v>0</v>
      </c>
      <c r="BG188" s="130">
        <f t="shared" si="146"/>
        <v>61703</v>
      </c>
      <c r="BH188" s="130">
        <f t="shared" si="134"/>
        <v>63.452328801039684</v>
      </c>
      <c r="BI188" s="1132">
        <f>1000*SUM(BF188:BF217)/SUM(D188:D217)</f>
        <v>191.32190771298932</v>
      </c>
      <c r="BJ188" s="132">
        <f t="shared" si="173"/>
        <v>1200</v>
      </c>
      <c r="BK188" s="132"/>
      <c r="BL188" s="132">
        <v>1100</v>
      </c>
      <c r="BM188" s="132">
        <f t="shared" si="147"/>
        <v>100</v>
      </c>
      <c r="BN188" s="134"/>
      <c r="BO188" s="132">
        <f t="shared" si="148"/>
        <v>17400</v>
      </c>
      <c r="BP188" s="134">
        <f t="shared" si="149"/>
        <v>0.20074857991723655</v>
      </c>
      <c r="BQ188" s="1067">
        <f>SUM(BM188:BM217)/SUM(B188:B217)</f>
        <v>0.34056120138398277</v>
      </c>
      <c r="BR188" s="118">
        <f t="shared" si="174"/>
        <v>45890</v>
      </c>
      <c r="BS188" s="118"/>
      <c r="BT188" s="118">
        <v>44040</v>
      </c>
      <c r="BU188" s="120">
        <f t="shared" si="161"/>
        <v>1850</v>
      </c>
      <c r="BV188" s="120">
        <f t="shared" si="162"/>
        <v>423261</v>
      </c>
      <c r="BW188" s="120">
        <f t="shared" si="135"/>
        <v>435.26078376508207</v>
      </c>
      <c r="BX188" s="1063">
        <f>1000*SUM(BU188:BU217)/SUM(D188:D217)</f>
        <v>344.31353655581029</v>
      </c>
      <c r="BY188" s="302">
        <f t="shared" si="175"/>
        <v>0</v>
      </c>
      <c r="BZ188" s="302"/>
      <c r="CA188" s="302">
        <v>0</v>
      </c>
      <c r="CB188" s="302">
        <f t="shared" si="136"/>
        <v>0</v>
      </c>
      <c r="CC188" s="304"/>
      <c r="CD188" s="302">
        <f t="shared" si="157"/>
        <v>42550</v>
      </c>
      <c r="CE188" s="304"/>
      <c r="CF188" s="1060">
        <f>1000*SUM(CB188:CB217)/SUM(B188:B217)</f>
        <v>0</v>
      </c>
      <c r="CG188" s="33"/>
    </row>
    <row r="189" spans="1:85">
      <c r="A189" s="30">
        <v>44502</v>
      </c>
      <c r="B189" s="869">
        <v>458.60199999999998</v>
      </c>
      <c r="C189" s="842">
        <f>C188+B189</f>
        <v>87134.184000000052</v>
      </c>
      <c r="D189" s="612">
        <v>4546.84</v>
      </c>
      <c r="E189" s="843">
        <f>E188+D189</f>
        <v>976977.65800000029</v>
      </c>
      <c r="F189" s="240">
        <f t="shared" si="170"/>
        <v>40800</v>
      </c>
      <c r="G189" s="240">
        <v>26875</v>
      </c>
      <c r="H189" s="280">
        <v>7.2</v>
      </c>
      <c r="I189" s="240">
        <v>37800</v>
      </c>
      <c r="J189" s="240">
        <f t="shared" si="138"/>
        <v>29875</v>
      </c>
      <c r="K189" s="280">
        <f t="shared" si="167"/>
        <v>65143.632169070355</v>
      </c>
      <c r="L189" s="240">
        <f t="shared" si="158"/>
        <v>2248892</v>
      </c>
      <c r="M189" s="280">
        <f t="shared" si="139"/>
        <v>25809.526144182386</v>
      </c>
      <c r="N189" s="280">
        <f t="shared" si="140"/>
        <v>3160.2211514855376</v>
      </c>
      <c r="O189" s="1089"/>
      <c r="P189" s="1084"/>
      <c r="Q189" s="77">
        <f t="shared" si="141"/>
        <v>13184</v>
      </c>
      <c r="R189" s="35"/>
      <c r="S189" s="35">
        <v>13184</v>
      </c>
      <c r="T189" s="35">
        <f t="shared" si="129"/>
        <v>0</v>
      </c>
      <c r="U189" s="36">
        <f t="shared" si="177"/>
        <v>0</v>
      </c>
      <c r="V189" s="74">
        <f t="shared" si="142"/>
        <v>177690</v>
      </c>
      <c r="W189" s="36">
        <f t="shared" si="143"/>
        <v>2.0392685378220778</v>
      </c>
      <c r="X189" s="1136"/>
      <c r="Y189" s="50">
        <f t="shared" si="171"/>
        <v>973</v>
      </c>
      <c r="Z189" s="50"/>
      <c r="AA189" s="50">
        <v>903</v>
      </c>
      <c r="AB189" s="50">
        <f t="shared" si="130"/>
        <v>70</v>
      </c>
      <c r="AC189" s="51">
        <f t="shared" si="178"/>
        <v>0.1526377992246</v>
      </c>
      <c r="AD189" s="50">
        <f t="shared" si="144"/>
        <v>8951</v>
      </c>
      <c r="AE189" s="51">
        <f t="shared" si="131"/>
        <v>0.10272661760394743</v>
      </c>
      <c r="AF189" s="1047"/>
      <c r="AG189" s="40">
        <f t="shared" si="172"/>
        <v>528</v>
      </c>
      <c r="AH189" s="41"/>
      <c r="AI189" s="41">
        <v>509</v>
      </c>
      <c r="AJ189" s="41">
        <f t="shared" si="160"/>
        <v>19</v>
      </c>
      <c r="AK189" s="42">
        <f t="shared" si="181"/>
        <v>41.430259789534283</v>
      </c>
      <c r="AL189" s="41">
        <f t="shared" si="154"/>
        <v>4966</v>
      </c>
      <c r="AM189" s="42">
        <f t="shared" si="145"/>
        <v>5.699255759369936E-2</v>
      </c>
      <c r="AN189" s="1058"/>
      <c r="AO189" s="220">
        <v>6.6</v>
      </c>
      <c r="AP189" s="67">
        <v>24</v>
      </c>
      <c r="AQ189" s="68">
        <f t="shared" si="150"/>
        <v>78.732719999999986</v>
      </c>
      <c r="AR189" s="68">
        <f t="shared" si="179"/>
        <v>17.315920507429333</v>
      </c>
      <c r="AS189" s="69">
        <f t="shared" si="155"/>
        <v>11577.288599999993</v>
      </c>
      <c r="AT189" s="140">
        <f t="shared" si="132"/>
        <v>11.850105788191923</v>
      </c>
      <c r="AU189" s="1118"/>
      <c r="AV189" s="70">
        <v>3</v>
      </c>
      <c r="AW189" s="71">
        <v>12</v>
      </c>
      <c r="AX189" s="72">
        <f t="shared" si="151"/>
        <v>18.60228</v>
      </c>
      <c r="AY189" s="72">
        <f t="shared" si="180"/>
        <v>4.0912545856023081</v>
      </c>
      <c r="AZ189" s="73">
        <f t="shared" si="156"/>
        <v>3212.9547978000005</v>
      </c>
      <c r="BA189" s="192">
        <f t="shared" si="133"/>
        <v>3.2886676286716061</v>
      </c>
      <c r="BB189" s="1121"/>
      <c r="BC189" s="56">
        <f t="shared" si="169"/>
        <v>37849</v>
      </c>
      <c r="BD189" s="59"/>
      <c r="BE189" s="56">
        <v>37849</v>
      </c>
      <c r="BF189" s="56">
        <f t="shared" si="152"/>
        <v>0</v>
      </c>
      <c r="BG189" s="58">
        <f t="shared" si="146"/>
        <v>61703</v>
      </c>
      <c r="BH189" s="58">
        <f t="shared" si="134"/>
        <v>63.1570225733862</v>
      </c>
      <c r="BI189" s="1133"/>
      <c r="BJ189" s="64">
        <f t="shared" si="173"/>
        <v>1100</v>
      </c>
      <c r="BK189" s="64"/>
      <c r="BL189" s="64">
        <v>945</v>
      </c>
      <c r="BM189" s="64">
        <f t="shared" si="147"/>
        <v>155</v>
      </c>
      <c r="BN189" s="65"/>
      <c r="BO189" s="64">
        <f t="shared" si="148"/>
        <v>17555</v>
      </c>
      <c r="BP189" s="65">
        <f t="shared" si="149"/>
        <v>0.20147087163862107</v>
      </c>
      <c r="BQ189" s="1071"/>
      <c r="BR189" s="35">
        <f t="shared" si="174"/>
        <v>44040</v>
      </c>
      <c r="BS189" s="35"/>
      <c r="BT189" s="35">
        <v>40395</v>
      </c>
      <c r="BU189" s="74">
        <f t="shared" si="161"/>
        <v>3645</v>
      </c>
      <c r="BV189" s="74">
        <f t="shared" si="162"/>
        <v>426906</v>
      </c>
      <c r="BW189" s="74">
        <f t="shared" si="135"/>
        <v>436.96598023943744</v>
      </c>
      <c r="BX189" s="1098"/>
      <c r="BY189" s="296">
        <f t="shared" si="175"/>
        <v>0</v>
      </c>
      <c r="BZ189" s="296"/>
      <c r="CA189" s="296">
        <v>0</v>
      </c>
      <c r="CB189" s="296">
        <f t="shared" si="136"/>
        <v>0</v>
      </c>
      <c r="CC189" s="297"/>
      <c r="CD189" s="296">
        <f t="shared" si="157"/>
        <v>42550</v>
      </c>
      <c r="CE189" s="297"/>
      <c r="CF189" s="1061"/>
      <c r="CG189" s="33"/>
    </row>
    <row r="190" spans="1:85">
      <c r="A190" s="30">
        <v>44503</v>
      </c>
      <c r="B190" s="869">
        <v>364.06599999999997</v>
      </c>
      <c r="C190" s="842">
        <f t="shared" ref="C190:C217" si="182">C189+B190</f>
        <v>87498.250000000058</v>
      </c>
      <c r="D190" s="612">
        <v>4152.0200000000004</v>
      </c>
      <c r="E190" s="843">
        <f t="shared" ref="E190:E217" si="183">E189+D190</f>
        <v>981129.67800000031</v>
      </c>
      <c r="F190" s="240">
        <f t="shared" si="170"/>
        <v>37800</v>
      </c>
      <c r="G190" s="240"/>
      <c r="H190" s="280"/>
      <c r="I190" s="240">
        <v>27600</v>
      </c>
      <c r="J190" s="240">
        <f t="shared" si="138"/>
        <v>10200</v>
      </c>
      <c r="K190" s="280">
        <f t="shared" si="167"/>
        <v>28016.898034971684</v>
      </c>
      <c r="L190" s="240">
        <f t="shared" si="158"/>
        <v>2259092</v>
      </c>
      <c r="M190" s="280">
        <f t="shared" si="139"/>
        <v>25818.710659927467</v>
      </c>
      <c r="N190" s="280">
        <f t="shared" si="140"/>
        <v>3161.3457401649894</v>
      </c>
      <c r="O190" s="1089"/>
      <c r="P190" s="1084"/>
      <c r="Q190" s="77">
        <f t="shared" si="141"/>
        <v>13184</v>
      </c>
      <c r="R190" s="35"/>
      <c r="S190" s="35">
        <v>13184</v>
      </c>
      <c r="T190" s="35">
        <f t="shared" si="129"/>
        <v>0</v>
      </c>
      <c r="U190" s="36">
        <f t="shared" si="177"/>
        <v>0</v>
      </c>
      <c r="V190" s="74">
        <f t="shared" si="142"/>
        <v>177690</v>
      </c>
      <c r="W190" s="36">
        <f t="shared" si="143"/>
        <v>2.030783472812312</v>
      </c>
      <c r="X190" s="1136"/>
      <c r="Y190" s="50">
        <f t="shared" si="171"/>
        <v>903</v>
      </c>
      <c r="Z190" s="50"/>
      <c r="AA190" s="50">
        <v>903</v>
      </c>
      <c r="AB190" s="50">
        <f t="shared" si="130"/>
        <v>0</v>
      </c>
      <c r="AC190" s="51">
        <f t="shared" si="178"/>
        <v>0</v>
      </c>
      <c r="AD190" s="50">
        <f t="shared" si="144"/>
        <v>8951</v>
      </c>
      <c r="AE190" s="51">
        <f t="shared" si="131"/>
        <v>0.10229918884091961</v>
      </c>
      <c r="AF190" s="1047"/>
      <c r="AG190" s="40">
        <f t="shared" si="172"/>
        <v>509</v>
      </c>
      <c r="AH190" s="41"/>
      <c r="AI190" s="41">
        <v>490</v>
      </c>
      <c r="AJ190" s="41">
        <f t="shared" si="160"/>
        <v>19</v>
      </c>
      <c r="AK190" s="42">
        <f t="shared" si="181"/>
        <v>52.188339476908034</v>
      </c>
      <c r="AL190" s="41">
        <f t="shared" si="154"/>
        <v>4985</v>
      </c>
      <c r="AM190" s="42">
        <f t="shared" si="145"/>
        <v>5.6972568022788987E-2</v>
      </c>
      <c r="AN190" s="1058"/>
      <c r="AO190" s="220">
        <v>7</v>
      </c>
      <c r="AP190" s="67">
        <v>24</v>
      </c>
      <c r="AQ190" s="68">
        <f t="shared" si="150"/>
        <v>83.504400000000004</v>
      </c>
      <c r="AR190" s="68">
        <f t="shared" si="179"/>
        <v>20.111752833560534</v>
      </c>
      <c r="AS190" s="69">
        <f t="shared" si="155"/>
        <v>11660.792999999992</v>
      </c>
      <c r="AT190" s="140">
        <f t="shared" si="132"/>
        <v>11.885068061308802</v>
      </c>
      <c r="AU190" s="1118"/>
      <c r="AV190" s="70">
        <v>2.8</v>
      </c>
      <c r="AW190" s="71">
        <v>12</v>
      </c>
      <c r="AX190" s="72">
        <f t="shared" si="151"/>
        <v>17.362127999999998</v>
      </c>
      <c r="AY190" s="72">
        <f t="shared" si="180"/>
        <v>4.1816099151738175</v>
      </c>
      <c r="AZ190" s="73">
        <f t="shared" si="156"/>
        <v>3230.3169258000007</v>
      </c>
      <c r="BA190" s="192">
        <f t="shared" si="133"/>
        <v>3.2924464504884745</v>
      </c>
      <c r="BB190" s="1121"/>
      <c r="BC190" s="56">
        <f t="shared" si="169"/>
        <v>37849</v>
      </c>
      <c r="BD190" s="59"/>
      <c r="BE190" s="56">
        <v>37849</v>
      </c>
      <c r="BF190" s="56">
        <f t="shared" si="152"/>
        <v>0</v>
      </c>
      <c r="BG190" s="58">
        <f t="shared" si="146"/>
        <v>61703</v>
      </c>
      <c r="BH190" s="58">
        <f t="shared" si="134"/>
        <v>62.889749829787519</v>
      </c>
      <c r="BI190" s="1133"/>
      <c r="BJ190" s="64">
        <f t="shared" si="173"/>
        <v>945</v>
      </c>
      <c r="BK190" s="64"/>
      <c r="BL190" s="64">
        <v>805</v>
      </c>
      <c r="BM190" s="64">
        <f t="shared" si="147"/>
        <v>140</v>
      </c>
      <c r="BN190" s="65"/>
      <c r="BO190" s="64">
        <f t="shared" si="148"/>
        <v>17695</v>
      </c>
      <c r="BP190" s="65">
        <f t="shared" si="149"/>
        <v>0.20223261608089291</v>
      </c>
      <c r="BQ190" s="1071"/>
      <c r="BR190" s="35">
        <f t="shared" si="174"/>
        <v>40395</v>
      </c>
      <c r="BS190" s="35"/>
      <c r="BT190" s="35">
        <v>38786</v>
      </c>
      <c r="BU190" s="74">
        <f t="shared" si="161"/>
        <v>1609</v>
      </c>
      <c r="BV190" s="74">
        <f t="shared" si="162"/>
        <v>428515</v>
      </c>
      <c r="BW190" s="74">
        <f t="shared" si="135"/>
        <v>436.7567403256146</v>
      </c>
      <c r="BX190" s="1098"/>
      <c r="BY190" s="296">
        <f t="shared" si="175"/>
        <v>0</v>
      </c>
      <c r="BZ190" s="296"/>
      <c r="CA190" s="296">
        <v>0</v>
      </c>
      <c r="CB190" s="296">
        <f t="shared" si="136"/>
        <v>0</v>
      </c>
      <c r="CC190" s="297"/>
      <c r="CD190" s="296">
        <f t="shared" si="157"/>
        <v>42550</v>
      </c>
      <c r="CE190" s="297"/>
      <c r="CF190" s="1061"/>
      <c r="CG190" s="33"/>
    </row>
    <row r="191" spans="1:85">
      <c r="A191" s="30">
        <v>44504</v>
      </c>
      <c r="B191" s="869">
        <v>431.11500000000001</v>
      </c>
      <c r="C191" s="842">
        <f t="shared" si="182"/>
        <v>87929.365000000063</v>
      </c>
      <c r="D191" s="612">
        <v>4853.1400000000003</v>
      </c>
      <c r="E191" s="843">
        <f t="shared" si="183"/>
        <v>985982.81800000032</v>
      </c>
      <c r="F191" s="240">
        <f t="shared" si="170"/>
        <v>27600</v>
      </c>
      <c r="G191" s="240">
        <v>18260</v>
      </c>
      <c r="H191" s="280">
        <v>7.42</v>
      </c>
      <c r="I191" s="240">
        <v>27600</v>
      </c>
      <c r="J191" s="240">
        <f t="shared" si="138"/>
        <v>18260</v>
      </c>
      <c r="K191" s="280">
        <f t="shared" si="167"/>
        <v>42355.288032195582</v>
      </c>
      <c r="L191" s="240">
        <f t="shared" si="158"/>
        <v>2277352</v>
      </c>
      <c r="M191" s="280">
        <f t="shared" si="139"/>
        <v>25899.788995405554</v>
      </c>
      <c r="N191" s="280">
        <f t="shared" si="140"/>
        <v>3171.2732944049899</v>
      </c>
      <c r="O191" s="1089"/>
      <c r="P191" s="1084"/>
      <c r="Q191" s="77">
        <f t="shared" si="141"/>
        <v>13184</v>
      </c>
      <c r="R191" s="35"/>
      <c r="S191" s="35">
        <v>13184</v>
      </c>
      <c r="T191" s="35">
        <f t="shared" si="129"/>
        <v>0</v>
      </c>
      <c r="U191" s="36">
        <f t="shared" si="177"/>
        <v>0</v>
      </c>
      <c r="V191" s="74">
        <f t="shared" si="142"/>
        <v>177690</v>
      </c>
      <c r="W191" s="36">
        <f t="shared" si="143"/>
        <v>2.0208266032627424</v>
      </c>
      <c r="X191" s="1136"/>
      <c r="Y191" s="50">
        <f t="shared" si="171"/>
        <v>903</v>
      </c>
      <c r="Z191" s="50"/>
      <c r="AA191" s="50">
        <v>850</v>
      </c>
      <c r="AB191" s="50">
        <f t="shared" si="130"/>
        <v>53</v>
      </c>
      <c r="AC191" s="51">
        <f t="shared" si="178"/>
        <v>0.12293703536179441</v>
      </c>
      <c r="AD191" s="50">
        <f t="shared" si="144"/>
        <v>9004</v>
      </c>
      <c r="AE191" s="51">
        <f t="shared" si="131"/>
        <v>0.1024003755741895</v>
      </c>
      <c r="AF191" s="1047"/>
      <c r="AG191" s="40">
        <f t="shared" si="172"/>
        <v>490</v>
      </c>
      <c r="AH191" s="41"/>
      <c r="AI191" s="41">
        <v>452</v>
      </c>
      <c r="AJ191" s="41">
        <f t="shared" si="160"/>
        <v>38</v>
      </c>
      <c r="AK191" s="42">
        <f t="shared" si="181"/>
        <v>88.143534787701654</v>
      </c>
      <c r="AL191" s="41">
        <f t="shared" si="154"/>
        <v>5023</v>
      </c>
      <c r="AM191" s="42">
        <f t="shared" si="145"/>
        <v>5.7125398323984215E-2</v>
      </c>
      <c r="AN191" s="1058"/>
      <c r="AO191" s="220">
        <v>7</v>
      </c>
      <c r="AP191" s="67">
        <v>24</v>
      </c>
      <c r="AQ191" s="68">
        <f t="shared" si="150"/>
        <v>83.504400000000004</v>
      </c>
      <c r="AR191" s="68">
        <f t="shared" si="179"/>
        <v>17.206262337373332</v>
      </c>
      <c r="AS191" s="69">
        <f t="shared" si="155"/>
        <v>11744.297399999992</v>
      </c>
      <c r="AT191" s="140">
        <f t="shared" si="132"/>
        <v>11.911259694993984</v>
      </c>
      <c r="AU191" s="1118"/>
      <c r="AV191" s="70">
        <v>3.15</v>
      </c>
      <c r="AW191" s="71">
        <v>12</v>
      </c>
      <c r="AX191" s="72">
        <f t="shared" si="151"/>
        <v>19.532394</v>
      </c>
      <c r="AY191" s="72">
        <f t="shared" si="180"/>
        <v>4.0246920550406537</v>
      </c>
      <c r="AZ191" s="73">
        <f t="shared" si="156"/>
        <v>3249.8493198000006</v>
      </c>
      <c r="BA191" s="192">
        <f t="shared" si="133"/>
        <v>3.2960506618077798</v>
      </c>
      <c r="BB191" s="1121"/>
      <c r="BC191" s="56">
        <f t="shared" si="169"/>
        <v>37849</v>
      </c>
      <c r="BD191" s="59"/>
      <c r="BE191" s="56">
        <v>37849</v>
      </c>
      <c r="BF191" s="56">
        <f t="shared" si="152"/>
        <v>0</v>
      </c>
      <c r="BG191" s="58">
        <f t="shared" si="146"/>
        <v>61703</v>
      </c>
      <c r="BH191" s="58">
        <f t="shared" si="134"/>
        <v>62.580198025316889</v>
      </c>
      <c r="BI191" s="1133"/>
      <c r="BJ191" s="64">
        <f t="shared" si="173"/>
        <v>805</v>
      </c>
      <c r="BK191" s="64"/>
      <c r="BL191" s="64">
        <v>670</v>
      </c>
      <c r="BM191" s="64">
        <f t="shared" si="147"/>
        <v>135</v>
      </c>
      <c r="BN191" s="65"/>
      <c r="BO191" s="64">
        <f t="shared" si="148"/>
        <v>17830</v>
      </c>
      <c r="BP191" s="65">
        <f t="shared" si="149"/>
        <v>0.202776398987983</v>
      </c>
      <c r="BQ191" s="1071"/>
      <c r="BR191" s="35">
        <f t="shared" si="174"/>
        <v>38786</v>
      </c>
      <c r="BS191" s="35"/>
      <c r="BT191" s="35">
        <v>36485</v>
      </c>
      <c r="BU191" s="74">
        <f t="shared" si="161"/>
        <v>2301</v>
      </c>
      <c r="BV191" s="74">
        <f t="shared" si="162"/>
        <v>430816</v>
      </c>
      <c r="BW191" s="74">
        <f t="shared" si="135"/>
        <v>436.94067699260847</v>
      </c>
      <c r="BX191" s="1098"/>
      <c r="BY191" s="296">
        <f t="shared" si="175"/>
        <v>0</v>
      </c>
      <c r="BZ191" s="296"/>
      <c r="CA191" s="296">
        <v>0</v>
      </c>
      <c r="CB191" s="296">
        <f t="shared" si="136"/>
        <v>0</v>
      </c>
      <c r="CC191" s="297"/>
      <c r="CD191" s="296">
        <f t="shared" si="157"/>
        <v>42550</v>
      </c>
      <c r="CE191" s="297"/>
      <c r="CF191" s="1061"/>
      <c r="CG191" s="33"/>
    </row>
    <row r="192" spans="1:85">
      <c r="A192" s="30">
        <v>44505</v>
      </c>
      <c r="B192" s="869">
        <v>391.27600000000001</v>
      </c>
      <c r="C192" s="842">
        <f t="shared" si="182"/>
        <v>88320.641000000061</v>
      </c>
      <c r="D192" s="612">
        <v>4532.62</v>
      </c>
      <c r="E192" s="843">
        <f t="shared" si="183"/>
        <v>990515.43800000031</v>
      </c>
      <c r="F192" s="240">
        <f t="shared" si="170"/>
        <v>27600</v>
      </c>
      <c r="G192" s="240">
        <v>31690</v>
      </c>
      <c r="H192" s="280">
        <v>10.19</v>
      </c>
      <c r="I192" s="240">
        <v>27600</v>
      </c>
      <c r="J192" s="240">
        <f t="shared" si="138"/>
        <v>31690</v>
      </c>
      <c r="K192" s="280">
        <f t="shared" si="167"/>
        <v>80991.422934194779</v>
      </c>
      <c r="L192" s="240">
        <f t="shared" si="158"/>
        <v>2309042</v>
      </c>
      <c r="M192" s="280">
        <f t="shared" si="139"/>
        <v>26143.854639823079</v>
      </c>
      <c r="N192" s="280">
        <f t="shared" si="140"/>
        <v>3201.157663747163</v>
      </c>
      <c r="O192" s="1089"/>
      <c r="P192" s="1084"/>
      <c r="Q192" s="77">
        <f t="shared" si="141"/>
        <v>13184</v>
      </c>
      <c r="R192" s="35"/>
      <c r="S192" s="35">
        <v>13184</v>
      </c>
      <c r="T192" s="35">
        <f t="shared" si="129"/>
        <v>0</v>
      </c>
      <c r="U192" s="36">
        <f t="shared" si="177"/>
        <v>0</v>
      </c>
      <c r="V192" s="74">
        <f t="shared" si="142"/>
        <v>177690</v>
      </c>
      <c r="W192" s="36">
        <f t="shared" si="143"/>
        <v>2.0118739853801544</v>
      </c>
      <c r="X192" s="1136"/>
      <c r="Y192" s="50">
        <f t="shared" si="171"/>
        <v>850</v>
      </c>
      <c r="Z192" s="50"/>
      <c r="AA192" s="50">
        <v>850</v>
      </c>
      <c r="AB192" s="50">
        <f t="shared" si="130"/>
        <v>0</v>
      </c>
      <c r="AC192" s="51">
        <f t="shared" si="178"/>
        <v>0</v>
      </c>
      <c r="AD192" s="50">
        <f t="shared" si="144"/>
        <v>9004</v>
      </c>
      <c r="AE192" s="51">
        <f t="shared" si="131"/>
        <v>0.10194672386945192</v>
      </c>
      <c r="AF192" s="1047"/>
      <c r="AG192" s="40">
        <f t="shared" si="172"/>
        <v>452</v>
      </c>
      <c r="AH192" s="41"/>
      <c r="AI192" s="41">
        <v>452</v>
      </c>
      <c r="AJ192" s="41">
        <f t="shared" si="160"/>
        <v>0</v>
      </c>
      <c r="AK192" s="42">
        <f t="shared" si="181"/>
        <v>0</v>
      </c>
      <c r="AL192" s="41">
        <f t="shared" si="154"/>
        <v>5023</v>
      </c>
      <c r="AM192" s="42">
        <f t="shared" si="145"/>
        <v>5.6872322745030762E-2</v>
      </c>
      <c r="AN192" s="1058"/>
      <c r="AO192" s="220">
        <v>6.4</v>
      </c>
      <c r="AP192" s="67">
        <v>24</v>
      </c>
      <c r="AQ192" s="68">
        <f t="shared" si="150"/>
        <v>76.346880000000013</v>
      </c>
      <c r="AR192" s="68">
        <f t="shared" si="179"/>
        <v>16.843873962520579</v>
      </c>
      <c r="AS192" s="69">
        <f t="shared" si="155"/>
        <v>11820.644279999991</v>
      </c>
      <c r="AT192" s="140">
        <f t="shared" si="132"/>
        <v>11.933831444230341</v>
      </c>
      <c r="AU192" s="1118"/>
      <c r="AV192" s="70">
        <v>3</v>
      </c>
      <c r="AW192" s="71">
        <v>12</v>
      </c>
      <c r="AX192" s="72">
        <f t="shared" si="151"/>
        <v>18.60228</v>
      </c>
      <c r="AY192" s="72">
        <f t="shared" si="180"/>
        <v>4.1040899082649771</v>
      </c>
      <c r="AZ192" s="73">
        <f t="shared" si="156"/>
        <v>3268.4515998000006</v>
      </c>
      <c r="BA192" s="192">
        <f t="shared" si="133"/>
        <v>3.299748266821056</v>
      </c>
      <c r="BB192" s="1121"/>
      <c r="BC192" s="56">
        <f t="shared" si="169"/>
        <v>37849</v>
      </c>
      <c r="BD192" s="59"/>
      <c r="BE192" s="56">
        <v>37849</v>
      </c>
      <c r="BF192" s="56">
        <f t="shared" si="152"/>
        <v>0</v>
      </c>
      <c r="BG192" s="58">
        <f t="shared" si="146"/>
        <v>61703</v>
      </c>
      <c r="BH192" s="58">
        <f t="shared" si="134"/>
        <v>62.293829689911384</v>
      </c>
      <c r="BI192" s="1133"/>
      <c r="BJ192" s="64">
        <f t="shared" si="173"/>
        <v>670</v>
      </c>
      <c r="BK192" s="64"/>
      <c r="BL192" s="64">
        <v>600</v>
      </c>
      <c r="BM192" s="64">
        <f t="shared" si="147"/>
        <v>70</v>
      </c>
      <c r="BN192" s="65"/>
      <c r="BO192" s="64">
        <f t="shared" si="148"/>
        <v>17900</v>
      </c>
      <c r="BP192" s="65">
        <f t="shared" si="149"/>
        <v>0.20267063052678691</v>
      </c>
      <c r="BQ192" s="1071"/>
      <c r="BR192" s="35">
        <f t="shared" si="174"/>
        <v>36485</v>
      </c>
      <c r="BS192" s="35"/>
      <c r="BT192" s="35">
        <v>36485</v>
      </c>
      <c r="BU192" s="74">
        <f t="shared" si="161"/>
        <v>0</v>
      </c>
      <c r="BV192" s="74">
        <f t="shared" si="162"/>
        <v>430816</v>
      </c>
      <c r="BW192" s="74">
        <f t="shared" si="135"/>
        <v>434.94122703416144</v>
      </c>
      <c r="BX192" s="1098"/>
      <c r="BY192" s="296">
        <f t="shared" si="175"/>
        <v>0</v>
      </c>
      <c r="BZ192" s="296"/>
      <c r="CA192" s="296">
        <v>0</v>
      </c>
      <c r="CB192" s="296">
        <f t="shared" si="136"/>
        <v>0</v>
      </c>
      <c r="CC192" s="297"/>
      <c r="CD192" s="296">
        <f t="shared" si="157"/>
        <v>42550</v>
      </c>
      <c r="CE192" s="297"/>
      <c r="CF192" s="1061"/>
      <c r="CG192" s="33"/>
    </row>
    <row r="193" spans="1:85">
      <c r="A193" s="30">
        <v>44506</v>
      </c>
      <c r="B193" s="869">
        <v>383.387</v>
      </c>
      <c r="C193" s="842">
        <f t="shared" si="182"/>
        <v>88704.028000000064</v>
      </c>
      <c r="D193" s="612">
        <v>3569.08</v>
      </c>
      <c r="E193" s="843">
        <f t="shared" si="183"/>
        <v>994084.51800000027</v>
      </c>
      <c r="F193" s="240">
        <f t="shared" si="170"/>
        <v>27600</v>
      </c>
      <c r="G193" s="240"/>
      <c r="H193" s="280"/>
      <c r="I193" s="240">
        <v>10500</v>
      </c>
      <c r="J193" s="240">
        <f t="shared" si="138"/>
        <v>17100</v>
      </c>
      <c r="K193" s="280">
        <f t="shared" si="167"/>
        <v>44602.451308990654</v>
      </c>
      <c r="L193" s="240">
        <f t="shared" si="158"/>
        <v>2326142</v>
      </c>
      <c r="M193" s="280">
        <f t="shared" si="139"/>
        <v>26223.634399105285</v>
      </c>
      <c r="N193" s="280">
        <f t="shared" si="140"/>
        <v>3210.9262151469679</v>
      </c>
      <c r="O193" s="1089"/>
      <c r="P193" s="1084"/>
      <c r="Q193" s="77">
        <f t="shared" si="141"/>
        <v>13184</v>
      </c>
      <c r="R193" s="35"/>
      <c r="S193" s="35">
        <v>13184</v>
      </c>
      <c r="T193" s="35">
        <f t="shared" si="129"/>
        <v>0</v>
      </c>
      <c r="U193" s="36">
        <f t="shared" si="177"/>
        <v>0</v>
      </c>
      <c r="V193" s="74">
        <f t="shared" si="142"/>
        <v>177690</v>
      </c>
      <c r="W193" s="36">
        <f t="shared" si="143"/>
        <v>2.0031784802376715</v>
      </c>
      <c r="X193" s="1136"/>
      <c r="Y193" s="50">
        <f t="shared" si="171"/>
        <v>850</v>
      </c>
      <c r="Z193" s="50"/>
      <c r="AA193" s="50">
        <v>850</v>
      </c>
      <c r="AB193" s="50">
        <f t="shared" si="130"/>
        <v>0</v>
      </c>
      <c r="AC193" s="51">
        <f t="shared" si="178"/>
        <v>0</v>
      </c>
      <c r="AD193" s="50">
        <f t="shared" si="144"/>
        <v>9004</v>
      </c>
      <c r="AE193" s="51">
        <f t="shared" si="131"/>
        <v>0.10150610071506554</v>
      </c>
      <c r="AF193" s="1047"/>
      <c r="AG193" s="40">
        <f t="shared" si="172"/>
        <v>452</v>
      </c>
      <c r="AH193" s="41"/>
      <c r="AI193" s="41">
        <v>415</v>
      </c>
      <c r="AJ193" s="41">
        <f t="shared" si="160"/>
        <v>37</v>
      </c>
      <c r="AK193" s="42">
        <f t="shared" si="181"/>
        <v>96.508227978517795</v>
      </c>
      <c r="AL193" s="41">
        <f t="shared" si="154"/>
        <v>5060</v>
      </c>
      <c r="AM193" s="42">
        <f t="shared" si="145"/>
        <v>5.7043632787453537E-2</v>
      </c>
      <c r="AN193" s="1058"/>
      <c r="AO193" s="220">
        <v>6.75</v>
      </c>
      <c r="AP193" s="67">
        <v>24</v>
      </c>
      <c r="AQ193" s="68">
        <f t="shared" si="150"/>
        <v>80.522099999999995</v>
      </c>
      <c r="AR193" s="68">
        <f t="shared" si="179"/>
        <v>22.561024129467537</v>
      </c>
      <c r="AS193" s="69">
        <f t="shared" si="155"/>
        <v>11901.166379999991</v>
      </c>
      <c r="AT193" s="140">
        <f t="shared" si="132"/>
        <v>11.971986450351285</v>
      </c>
      <c r="AU193" s="1118"/>
      <c r="AV193" s="70">
        <v>2.5</v>
      </c>
      <c r="AW193" s="71">
        <v>12</v>
      </c>
      <c r="AX193" s="72">
        <f t="shared" si="151"/>
        <v>15.501900000000001</v>
      </c>
      <c r="AY193" s="72">
        <f t="shared" si="180"/>
        <v>4.3433882120882696</v>
      </c>
      <c r="AZ193" s="73">
        <f t="shared" si="156"/>
        <v>3283.9534998000008</v>
      </c>
      <c r="BA193" s="192">
        <f t="shared" si="133"/>
        <v>3.303495266586578</v>
      </c>
      <c r="BB193" s="1121"/>
      <c r="BC193" s="56">
        <f t="shared" si="169"/>
        <v>37849</v>
      </c>
      <c r="BD193" s="59"/>
      <c r="BE193" s="56">
        <v>37849</v>
      </c>
      <c r="BF193" s="56">
        <f t="shared" si="152"/>
        <v>0</v>
      </c>
      <c r="BG193" s="58">
        <f t="shared" si="146"/>
        <v>61703</v>
      </c>
      <c r="BH193" s="58">
        <f t="shared" si="134"/>
        <v>62.070175002966884</v>
      </c>
      <c r="BI193" s="1133"/>
      <c r="BJ193" s="64">
        <f t="shared" si="173"/>
        <v>600</v>
      </c>
      <c r="BK193" s="64"/>
      <c r="BL193" s="64">
        <v>415</v>
      </c>
      <c r="BM193" s="64">
        <f t="shared" si="147"/>
        <v>185</v>
      </c>
      <c r="BN193" s="65"/>
      <c r="BO193" s="64">
        <f t="shared" si="148"/>
        <v>18085</v>
      </c>
      <c r="BP193" s="65">
        <f t="shared" si="149"/>
        <v>0.20388025671167928</v>
      </c>
      <c r="BQ193" s="1071"/>
      <c r="BR193" s="35">
        <f t="shared" si="174"/>
        <v>36485</v>
      </c>
      <c r="BS193" s="35"/>
      <c r="BT193" s="35">
        <v>36485</v>
      </c>
      <c r="BU193" s="74">
        <f t="shared" si="161"/>
        <v>0</v>
      </c>
      <c r="BV193" s="74">
        <f t="shared" si="162"/>
        <v>430816</v>
      </c>
      <c r="BW193" s="74">
        <f t="shared" si="135"/>
        <v>433.37964951587736</v>
      </c>
      <c r="BX193" s="1098"/>
      <c r="BY193" s="296">
        <f t="shared" si="175"/>
        <v>0</v>
      </c>
      <c r="BZ193" s="296"/>
      <c r="CA193" s="296">
        <v>0</v>
      </c>
      <c r="CB193" s="296">
        <f t="shared" si="136"/>
        <v>0</v>
      </c>
      <c r="CC193" s="297"/>
      <c r="CD193" s="296">
        <f t="shared" si="157"/>
        <v>42550</v>
      </c>
      <c r="CE193" s="297"/>
      <c r="CF193" s="1061"/>
      <c r="CG193" s="33"/>
    </row>
    <row r="194" spans="1:85">
      <c r="A194" s="30">
        <v>44507</v>
      </c>
      <c r="B194" s="869">
        <v>316.40600000000001</v>
      </c>
      <c r="C194" s="842">
        <f t="shared" si="182"/>
        <v>89020.434000000067</v>
      </c>
      <c r="D194" s="870" t="s">
        <v>265</v>
      </c>
      <c r="E194" s="843" t="e">
        <f t="shared" si="183"/>
        <v>#VALUE!</v>
      </c>
      <c r="F194" s="240">
        <f t="shared" si="170"/>
        <v>10500</v>
      </c>
      <c r="G194" s="240"/>
      <c r="H194" s="280"/>
      <c r="I194" s="240">
        <v>6000</v>
      </c>
      <c r="J194" s="240">
        <f t="shared" si="138"/>
        <v>4500</v>
      </c>
      <c r="K194" s="280">
        <f t="shared" si="167"/>
        <v>14222.233459542485</v>
      </c>
      <c r="L194" s="240">
        <f t="shared" si="158"/>
        <v>2330642</v>
      </c>
      <c r="M194" s="280">
        <f t="shared" si="139"/>
        <v>26180.977729225611</v>
      </c>
      <c r="N194" s="280">
        <f t="shared" si="140"/>
        <v>3205.7031626332328</v>
      </c>
      <c r="O194" s="1089"/>
      <c r="P194" s="1084"/>
      <c r="Q194" s="77">
        <f t="shared" si="141"/>
        <v>13184</v>
      </c>
      <c r="R194" s="35"/>
      <c r="S194" s="35">
        <v>13184</v>
      </c>
      <c r="T194" s="35">
        <f t="shared" si="129"/>
        <v>0</v>
      </c>
      <c r="U194" s="36">
        <f t="shared" si="177"/>
        <v>0</v>
      </c>
      <c r="V194" s="74">
        <f t="shared" si="142"/>
        <v>177690</v>
      </c>
      <c r="W194" s="36">
        <f t="shared" si="143"/>
        <v>1.9960585678564526</v>
      </c>
      <c r="X194" s="1136"/>
      <c r="Y194" s="50">
        <f t="shared" si="171"/>
        <v>850</v>
      </c>
      <c r="Z194" s="50"/>
      <c r="AA194" s="50">
        <v>850</v>
      </c>
      <c r="AB194" s="50">
        <f t="shared" si="130"/>
        <v>0</v>
      </c>
      <c r="AC194" s="51">
        <f t="shared" si="178"/>
        <v>0</v>
      </c>
      <c r="AD194" s="50">
        <f t="shared" si="144"/>
        <v>9004</v>
      </c>
      <c r="AE194" s="51">
        <f t="shared" si="131"/>
        <v>0.10114531681568743</v>
      </c>
      <c r="AF194" s="1047"/>
      <c r="AG194" s="40">
        <f t="shared" si="172"/>
        <v>415</v>
      </c>
      <c r="AH194" s="41"/>
      <c r="AI194" s="41">
        <v>378</v>
      </c>
      <c r="AJ194" s="41">
        <f t="shared" si="160"/>
        <v>37</v>
      </c>
      <c r="AK194" s="42">
        <f t="shared" si="181"/>
        <v>116.93836400068267</v>
      </c>
      <c r="AL194" s="41">
        <f t="shared" si="154"/>
        <v>5097</v>
      </c>
      <c r="AM194" s="42">
        <f t="shared" si="145"/>
        <v>5.7256517082358821E-2</v>
      </c>
      <c r="AN194" s="1058"/>
      <c r="AO194" s="220">
        <v>2.5</v>
      </c>
      <c r="AP194" s="67">
        <v>24</v>
      </c>
      <c r="AQ194" s="68">
        <f t="shared" si="150"/>
        <v>29.823</v>
      </c>
      <c r="AR194" s="68" t="e">
        <f t="shared" si="179"/>
        <v>#VALUE!</v>
      </c>
      <c r="AS194" s="69">
        <f t="shared" si="155"/>
        <v>11930.989379999992</v>
      </c>
      <c r="AT194" s="140" t="e">
        <f t="shared" si="132"/>
        <v>#VALUE!</v>
      </c>
      <c r="AU194" s="1118"/>
      <c r="AV194" s="70">
        <v>0</v>
      </c>
      <c r="AW194" s="71">
        <v>12</v>
      </c>
      <c r="AX194" s="72">
        <f t="shared" si="151"/>
        <v>0</v>
      </c>
      <c r="AY194" s="72">
        <v>0</v>
      </c>
      <c r="AZ194" s="73">
        <f t="shared" si="156"/>
        <v>3283.9534998000008</v>
      </c>
      <c r="BA194" s="192" t="e">
        <f t="shared" si="133"/>
        <v>#VALUE!</v>
      </c>
      <c r="BB194" s="1121"/>
      <c r="BC194" s="56">
        <f t="shared" si="169"/>
        <v>37849</v>
      </c>
      <c r="BD194" s="59"/>
      <c r="BE194" s="56">
        <v>32623</v>
      </c>
      <c r="BF194" s="56">
        <f t="shared" si="152"/>
        <v>5226</v>
      </c>
      <c r="BG194" s="58">
        <f t="shared" si="146"/>
        <v>66929</v>
      </c>
      <c r="BH194" s="58" t="e">
        <f t="shared" si="134"/>
        <v>#VALUE!</v>
      </c>
      <c r="BI194" s="1133"/>
      <c r="BJ194" s="64">
        <f t="shared" si="173"/>
        <v>415</v>
      </c>
      <c r="BK194" s="64"/>
      <c r="BL194" s="64">
        <v>290</v>
      </c>
      <c r="BM194" s="64">
        <f t="shared" si="147"/>
        <v>125</v>
      </c>
      <c r="BN194" s="65"/>
      <c r="BO194" s="64">
        <f t="shared" si="148"/>
        <v>18210</v>
      </c>
      <c r="BP194" s="65">
        <f t="shared" si="149"/>
        <v>0.20455977556793292</v>
      </c>
      <c r="BQ194" s="1071"/>
      <c r="BR194" s="35">
        <f t="shared" si="174"/>
        <v>36485</v>
      </c>
      <c r="BS194" s="35"/>
      <c r="BT194" s="35">
        <v>36485</v>
      </c>
      <c r="BU194" s="74">
        <f t="shared" si="161"/>
        <v>0</v>
      </c>
      <c r="BV194" s="74">
        <f t="shared" si="162"/>
        <v>430816</v>
      </c>
      <c r="BW194" s="74" t="e">
        <f t="shared" si="135"/>
        <v>#VALUE!</v>
      </c>
      <c r="BX194" s="1098"/>
      <c r="BY194" s="296">
        <f t="shared" si="175"/>
        <v>0</v>
      </c>
      <c r="BZ194" s="296"/>
      <c r="CA194" s="296">
        <v>0</v>
      </c>
      <c r="CB194" s="296">
        <f t="shared" si="136"/>
        <v>0</v>
      </c>
      <c r="CC194" s="297"/>
      <c r="CD194" s="296">
        <f t="shared" si="157"/>
        <v>42550</v>
      </c>
      <c r="CE194" s="297"/>
      <c r="CF194" s="1061"/>
      <c r="CG194" s="33"/>
    </row>
    <row r="195" spans="1:85">
      <c r="A195" s="30">
        <v>44508</v>
      </c>
      <c r="B195" s="32"/>
      <c r="C195" s="842">
        <f t="shared" si="182"/>
        <v>89020.434000000067</v>
      </c>
      <c r="D195" s="842"/>
      <c r="E195" s="843" t="e">
        <f t="shared" si="183"/>
        <v>#VALUE!</v>
      </c>
      <c r="F195" s="240">
        <f>I194</f>
        <v>6000</v>
      </c>
      <c r="G195" s="240"/>
      <c r="H195" s="280"/>
      <c r="I195" s="240"/>
      <c r="J195" s="240">
        <f t="shared" si="138"/>
        <v>6000</v>
      </c>
      <c r="K195" s="280" t="e">
        <f t="shared" si="167"/>
        <v>#DIV/0!</v>
      </c>
      <c r="L195" s="240">
        <f>L194+J195</f>
        <v>2336642</v>
      </c>
      <c r="M195" s="280">
        <f t="shared" si="139"/>
        <v>26248.377984766939</v>
      </c>
      <c r="N195" s="280">
        <f t="shared" si="140"/>
        <v>3213.9559183013271</v>
      </c>
      <c r="O195" s="1089"/>
      <c r="P195" s="1084"/>
      <c r="Q195" s="77">
        <f t="shared" si="141"/>
        <v>13184</v>
      </c>
      <c r="R195" s="35"/>
      <c r="S195" s="35">
        <v>13184</v>
      </c>
      <c r="T195" s="35">
        <f t="shared" ref="T195:T225" si="184">Q195+R195-S195</f>
        <v>0</v>
      </c>
      <c r="U195" s="36" t="e">
        <f t="shared" si="177"/>
        <v>#DIV/0!</v>
      </c>
      <c r="V195" s="74">
        <f>V194+T195</f>
        <v>177690</v>
      </c>
      <c r="W195" s="36">
        <f t="shared" si="143"/>
        <v>1.9960585678564526</v>
      </c>
      <c r="X195" s="1136"/>
      <c r="Y195" s="50">
        <f>AA194</f>
        <v>850</v>
      </c>
      <c r="Z195" s="50"/>
      <c r="AA195" s="50">
        <v>850</v>
      </c>
      <c r="AB195" s="50">
        <f t="shared" ref="AB195:AB225" si="185">Y195+Z195-AA195</f>
        <v>0</v>
      </c>
      <c r="AC195" s="51" t="e">
        <f t="shared" si="178"/>
        <v>#DIV/0!</v>
      </c>
      <c r="AD195" s="50">
        <f>AD194+AB195</f>
        <v>9004</v>
      </c>
      <c r="AE195" s="51">
        <f t="shared" ref="AE195:AE225" si="186">AD195/C195</f>
        <v>0.10114531681568743</v>
      </c>
      <c r="AF195" s="1047"/>
      <c r="AG195" s="40">
        <f>AI194</f>
        <v>378</v>
      </c>
      <c r="AH195" s="41"/>
      <c r="AI195" s="41">
        <v>360</v>
      </c>
      <c r="AJ195" s="41">
        <f t="shared" si="160"/>
        <v>18</v>
      </c>
      <c r="AK195" s="42" t="e">
        <f t="shared" si="181"/>
        <v>#DIV/0!</v>
      </c>
      <c r="AL195" s="41">
        <f>AL194+AJ195</f>
        <v>5115</v>
      </c>
      <c r="AM195" s="42">
        <f t="shared" si="145"/>
        <v>5.7458717848982807E-2</v>
      </c>
      <c r="AN195" s="1058"/>
      <c r="AO195" s="260"/>
      <c r="AP195" s="67"/>
      <c r="AQ195" s="68"/>
      <c r="AR195" s="68"/>
      <c r="AS195" s="258"/>
      <c r="AT195" s="68"/>
      <c r="AU195" s="1118"/>
      <c r="AV195" s="70"/>
      <c r="AW195" s="71"/>
      <c r="AX195" s="72"/>
      <c r="AY195" s="72"/>
      <c r="AZ195" s="276"/>
      <c r="BA195" s="72"/>
      <c r="BB195" s="1121"/>
      <c r="BC195" s="56">
        <f>BE194</f>
        <v>32623</v>
      </c>
      <c r="BD195" s="59"/>
      <c r="BE195" s="56">
        <v>32623</v>
      </c>
      <c r="BF195" s="56">
        <f t="shared" si="152"/>
        <v>0</v>
      </c>
      <c r="BG195" s="58">
        <f>BG194+BF195</f>
        <v>66929</v>
      </c>
      <c r="BH195" s="58" t="e">
        <f t="shared" ref="BH195:BH225" si="187">BG195*1000/E195</f>
        <v>#VALUE!</v>
      </c>
      <c r="BI195" s="1133"/>
      <c r="BJ195" s="64">
        <f>BL194</f>
        <v>290</v>
      </c>
      <c r="BK195" s="64"/>
      <c r="BL195" s="64">
        <v>260</v>
      </c>
      <c r="BM195" s="64">
        <f t="shared" si="147"/>
        <v>30</v>
      </c>
      <c r="BN195" s="65"/>
      <c r="BO195" s="64">
        <f>BO194+BM195</f>
        <v>18240</v>
      </c>
      <c r="BP195" s="65">
        <f t="shared" si="149"/>
        <v>0.20489677684563959</v>
      </c>
      <c r="BQ195" s="1071"/>
      <c r="BR195" s="35">
        <f>BT194</f>
        <v>36485</v>
      </c>
      <c r="BS195" s="35"/>
      <c r="BT195" s="35">
        <v>36485</v>
      </c>
      <c r="BU195" s="74">
        <f t="shared" si="161"/>
        <v>0</v>
      </c>
      <c r="BV195" s="74">
        <f>BV194+BU195</f>
        <v>430816</v>
      </c>
      <c r="BW195" s="74" t="e">
        <f t="shared" ref="BW195:BW225" si="188">BV195*1000/E195</f>
        <v>#VALUE!</v>
      </c>
      <c r="BX195" s="1098"/>
      <c r="BY195" s="296">
        <f>CA194</f>
        <v>0</v>
      </c>
      <c r="BZ195" s="296"/>
      <c r="CA195" s="296">
        <v>0</v>
      </c>
      <c r="CB195" s="296">
        <f t="shared" ref="CB195:CB225" si="189">BY195+BZ195-CA195</f>
        <v>0</v>
      </c>
      <c r="CC195" s="297"/>
      <c r="CD195" s="296">
        <f>CD194+CB195</f>
        <v>42550</v>
      </c>
      <c r="CE195" s="297"/>
      <c r="CF195" s="1061"/>
      <c r="CG195" s="33"/>
    </row>
    <row r="196" spans="1:85">
      <c r="A196" s="30">
        <v>44509</v>
      </c>
      <c r="B196" s="32"/>
      <c r="C196" s="842">
        <f t="shared" si="182"/>
        <v>89020.434000000067</v>
      </c>
      <c r="D196" s="842"/>
      <c r="E196" s="843" t="e">
        <f t="shared" si="183"/>
        <v>#VALUE!</v>
      </c>
      <c r="F196" s="240">
        <f t="shared" si="170"/>
        <v>0</v>
      </c>
      <c r="G196" s="240"/>
      <c r="H196" s="280"/>
      <c r="I196" s="240"/>
      <c r="J196" s="240">
        <f t="shared" ref="J196:J217" si="190">F196+G196-I196</f>
        <v>0</v>
      </c>
      <c r="K196" s="280" t="e">
        <f t="shared" si="167"/>
        <v>#DIV/0!</v>
      </c>
      <c r="L196" s="240">
        <f t="shared" si="158"/>
        <v>2336642</v>
      </c>
      <c r="M196" s="280">
        <f t="shared" ref="M196:M217" si="191">L196*1000/C196</f>
        <v>26248.377984766939</v>
      </c>
      <c r="N196" s="280">
        <f t="shared" ref="N196:N217" si="192">M196/8.167</f>
        <v>3213.9559183013271</v>
      </c>
      <c r="O196" s="1089"/>
      <c r="P196" s="1084"/>
      <c r="Q196" s="77">
        <f t="shared" ref="Q196:Q225" si="193">S195</f>
        <v>13184</v>
      </c>
      <c r="R196" s="35"/>
      <c r="S196" s="35">
        <v>13184</v>
      </c>
      <c r="T196" s="35">
        <f t="shared" si="184"/>
        <v>0</v>
      </c>
      <c r="U196" s="36" t="e">
        <f t="shared" si="177"/>
        <v>#DIV/0!</v>
      </c>
      <c r="V196" s="74">
        <f t="shared" ref="V196:V225" si="194">V195+T196</f>
        <v>177690</v>
      </c>
      <c r="W196" s="36">
        <f t="shared" ref="W196:W225" si="195">V196/C196</f>
        <v>1.9960585678564526</v>
      </c>
      <c r="X196" s="1136"/>
      <c r="Y196" s="50">
        <f t="shared" si="171"/>
        <v>850</v>
      </c>
      <c r="Z196" s="50"/>
      <c r="AA196" s="50">
        <v>850</v>
      </c>
      <c r="AB196" s="50">
        <f t="shared" si="185"/>
        <v>0</v>
      </c>
      <c r="AC196" s="51" t="e">
        <f t="shared" si="178"/>
        <v>#DIV/0!</v>
      </c>
      <c r="AD196" s="50">
        <f t="shared" ref="AD196:AD225" si="196">AD195+AB196</f>
        <v>9004</v>
      </c>
      <c r="AE196" s="51">
        <f t="shared" si="186"/>
        <v>0.10114531681568743</v>
      </c>
      <c r="AF196" s="1047"/>
      <c r="AG196" s="40">
        <f t="shared" si="172"/>
        <v>360</v>
      </c>
      <c r="AH196" s="41"/>
      <c r="AI196" s="41">
        <v>360</v>
      </c>
      <c r="AJ196" s="41">
        <f t="shared" si="160"/>
        <v>0</v>
      </c>
      <c r="AK196" s="42" t="e">
        <f t="shared" si="181"/>
        <v>#DIV/0!</v>
      </c>
      <c r="AL196" s="41">
        <f t="shared" si="154"/>
        <v>5115</v>
      </c>
      <c r="AM196" s="42">
        <f t="shared" ref="AM196:AM224" si="197">AL196/C196</f>
        <v>5.7458717848982807E-2</v>
      </c>
      <c r="AN196" s="1058"/>
      <c r="AO196" s="260"/>
      <c r="AP196" s="67"/>
      <c r="AQ196" s="68"/>
      <c r="AR196" s="68"/>
      <c r="AS196" s="258"/>
      <c r="AT196" s="68"/>
      <c r="AU196" s="1118"/>
      <c r="AV196" s="70"/>
      <c r="AW196" s="71"/>
      <c r="AX196" s="72"/>
      <c r="AY196" s="72"/>
      <c r="AZ196" s="276"/>
      <c r="BA196" s="72"/>
      <c r="BB196" s="1121"/>
      <c r="BC196" s="56">
        <f t="shared" si="169"/>
        <v>32623</v>
      </c>
      <c r="BD196" s="59"/>
      <c r="BE196" s="56">
        <v>32623</v>
      </c>
      <c r="BF196" s="56">
        <f t="shared" si="152"/>
        <v>0</v>
      </c>
      <c r="BG196" s="58">
        <f t="shared" ref="BG196:BG225" si="198">BG195+BF196</f>
        <v>66929</v>
      </c>
      <c r="BH196" s="58" t="e">
        <f t="shared" si="187"/>
        <v>#VALUE!</v>
      </c>
      <c r="BI196" s="1133"/>
      <c r="BJ196" s="64">
        <f t="shared" si="173"/>
        <v>260</v>
      </c>
      <c r="BK196" s="64"/>
      <c r="BL196" s="64">
        <v>260</v>
      </c>
      <c r="BM196" s="64">
        <f t="shared" ref="BM196:BM225" si="199">BJ196+BK196-BL196</f>
        <v>0</v>
      </c>
      <c r="BN196" s="65"/>
      <c r="BO196" s="64">
        <f t="shared" ref="BO196:BO225" si="200">BO195+BM196</f>
        <v>18240</v>
      </c>
      <c r="BP196" s="65">
        <f t="shared" ref="BP196:BP225" si="201">BO196/C196</f>
        <v>0.20489677684563959</v>
      </c>
      <c r="BQ196" s="1071"/>
      <c r="BR196" s="35">
        <f t="shared" si="174"/>
        <v>36485</v>
      </c>
      <c r="BS196" s="35"/>
      <c r="BT196" s="35">
        <v>36485</v>
      </c>
      <c r="BU196" s="74">
        <f t="shared" si="161"/>
        <v>0</v>
      </c>
      <c r="BV196" s="74">
        <f t="shared" si="162"/>
        <v>430816</v>
      </c>
      <c r="BW196" s="74" t="e">
        <f t="shared" si="188"/>
        <v>#VALUE!</v>
      </c>
      <c r="BX196" s="1098"/>
      <c r="BY196" s="296">
        <f t="shared" si="175"/>
        <v>0</v>
      </c>
      <c r="BZ196" s="296"/>
      <c r="CA196" s="296">
        <v>0</v>
      </c>
      <c r="CB196" s="296">
        <f t="shared" si="189"/>
        <v>0</v>
      </c>
      <c r="CC196" s="297"/>
      <c r="CD196" s="296">
        <f t="shared" si="157"/>
        <v>42550</v>
      </c>
      <c r="CE196" s="297"/>
      <c r="CF196" s="1061"/>
      <c r="CG196" s="33"/>
    </row>
    <row r="197" spans="1:85">
      <c r="A197" s="30">
        <v>44510</v>
      </c>
      <c r="B197" s="32"/>
      <c r="C197" s="842">
        <f t="shared" si="182"/>
        <v>89020.434000000067</v>
      </c>
      <c r="D197" s="842"/>
      <c r="E197" s="843" t="e">
        <f t="shared" si="183"/>
        <v>#VALUE!</v>
      </c>
      <c r="F197" s="240">
        <f t="shared" si="170"/>
        <v>0</v>
      </c>
      <c r="G197" s="240"/>
      <c r="H197" s="280"/>
      <c r="I197" s="240"/>
      <c r="J197" s="240">
        <f t="shared" si="190"/>
        <v>0</v>
      </c>
      <c r="K197" s="280" t="e">
        <f t="shared" si="167"/>
        <v>#DIV/0!</v>
      </c>
      <c r="L197" s="240">
        <f t="shared" si="158"/>
        <v>2336642</v>
      </c>
      <c r="M197" s="280">
        <f t="shared" si="191"/>
        <v>26248.377984766939</v>
      </c>
      <c r="N197" s="280">
        <f t="shared" si="192"/>
        <v>3213.9559183013271</v>
      </c>
      <c r="O197" s="1089"/>
      <c r="P197" s="1084"/>
      <c r="Q197" s="77">
        <f t="shared" si="193"/>
        <v>13184</v>
      </c>
      <c r="R197" s="35"/>
      <c r="S197" s="35">
        <v>13184</v>
      </c>
      <c r="T197" s="35">
        <f t="shared" si="184"/>
        <v>0</v>
      </c>
      <c r="U197" s="36" t="e">
        <f t="shared" si="177"/>
        <v>#DIV/0!</v>
      </c>
      <c r="V197" s="74">
        <f t="shared" si="194"/>
        <v>177690</v>
      </c>
      <c r="W197" s="36">
        <f t="shared" si="195"/>
        <v>1.9960585678564526</v>
      </c>
      <c r="X197" s="1136"/>
      <c r="Y197" s="50">
        <f t="shared" si="171"/>
        <v>850</v>
      </c>
      <c r="Z197" s="50"/>
      <c r="AA197" s="50">
        <v>850</v>
      </c>
      <c r="AB197" s="50">
        <f t="shared" si="185"/>
        <v>0</v>
      </c>
      <c r="AC197" s="51" t="e">
        <f t="shared" si="178"/>
        <v>#DIV/0!</v>
      </c>
      <c r="AD197" s="50">
        <f t="shared" si="196"/>
        <v>9004</v>
      </c>
      <c r="AE197" s="51">
        <f t="shared" si="186"/>
        <v>0.10114531681568743</v>
      </c>
      <c r="AF197" s="1047"/>
      <c r="AG197" s="40">
        <f t="shared" si="172"/>
        <v>360</v>
      </c>
      <c r="AH197" s="41"/>
      <c r="AI197" s="41">
        <v>360</v>
      </c>
      <c r="AJ197" s="41">
        <f t="shared" si="160"/>
        <v>0</v>
      </c>
      <c r="AK197" s="42" t="e">
        <f t="shared" si="181"/>
        <v>#DIV/0!</v>
      </c>
      <c r="AL197" s="41">
        <f t="shared" si="154"/>
        <v>5115</v>
      </c>
      <c r="AM197" s="42">
        <f t="shared" si="197"/>
        <v>5.7458717848982807E-2</v>
      </c>
      <c r="AN197" s="1058"/>
      <c r="AO197" s="220"/>
      <c r="AP197" s="67"/>
      <c r="AQ197" s="68"/>
      <c r="AR197" s="68"/>
      <c r="AS197" s="258"/>
      <c r="AT197" s="68"/>
      <c r="AU197" s="1118"/>
      <c r="AV197" s="70"/>
      <c r="AW197" s="71"/>
      <c r="AX197" s="72"/>
      <c r="AY197" s="72"/>
      <c r="AZ197" s="276"/>
      <c r="BA197" s="72"/>
      <c r="BB197" s="1121"/>
      <c r="BC197" s="56">
        <f t="shared" si="169"/>
        <v>32623</v>
      </c>
      <c r="BD197" s="59"/>
      <c r="BE197" s="56">
        <v>32623</v>
      </c>
      <c r="BF197" s="56">
        <f t="shared" ref="BF197:BF225" si="202">BC197-BE197+BD197</f>
        <v>0</v>
      </c>
      <c r="BG197" s="58">
        <f t="shared" si="198"/>
        <v>66929</v>
      </c>
      <c r="BH197" s="58" t="e">
        <f t="shared" si="187"/>
        <v>#VALUE!</v>
      </c>
      <c r="BI197" s="1133"/>
      <c r="BJ197" s="64">
        <f t="shared" si="173"/>
        <v>260</v>
      </c>
      <c r="BK197" s="64"/>
      <c r="BL197" s="64">
        <v>260</v>
      </c>
      <c r="BM197" s="64">
        <f t="shared" si="199"/>
        <v>0</v>
      </c>
      <c r="BN197" s="65"/>
      <c r="BO197" s="64">
        <f t="shared" si="200"/>
        <v>18240</v>
      </c>
      <c r="BP197" s="65">
        <f t="shared" si="201"/>
        <v>0.20489677684563959</v>
      </c>
      <c r="BQ197" s="1071"/>
      <c r="BR197" s="35">
        <f t="shared" si="174"/>
        <v>36485</v>
      </c>
      <c r="BS197" s="35"/>
      <c r="BT197" s="35">
        <v>36485</v>
      </c>
      <c r="BU197" s="74">
        <f t="shared" si="161"/>
        <v>0</v>
      </c>
      <c r="BV197" s="74">
        <f t="shared" si="162"/>
        <v>430816</v>
      </c>
      <c r="BW197" s="74" t="e">
        <f t="shared" si="188"/>
        <v>#VALUE!</v>
      </c>
      <c r="BX197" s="1098"/>
      <c r="BY197" s="296">
        <f t="shared" si="175"/>
        <v>0</v>
      </c>
      <c r="BZ197" s="296"/>
      <c r="CA197" s="296">
        <v>0</v>
      </c>
      <c r="CB197" s="296">
        <f t="shared" si="189"/>
        <v>0</v>
      </c>
      <c r="CC197" s="297"/>
      <c r="CD197" s="296">
        <f t="shared" si="157"/>
        <v>42550</v>
      </c>
      <c r="CE197" s="297"/>
      <c r="CF197" s="1061"/>
      <c r="CG197" s="33"/>
    </row>
    <row r="198" spans="1:85">
      <c r="A198" s="30">
        <v>44511</v>
      </c>
      <c r="B198" s="32"/>
      <c r="C198" s="842">
        <f t="shared" si="182"/>
        <v>89020.434000000067</v>
      </c>
      <c r="D198" s="842"/>
      <c r="E198" s="843" t="e">
        <f t="shared" si="183"/>
        <v>#VALUE!</v>
      </c>
      <c r="F198" s="240">
        <f t="shared" si="170"/>
        <v>0</v>
      </c>
      <c r="G198" s="240"/>
      <c r="H198" s="280"/>
      <c r="I198" s="240"/>
      <c r="J198" s="240">
        <f t="shared" si="190"/>
        <v>0</v>
      </c>
      <c r="K198" s="280" t="e">
        <f t="shared" si="167"/>
        <v>#DIV/0!</v>
      </c>
      <c r="L198" s="240">
        <f t="shared" si="158"/>
        <v>2336642</v>
      </c>
      <c r="M198" s="280">
        <f t="shared" si="191"/>
        <v>26248.377984766939</v>
      </c>
      <c r="N198" s="280">
        <f t="shared" si="192"/>
        <v>3213.9559183013271</v>
      </c>
      <c r="O198" s="1089"/>
      <c r="P198" s="1084"/>
      <c r="Q198" s="77">
        <f t="shared" si="193"/>
        <v>13184</v>
      </c>
      <c r="R198" s="35"/>
      <c r="S198" s="35">
        <v>13184</v>
      </c>
      <c r="T198" s="35">
        <f t="shared" si="184"/>
        <v>0</v>
      </c>
      <c r="U198" s="36" t="e">
        <f t="shared" si="177"/>
        <v>#DIV/0!</v>
      </c>
      <c r="V198" s="74">
        <f t="shared" si="194"/>
        <v>177690</v>
      </c>
      <c r="W198" s="36">
        <f t="shared" si="195"/>
        <v>1.9960585678564526</v>
      </c>
      <c r="X198" s="1136"/>
      <c r="Y198" s="50">
        <f t="shared" si="171"/>
        <v>850</v>
      </c>
      <c r="Z198" s="50"/>
      <c r="AA198" s="50">
        <v>850</v>
      </c>
      <c r="AB198" s="50">
        <f t="shared" si="185"/>
        <v>0</v>
      </c>
      <c r="AC198" s="51" t="e">
        <f t="shared" si="178"/>
        <v>#DIV/0!</v>
      </c>
      <c r="AD198" s="50">
        <f t="shared" si="196"/>
        <v>9004</v>
      </c>
      <c r="AE198" s="51">
        <f t="shared" si="186"/>
        <v>0.10114531681568743</v>
      </c>
      <c r="AF198" s="1047"/>
      <c r="AG198" s="40">
        <f t="shared" si="172"/>
        <v>360</v>
      </c>
      <c r="AH198" s="41"/>
      <c r="AI198" s="41">
        <v>360</v>
      </c>
      <c r="AJ198" s="41">
        <f t="shared" si="160"/>
        <v>0</v>
      </c>
      <c r="AK198" s="42" t="e">
        <f t="shared" si="181"/>
        <v>#DIV/0!</v>
      </c>
      <c r="AL198" s="41">
        <f t="shared" ref="AL198:AL224" si="203">AL197+AJ198</f>
        <v>5115</v>
      </c>
      <c r="AM198" s="42">
        <f t="shared" si="197"/>
        <v>5.7458717848982807E-2</v>
      </c>
      <c r="AN198" s="1058"/>
      <c r="AO198" s="220"/>
      <c r="AP198" s="67"/>
      <c r="AQ198" s="68"/>
      <c r="AR198" s="68"/>
      <c r="AS198" s="258"/>
      <c r="AT198" s="68"/>
      <c r="AU198" s="1118"/>
      <c r="AV198" s="70"/>
      <c r="AW198" s="71"/>
      <c r="AX198" s="72"/>
      <c r="AY198" s="72"/>
      <c r="AZ198" s="276"/>
      <c r="BA198" s="72"/>
      <c r="BB198" s="1121"/>
      <c r="BC198" s="56">
        <f t="shared" si="169"/>
        <v>32623</v>
      </c>
      <c r="BD198" s="59"/>
      <c r="BE198" s="56">
        <v>32623</v>
      </c>
      <c r="BF198" s="56">
        <f t="shared" si="202"/>
        <v>0</v>
      </c>
      <c r="BG198" s="58">
        <f t="shared" si="198"/>
        <v>66929</v>
      </c>
      <c r="BH198" s="58" t="e">
        <f t="shared" si="187"/>
        <v>#VALUE!</v>
      </c>
      <c r="BI198" s="1133"/>
      <c r="BJ198" s="64">
        <f t="shared" si="173"/>
        <v>260</v>
      </c>
      <c r="BK198" s="64"/>
      <c r="BL198" s="64">
        <v>260</v>
      </c>
      <c r="BM198" s="64">
        <f t="shared" si="199"/>
        <v>0</v>
      </c>
      <c r="BN198" s="65"/>
      <c r="BO198" s="64">
        <f t="shared" si="200"/>
        <v>18240</v>
      </c>
      <c r="BP198" s="65">
        <f t="shared" si="201"/>
        <v>0.20489677684563959</v>
      </c>
      <c r="BQ198" s="1071"/>
      <c r="BR198" s="35">
        <f t="shared" si="174"/>
        <v>36485</v>
      </c>
      <c r="BS198" s="35"/>
      <c r="BT198" s="35">
        <v>36485</v>
      </c>
      <c r="BU198" s="74">
        <f t="shared" si="161"/>
        <v>0</v>
      </c>
      <c r="BV198" s="74">
        <f t="shared" si="162"/>
        <v>430816</v>
      </c>
      <c r="BW198" s="74" t="e">
        <f t="shared" si="188"/>
        <v>#VALUE!</v>
      </c>
      <c r="BX198" s="1098"/>
      <c r="BY198" s="296">
        <f t="shared" si="175"/>
        <v>0</v>
      </c>
      <c r="BZ198" s="296"/>
      <c r="CA198" s="296">
        <v>0</v>
      </c>
      <c r="CB198" s="296">
        <f t="shared" si="189"/>
        <v>0</v>
      </c>
      <c r="CC198" s="297"/>
      <c r="CD198" s="296">
        <f t="shared" ref="CD198:CD225" si="204">CD197+CB198</f>
        <v>42550</v>
      </c>
      <c r="CE198" s="297"/>
      <c r="CF198" s="1061"/>
      <c r="CG198" s="33"/>
    </row>
    <row r="199" spans="1:85">
      <c r="A199" s="30">
        <v>44512</v>
      </c>
      <c r="B199" s="265"/>
      <c r="C199" s="842">
        <f t="shared" si="182"/>
        <v>89020.434000000067</v>
      </c>
      <c r="D199" s="842"/>
      <c r="E199" s="843" t="e">
        <f t="shared" si="183"/>
        <v>#VALUE!</v>
      </c>
      <c r="F199" s="240">
        <f t="shared" si="170"/>
        <v>0</v>
      </c>
      <c r="G199" s="240"/>
      <c r="H199" s="280"/>
      <c r="I199" s="240"/>
      <c r="J199" s="240">
        <f t="shared" si="190"/>
        <v>0</v>
      </c>
      <c r="K199" s="280" t="e">
        <f t="shared" si="167"/>
        <v>#DIV/0!</v>
      </c>
      <c r="L199" s="240">
        <f t="shared" ref="L199:L217" si="205">L198+J199</f>
        <v>2336642</v>
      </c>
      <c r="M199" s="280">
        <f t="shared" si="191"/>
        <v>26248.377984766939</v>
      </c>
      <c r="N199" s="280">
        <f t="shared" si="192"/>
        <v>3213.9559183013271</v>
      </c>
      <c r="O199" s="1089"/>
      <c r="P199" s="1084"/>
      <c r="Q199" s="77">
        <f t="shared" si="193"/>
        <v>13184</v>
      </c>
      <c r="R199" s="35"/>
      <c r="S199" s="35">
        <v>13184</v>
      </c>
      <c r="T199" s="35">
        <f t="shared" si="184"/>
        <v>0</v>
      </c>
      <c r="U199" s="36" t="e">
        <f t="shared" si="177"/>
        <v>#DIV/0!</v>
      </c>
      <c r="V199" s="74">
        <f t="shared" si="194"/>
        <v>177690</v>
      </c>
      <c r="W199" s="36">
        <f t="shared" si="195"/>
        <v>1.9960585678564526</v>
      </c>
      <c r="X199" s="1136"/>
      <c r="Y199" s="50">
        <f t="shared" si="171"/>
        <v>850</v>
      </c>
      <c r="Z199" s="50"/>
      <c r="AA199" s="50">
        <v>850</v>
      </c>
      <c r="AB199" s="50">
        <f t="shared" si="185"/>
        <v>0</v>
      </c>
      <c r="AC199" s="51" t="e">
        <f t="shared" si="178"/>
        <v>#DIV/0!</v>
      </c>
      <c r="AD199" s="50">
        <f t="shared" si="196"/>
        <v>9004</v>
      </c>
      <c r="AE199" s="51">
        <f t="shared" si="186"/>
        <v>0.10114531681568743</v>
      </c>
      <c r="AF199" s="1047"/>
      <c r="AG199" s="40">
        <f t="shared" si="172"/>
        <v>360</v>
      </c>
      <c r="AH199" s="41"/>
      <c r="AI199" s="41">
        <v>360</v>
      </c>
      <c r="AJ199" s="41">
        <f t="shared" si="160"/>
        <v>0</v>
      </c>
      <c r="AK199" s="42" t="e">
        <f t="shared" si="181"/>
        <v>#DIV/0!</v>
      </c>
      <c r="AL199" s="41">
        <f t="shared" si="203"/>
        <v>5115</v>
      </c>
      <c r="AM199" s="42">
        <f t="shared" si="197"/>
        <v>5.7458717848982807E-2</v>
      </c>
      <c r="AN199" s="1058"/>
      <c r="AO199" s="220"/>
      <c r="AP199" s="67"/>
      <c r="AQ199" s="68"/>
      <c r="AR199" s="68"/>
      <c r="AS199" s="258"/>
      <c r="AT199" s="68"/>
      <c r="AU199" s="1118"/>
      <c r="AV199" s="70"/>
      <c r="AW199" s="71"/>
      <c r="AX199" s="72"/>
      <c r="AY199" s="72"/>
      <c r="AZ199" s="276"/>
      <c r="BA199" s="72"/>
      <c r="BB199" s="1121"/>
      <c r="BC199" s="56">
        <f t="shared" si="169"/>
        <v>32623</v>
      </c>
      <c r="BD199" s="59"/>
      <c r="BE199" s="56">
        <v>32623</v>
      </c>
      <c r="BF199" s="56">
        <f t="shared" si="202"/>
        <v>0</v>
      </c>
      <c r="BG199" s="58">
        <f t="shared" si="198"/>
        <v>66929</v>
      </c>
      <c r="BH199" s="58" t="e">
        <f t="shared" si="187"/>
        <v>#VALUE!</v>
      </c>
      <c r="BI199" s="1133"/>
      <c r="BJ199" s="64">
        <f t="shared" si="173"/>
        <v>260</v>
      </c>
      <c r="BK199" s="64"/>
      <c r="BL199" s="64">
        <v>260</v>
      </c>
      <c r="BM199" s="64">
        <f t="shared" si="199"/>
        <v>0</v>
      </c>
      <c r="BN199" s="65"/>
      <c r="BO199" s="64">
        <f t="shared" si="200"/>
        <v>18240</v>
      </c>
      <c r="BP199" s="65">
        <f t="shared" si="201"/>
        <v>0.20489677684563959</v>
      </c>
      <c r="BQ199" s="1071"/>
      <c r="BR199" s="35">
        <f t="shared" si="174"/>
        <v>36485</v>
      </c>
      <c r="BS199" s="35"/>
      <c r="BT199" s="35">
        <v>36485</v>
      </c>
      <c r="BU199" s="74">
        <f t="shared" si="161"/>
        <v>0</v>
      </c>
      <c r="BV199" s="74">
        <f t="shared" si="162"/>
        <v>430816</v>
      </c>
      <c r="BW199" s="74" t="e">
        <f t="shared" si="188"/>
        <v>#VALUE!</v>
      </c>
      <c r="BX199" s="1098"/>
      <c r="BY199" s="296">
        <f t="shared" si="175"/>
        <v>0</v>
      </c>
      <c r="BZ199" s="296"/>
      <c r="CA199" s="296">
        <v>0</v>
      </c>
      <c r="CB199" s="296">
        <f t="shared" si="189"/>
        <v>0</v>
      </c>
      <c r="CC199" s="297"/>
      <c r="CD199" s="296">
        <f t="shared" si="204"/>
        <v>42550</v>
      </c>
      <c r="CE199" s="297"/>
      <c r="CF199" s="1061"/>
      <c r="CG199" s="33"/>
    </row>
    <row r="200" spans="1:85">
      <c r="A200" s="30">
        <v>44513</v>
      </c>
      <c r="B200" s="32"/>
      <c r="C200" s="842">
        <f t="shared" si="182"/>
        <v>89020.434000000067</v>
      </c>
      <c r="D200" s="842"/>
      <c r="E200" s="843" t="e">
        <f t="shared" si="183"/>
        <v>#VALUE!</v>
      </c>
      <c r="F200" s="240">
        <f t="shared" si="170"/>
        <v>0</v>
      </c>
      <c r="G200" s="240"/>
      <c r="H200" s="280"/>
      <c r="I200" s="240"/>
      <c r="J200" s="240">
        <f t="shared" si="190"/>
        <v>0</v>
      </c>
      <c r="K200" s="280" t="e">
        <f t="shared" si="167"/>
        <v>#DIV/0!</v>
      </c>
      <c r="L200" s="240">
        <f t="shared" si="205"/>
        <v>2336642</v>
      </c>
      <c r="M200" s="280">
        <f t="shared" si="191"/>
        <v>26248.377984766939</v>
      </c>
      <c r="N200" s="280">
        <f t="shared" si="192"/>
        <v>3213.9559183013271</v>
      </c>
      <c r="O200" s="1089"/>
      <c r="P200" s="1084"/>
      <c r="Q200" s="77">
        <f t="shared" si="193"/>
        <v>13184</v>
      </c>
      <c r="R200" s="35"/>
      <c r="S200" s="35">
        <v>13184</v>
      </c>
      <c r="T200" s="35">
        <f t="shared" si="184"/>
        <v>0</v>
      </c>
      <c r="U200" s="36" t="e">
        <f t="shared" si="177"/>
        <v>#DIV/0!</v>
      </c>
      <c r="V200" s="74">
        <f t="shared" si="194"/>
        <v>177690</v>
      </c>
      <c r="W200" s="36">
        <f t="shared" si="195"/>
        <v>1.9960585678564526</v>
      </c>
      <c r="X200" s="1136"/>
      <c r="Y200" s="50">
        <f t="shared" si="171"/>
        <v>850</v>
      </c>
      <c r="Z200" s="50"/>
      <c r="AA200" s="50">
        <v>850</v>
      </c>
      <c r="AB200" s="50">
        <f t="shared" si="185"/>
        <v>0</v>
      </c>
      <c r="AC200" s="51" t="e">
        <f t="shared" si="178"/>
        <v>#DIV/0!</v>
      </c>
      <c r="AD200" s="50">
        <f t="shared" si="196"/>
        <v>9004</v>
      </c>
      <c r="AE200" s="51">
        <f t="shared" si="186"/>
        <v>0.10114531681568743</v>
      </c>
      <c r="AF200" s="1047"/>
      <c r="AG200" s="40">
        <f t="shared" si="172"/>
        <v>360</v>
      </c>
      <c r="AH200" s="41"/>
      <c r="AI200" s="41">
        <v>360</v>
      </c>
      <c r="AJ200" s="41">
        <f t="shared" si="160"/>
        <v>0</v>
      </c>
      <c r="AK200" s="42" t="e">
        <f t="shared" si="181"/>
        <v>#DIV/0!</v>
      </c>
      <c r="AL200" s="41">
        <f t="shared" si="203"/>
        <v>5115</v>
      </c>
      <c r="AM200" s="42">
        <f t="shared" si="197"/>
        <v>5.7458717848982807E-2</v>
      </c>
      <c r="AN200" s="1058"/>
      <c r="AO200" s="220"/>
      <c r="AP200" s="67"/>
      <c r="AQ200" s="68"/>
      <c r="AR200" s="68"/>
      <c r="AS200" s="258"/>
      <c r="AT200" s="68"/>
      <c r="AU200" s="1118"/>
      <c r="AV200" s="70"/>
      <c r="AW200" s="71"/>
      <c r="AX200" s="72"/>
      <c r="AY200" s="72"/>
      <c r="AZ200" s="276"/>
      <c r="BA200" s="72"/>
      <c r="BB200" s="1121"/>
      <c r="BC200" s="56">
        <f t="shared" si="169"/>
        <v>32623</v>
      </c>
      <c r="BD200" s="59"/>
      <c r="BE200" s="56">
        <v>32623</v>
      </c>
      <c r="BF200" s="56">
        <f t="shared" si="202"/>
        <v>0</v>
      </c>
      <c r="BG200" s="58">
        <f t="shared" si="198"/>
        <v>66929</v>
      </c>
      <c r="BH200" s="58" t="e">
        <f t="shared" si="187"/>
        <v>#VALUE!</v>
      </c>
      <c r="BI200" s="1133"/>
      <c r="BJ200" s="64">
        <f t="shared" si="173"/>
        <v>260</v>
      </c>
      <c r="BK200" s="64"/>
      <c r="BL200" s="64">
        <v>260</v>
      </c>
      <c r="BM200" s="64">
        <f t="shared" si="199"/>
        <v>0</v>
      </c>
      <c r="BN200" s="65"/>
      <c r="BO200" s="64">
        <f t="shared" si="200"/>
        <v>18240</v>
      </c>
      <c r="BP200" s="65">
        <f t="shared" si="201"/>
        <v>0.20489677684563959</v>
      </c>
      <c r="BQ200" s="1071"/>
      <c r="BR200" s="35">
        <f t="shared" si="174"/>
        <v>36485</v>
      </c>
      <c r="BS200" s="35"/>
      <c r="BT200" s="35">
        <v>36485</v>
      </c>
      <c r="BU200" s="74">
        <f t="shared" si="161"/>
        <v>0</v>
      </c>
      <c r="BV200" s="74">
        <f t="shared" si="162"/>
        <v>430816</v>
      </c>
      <c r="BW200" s="74" t="e">
        <f t="shared" si="188"/>
        <v>#VALUE!</v>
      </c>
      <c r="BX200" s="1098"/>
      <c r="BY200" s="296">
        <f t="shared" si="175"/>
        <v>0</v>
      </c>
      <c r="BZ200" s="296"/>
      <c r="CA200" s="296">
        <v>0</v>
      </c>
      <c r="CB200" s="296">
        <f t="shared" si="189"/>
        <v>0</v>
      </c>
      <c r="CC200" s="297"/>
      <c r="CD200" s="296">
        <f t="shared" si="204"/>
        <v>42550</v>
      </c>
      <c r="CE200" s="297"/>
      <c r="CF200" s="1061"/>
      <c r="CG200" s="33"/>
    </row>
    <row r="201" spans="1:85">
      <c r="A201" s="30">
        <v>44514</v>
      </c>
      <c r="B201" s="32"/>
      <c r="C201" s="842">
        <f t="shared" si="182"/>
        <v>89020.434000000067</v>
      </c>
      <c r="D201" s="842"/>
      <c r="E201" s="843" t="e">
        <f t="shared" si="183"/>
        <v>#VALUE!</v>
      </c>
      <c r="F201" s="240">
        <f t="shared" si="170"/>
        <v>0</v>
      </c>
      <c r="G201" s="240"/>
      <c r="H201" s="280"/>
      <c r="I201" s="240"/>
      <c r="J201" s="240">
        <f t="shared" si="190"/>
        <v>0</v>
      </c>
      <c r="K201" s="280" t="e">
        <f t="shared" si="167"/>
        <v>#DIV/0!</v>
      </c>
      <c r="L201" s="240">
        <f t="shared" si="205"/>
        <v>2336642</v>
      </c>
      <c r="M201" s="280">
        <f t="shared" si="191"/>
        <v>26248.377984766939</v>
      </c>
      <c r="N201" s="280">
        <f t="shared" si="192"/>
        <v>3213.9559183013271</v>
      </c>
      <c r="O201" s="1089"/>
      <c r="P201" s="1084"/>
      <c r="Q201" s="77">
        <f t="shared" si="193"/>
        <v>13184</v>
      </c>
      <c r="R201" s="35"/>
      <c r="S201" s="35">
        <v>13184</v>
      </c>
      <c r="T201" s="35">
        <f t="shared" si="184"/>
        <v>0</v>
      </c>
      <c r="U201" s="36" t="e">
        <f t="shared" si="177"/>
        <v>#DIV/0!</v>
      </c>
      <c r="V201" s="74">
        <f t="shared" si="194"/>
        <v>177690</v>
      </c>
      <c r="W201" s="36">
        <f t="shared" si="195"/>
        <v>1.9960585678564526</v>
      </c>
      <c r="X201" s="1136"/>
      <c r="Y201" s="50">
        <f t="shared" si="171"/>
        <v>850</v>
      </c>
      <c r="Z201" s="50"/>
      <c r="AA201" s="50">
        <v>850</v>
      </c>
      <c r="AB201" s="50">
        <f t="shared" si="185"/>
        <v>0</v>
      </c>
      <c r="AC201" s="51" t="e">
        <f t="shared" si="178"/>
        <v>#DIV/0!</v>
      </c>
      <c r="AD201" s="50">
        <f t="shared" si="196"/>
        <v>9004</v>
      </c>
      <c r="AE201" s="51">
        <f t="shared" si="186"/>
        <v>0.10114531681568743</v>
      </c>
      <c r="AF201" s="1047"/>
      <c r="AG201" s="40">
        <f t="shared" si="172"/>
        <v>360</v>
      </c>
      <c r="AH201" s="41"/>
      <c r="AI201" s="41">
        <v>360</v>
      </c>
      <c r="AJ201" s="41">
        <f t="shared" si="160"/>
        <v>0</v>
      </c>
      <c r="AK201" s="42" t="e">
        <f t="shared" si="181"/>
        <v>#DIV/0!</v>
      </c>
      <c r="AL201" s="41">
        <f t="shared" si="203"/>
        <v>5115</v>
      </c>
      <c r="AM201" s="42">
        <f t="shared" si="197"/>
        <v>5.7458717848982807E-2</v>
      </c>
      <c r="AN201" s="1058"/>
      <c r="AO201" s="220"/>
      <c r="AP201" s="67"/>
      <c r="AQ201" s="68"/>
      <c r="AR201" s="68"/>
      <c r="AS201" s="258"/>
      <c r="AT201" s="68"/>
      <c r="AU201" s="1118"/>
      <c r="AV201" s="70"/>
      <c r="AW201" s="71"/>
      <c r="AX201" s="72"/>
      <c r="AY201" s="72"/>
      <c r="AZ201" s="276"/>
      <c r="BA201" s="72"/>
      <c r="BB201" s="1121"/>
      <c r="BC201" s="56">
        <f t="shared" si="169"/>
        <v>32623</v>
      </c>
      <c r="BD201" s="59"/>
      <c r="BE201" s="56">
        <v>32623</v>
      </c>
      <c r="BF201" s="56">
        <f t="shared" si="202"/>
        <v>0</v>
      </c>
      <c r="BG201" s="58">
        <f t="shared" si="198"/>
        <v>66929</v>
      </c>
      <c r="BH201" s="58" t="e">
        <f t="shared" si="187"/>
        <v>#VALUE!</v>
      </c>
      <c r="BI201" s="1133"/>
      <c r="BJ201" s="64">
        <f t="shared" si="173"/>
        <v>260</v>
      </c>
      <c r="BK201" s="64"/>
      <c r="BL201" s="64">
        <v>260</v>
      </c>
      <c r="BM201" s="64">
        <f t="shared" si="199"/>
        <v>0</v>
      </c>
      <c r="BN201" s="65"/>
      <c r="BO201" s="64">
        <f t="shared" si="200"/>
        <v>18240</v>
      </c>
      <c r="BP201" s="65">
        <f t="shared" si="201"/>
        <v>0.20489677684563959</v>
      </c>
      <c r="BQ201" s="1071"/>
      <c r="BR201" s="35">
        <f t="shared" si="174"/>
        <v>36485</v>
      </c>
      <c r="BS201" s="35"/>
      <c r="BT201" s="35">
        <v>36485</v>
      </c>
      <c r="BU201" s="74">
        <f t="shared" si="161"/>
        <v>0</v>
      </c>
      <c r="BV201" s="74">
        <f t="shared" si="162"/>
        <v>430816</v>
      </c>
      <c r="BW201" s="74" t="e">
        <f t="shared" si="188"/>
        <v>#VALUE!</v>
      </c>
      <c r="BX201" s="1098"/>
      <c r="BY201" s="296">
        <f t="shared" si="175"/>
        <v>0</v>
      </c>
      <c r="BZ201" s="296"/>
      <c r="CA201" s="296">
        <v>0</v>
      </c>
      <c r="CB201" s="296">
        <f t="shared" si="189"/>
        <v>0</v>
      </c>
      <c r="CC201" s="297"/>
      <c r="CD201" s="296">
        <f t="shared" si="204"/>
        <v>42550</v>
      </c>
      <c r="CE201" s="297"/>
      <c r="CF201" s="1061"/>
      <c r="CG201" s="33"/>
    </row>
    <row r="202" spans="1:85">
      <c r="A202" s="30">
        <v>44515</v>
      </c>
      <c r="B202" s="32"/>
      <c r="C202" s="842">
        <f t="shared" si="182"/>
        <v>89020.434000000067</v>
      </c>
      <c r="D202" s="842"/>
      <c r="E202" s="843" t="e">
        <f t="shared" si="183"/>
        <v>#VALUE!</v>
      </c>
      <c r="F202" s="240">
        <f t="shared" si="170"/>
        <v>0</v>
      </c>
      <c r="G202" s="240"/>
      <c r="H202" s="280"/>
      <c r="I202" s="240"/>
      <c r="J202" s="240">
        <f t="shared" si="190"/>
        <v>0</v>
      </c>
      <c r="K202" s="280" t="e">
        <f t="shared" si="167"/>
        <v>#DIV/0!</v>
      </c>
      <c r="L202" s="240">
        <f t="shared" si="205"/>
        <v>2336642</v>
      </c>
      <c r="M202" s="280">
        <f t="shared" si="191"/>
        <v>26248.377984766939</v>
      </c>
      <c r="N202" s="280">
        <f t="shared" si="192"/>
        <v>3213.9559183013271</v>
      </c>
      <c r="O202" s="1089"/>
      <c r="P202" s="1084"/>
      <c r="Q202" s="77">
        <f t="shared" si="193"/>
        <v>13184</v>
      </c>
      <c r="R202" s="35"/>
      <c r="S202" s="35">
        <v>13184</v>
      </c>
      <c r="T202" s="35">
        <f t="shared" si="184"/>
        <v>0</v>
      </c>
      <c r="U202" s="36" t="e">
        <f t="shared" si="177"/>
        <v>#DIV/0!</v>
      </c>
      <c r="V202" s="74">
        <f t="shared" si="194"/>
        <v>177690</v>
      </c>
      <c r="W202" s="36">
        <f t="shared" si="195"/>
        <v>1.9960585678564526</v>
      </c>
      <c r="X202" s="1136"/>
      <c r="Y202" s="50">
        <f t="shared" si="171"/>
        <v>850</v>
      </c>
      <c r="Z202" s="50"/>
      <c r="AA202" s="50">
        <v>850</v>
      </c>
      <c r="AB202" s="50">
        <f t="shared" si="185"/>
        <v>0</v>
      </c>
      <c r="AC202" s="51" t="e">
        <f t="shared" si="178"/>
        <v>#DIV/0!</v>
      </c>
      <c r="AD202" s="50">
        <f t="shared" si="196"/>
        <v>9004</v>
      </c>
      <c r="AE202" s="51">
        <f t="shared" si="186"/>
        <v>0.10114531681568743</v>
      </c>
      <c r="AF202" s="1047"/>
      <c r="AG202" s="40">
        <f t="shared" si="172"/>
        <v>360</v>
      </c>
      <c r="AH202" s="41"/>
      <c r="AI202" s="41">
        <v>360</v>
      </c>
      <c r="AJ202" s="41">
        <f t="shared" ref="AJ202:AJ224" si="206">AG202+AH202-AI202</f>
        <v>0</v>
      </c>
      <c r="AK202" s="42" t="e">
        <f t="shared" si="181"/>
        <v>#DIV/0!</v>
      </c>
      <c r="AL202" s="41">
        <f t="shared" si="203"/>
        <v>5115</v>
      </c>
      <c r="AM202" s="42">
        <f t="shared" si="197"/>
        <v>5.7458717848982807E-2</v>
      </c>
      <c r="AN202" s="1058"/>
      <c r="AO202" s="220"/>
      <c r="AP202" s="67"/>
      <c r="AQ202" s="68"/>
      <c r="AR202" s="68"/>
      <c r="AS202" s="258"/>
      <c r="AT202" s="68"/>
      <c r="AU202" s="1118"/>
      <c r="AV202" s="70"/>
      <c r="AW202" s="71"/>
      <c r="AX202" s="72"/>
      <c r="AY202" s="72"/>
      <c r="AZ202" s="276"/>
      <c r="BA202" s="72"/>
      <c r="BB202" s="1121"/>
      <c r="BC202" s="56">
        <f t="shared" si="169"/>
        <v>32623</v>
      </c>
      <c r="BD202" s="59"/>
      <c r="BE202" s="56">
        <v>32623</v>
      </c>
      <c r="BF202" s="56">
        <f t="shared" si="202"/>
        <v>0</v>
      </c>
      <c r="BG202" s="58">
        <f t="shared" si="198"/>
        <v>66929</v>
      </c>
      <c r="BH202" s="58" t="e">
        <f t="shared" si="187"/>
        <v>#VALUE!</v>
      </c>
      <c r="BI202" s="1133"/>
      <c r="BJ202" s="64">
        <f t="shared" si="173"/>
        <v>260</v>
      </c>
      <c r="BK202" s="64"/>
      <c r="BL202" s="64">
        <v>260</v>
      </c>
      <c r="BM202" s="64">
        <f t="shared" si="199"/>
        <v>0</v>
      </c>
      <c r="BN202" s="65"/>
      <c r="BO202" s="64">
        <f t="shared" si="200"/>
        <v>18240</v>
      </c>
      <c r="BP202" s="65">
        <f t="shared" si="201"/>
        <v>0.20489677684563959</v>
      </c>
      <c r="BQ202" s="1071"/>
      <c r="BR202" s="35">
        <f t="shared" si="174"/>
        <v>36485</v>
      </c>
      <c r="BS202" s="35"/>
      <c r="BT202" s="35">
        <v>36485</v>
      </c>
      <c r="BU202" s="74">
        <f t="shared" ref="BU202:BU225" si="207">BR202+BS202-BT202</f>
        <v>0</v>
      </c>
      <c r="BV202" s="74">
        <f t="shared" ref="BV202:BV225" si="208">BV201+BU202</f>
        <v>430816</v>
      </c>
      <c r="BW202" s="74" t="e">
        <f t="shared" si="188"/>
        <v>#VALUE!</v>
      </c>
      <c r="BX202" s="1098"/>
      <c r="BY202" s="296">
        <f t="shared" si="175"/>
        <v>0</v>
      </c>
      <c r="BZ202" s="296"/>
      <c r="CA202" s="296">
        <v>0</v>
      </c>
      <c r="CB202" s="296">
        <f t="shared" si="189"/>
        <v>0</v>
      </c>
      <c r="CC202" s="297"/>
      <c r="CD202" s="296">
        <f t="shared" si="204"/>
        <v>42550</v>
      </c>
      <c r="CE202" s="297"/>
      <c r="CF202" s="1061"/>
      <c r="CG202" s="33"/>
    </row>
    <row r="203" spans="1:85">
      <c r="A203" s="30">
        <v>44516</v>
      </c>
      <c r="B203" s="32"/>
      <c r="C203" s="842">
        <f t="shared" si="182"/>
        <v>89020.434000000067</v>
      </c>
      <c r="D203" s="842"/>
      <c r="E203" s="843" t="e">
        <f t="shared" si="183"/>
        <v>#VALUE!</v>
      </c>
      <c r="F203" s="240">
        <f t="shared" si="170"/>
        <v>0</v>
      </c>
      <c r="G203" s="240"/>
      <c r="H203" s="280"/>
      <c r="I203" s="240"/>
      <c r="J203" s="240">
        <f t="shared" si="190"/>
        <v>0</v>
      </c>
      <c r="K203" s="280" t="e">
        <f t="shared" si="167"/>
        <v>#DIV/0!</v>
      </c>
      <c r="L203" s="240">
        <f t="shared" si="205"/>
        <v>2336642</v>
      </c>
      <c r="M203" s="280">
        <f t="shared" si="191"/>
        <v>26248.377984766939</v>
      </c>
      <c r="N203" s="280">
        <f t="shared" si="192"/>
        <v>3213.9559183013271</v>
      </c>
      <c r="O203" s="1089"/>
      <c r="P203" s="1084"/>
      <c r="Q203" s="77">
        <f t="shared" si="193"/>
        <v>13184</v>
      </c>
      <c r="R203" s="35"/>
      <c r="S203" s="35">
        <v>13184</v>
      </c>
      <c r="T203" s="35">
        <f t="shared" si="184"/>
        <v>0</v>
      </c>
      <c r="U203" s="36" t="e">
        <f t="shared" si="177"/>
        <v>#DIV/0!</v>
      </c>
      <c r="V203" s="74">
        <f t="shared" si="194"/>
        <v>177690</v>
      </c>
      <c r="W203" s="36">
        <f t="shared" si="195"/>
        <v>1.9960585678564526</v>
      </c>
      <c r="X203" s="1136"/>
      <c r="Y203" s="50">
        <f t="shared" si="171"/>
        <v>850</v>
      </c>
      <c r="Z203" s="50"/>
      <c r="AA203" s="50">
        <v>850</v>
      </c>
      <c r="AB203" s="50">
        <f t="shared" si="185"/>
        <v>0</v>
      </c>
      <c r="AC203" s="51" t="e">
        <f t="shared" si="178"/>
        <v>#DIV/0!</v>
      </c>
      <c r="AD203" s="50">
        <f t="shared" si="196"/>
        <v>9004</v>
      </c>
      <c r="AE203" s="51">
        <f t="shared" si="186"/>
        <v>0.10114531681568743</v>
      </c>
      <c r="AF203" s="1047"/>
      <c r="AG203" s="40">
        <f t="shared" si="172"/>
        <v>360</v>
      </c>
      <c r="AH203" s="41"/>
      <c r="AI203" s="41">
        <v>360</v>
      </c>
      <c r="AJ203" s="41">
        <f t="shared" si="206"/>
        <v>0</v>
      </c>
      <c r="AK203" s="42" t="e">
        <f t="shared" si="181"/>
        <v>#DIV/0!</v>
      </c>
      <c r="AL203" s="41">
        <f t="shared" si="203"/>
        <v>5115</v>
      </c>
      <c r="AM203" s="42">
        <f t="shared" si="197"/>
        <v>5.7458717848982807E-2</v>
      </c>
      <c r="AN203" s="1058"/>
      <c r="AO203" s="220"/>
      <c r="AP203" s="67"/>
      <c r="AQ203" s="68"/>
      <c r="AR203" s="68"/>
      <c r="AS203" s="258"/>
      <c r="AT203" s="68"/>
      <c r="AU203" s="1118"/>
      <c r="AV203" s="70"/>
      <c r="AW203" s="71"/>
      <c r="AX203" s="72"/>
      <c r="AY203" s="72"/>
      <c r="AZ203" s="276"/>
      <c r="BA203" s="72"/>
      <c r="BB203" s="1121"/>
      <c r="BC203" s="56">
        <f t="shared" si="169"/>
        <v>32623</v>
      </c>
      <c r="BD203" s="59"/>
      <c r="BE203" s="56">
        <v>32623</v>
      </c>
      <c r="BF203" s="56">
        <f t="shared" si="202"/>
        <v>0</v>
      </c>
      <c r="BG203" s="58">
        <f t="shared" si="198"/>
        <v>66929</v>
      </c>
      <c r="BH203" s="58" t="e">
        <f t="shared" si="187"/>
        <v>#VALUE!</v>
      </c>
      <c r="BI203" s="1133"/>
      <c r="BJ203" s="64">
        <f t="shared" si="173"/>
        <v>260</v>
      </c>
      <c r="BK203" s="64"/>
      <c r="BL203" s="64">
        <v>260</v>
      </c>
      <c r="BM203" s="64">
        <f t="shared" si="199"/>
        <v>0</v>
      </c>
      <c r="BN203" s="65"/>
      <c r="BO203" s="64">
        <f t="shared" si="200"/>
        <v>18240</v>
      </c>
      <c r="BP203" s="65">
        <f t="shared" si="201"/>
        <v>0.20489677684563959</v>
      </c>
      <c r="BQ203" s="1071"/>
      <c r="BR203" s="35">
        <f t="shared" si="174"/>
        <v>36485</v>
      </c>
      <c r="BS203" s="35"/>
      <c r="BT203" s="35">
        <v>36485</v>
      </c>
      <c r="BU203" s="74">
        <f t="shared" si="207"/>
        <v>0</v>
      </c>
      <c r="BV203" s="74">
        <f t="shared" si="208"/>
        <v>430816</v>
      </c>
      <c r="BW203" s="74" t="e">
        <f t="shared" si="188"/>
        <v>#VALUE!</v>
      </c>
      <c r="BX203" s="1098"/>
      <c r="BY203" s="296">
        <f t="shared" si="175"/>
        <v>0</v>
      </c>
      <c r="BZ203" s="296"/>
      <c r="CA203" s="296">
        <v>0</v>
      </c>
      <c r="CB203" s="296">
        <f t="shared" si="189"/>
        <v>0</v>
      </c>
      <c r="CC203" s="297"/>
      <c r="CD203" s="296">
        <f t="shared" si="204"/>
        <v>42550</v>
      </c>
      <c r="CE203" s="297"/>
      <c r="CF203" s="1061"/>
      <c r="CG203" s="33"/>
    </row>
    <row r="204" spans="1:85">
      <c r="A204" s="30">
        <v>44517</v>
      </c>
      <c r="B204" s="32"/>
      <c r="C204" s="842">
        <f t="shared" si="182"/>
        <v>89020.434000000067</v>
      </c>
      <c r="D204" s="842"/>
      <c r="E204" s="843" t="e">
        <f t="shared" si="183"/>
        <v>#VALUE!</v>
      </c>
      <c r="F204" s="240">
        <f t="shared" si="170"/>
        <v>0</v>
      </c>
      <c r="G204" s="240"/>
      <c r="H204" s="280"/>
      <c r="I204" s="240"/>
      <c r="J204" s="240">
        <f t="shared" si="190"/>
        <v>0</v>
      </c>
      <c r="K204" s="280" t="e">
        <f t="shared" si="167"/>
        <v>#DIV/0!</v>
      </c>
      <c r="L204" s="240">
        <f t="shared" si="205"/>
        <v>2336642</v>
      </c>
      <c r="M204" s="280">
        <f t="shared" si="191"/>
        <v>26248.377984766939</v>
      </c>
      <c r="N204" s="280">
        <f t="shared" si="192"/>
        <v>3213.9559183013271</v>
      </c>
      <c r="O204" s="1089"/>
      <c r="P204" s="1084"/>
      <c r="Q204" s="77">
        <f t="shared" si="193"/>
        <v>13184</v>
      </c>
      <c r="R204" s="35"/>
      <c r="S204" s="35">
        <v>13184</v>
      </c>
      <c r="T204" s="35">
        <f t="shared" si="184"/>
        <v>0</v>
      </c>
      <c r="U204" s="36" t="e">
        <f t="shared" si="177"/>
        <v>#DIV/0!</v>
      </c>
      <c r="V204" s="74">
        <f t="shared" si="194"/>
        <v>177690</v>
      </c>
      <c r="W204" s="36">
        <f t="shared" si="195"/>
        <v>1.9960585678564526</v>
      </c>
      <c r="X204" s="1136"/>
      <c r="Y204" s="50">
        <f t="shared" si="171"/>
        <v>850</v>
      </c>
      <c r="Z204" s="50"/>
      <c r="AA204" s="50">
        <v>850</v>
      </c>
      <c r="AB204" s="50">
        <f t="shared" si="185"/>
        <v>0</v>
      </c>
      <c r="AC204" s="51" t="e">
        <f t="shared" si="178"/>
        <v>#DIV/0!</v>
      </c>
      <c r="AD204" s="50">
        <f t="shared" si="196"/>
        <v>9004</v>
      </c>
      <c r="AE204" s="51">
        <f t="shared" si="186"/>
        <v>0.10114531681568743</v>
      </c>
      <c r="AF204" s="1047"/>
      <c r="AG204" s="40">
        <f t="shared" si="172"/>
        <v>360</v>
      </c>
      <c r="AH204" s="41"/>
      <c r="AI204" s="41">
        <v>360</v>
      </c>
      <c r="AJ204" s="41">
        <f t="shared" si="206"/>
        <v>0</v>
      </c>
      <c r="AK204" s="42" t="e">
        <f t="shared" si="181"/>
        <v>#DIV/0!</v>
      </c>
      <c r="AL204" s="41">
        <f t="shared" si="203"/>
        <v>5115</v>
      </c>
      <c r="AM204" s="42">
        <f t="shared" si="197"/>
        <v>5.7458717848982807E-2</v>
      </c>
      <c r="AN204" s="1058"/>
      <c r="AO204" s="220"/>
      <c r="AP204" s="67"/>
      <c r="AQ204" s="68"/>
      <c r="AR204" s="68"/>
      <c r="AS204" s="258"/>
      <c r="AT204" s="68"/>
      <c r="AU204" s="1118"/>
      <c r="AV204" s="70"/>
      <c r="AW204" s="71"/>
      <c r="AX204" s="72"/>
      <c r="AY204" s="72"/>
      <c r="AZ204" s="276"/>
      <c r="BA204" s="72"/>
      <c r="BB204" s="1121"/>
      <c r="BC204" s="56">
        <f t="shared" si="169"/>
        <v>32623</v>
      </c>
      <c r="BD204" s="59"/>
      <c r="BE204" s="56">
        <v>32623</v>
      </c>
      <c r="BF204" s="56">
        <f t="shared" si="202"/>
        <v>0</v>
      </c>
      <c r="BG204" s="58">
        <f t="shared" si="198"/>
        <v>66929</v>
      </c>
      <c r="BH204" s="58" t="e">
        <f t="shared" si="187"/>
        <v>#VALUE!</v>
      </c>
      <c r="BI204" s="1133"/>
      <c r="BJ204" s="64">
        <f t="shared" si="173"/>
        <v>260</v>
      </c>
      <c r="BK204" s="64"/>
      <c r="BL204" s="64">
        <v>260</v>
      </c>
      <c r="BM204" s="64">
        <f t="shared" si="199"/>
        <v>0</v>
      </c>
      <c r="BN204" s="65"/>
      <c r="BO204" s="64">
        <f t="shared" si="200"/>
        <v>18240</v>
      </c>
      <c r="BP204" s="65">
        <f t="shared" si="201"/>
        <v>0.20489677684563959</v>
      </c>
      <c r="BQ204" s="1071"/>
      <c r="BR204" s="35">
        <f t="shared" si="174"/>
        <v>36485</v>
      </c>
      <c r="BS204" s="35"/>
      <c r="BT204" s="35">
        <v>36485</v>
      </c>
      <c r="BU204" s="74">
        <f t="shared" si="207"/>
        <v>0</v>
      </c>
      <c r="BV204" s="74">
        <f t="shared" si="208"/>
        <v>430816</v>
      </c>
      <c r="BW204" s="74" t="e">
        <f t="shared" si="188"/>
        <v>#VALUE!</v>
      </c>
      <c r="BX204" s="1098"/>
      <c r="BY204" s="296">
        <f t="shared" si="175"/>
        <v>0</v>
      </c>
      <c r="BZ204" s="296"/>
      <c r="CA204" s="296">
        <v>0</v>
      </c>
      <c r="CB204" s="296">
        <f t="shared" si="189"/>
        <v>0</v>
      </c>
      <c r="CC204" s="297"/>
      <c r="CD204" s="296">
        <f t="shared" si="204"/>
        <v>42550</v>
      </c>
      <c r="CE204" s="297"/>
      <c r="CF204" s="1061"/>
      <c r="CG204" s="33"/>
    </row>
    <row r="205" spans="1:85">
      <c r="A205" s="30">
        <v>44518</v>
      </c>
      <c r="B205" s="32"/>
      <c r="C205" s="842">
        <f t="shared" si="182"/>
        <v>89020.434000000067</v>
      </c>
      <c r="D205" s="842"/>
      <c r="E205" s="843" t="e">
        <f t="shared" si="183"/>
        <v>#VALUE!</v>
      </c>
      <c r="F205" s="240">
        <f t="shared" si="170"/>
        <v>0</v>
      </c>
      <c r="G205" s="240"/>
      <c r="H205" s="280"/>
      <c r="I205" s="240"/>
      <c r="J205" s="240">
        <f t="shared" si="190"/>
        <v>0</v>
      </c>
      <c r="K205" s="280" t="e">
        <f t="shared" si="167"/>
        <v>#DIV/0!</v>
      </c>
      <c r="L205" s="240">
        <f t="shared" si="205"/>
        <v>2336642</v>
      </c>
      <c r="M205" s="280">
        <f t="shared" si="191"/>
        <v>26248.377984766939</v>
      </c>
      <c r="N205" s="280">
        <f t="shared" si="192"/>
        <v>3213.9559183013271</v>
      </c>
      <c r="O205" s="1089"/>
      <c r="P205" s="1084"/>
      <c r="Q205" s="77">
        <f t="shared" si="193"/>
        <v>13184</v>
      </c>
      <c r="R205" s="35"/>
      <c r="S205" s="35">
        <v>13184</v>
      </c>
      <c r="T205" s="35">
        <f t="shared" si="184"/>
        <v>0</v>
      </c>
      <c r="U205" s="36" t="e">
        <f t="shared" si="177"/>
        <v>#DIV/0!</v>
      </c>
      <c r="V205" s="74">
        <f t="shared" si="194"/>
        <v>177690</v>
      </c>
      <c r="W205" s="36">
        <f t="shared" si="195"/>
        <v>1.9960585678564526</v>
      </c>
      <c r="X205" s="1136"/>
      <c r="Y205" s="50">
        <f t="shared" si="171"/>
        <v>850</v>
      </c>
      <c r="Z205" s="50"/>
      <c r="AA205" s="50">
        <v>850</v>
      </c>
      <c r="AB205" s="50">
        <f t="shared" si="185"/>
        <v>0</v>
      </c>
      <c r="AC205" s="51" t="e">
        <f t="shared" si="178"/>
        <v>#DIV/0!</v>
      </c>
      <c r="AD205" s="50">
        <f t="shared" si="196"/>
        <v>9004</v>
      </c>
      <c r="AE205" s="51">
        <f t="shared" si="186"/>
        <v>0.10114531681568743</v>
      </c>
      <c r="AF205" s="1047"/>
      <c r="AG205" s="40">
        <f t="shared" si="172"/>
        <v>360</v>
      </c>
      <c r="AH205" s="41"/>
      <c r="AI205" s="41">
        <v>360</v>
      </c>
      <c r="AJ205" s="41">
        <f t="shared" si="206"/>
        <v>0</v>
      </c>
      <c r="AK205" s="42" t="e">
        <f t="shared" si="181"/>
        <v>#DIV/0!</v>
      </c>
      <c r="AL205" s="41">
        <f t="shared" si="203"/>
        <v>5115</v>
      </c>
      <c r="AM205" s="42">
        <f t="shared" si="197"/>
        <v>5.7458717848982807E-2</v>
      </c>
      <c r="AN205" s="1058"/>
      <c r="AO205" s="220"/>
      <c r="AP205" s="67"/>
      <c r="AQ205" s="68"/>
      <c r="AR205" s="68"/>
      <c r="AS205" s="258"/>
      <c r="AT205" s="68"/>
      <c r="AU205" s="1118"/>
      <c r="AV205" s="70"/>
      <c r="AW205" s="71"/>
      <c r="AX205" s="72"/>
      <c r="AY205" s="72"/>
      <c r="AZ205" s="276"/>
      <c r="BA205" s="72"/>
      <c r="BB205" s="1121"/>
      <c r="BC205" s="56">
        <f t="shared" si="169"/>
        <v>32623</v>
      </c>
      <c r="BD205" s="59"/>
      <c r="BE205" s="56">
        <v>32623</v>
      </c>
      <c r="BF205" s="56">
        <f t="shared" si="202"/>
        <v>0</v>
      </c>
      <c r="BG205" s="58">
        <f t="shared" si="198"/>
        <v>66929</v>
      </c>
      <c r="BH205" s="58" t="e">
        <f t="shared" si="187"/>
        <v>#VALUE!</v>
      </c>
      <c r="BI205" s="1133"/>
      <c r="BJ205" s="64">
        <f t="shared" si="173"/>
        <v>260</v>
      </c>
      <c r="BK205" s="64"/>
      <c r="BL205" s="64">
        <v>260</v>
      </c>
      <c r="BM205" s="64">
        <f t="shared" si="199"/>
        <v>0</v>
      </c>
      <c r="BN205" s="65"/>
      <c r="BO205" s="64">
        <f t="shared" si="200"/>
        <v>18240</v>
      </c>
      <c r="BP205" s="65">
        <f t="shared" si="201"/>
        <v>0.20489677684563959</v>
      </c>
      <c r="BQ205" s="1071"/>
      <c r="BR205" s="35">
        <f t="shared" si="174"/>
        <v>36485</v>
      </c>
      <c r="BS205" s="35"/>
      <c r="BT205" s="35">
        <v>36485</v>
      </c>
      <c r="BU205" s="74">
        <f t="shared" si="207"/>
        <v>0</v>
      </c>
      <c r="BV205" s="74">
        <f t="shared" si="208"/>
        <v>430816</v>
      </c>
      <c r="BW205" s="74" t="e">
        <f t="shared" si="188"/>
        <v>#VALUE!</v>
      </c>
      <c r="BX205" s="1098"/>
      <c r="BY205" s="296">
        <f t="shared" si="175"/>
        <v>0</v>
      </c>
      <c r="BZ205" s="296"/>
      <c r="CA205" s="296">
        <v>0</v>
      </c>
      <c r="CB205" s="296">
        <f t="shared" si="189"/>
        <v>0</v>
      </c>
      <c r="CC205" s="297"/>
      <c r="CD205" s="296">
        <f t="shared" si="204"/>
        <v>42550</v>
      </c>
      <c r="CE205" s="297"/>
      <c r="CF205" s="1061"/>
      <c r="CG205" s="33"/>
    </row>
    <row r="206" spans="1:85">
      <c r="A206" s="30">
        <v>44519</v>
      </c>
      <c r="B206" s="32"/>
      <c r="C206" s="842">
        <f t="shared" si="182"/>
        <v>89020.434000000067</v>
      </c>
      <c r="D206" s="842"/>
      <c r="E206" s="843" t="e">
        <f t="shared" si="183"/>
        <v>#VALUE!</v>
      </c>
      <c r="F206" s="240">
        <f t="shared" si="170"/>
        <v>0</v>
      </c>
      <c r="G206" s="240"/>
      <c r="H206" s="280"/>
      <c r="I206" s="240"/>
      <c r="J206" s="240">
        <f t="shared" si="190"/>
        <v>0</v>
      </c>
      <c r="K206" s="280" t="e">
        <f t="shared" si="167"/>
        <v>#DIV/0!</v>
      </c>
      <c r="L206" s="240">
        <f t="shared" si="205"/>
        <v>2336642</v>
      </c>
      <c r="M206" s="280">
        <f t="shared" si="191"/>
        <v>26248.377984766939</v>
      </c>
      <c r="N206" s="280">
        <f t="shared" si="192"/>
        <v>3213.9559183013271</v>
      </c>
      <c r="O206" s="1089"/>
      <c r="P206" s="1084"/>
      <c r="Q206" s="77">
        <f t="shared" si="193"/>
        <v>13184</v>
      </c>
      <c r="R206" s="35"/>
      <c r="S206" s="35">
        <v>13184</v>
      </c>
      <c r="T206" s="35">
        <f t="shared" si="184"/>
        <v>0</v>
      </c>
      <c r="U206" s="36" t="e">
        <f t="shared" si="177"/>
        <v>#DIV/0!</v>
      </c>
      <c r="V206" s="74">
        <f t="shared" si="194"/>
        <v>177690</v>
      </c>
      <c r="W206" s="36">
        <f t="shared" si="195"/>
        <v>1.9960585678564526</v>
      </c>
      <c r="X206" s="1136"/>
      <c r="Y206" s="50">
        <f t="shared" si="171"/>
        <v>850</v>
      </c>
      <c r="Z206" s="50"/>
      <c r="AA206" s="50">
        <v>850</v>
      </c>
      <c r="AB206" s="50">
        <f t="shared" si="185"/>
        <v>0</v>
      </c>
      <c r="AC206" s="51" t="e">
        <f t="shared" si="178"/>
        <v>#DIV/0!</v>
      </c>
      <c r="AD206" s="50">
        <f t="shared" si="196"/>
        <v>9004</v>
      </c>
      <c r="AE206" s="51">
        <f t="shared" si="186"/>
        <v>0.10114531681568743</v>
      </c>
      <c r="AF206" s="1047"/>
      <c r="AG206" s="40">
        <f t="shared" si="172"/>
        <v>360</v>
      </c>
      <c r="AH206" s="41"/>
      <c r="AI206" s="41">
        <v>360</v>
      </c>
      <c r="AJ206" s="41">
        <f t="shared" si="206"/>
        <v>0</v>
      </c>
      <c r="AK206" s="42" t="e">
        <f t="shared" si="181"/>
        <v>#DIV/0!</v>
      </c>
      <c r="AL206" s="41">
        <f t="shared" si="203"/>
        <v>5115</v>
      </c>
      <c r="AM206" s="42">
        <f t="shared" si="197"/>
        <v>5.7458717848982807E-2</v>
      </c>
      <c r="AN206" s="1058"/>
      <c r="AO206" s="220"/>
      <c r="AP206" s="67"/>
      <c r="AQ206" s="68"/>
      <c r="AR206" s="68"/>
      <c r="AS206" s="258"/>
      <c r="AT206" s="68"/>
      <c r="AU206" s="1118"/>
      <c r="AV206" s="70"/>
      <c r="AW206" s="71"/>
      <c r="AX206" s="72"/>
      <c r="AY206" s="72"/>
      <c r="AZ206" s="276"/>
      <c r="BA206" s="72"/>
      <c r="BB206" s="1121"/>
      <c r="BC206" s="56">
        <f t="shared" si="169"/>
        <v>32623</v>
      </c>
      <c r="BD206" s="59"/>
      <c r="BE206" s="56">
        <v>32623</v>
      </c>
      <c r="BF206" s="56">
        <f t="shared" si="202"/>
        <v>0</v>
      </c>
      <c r="BG206" s="58">
        <f t="shared" si="198"/>
        <v>66929</v>
      </c>
      <c r="BH206" s="58" t="e">
        <f t="shared" si="187"/>
        <v>#VALUE!</v>
      </c>
      <c r="BI206" s="1133"/>
      <c r="BJ206" s="64">
        <f t="shared" si="173"/>
        <v>260</v>
      </c>
      <c r="BK206" s="64"/>
      <c r="BL206" s="64">
        <v>260</v>
      </c>
      <c r="BM206" s="64">
        <f t="shared" si="199"/>
        <v>0</v>
      </c>
      <c r="BN206" s="65"/>
      <c r="BO206" s="64">
        <f t="shared" si="200"/>
        <v>18240</v>
      </c>
      <c r="BP206" s="65">
        <f t="shared" si="201"/>
        <v>0.20489677684563959</v>
      </c>
      <c r="BQ206" s="1071"/>
      <c r="BR206" s="35">
        <f t="shared" si="174"/>
        <v>36485</v>
      </c>
      <c r="BS206" s="35"/>
      <c r="BT206" s="35">
        <v>36485</v>
      </c>
      <c r="BU206" s="74">
        <f t="shared" si="207"/>
        <v>0</v>
      </c>
      <c r="BV206" s="74">
        <f t="shared" si="208"/>
        <v>430816</v>
      </c>
      <c r="BW206" s="74" t="e">
        <f t="shared" si="188"/>
        <v>#VALUE!</v>
      </c>
      <c r="BX206" s="1098"/>
      <c r="BY206" s="296">
        <f t="shared" si="175"/>
        <v>0</v>
      </c>
      <c r="BZ206" s="296"/>
      <c r="CA206" s="296">
        <v>0</v>
      </c>
      <c r="CB206" s="296">
        <f t="shared" si="189"/>
        <v>0</v>
      </c>
      <c r="CC206" s="297"/>
      <c r="CD206" s="296">
        <f t="shared" si="204"/>
        <v>42550</v>
      </c>
      <c r="CE206" s="297"/>
      <c r="CF206" s="1061"/>
      <c r="CG206" s="33"/>
    </row>
    <row r="207" spans="1:85">
      <c r="A207" s="30">
        <v>44520</v>
      </c>
      <c r="B207" s="32"/>
      <c r="C207" s="842">
        <f t="shared" si="182"/>
        <v>89020.434000000067</v>
      </c>
      <c r="D207" s="842"/>
      <c r="E207" s="843" t="e">
        <f t="shared" si="183"/>
        <v>#VALUE!</v>
      </c>
      <c r="F207" s="240">
        <f t="shared" si="170"/>
        <v>0</v>
      </c>
      <c r="G207" s="240"/>
      <c r="H207" s="280"/>
      <c r="I207" s="240"/>
      <c r="J207" s="240">
        <f t="shared" si="190"/>
        <v>0</v>
      </c>
      <c r="K207" s="280" t="e">
        <f t="shared" si="167"/>
        <v>#DIV/0!</v>
      </c>
      <c r="L207" s="240">
        <f t="shared" si="205"/>
        <v>2336642</v>
      </c>
      <c r="M207" s="280">
        <f t="shared" si="191"/>
        <v>26248.377984766939</v>
      </c>
      <c r="N207" s="280">
        <f t="shared" si="192"/>
        <v>3213.9559183013271</v>
      </c>
      <c r="O207" s="1089"/>
      <c r="P207" s="1084"/>
      <c r="Q207" s="77">
        <f t="shared" si="193"/>
        <v>13184</v>
      </c>
      <c r="R207" s="35"/>
      <c r="S207" s="35">
        <v>13184</v>
      </c>
      <c r="T207" s="35">
        <f t="shared" si="184"/>
        <v>0</v>
      </c>
      <c r="U207" s="36" t="e">
        <f t="shared" si="177"/>
        <v>#DIV/0!</v>
      </c>
      <c r="V207" s="74">
        <f t="shared" si="194"/>
        <v>177690</v>
      </c>
      <c r="W207" s="36">
        <f t="shared" si="195"/>
        <v>1.9960585678564526</v>
      </c>
      <c r="X207" s="1136"/>
      <c r="Y207" s="50">
        <f t="shared" si="171"/>
        <v>850</v>
      </c>
      <c r="Z207" s="50"/>
      <c r="AA207" s="50">
        <v>850</v>
      </c>
      <c r="AB207" s="50">
        <f t="shared" si="185"/>
        <v>0</v>
      </c>
      <c r="AC207" s="51" t="e">
        <f t="shared" si="178"/>
        <v>#DIV/0!</v>
      </c>
      <c r="AD207" s="50">
        <f t="shared" si="196"/>
        <v>9004</v>
      </c>
      <c r="AE207" s="51">
        <f t="shared" si="186"/>
        <v>0.10114531681568743</v>
      </c>
      <c r="AF207" s="1047"/>
      <c r="AG207" s="40">
        <f t="shared" si="172"/>
        <v>360</v>
      </c>
      <c r="AH207" s="41"/>
      <c r="AI207" s="41">
        <v>360</v>
      </c>
      <c r="AJ207" s="41">
        <f t="shared" si="206"/>
        <v>0</v>
      </c>
      <c r="AK207" s="42" t="e">
        <f t="shared" si="181"/>
        <v>#DIV/0!</v>
      </c>
      <c r="AL207" s="41">
        <f t="shared" si="203"/>
        <v>5115</v>
      </c>
      <c r="AM207" s="42">
        <f t="shared" si="197"/>
        <v>5.7458717848982807E-2</v>
      </c>
      <c r="AN207" s="1058"/>
      <c r="AO207" s="220"/>
      <c r="AP207" s="67"/>
      <c r="AQ207" s="68"/>
      <c r="AR207" s="68"/>
      <c r="AS207" s="258"/>
      <c r="AT207" s="68"/>
      <c r="AU207" s="1118"/>
      <c r="AV207" s="70"/>
      <c r="AW207" s="71"/>
      <c r="AX207" s="72"/>
      <c r="AY207" s="72"/>
      <c r="AZ207" s="276"/>
      <c r="BA207" s="72"/>
      <c r="BB207" s="1121"/>
      <c r="BC207" s="56">
        <f t="shared" si="169"/>
        <v>32623</v>
      </c>
      <c r="BD207" s="59"/>
      <c r="BE207" s="56">
        <v>32623</v>
      </c>
      <c r="BF207" s="56">
        <f t="shared" si="202"/>
        <v>0</v>
      </c>
      <c r="BG207" s="58">
        <f t="shared" si="198"/>
        <v>66929</v>
      </c>
      <c r="BH207" s="58" t="e">
        <f t="shared" si="187"/>
        <v>#VALUE!</v>
      </c>
      <c r="BI207" s="1133"/>
      <c r="BJ207" s="64">
        <f t="shared" si="173"/>
        <v>260</v>
      </c>
      <c r="BK207" s="64"/>
      <c r="BL207" s="64">
        <v>260</v>
      </c>
      <c r="BM207" s="64">
        <f t="shared" si="199"/>
        <v>0</v>
      </c>
      <c r="BN207" s="65"/>
      <c r="BO207" s="64">
        <f t="shared" si="200"/>
        <v>18240</v>
      </c>
      <c r="BP207" s="65">
        <f t="shared" si="201"/>
        <v>0.20489677684563959</v>
      </c>
      <c r="BQ207" s="1071"/>
      <c r="BR207" s="35">
        <f t="shared" si="174"/>
        <v>36485</v>
      </c>
      <c r="BS207" s="35"/>
      <c r="BT207" s="35">
        <v>36485</v>
      </c>
      <c r="BU207" s="74">
        <f t="shared" si="207"/>
        <v>0</v>
      </c>
      <c r="BV207" s="74">
        <f t="shared" si="208"/>
        <v>430816</v>
      </c>
      <c r="BW207" s="74" t="e">
        <f t="shared" si="188"/>
        <v>#VALUE!</v>
      </c>
      <c r="BX207" s="1098"/>
      <c r="BY207" s="296">
        <f t="shared" si="175"/>
        <v>0</v>
      </c>
      <c r="BZ207" s="296"/>
      <c r="CA207" s="296">
        <v>0</v>
      </c>
      <c r="CB207" s="296">
        <f t="shared" si="189"/>
        <v>0</v>
      </c>
      <c r="CC207" s="297"/>
      <c r="CD207" s="296">
        <f t="shared" si="204"/>
        <v>42550</v>
      </c>
      <c r="CE207" s="297"/>
      <c r="CF207" s="1061"/>
      <c r="CG207" s="33"/>
    </row>
    <row r="208" spans="1:85">
      <c r="A208" s="30">
        <v>44521</v>
      </c>
      <c r="B208" s="32"/>
      <c r="C208" s="842">
        <f t="shared" si="182"/>
        <v>89020.434000000067</v>
      </c>
      <c r="D208" s="842"/>
      <c r="E208" s="843" t="e">
        <f t="shared" si="183"/>
        <v>#VALUE!</v>
      </c>
      <c r="F208" s="240">
        <f t="shared" si="170"/>
        <v>0</v>
      </c>
      <c r="G208" s="240"/>
      <c r="H208" s="280"/>
      <c r="I208" s="240"/>
      <c r="J208" s="240">
        <f t="shared" si="190"/>
        <v>0</v>
      </c>
      <c r="K208" s="280" t="e">
        <f t="shared" si="167"/>
        <v>#DIV/0!</v>
      </c>
      <c r="L208" s="240">
        <f t="shared" si="205"/>
        <v>2336642</v>
      </c>
      <c r="M208" s="280">
        <f t="shared" si="191"/>
        <v>26248.377984766939</v>
      </c>
      <c r="N208" s="280">
        <f t="shared" si="192"/>
        <v>3213.9559183013271</v>
      </c>
      <c r="O208" s="1089"/>
      <c r="P208" s="1084"/>
      <c r="Q208" s="77">
        <f t="shared" si="193"/>
        <v>13184</v>
      </c>
      <c r="R208" s="35"/>
      <c r="S208" s="35">
        <v>13184</v>
      </c>
      <c r="T208" s="35">
        <f t="shared" si="184"/>
        <v>0</v>
      </c>
      <c r="U208" s="36" t="e">
        <f t="shared" si="177"/>
        <v>#DIV/0!</v>
      </c>
      <c r="V208" s="74">
        <f t="shared" si="194"/>
        <v>177690</v>
      </c>
      <c r="W208" s="36">
        <f t="shared" si="195"/>
        <v>1.9960585678564526</v>
      </c>
      <c r="X208" s="1136"/>
      <c r="Y208" s="50">
        <f t="shared" si="171"/>
        <v>850</v>
      </c>
      <c r="Z208" s="50"/>
      <c r="AA208" s="50">
        <v>850</v>
      </c>
      <c r="AB208" s="50">
        <f t="shared" si="185"/>
        <v>0</v>
      </c>
      <c r="AC208" s="51" t="e">
        <f t="shared" si="178"/>
        <v>#DIV/0!</v>
      </c>
      <c r="AD208" s="50">
        <f t="shared" si="196"/>
        <v>9004</v>
      </c>
      <c r="AE208" s="51">
        <f t="shared" si="186"/>
        <v>0.10114531681568743</v>
      </c>
      <c r="AF208" s="1047"/>
      <c r="AG208" s="40">
        <f t="shared" si="172"/>
        <v>360</v>
      </c>
      <c r="AH208" s="41"/>
      <c r="AI208" s="41">
        <v>360</v>
      </c>
      <c r="AJ208" s="41">
        <f t="shared" si="206"/>
        <v>0</v>
      </c>
      <c r="AK208" s="42" t="e">
        <f t="shared" si="181"/>
        <v>#DIV/0!</v>
      </c>
      <c r="AL208" s="41">
        <f t="shared" si="203"/>
        <v>5115</v>
      </c>
      <c r="AM208" s="42">
        <f t="shared" si="197"/>
        <v>5.7458717848982807E-2</v>
      </c>
      <c r="AN208" s="1058"/>
      <c r="AO208" s="220"/>
      <c r="AP208" s="67"/>
      <c r="AQ208" s="68"/>
      <c r="AR208" s="68"/>
      <c r="AS208" s="258"/>
      <c r="AT208" s="68"/>
      <c r="AU208" s="1118"/>
      <c r="AV208" s="70"/>
      <c r="AW208" s="71"/>
      <c r="AX208" s="72"/>
      <c r="AY208" s="72"/>
      <c r="AZ208" s="276"/>
      <c r="BA208" s="72"/>
      <c r="BB208" s="1121"/>
      <c r="BC208" s="56">
        <f t="shared" si="169"/>
        <v>32623</v>
      </c>
      <c r="BD208" s="59"/>
      <c r="BE208" s="56">
        <v>32623</v>
      </c>
      <c r="BF208" s="56">
        <f t="shared" si="202"/>
        <v>0</v>
      </c>
      <c r="BG208" s="58">
        <f t="shared" si="198"/>
        <v>66929</v>
      </c>
      <c r="BH208" s="58" t="e">
        <f t="shared" si="187"/>
        <v>#VALUE!</v>
      </c>
      <c r="BI208" s="1133"/>
      <c r="BJ208" s="64">
        <f t="shared" si="173"/>
        <v>260</v>
      </c>
      <c r="BK208" s="64"/>
      <c r="BL208" s="64">
        <v>260</v>
      </c>
      <c r="BM208" s="64">
        <f t="shared" si="199"/>
        <v>0</v>
      </c>
      <c r="BN208" s="65"/>
      <c r="BO208" s="64">
        <f t="shared" si="200"/>
        <v>18240</v>
      </c>
      <c r="BP208" s="65">
        <f t="shared" si="201"/>
        <v>0.20489677684563959</v>
      </c>
      <c r="BQ208" s="1071"/>
      <c r="BR208" s="35">
        <f t="shared" si="174"/>
        <v>36485</v>
      </c>
      <c r="BS208" s="35"/>
      <c r="BT208" s="35">
        <v>36485</v>
      </c>
      <c r="BU208" s="74">
        <f t="shared" si="207"/>
        <v>0</v>
      </c>
      <c r="BV208" s="74">
        <f t="shared" si="208"/>
        <v>430816</v>
      </c>
      <c r="BW208" s="74" t="e">
        <f t="shared" si="188"/>
        <v>#VALUE!</v>
      </c>
      <c r="BX208" s="1098"/>
      <c r="BY208" s="296">
        <f t="shared" si="175"/>
        <v>0</v>
      </c>
      <c r="BZ208" s="296"/>
      <c r="CA208" s="296">
        <v>0</v>
      </c>
      <c r="CB208" s="296">
        <f t="shared" si="189"/>
        <v>0</v>
      </c>
      <c r="CC208" s="297"/>
      <c r="CD208" s="296">
        <f t="shared" si="204"/>
        <v>42550</v>
      </c>
      <c r="CE208" s="297"/>
      <c r="CF208" s="1061"/>
      <c r="CG208" s="33"/>
    </row>
    <row r="209" spans="1:85">
      <c r="A209" s="30">
        <v>44522</v>
      </c>
      <c r="B209" s="32"/>
      <c r="C209" s="842">
        <f t="shared" si="182"/>
        <v>89020.434000000067</v>
      </c>
      <c r="D209" s="842"/>
      <c r="E209" s="843" t="e">
        <f t="shared" si="183"/>
        <v>#VALUE!</v>
      </c>
      <c r="F209" s="240">
        <f t="shared" si="170"/>
        <v>0</v>
      </c>
      <c r="G209" s="240"/>
      <c r="H209" s="280"/>
      <c r="I209" s="240"/>
      <c r="J209" s="240">
        <f t="shared" si="190"/>
        <v>0</v>
      </c>
      <c r="K209" s="280" t="e">
        <f t="shared" si="167"/>
        <v>#DIV/0!</v>
      </c>
      <c r="L209" s="240">
        <f t="shared" si="205"/>
        <v>2336642</v>
      </c>
      <c r="M209" s="280">
        <f t="shared" si="191"/>
        <v>26248.377984766939</v>
      </c>
      <c r="N209" s="280">
        <f t="shared" si="192"/>
        <v>3213.9559183013271</v>
      </c>
      <c r="O209" s="1089"/>
      <c r="P209" s="1084"/>
      <c r="Q209" s="77">
        <f t="shared" si="193"/>
        <v>13184</v>
      </c>
      <c r="R209" s="35"/>
      <c r="S209" s="35">
        <v>13184</v>
      </c>
      <c r="T209" s="35">
        <f t="shared" si="184"/>
        <v>0</v>
      </c>
      <c r="U209" s="36" t="e">
        <f t="shared" si="177"/>
        <v>#DIV/0!</v>
      </c>
      <c r="V209" s="74">
        <f t="shared" si="194"/>
        <v>177690</v>
      </c>
      <c r="W209" s="36">
        <f t="shared" si="195"/>
        <v>1.9960585678564526</v>
      </c>
      <c r="X209" s="1136"/>
      <c r="Y209" s="50">
        <f t="shared" si="171"/>
        <v>850</v>
      </c>
      <c r="Z209" s="50"/>
      <c r="AA209" s="50">
        <v>850</v>
      </c>
      <c r="AB209" s="50">
        <f t="shared" si="185"/>
        <v>0</v>
      </c>
      <c r="AC209" s="51" t="e">
        <f t="shared" si="178"/>
        <v>#DIV/0!</v>
      </c>
      <c r="AD209" s="50">
        <f t="shared" si="196"/>
        <v>9004</v>
      </c>
      <c r="AE209" s="51">
        <f t="shared" si="186"/>
        <v>0.10114531681568743</v>
      </c>
      <c r="AF209" s="1047"/>
      <c r="AG209" s="40">
        <f t="shared" si="172"/>
        <v>360</v>
      </c>
      <c r="AH209" s="41"/>
      <c r="AI209" s="41">
        <v>360</v>
      </c>
      <c r="AJ209" s="41">
        <f t="shared" si="206"/>
        <v>0</v>
      </c>
      <c r="AK209" s="42" t="e">
        <f t="shared" si="181"/>
        <v>#DIV/0!</v>
      </c>
      <c r="AL209" s="41">
        <f t="shared" si="203"/>
        <v>5115</v>
      </c>
      <c r="AM209" s="42">
        <f t="shared" si="197"/>
        <v>5.7458717848982807E-2</v>
      </c>
      <c r="AN209" s="1058"/>
      <c r="AO209" s="220"/>
      <c r="AP209" s="67"/>
      <c r="AQ209" s="68"/>
      <c r="AR209" s="68"/>
      <c r="AS209" s="258"/>
      <c r="AT209" s="68"/>
      <c r="AU209" s="1118"/>
      <c r="AV209" s="70"/>
      <c r="AW209" s="71"/>
      <c r="AX209" s="72"/>
      <c r="AY209" s="72"/>
      <c r="AZ209" s="276"/>
      <c r="BA209" s="72"/>
      <c r="BB209" s="1121"/>
      <c r="BC209" s="56">
        <f t="shared" si="169"/>
        <v>32623</v>
      </c>
      <c r="BD209" s="59"/>
      <c r="BE209" s="56">
        <v>32623</v>
      </c>
      <c r="BF209" s="56">
        <f t="shared" si="202"/>
        <v>0</v>
      </c>
      <c r="BG209" s="58">
        <f t="shared" si="198"/>
        <v>66929</v>
      </c>
      <c r="BH209" s="58" t="e">
        <f t="shared" si="187"/>
        <v>#VALUE!</v>
      </c>
      <c r="BI209" s="1133"/>
      <c r="BJ209" s="64">
        <f t="shared" si="173"/>
        <v>260</v>
      </c>
      <c r="BK209" s="64"/>
      <c r="BL209" s="64">
        <v>260</v>
      </c>
      <c r="BM209" s="64">
        <f t="shared" si="199"/>
        <v>0</v>
      </c>
      <c r="BN209" s="65"/>
      <c r="BO209" s="64">
        <f t="shared" si="200"/>
        <v>18240</v>
      </c>
      <c r="BP209" s="65">
        <f t="shared" si="201"/>
        <v>0.20489677684563959</v>
      </c>
      <c r="BQ209" s="1071"/>
      <c r="BR209" s="35">
        <f t="shared" si="174"/>
        <v>36485</v>
      </c>
      <c r="BS209" s="35"/>
      <c r="BT209" s="35">
        <v>36485</v>
      </c>
      <c r="BU209" s="74">
        <f t="shared" si="207"/>
        <v>0</v>
      </c>
      <c r="BV209" s="74">
        <f t="shared" si="208"/>
        <v>430816</v>
      </c>
      <c r="BW209" s="74" t="e">
        <f t="shared" si="188"/>
        <v>#VALUE!</v>
      </c>
      <c r="BX209" s="1098"/>
      <c r="BY209" s="296">
        <f t="shared" si="175"/>
        <v>0</v>
      </c>
      <c r="BZ209" s="296"/>
      <c r="CA209" s="296">
        <v>0</v>
      </c>
      <c r="CB209" s="296">
        <f t="shared" si="189"/>
        <v>0</v>
      </c>
      <c r="CC209" s="297"/>
      <c r="CD209" s="296">
        <f t="shared" si="204"/>
        <v>42550</v>
      </c>
      <c r="CE209" s="297"/>
      <c r="CF209" s="1061"/>
      <c r="CG209" s="33"/>
    </row>
    <row r="210" spans="1:85">
      <c r="A210" s="30">
        <v>44523</v>
      </c>
      <c r="B210" s="32"/>
      <c r="C210" s="842">
        <f t="shared" si="182"/>
        <v>89020.434000000067</v>
      </c>
      <c r="D210" s="842"/>
      <c r="E210" s="843" t="e">
        <f t="shared" si="183"/>
        <v>#VALUE!</v>
      </c>
      <c r="F210" s="240">
        <f t="shared" si="170"/>
        <v>0</v>
      </c>
      <c r="G210" s="240"/>
      <c r="H210" s="280"/>
      <c r="I210" s="240"/>
      <c r="J210" s="240">
        <f t="shared" si="190"/>
        <v>0</v>
      </c>
      <c r="K210" s="280" t="e">
        <f t="shared" si="167"/>
        <v>#DIV/0!</v>
      </c>
      <c r="L210" s="240">
        <f t="shared" si="205"/>
        <v>2336642</v>
      </c>
      <c r="M210" s="280">
        <f t="shared" si="191"/>
        <v>26248.377984766939</v>
      </c>
      <c r="N210" s="280">
        <f t="shared" si="192"/>
        <v>3213.9559183013271</v>
      </c>
      <c r="O210" s="1089"/>
      <c r="P210" s="1084"/>
      <c r="Q210" s="77">
        <f t="shared" si="193"/>
        <v>13184</v>
      </c>
      <c r="R210" s="35"/>
      <c r="S210" s="35">
        <v>13184</v>
      </c>
      <c r="T210" s="35">
        <f t="shared" si="184"/>
        <v>0</v>
      </c>
      <c r="U210" s="36" t="e">
        <f t="shared" si="177"/>
        <v>#DIV/0!</v>
      </c>
      <c r="V210" s="74">
        <f t="shared" si="194"/>
        <v>177690</v>
      </c>
      <c r="W210" s="36">
        <f t="shared" si="195"/>
        <v>1.9960585678564526</v>
      </c>
      <c r="X210" s="1136"/>
      <c r="Y210" s="50">
        <f t="shared" si="171"/>
        <v>850</v>
      </c>
      <c r="Z210" s="50"/>
      <c r="AA210" s="50">
        <v>850</v>
      </c>
      <c r="AB210" s="50">
        <f t="shared" si="185"/>
        <v>0</v>
      </c>
      <c r="AC210" s="51" t="e">
        <f t="shared" si="178"/>
        <v>#DIV/0!</v>
      </c>
      <c r="AD210" s="50">
        <f t="shared" si="196"/>
        <v>9004</v>
      </c>
      <c r="AE210" s="51">
        <f t="shared" si="186"/>
        <v>0.10114531681568743</v>
      </c>
      <c r="AF210" s="1047"/>
      <c r="AG210" s="40">
        <f t="shared" si="172"/>
        <v>360</v>
      </c>
      <c r="AH210" s="41"/>
      <c r="AI210" s="41">
        <v>360</v>
      </c>
      <c r="AJ210" s="41">
        <f t="shared" si="206"/>
        <v>0</v>
      </c>
      <c r="AK210" s="42" t="e">
        <f t="shared" si="181"/>
        <v>#DIV/0!</v>
      </c>
      <c r="AL210" s="41">
        <f t="shared" si="203"/>
        <v>5115</v>
      </c>
      <c r="AM210" s="42">
        <f t="shared" si="197"/>
        <v>5.7458717848982807E-2</v>
      </c>
      <c r="AN210" s="1058"/>
      <c r="AO210" s="220"/>
      <c r="AP210" s="67"/>
      <c r="AQ210" s="68"/>
      <c r="AR210" s="68"/>
      <c r="AS210" s="258"/>
      <c r="AT210" s="68"/>
      <c r="AU210" s="1118"/>
      <c r="AV210" s="70"/>
      <c r="AW210" s="71"/>
      <c r="AX210" s="72"/>
      <c r="AY210" s="72"/>
      <c r="AZ210" s="276"/>
      <c r="BA210" s="72"/>
      <c r="BB210" s="1121"/>
      <c r="BC210" s="56">
        <f t="shared" si="169"/>
        <v>32623</v>
      </c>
      <c r="BD210" s="59"/>
      <c r="BE210" s="56">
        <v>32623</v>
      </c>
      <c r="BF210" s="56">
        <f t="shared" si="202"/>
        <v>0</v>
      </c>
      <c r="BG210" s="58">
        <f t="shared" si="198"/>
        <v>66929</v>
      </c>
      <c r="BH210" s="58" t="e">
        <f t="shared" si="187"/>
        <v>#VALUE!</v>
      </c>
      <c r="BI210" s="1133"/>
      <c r="BJ210" s="64">
        <f t="shared" si="173"/>
        <v>260</v>
      </c>
      <c r="BK210" s="64"/>
      <c r="BL210" s="64">
        <v>260</v>
      </c>
      <c r="BM210" s="64">
        <f t="shared" si="199"/>
        <v>0</v>
      </c>
      <c r="BN210" s="65"/>
      <c r="BO210" s="64">
        <f t="shared" si="200"/>
        <v>18240</v>
      </c>
      <c r="BP210" s="65">
        <f t="shared" si="201"/>
        <v>0.20489677684563959</v>
      </c>
      <c r="BQ210" s="1071"/>
      <c r="BR210" s="35">
        <f t="shared" si="174"/>
        <v>36485</v>
      </c>
      <c r="BS210" s="35"/>
      <c r="BT210" s="35">
        <v>36485</v>
      </c>
      <c r="BU210" s="74">
        <f t="shared" si="207"/>
        <v>0</v>
      </c>
      <c r="BV210" s="74">
        <f t="shared" si="208"/>
        <v>430816</v>
      </c>
      <c r="BW210" s="74" t="e">
        <f t="shared" si="188"/>
        <v>#VALUE!</v>
      </c>
      <c r="BX210" s="1098"/>
      <c r="BY210" s="296">
        <f t="shared" si="175"/>
        <v>0</v>
      </c>
      <c r="BZ210" s="296"/>
      <c r="CA210" s="296">
        <v>0</v>
      </c>
      <c r="CB210" s="296">
        <f t="shared" si="189"/>
        <v>0</v>
      </c>
      <c r="CC210" s="297"/>
      <c r="CD210" s="296">
        <f t="shared" si="204"/>
        <v>42550</v>
      </c>
      <c r="CE210" s="297"/>
      <c r="CF210" s="1061"/>
      <c r="CG210" s="33"/>
    </row>
    <row r="211" spans="1:85">
      <c r="A211" s="30">
        <v>44524</v>
      </c>
      <c r="B211" s="32"/>
      <c r="C211" s="842">
        <f t="shared" si="182"/>
        <v>89020.434000000067</v>
      </c>
      <c r="D211" s="842"/>
      <c r="E211" s="843" t="e">
        <f t="shared" si="183"/>
        <v>#VALUE!</v>
      </c>
      <c r="F211" s="240">
        <f t="shared" si="170"/>
        <v>0</v>
      </c>
      <c r="G211" s="240"/>
      <c r="H211" s="280"/>
      <c r="I211" s="240"/>
      <c r="J211" s="240">
        <f t="shared" si="190"/>
        <v>0</v>
      </c>
      <c r="K211" s="280" t="e">
        <f t="shared" si="167"/>
        <v>#DIV/0!</v>
      </c>
      <c r="L211" s="240">
        <f t="shared" si="205"/>
        <v>2336642</v>
      </c>
      <c r="M211" s="280">
        <f t="shared" si="191"/>
        <v>26248.377984766939</v>
      </c>
      <c r="N211" s="280">
        <f t="shared" si="192"/>
        <v>3213.9559183013271</v>
      </c>
      <c r="O211" s="1089"/>
      <c r="P211" s="1084"/>
      <c r="Q211" s="77">
        <f t="shared" si="193"/>
        <v>13184</v>
      </c>
      <c r="R211" s="35"/>
      <c r="S211" s="35">
        <v>13184</v>
      </c>
      <c r="T211" s="35">
        <f t="shared" si="184"/>
        <v>0</v>
      </c>
      <c r="U211" s="36" t="e">
        <f t="shared" si="177"/>
        <v>#DIV/0!</v>
      </c>
      <c r="V211" s="74">
        <f t="shared" si="194"/>
        <v>177690</v>
      </c>
      <c r="W211" s="36">
        <f t="shared" si="195"/>
        <v>1.9960585678564526</v>
      </c>
      <c r="X211" s="1136"/>
      <c r="Y211" s="50">
        <f t="shared" si="171"/>
        <v>850</v>
      </c>
      <c r="Z211" s="50"/>
      <c r="AA211" s="50">
        <v>850</v>
      </c>
      <c r="AB211" s="50">
        <f t="shared" si="185"/>
        <v>0</v>
      </c>
      <c r="AC211" s="51" t="e">
        <f t="shared" si="178"/>
        <v>#DIV/0!</v>
      </c>
      <c r="AD211" s="50">
        <f t="shared" si="196"/>
        <v>9004</v>
      </c>
      <c r="AE211" s="51">
        <f t="shared" si="186"/>
        <v>0.10114531681568743</v>
      </c>
      <c r="AF211" s="1047"/>
      <c r="AG211" s="40">
        <f t="shared" si="172"/>
        <v>360</v>
      </c>
      <c r="AH211" s="41"/>
      <c r="AI211" s="41">
        <v>360</v>
      </c>
      <c r="AJ211" s="41">
        <f t="shared" si="206"/>
        <v>0</v>
      </c>
      <c r="AK211" s="42" t="e">
        <f t="shared" si="181"/>
        <v>#DIV/0!</v>
      </c>
      <c r="AL211" s="41">
        <f t="shared" si="203"/>
        <v>5115</v>
      </c>
      <c r="AM211" s="42">
        <f t="shared" si="197"/>
        <v>5.7458717848982807E-2</v>
      </c>
      <c r="AN211" s="1058"/>
      <c r="AO211" s="220"/>
      <c r="AP211" s="67"/>
      <c r="AQ211" s="68"/>
      <c r="AR211" s="68"/>
      <c r="AS211" s="258"/>
      <c r="AT211" s="68"/>
      <c r="AU211" s="1118"/>
      <c r="AV211" s="70"/>
      <c r="AW211" s="71"/>
      <c r="AX211" s="72"/>
      <c r="AY211" s="72"/>
      <c r="AZ211" s="276"/>
      <c r="BA211" s="72"/>
      <c r="BB211" s="1121"/>
      <c r="BC211" s="56">
        <f t="shared" si="169"/>
        <v>32623</v>
      </c>
      <c r="BD211" s="59"/>
      <c r="BE211" s="56">
        <v>32623</v>
      </c>
      <c r="BF211" s="56">
        <f t="shared" si="202"/>
        <v>0</v>
      </c>
      <c r="BG211" s="58">
        <f t="shared" si="198"/>
        <v>66929</v>
      </c>
      <c r="BH211" s="58" t="e">
        <f t="shared" si="187"/>
        <v>#VALUE!</v>
      </c>
      <c r="BI211" s="1133"/>
      <c r="BJ211" s="64">
        <f t="shared" si="173"/>
        <v>260</v>
      </c>
      <c r="BK211" s="64"/>
      <c r="BL211" s="64">
        <v>260</v>
      </c>
      <c r="BM211" s="64">
        <f t="shared" si="199"/>
        <v>0</v>
      </c>
      <c r="BN211" s="65"/>
      <c r="BO211" s="64">
        <f t="shared" si="200"/>
        <v>18240</v>
      </c>
      <c r="BP211" s="65">
        <f t="shared" si="201"/>
        <v>0.20489677684563959</v>
      </c>
      <c r="BQ211" s="1071"/>
      <c r="BR211" s="35">
        <f t="shared" si="174"/>
        <v>36485</v>
      </c>
      <c r="BS211" s="35"/>
      <c r="BT211" s="35">
        <v>36485</v>
      </c>
      <c r="BU211" s="74">
        <f t="shared" si="207"/>
        <v>0</v>
      </c>
      <c r="BV211" s="74">
        <f t="shared" si="208"/>
        <v>430816</v>
      </c>
      <c r="BW211" s="74" t="e">
        <f t="shared" si="188"/>
        <v>#VALUE!</v>
      </c>
      <c r="BX211" s="1098"/>
      <c r="BY211" s="296">
        <f t="shared" si="175"/>
        <v>0</v>
      </c>
      <c r="BZ211" s="296"/>
      <c r="CA211" s="296">
        <v>0</v>
      </c>
      <c r="CB211" s="296">
        <f t="shared" si="189"/>
        <v>0</v>
      </c>
      <c r="CC211" s="297"/>
      <c r="CD211" s="296">
        <f t="shared" si="204"/>
        <v>42550</v>
      </c>
      <c r="CE211" s="297"/>
      <c r="CF211" s="1061"/>
      <c r="CG211" s="33"/>
    </row>
    <row r="212" spans="1:85">
      <c r="A212" s="30">
        <v>44525</v>
      </c>
      <c r="B212" s="32"/>
      <c r="C212" s="842">
        <f t="shared" si="182"/>
        <v>89020.434000000067</v>
      </c>
      <c r="D212" s="842"/>
      <c r="E212" s="843" t="e">
        <f t="shared" si="183"/>
        <v>#VALUE!</v>
      </c>
      <c r="F212" s="240">
        <f t="shared" si="170"/>
        <v>0</v>
      </c>
      <c r="G212" s="240"/>
      <c r="H212" s="280"/>
      <c r="I212" s="240"/>
      <c r="J212" s="240">
        <f t="shared" si="190"/>
        <v>0</v>
      </c>
      <c r="K212" s="280" t="e">
        <f t="shared" si="167"/>
        <v>#DIV/0!</v>
      </c>
      <c r="L212" s="240">
        <f t="shared" si="205"/>
        <v>2336642</v>
      </c>
      <c r="M212" s="280">
        <f t="shared" si="191"/>
        <v>26248.377984766939</v>
      </c>
      <c r="N212" s="280">
        <f t="shared" si="192"/>
        <v>3213.9559183013271</v>
      </c>
      <c r="O212" s="1089"/>
      <c r="P212" s="1084"/>
      <c r="Q212" s="77">
        <f t="shared" si="193"/>
        <v>13184</v>
      </c>
      <c r="R212" s="35"/>
      <c r="S212" s="35">
        <v>13184</v>
      </c>
      <c r="T212" s="35">
        <f t="shared" si="184"/>
        <v>0</v>
      </c>
      <c r="U212" s="36" t="e">
        <f t="shared" si="177"/>
        <v>#DIV/0!</v>
      </c>
      <c r="V212" s="74">
        <f t="shared" si="194"/>
        <v>177690</v>
      </c>
      <c r="W212" s="36">
        <f t="shared" si="195"/>
        <v>1.9960585678564526</v>
      </c>
      <c r="X212" s="1136"/>
      <c r="Y212" s="50">
        <f t="shared" si="171"/>
        <v>850</v>
      </c>
      <c r="Z212" s="50"/>
      <c r="AA212" s="50">
        <v>850</v>
      </c>
      <c r="AB212" s="50">
        <f t="shared" si="185"/>
        <v>0</v>
      </c>
      <c r="AC212" s="51" t="e">
        <f t="shared" si="178"/>
        <v>#DIV/0!</v>
      </c>
      <c r="AD212" s="50">
        <f t="shared" si="196"/>
        <v>9004</v>
      </c>
      <c r="AE212" s="51">
        <f t="shared" si="186"/>
        <v>0.10114531681568743</v>
      </c>
      <c r="AF212" s="1047"/>
      <c r="AG212" s="40">
        <f t="shared" si="172"/>
        <v>360</v>
      </c>
      <c r="AH212" s="41"/>
      <c r="AI212" s="41">
        <v>360</v>
      </c>
      <c r="AJ212" s="41">
        <f t="shared" si="206"/>
        <v>0</v>
      </c>
      <c r="AK212" s="42" t="e">
        <f t="shared" si="181"/>
        <v>#DIV/0!</v>
      </c>
      <c r="AL212" s="41">
        <f t="shared" si="203"/>
        <v>5115</v>
      </c>
      <c r="AM212" s="42">
        <f t="shared" si="197"/>
        <v>5.7458717848982807E-2</v>
      </c>
      <c r="AN212" s="1058"/>
      <c r="AO212" s="220"/>
      <c r="AP212" s="67"/>
      <c r="AQ212" s="68"/>
      <c r="AR212" s="68"/>
      <c r="AS212" s="258"/>
      <c r="AT212" s="68"/>
      <c r="AU212" s="1118"/>
      <c r="AV212" s="70"/>
      <c r="AW212" s="71"/>
      <c r="AX212" s="72"/>
      <c r="AY212" s="72"/>
      <c r="AZ212" s="276"/>
      <c r="BA212" s="72"/>
      <c r="BB212" s="1121"/>
      <c r="BC212" s="56">
        <f t="shared" si="169"/>
        <v>32623</v>
      </c>
      <c r="BD212" s="59"/>
      <c r="BE212" s="56">
        <v>32623</v>
      </c>
      <c r="BF212" s="56">
        <f t="shared" si="202"/>
        <v>0</v>
      </c>
      <c r="BG212" s="58">
        <f t="shared" si="198"/>
        <v>66929</v>
      </c>
      <c r="BH212" s="58" t="e">
        <f t="shared" si="187"/>
        <v>#VALUE!</v>
      </c>
      <c r="BI212" s="1133"/>
      <c r="BJ212" s="64">
        <f t="shared" si="173"/>
        <v>260</v>
      </c>
      <c r="BK212" s="64"/>
      <c r="BL212" s="64">
        <v>260</v>
      </c>
      <c r="BM212" s="64">
        <f t="shared" si="199"/>
        <v>0</v>
      </c>
      <c r="BN212" s="65"/>
      <c r="BO212" s="64">
        <f t="shared" si="200"/>
        <v>18240</v>
      </c>
      <c r="BP212" s="65">
        <f t="shared" si="201"/>
        <v>0.20489677684563959</v>
      </c>
      <c r="BQ212" s="1071"/>
      <c r="BR212" s="35">
        <f t="shared" si="174"/>
        <v>36485</v>
      </c>
      <c r="BS212" s="35"/>
      <c r="BT212" s="35">
        <v>36485</v>
      </c>
      <c r="BU212" s="74">
        <f t="shared" si="207"/>
        <v>0</v>
      </c>
      <c r="BV212" s="74">
        <f t="shared" si="208"/>
        <v>430816</v>
      </c>
      <c r="BW212" s="74" t="e">
        <f t="shared" si="188"/>
        <v>#VALUE!</v>
      </c>
      <c r="BX212" s="1098"/>
      <c r="BY212" s="296">
        <f t="shared" si="175"/>
        <v>0</v>
      </c>
      <c r="BZ212" s="296"/>
      <c r="CA212" s="296">
        <v>0</v>
      </c>
      <c r="CB212" s="296">
        <f t="shared" si="189"/>
        <v>0</v>
      </c>
      <c r="CC212" s="297"/>
      <c r="CD212" s="296">
        <f t="shared" si="204"/>
        <v>42550</v>
      </c>
      <c r="CE212" s="297"/>
      <c r="CF212" s="1061"/>
      <c r="CG212" s="33"/>
    </row>
    <row r="213" spans="1:85">
      <c r="A213" s="30">
        <v>44526</v>
      </c>
      <c r="B213" s="32"/>
      <c r="C213" s="842">
        <f t="shared" si="182"/>
        <v>89020.434000000067</v>
      </c>
      <c r="D213" s="842"/>
      <c r="E213" s="843" t="e">
        <f t="shared" si="183"/>
        <v>#VALUE!</v>
      </c>
      <c r="F213" s="240">
        <f t="shared" si="170"/>
        <v>0</v>
      </c>
      <c r="G213" s="240"/>
      <c r="H213" s="280"/>
      <c r="I213" s="240"/>
      <c r="J213" s="240">
        <f t="shared" si="190"/>
        <v>0</v>
      </c>
      <c r="K213" s="280" t="e">
        <f t="shared" si="167"/>
        <v>#DIV/0!</v>
      </c>
      <c r="L213" s="240">
        <f t="shared" si="205"/>
        <v>2336642</v>
      </c>
      <c r="M213" s="280">
        <f t="shared" si="191"/>
        <v>26248.377984766939</v>
      </c>
      <c r="N213" s="280">
        <f t="shared" si="192"/>
        <v>3213.9559183013271</v>
      </c>
      <c r="O213" s="1089"/>
      <c r="P213" s="1084"/>
      <c r="Q213" s="77">
        <f t="shared" si="193"/>
        <v>13184</v>
      </c>
      <c r="R213" s="35"/>
      <c r="S213" s="35">
        <v>13184</v>
      </c>
      <c r="T213" s="35">
        <f t="shared" si="184"/>
        <v>0</v>
      </c>
      <c r="U213" s="36" t="e">
        <f t="shared" si="177"/>
        <v>#DIV/0!</v>
      </c>
      <c r="V213" s="74">
        <f t="shared" si="194"/>
        <v>177690</v>
      </c>
      <c r="W213" s="36">
        <f t="shared" si="195"/>
        <v>1.9960585678564526</v>
      </c>
      <c r="X213" s="1136"/>
      <c r="Y213" s="50">
        <f t="shared" si="171"/>
        <v>850</v>
      </c>
      <c r="Z213" s="50"/>
      <c r="AA213" s="50">
        <v>850</v>
      </c>
      <c r="AB213" s="50">
        <f t="shared" si="185"/>
        <v>0</v>
      </c>
      <c r="AC213" s="51" t="e">
        <f t="shared" si="178"/>
        <v>#DIV/0!</v>
      </c>
      <c r="AD213" s="50">
        <f t="shared" si="196"/>
        <v>9004</v>
      </c>
      <c r="AE213" s="51">
        <f t="shared" si="186"/>
        <v>0.10114531681568743</v>
      </c>
      <c r="AF213" s="1047"/>
      <c r="AG213" s="40">
        <f t="shared" si="172"/>
        <v>360</v>
      </c>
      <c r="AH213" s="41"/>
      <c r="AI213" s="41">
        <v>360</v>
      </c>
      <c r="AJ213" s="41">
        <f t="shared" si="206"/>
        <v>0</v>
      </c>
      <c r="AK213" s="42" t="e">
        <f t="shared" si="181"/>
        <v>#DIV/0!</v>
      </c>
      <c r="AL213" s="41">
        <f t="shared" si="203"/>
        <v>5115</v>
      </c>
      <c r="AM213" s="42">
        <f t="shared" si="197"/>
        <v>5.7458717848982807E-2</v>
      </c>
      <c r="AN213" s="1058"/>
      <c r="AO213" s="220"/>
      <c r="AP213" s="67"/>
      <c r="AQ213" s="68"/>
      <c r="AR213" s="68"/>
      <c r="AS213" s="258"/>
      <c r="AT213" s="68"/>
      <c r="AU213" s="1118"/>
      <c r="AV213" s="70"/>
      <c r="AW213" s="71"/>
      <c r="AX213" s="72"/>
      <c r="AY213" s="72"/>
      <c r="AZ213" s="276"/>
      <c r="BA213" s="72"/>
      <c r="BB213" s="1121"/>
      <c r="BC213" s="56">
        <f t="shared" si="169"/>
        <v>32623</v>
      </c>
      <c r="BD213" s="59"/>
      <c r="BE213" s="56">
        <v>32623</v>
      </c>
      <c r="BF213" s="56">
        <f t="shared" si="202"/>
        <v>0</v>
      </c>
      <c r="BG213" s="58">
        <f t="shared" si="198"/>
        <v>66929</v>
      </c>
      <c r="BH213" s="58" t="e">
        <f t="shared" si="187"/>
        <v>#VALUE!</v>
      </c>
      <c r="BI213" s="1133"/>
      <c r="BJ213" s="64">
        <f t="shared" si="173"/>
        <v>260</v>
      </c>
      <c r="BK213" s="64"/>
      <c r="BL213" s="64">
        <v>260</v>
      </c>
      <c r="BM213" s="64">
        <f t="shared" si="199"/>
        <v>0</v>
      </c>
      <c r="BN213" s="65"/>
      <c r="BO213" s="64">
        <f t="shared" si="200"/>
        <v>18240</v>
      </c>
      <c r="BP213" s="65">
        <f t="shared" si="201"/>
        <v>0.20489677684563959</v>
      </c>
      <c r="BQ213" s="1071"/>
      <c r="BR213" s="35">
        <f t="shared" si="174"/>
        <v>36485</v>
      </c>
      <c r="BS213" s="35"/>
      <c r="BT213" s="35">
        <v>36485</v>
      </c>
      <c r="BU213" s="74">
        <f t="shared" si="207"/>
        <v>0</v>
      </c>
      <c r="BV213" s="74">
        <f t="shared" si="208"/>
        <v>430816</v>
      </c>
      <c r="BW213" s="74" t="e">
        <f t="shared" si="188"/>
        <v>#VALUE!</v>
      </c>
      <c r="BX213" s="1098"/>
      <c r="BY213" s="296">
        <f t="shared" si="175"/>
        <v>0</v>
      </c>
      <c r="BZ213" s="296"/>
      <c r="CA213" s="296">
        <v>0</v>
      </c>
      <c r="CB213" s="296">
        <f t="shared" si="189"/>
        <v>0</v>
      </c>
      <c r="CC213" s="297"/>
      <c r="CD213" s="296">
        <f t="shared" si="204"/>
        <v>42550</v>
      </c>
      <c r="CE213" s="297"/>
      <c r="CF213" s="1061"/>
      <c r="CG213" s="33"/>
    </row>
    <row r="214" spans="1:85">
      <c r="A214" s="30">
        <v>44527</v>
      </c>
      <c r="B214" s="32"/>
      <c r="C214" s="842">
        <f t="shared" si="182"/>
        <v>89020.434000000067</v>
      </c>
      <c r="D214" s="842"/>
      <c r="E214" s="843" t="e">
        <f t="shared" si="183"/>
        <v>#VALUE!</v>
      </c>
      <c r="F214" s="240">
        <f t="shared" si="170"/>
        <v>0</v>
      </c>
      <c r="G214" s="240"/>
      <c r="H214" s="280"/>
      <c r="I214" s="240"/>
      <c r="J214" s="240">
        <f t="shared" si="190"/>
        <v>0</v>
      </c>
      <c r="K214" s="280" t="e">
        <f t="shared" si="167"/>
        <v>#DIV/0!</v>
      </c>
      <c r="L214" s="240">
        <f t="shared" si="205"/>
        <v>2336642</v>
      </c>
      <c r="M214" s="280">
        <f t="shared" si="191"/>
        <v>26248.377984766939</v>
      </c>
      <c r="N214" s="280">
        <f t="shared" si="192"/>
        <v>3213.9559183013271</v>
      </c>
      <c r="O214" s="1089"/>
      <c r="P214" s="1084"/>
      <c r="Q214" s="77">
        <f t="shared" si="193"/>
        <v>13184</v>
      </c>
      <c r="R214" s="35"/>
      <c r="S214" s="35">
        <v>13184</v>
      </c>
      <c r="T214" s="35">
        <f t="shared" si="184"/>
        <v>0</v>
      </c>
      <c r="U214" s="36" t="e">
        <f t="shared" si="177"/>
        <v>#DIV/0!</v>
      </c>
      <c r="V214" s="74">
        <f t="shared" si="194"/>
        <v>177690</v>
      </c>
      <c r="W214" s="36">
        <f t="shared" si="195"/>
        <v>1.9960585678564526</v>
      </c>
      <c r="X214" s="1136"/>
      <c r="Y214" s="50">
        <f t="shared" si="171"/>
        <v>850</v>
      </c>
      <c r="Z214" s="50"/>
      <c r="AA214" s="50">
        <v>850</v>
      </c>
      <c r="AB214" s="50">
        <f t="shared" si="185"/>
        <v>0</v>
      </c>
      <c r="AC214" s="51" t="e">
        <f t="shared" si="178"/>
        <v>#DIV/0!</v>
      </c>
      <c r="AD214" s="50">
        <f t="shared" si="196"/>
        <v>9004</v>
      </c>
      <c r="AE214" s="51">
        <f t="shared" si="186"/>
        <v>0.10114531681568743</v>
      </c>
      <c r="AF214" s="1047"/>
      <c r="AG214" s="40">
        <f t="shared" si="172"/>
        <v>360</v>
      </c>
      <c r="AH214" s="41"/>
      <c r="AI214" s="41">
        <v>360</v>
      </c>
      <c r="AJ214" s="41">
        <f t="shared" si="206"/>
        <v>0</v>
      </c>
      <c r="AK214" s="42" t="e">
        <f t="shared" si="181"/>
        <v>#DIV/0!</v>
      </c>
      <c r="AL214" s="41">
        <f t="shared" si="203"/>
        <v>5115</v>
      </c>
      <c r="AM214" s="42">
        <f t="shared" si="197"/>
        <v>5.7458717848982807E-2</v>
      </c>
      <c r="AN214" s="1058"/>
      <c r="AO214" s="220"/>
      <c r="AP214" s="67"/>
      <c r="AQ214" s="68"/>
      <c r="AR214" s="68"/>
      <c r="AS214" s="258"/>
      <c r="AT214" s="68"/>
      <c r="AU214" s="1118"/>
      <c r="AV214" s="70"/>
      <c r="AW214" s="71"/>
      <c r="AX214" s="72"/>
      <c r="AY214" s="72"/>
      <c r="AZ214" s="276"/>
      <c r="BA214" s="72"/>
      <c r="BB214" s="1121"/>
      <c r="BC214" s="56">
        <f t="shared" si="169"/>
        <v>32623</v>
      </c>
      <c r="BD214" s="59"/>
      <c r="BE214" s="56">
        <v>32623</v>
      </c>
      <c r="BF214" s="56">
        <f t="shared" si="202"/>
        <v>0</v>
      </c>
      <c r="BG214" s="58">
        <f t="shared" si="198"/>
        <v>66929</v>
      </c>
      <c r="BH214" s="58" t="e">
        <f t="shared" si="187"/>
        <v>#VALUE!</v>
      </c>
      <c r="BI214" s="1133"/>
      <c r="BJ214" s="64">
        <f t="shared" si="173"/>
        <v>260</v>
      </c>
      <c r="BK214" s="64"/>
      <c r="BL214" s="64">
        <v>260</v>
      </c>
      <c r="BM214" s="64">
        <f t="shared" si="199"/>
        <v>0</v>
      </c>
      <c r="BN214" s="65"/>
      <c r="BO214" s="64">
        <f t="shared" si="200"/>
        <v>18240</v>
      </c>
      <c r="BP214" s="65">
        <f t="shared" si="201"/>
        <v>0.20489677684563959</v>
      </c>
      <c r="BQ214" s="1071"/>
      <c r="BR214" s="35">
        <f t="shared" si="174"/>
        <v>36485</v>
      </c>
      <c r="BS214" s="35"/>
      <c r="BT214" s="35">
        <v>36485</v>
      </c>
      <c r="BU214" s="74">
        <f t="shared" si="207"/>
        <v>0</v>
      </c>
      <c r="BV214" s="74">
        <f t="shared" si="208"/>
        <v>430816</v>
      </c>
      <c r="BW214" s="74" t="e">
        <f t="shared" si="188"/>
        <v>#VALUE!</v>
      </c>
      <c r="BX214" s="1098"/>
      <c r="BY214" s="296">
        <f t="shared" si="175"/>
        <v>0</v>
      </c>
      <c r="BZ214" s="296"/>
      <c r="CA214" s="296">
        <v>0</v>
      </c>
      <c r="CB214" s="296">
        <f t="shared" si="189"/>
        <v>0</v>
      </c>
      <c r="CC214" s="297"/>
      <c r="CD214" s="296">
        <f t="shared" si="204"/>
        <v>42550</v>
      </c>
      <c r="CE214" s="297"/>
      <c r="CF214" s="1061"/>
      <c r="CG214" s="33"/>
    </row>
    <row r="215" spans="1:85">
      <c r="A215" s="30">
        <v>44528</v>
      </c>
      <c r="B215" s="32"/>
      <c r="C215" s="842">
        <f t="shared" si="182"/>
        <v>89020.434000000067</v>
      </c>
      <c r="D215" s="842"/>
      <c r="E215" s="843" t="e">
        <f t="shared" si="183"/>
        <v>#VALUE!</v>
      </c>
      <c r="F215" s="240">
        <f t="shared" si="170"/>
        <v>0</v>
      </c>
      <c r="G215" s="240"/>
      <c r="H215" s="280"/>
      <c r="I215" s="240"/>
      <c r="J215" s="240">
        <f t="shared" si="190"/>
        <v>0</v>
      </c>
      <c r="K215" s="280" t="e">
        <f t="shared" si="167"/>
        <v>#DIV/0!</v>
      </c>
      <c r="L215" s="240">
        <f t="shared" si="205"/>
        <v>2336642</v>
      </c>
      <c r="M215" s="280">
        <f t="shared" si="191"/>
        <v>26248.377984766939</v>
      </c>
      <c r="N215" s="280">
        <f t="shared" si="192"/>
        <v>3213.9559183013271</v>
      </c>
      <c r="O215" s="1089"/>
      <c r="P215" s="1084"/>
      <c r="Q215" s="77">
        <f t="shared" si="193"/>
        <v>13184</v>
      </c>
      <c r="R215" s="35"/>
      <c r="S215" s="35">
        <v>13184</v>
      </c>
      <c r="T215" s="35">
        <f t="shared" si="184"/>
        <v>0</v>
      </c>
      <c r="U215" s="36" t="e">
        <f t="shared" si="177"/>
        <v>#DIV/0!</v>
      </c>
      <c r="V215" s="74">
        <f t="shared" si="194"/>
        <v>177690</v>
      </c>
      <c r="W215" s="36">
        <f t="shared" si="195"/>
        <v>1.9960585678564526</v>
      </c>
      <c r="X215" s="1136"/>
      <c r="Y215" s="50">
        <f t="shared" si="171"/>
        <v>850</v>
      </c>
      <c r="Z215" s="50"/>
      <c r="AA215" s="50">
        <v>850</v>
      </c>
      <c r="AB215" s="50">
        <f t="shared" si="185"/>
        <v>0</v>
      </c>
      <c r="AC215" s="51" t="e">
        <f t="shared" si="178"/>
        <v>#DIV/0!</v>
      </c>
      <c r="AD215" s="50">
        <f t="shared" si="196"/>
        <v>9004</v>
      </c>
      <c r="AE215" s="51">
        <f t="shared" si="186"/>
        <v>0.10114531681568743</v>
      </c>
      <c r="AF215" s="1047"/>
      <c r="AG215" s="40">
        <f t="shared" si="172"/>
        <v>360</v>
      </c>
      <c r="AH215" s="41"/>
      <c r="AI215" s="41">
        <v>360</v>
      </c>
      <c r="AJ215" s="41">
        <f t="shared" si="206"/>
        <v>0</v>
      </c>
      <c r="AK215" s="42" t="e">
        <f t="shared" si="181"/>
        <v>#DIV/0!</v>
      </c>
      <c r="AL215" s="41">
        <f t="shared" si="203"/>
        <v>5115</v>
      </c>
      <c r="AM215" s="42">
        <f t="shared" si="197"/>
        <v>5.7458717848982807E-2</v>
      </c>
      <c r="AN215" s="1058"/>
      <c r="AO215" s="220"/>
      <c r="AP215" s="67"/>
      <c r="AQ215" s="68"/>
      <c r="AR215" s="68"/>
      <c r="AS215" s="258"/>
      <c r="AT215" s="68"/>
      <c r="AU215" s="1118"/>
      <c r="AV215" s="70"/>
      <c r="AW215" s="71"/>
      <c r="AX215" s="72"/>
      <c r="AY215" s="72"/>
      <c r="AZ215" s="276"/>
      <c r="BA215" s="72"/>
      <c r="BB215" s="1121"/>
      <c r="BC215" s="56">
        <f t="shared" si="169"/>
        <v>32623</v>
      </c>
      <c r="BD215" s="59"/>
      <c r="BE215" s="56">
        <v>32623</v>
      </c>
      <c r="BF215" s="56">
        <f t="shared" si="202"/>
        <v>0</v>
      </c>
      <c r="BG215" s="58">
        <f t="shared" si="198"/>
        <v>66929</v>
      </c>
      <c r="BH215" s="58" t="e">
        <f t="shared" si="187"/>
        <v>#VALUE!</v>
      </c>
      <c r="BI215" s="1133"/>
      <c r="BJ215" s="64">
        <f t="shared" si="173"/>
        <v>260</v>
      </c>
      <c r="BK215" s="64"/>
      <c r="BL215" s="64">
        <v>260</v>
      </c>
      <c r="BM215" s="64">
        <f t="shared" si="199"/>
        <v>0</v>
      </c>
      <c r="BN215" s="65"/>
      <c r="BO215" s="64">
        <f t="shared" si="200"/>
        <v>18240</v>
      </c>
      <c r="BP215" s="65">
        <f t="shared" si="201"/>
        <v>0.20489677684563959</v>
      </c>
      <c r="BQ215" s="1071"/>
      <c r="BR215" s="35">
        <f t="shared" si="174"/>
        <v>36485</v>
      </c>
      <c r="BS215" s="35"/>
      <c r="BT215" s="35">
        <v>36485</v>
      </c>
      <c r="BU215" s="74">
        <f t="shared" si="207"/>
        <v>0</v>
      </c>
      <c r="BV215" s="74">
        <f t="shared" si="208"/>
        <v>430816</v>
      </c>
      <c r="BW215" s="74" t="e">
        <f t="shared" si="188"/>
        <v>#VALUE!</v>
      </c>
      <c r="BX215" s="1098"/>
      <c r="BY215" s="296">
        <f t="shared" si="175"/>
        <v>0</v>
      </c>
      <c r="BZ215" s="296"/>
      <c r="CA215" s="296">
        <v>0</v>
      </c>
      <c r="CB215" s="296">
        <f t="shared" si="189"/>
        <v>0</v>
      </c>
      <c r="CC215" s="297"/>
      <c r="CD215" s="296">
        <f t="shared" si="204"/>
        <v>42550</v>
      </c>
      <c r="CE215" s="297"/>
      <c r="CF215" s="1061"/>
      <c r="CG215" s="33"/>
    </row>
    <row r="216" spans="1:85">
      <c r="A216" s="30">
        <v>44529</v>
      </c>
      <c r="B216" s="32"/>
      <c r="C216" s="842">
        <f t="shared" si="182"/>
        <v>89020.434000000067</v>
      </c>
      <c r="D216" s="842"/>
      <c r="E216" s="843" t="e">
        <f t="shared" si="183"/>
        <v>#VALUE!</v>
      </c>
      <c r="F216" s="240">
        <f t="shared" si="170"/>
        <v>0</v>
      </c>
      <c r="G216" s="240"/>
      <c r="H216" s="280"/>
      <c r="I216" s="240"/>
      <c r="J216" s="240">
        <f t="shared" si="190"/>
        <v>0</v>
      </c>
      <c r="K216" s="280" t="e">
        <f t="shared" si="167"/>
        <v>#DIV/0!</v>
      </c>
      <c r="L216" s="240">
        <f t="shared" si="205"/>
        <v>2336642</v>
      </c>
      <c r="M216" s="280">
        <f t="shared" si="191"/>
        <v>26248.377984766939</v>
      </c>
      <c r="N216" s="280">
        <f t="shared" si="192"/>
        <v>3213.9559183013271</v>
      </c>
      <c r="O216" s="1089"/>
      <c r="P216" s="1084"/>
      <c r="Q216" s="77">
        <f t="shared" si="193"/>
        <v>13184</v>
      </c>
      <c r="R216" s="35"/>
      <c r="S216" s="35">
        <v>13184</v>
      </c>
      <c r="T216" s="35">
        <f t="shared" si="184"/>
        <v>0</v>
      </c>
      <c r="U216" s="36" t="e">
        <f t="shared" si="177"/>
        <v>#DIV/0!</v>
      </c>
      <c r="V216" s="74">
        <f t="shared" si="194"/>
        <v>177690</v>
      </c>
      <c r="W216" s="36">
        <f t="shared" si="195"/>
        <v>1.9960585678564526</v>
      </c>
      <c r="X216" s="1136"/>
      <c r="Y216" s="50">
        <f t="shared" si="171"/>
        <v>850</v>
      </c>
      <c r="Z216" s="50"/>
      <c r="AA216" s="50">
        <v>850</v>
      </c>
      <c r="AB216" s="50">
        <f t="shared" si="185"/>
        <v>0</v>
      </c>
      <c r="AC216" s="51" t="e">
        <f t="shared" si="178"/>
        <v>#DIV/0!</v>
      </c>
      <c r="AD216" s="50">
        <f t="shared" si="196"/>
        <v>9004</v>
      </c>
      <c r="AE216" s="51">
        <f t="shared" si="186"/>
        <v>0.10114531681568743</v>
      </c>
      <c r="AF216" s="1047"/>
      <c r="AG216" s="40">
        <f t="shared" si="172"/>
        <v>360</v>
      </c>
      <c r="AH216" s="41"/>
      <c r="AI216" s="41">
        <v>360</v>
      </c>
      <c r="AJ216" s="41">
        <f t="shared" si="206"/>
        <v>0</v>
      </c>
      <c r="AK216" s="42" t="e">
        <f t="shared" si="181"/>
        <v>#DIV/0!</v>
      </c>
      <c r="AL216" s="41">
        <f t="shared" si="203"/>
        <v>5115</v>
      </c>
      <c r="AM216" s="42">
        <f t="shared" si="197"/>
        <v>5.7458717848982807E-2</v>
      </c>
      <c r="AN216" s="1058"/>
      <c r="AO216" s="220"/>
      <c r="AP216" s="67"/>
      <c r="AQ216" s="68"/>
      <c r="AR216" s="68"/>
      <c r="AS216" s="258"/>
      <c r="AT216" s="68"/>
      <c r="AU216" s="1118"/>
      <c r="AV216" s="70"/>
      <c r="AW216" s="71"/>
      <c r="AX216" s="72"/>
      <c r="AY216" s="72"/>
      <c r="AZ216" s="276"/>
      <c r="BA216" s="72"/>
      <c r="BB216" s="1121"/>
      <c r="BC216" s="56">
        <f t="shared" si="169"/>
        <v>32623</v>
      </c>
      <c r="BD216" s="59"/>
      <c r="BE216" s="56">
        <v>32623</v>
      </c>
      <c r="BF216" s="56">
        <f t="shared" si="202"/>
        <v>0</v>
      </c>
      <c r="BG216" s="58">
        <f t="shared" si="198"/>
        <v>66929</v>
      </c>
      <c r="BH216" s="58" t="e">
        <f t="shared" si="187"/>
        <v>#VALUE!</v>
      </c>
      <c r="BI216" s="1133"/>
      <c r="BJ216" s="64">
        <f t="shared" si="173"/>
        <v>260</v>
      </c>
      <c r="BK216" s="64"/>
      <c r="BL216" s="64">
        <v>260</v>
      </c>
      <c r="BM216" s="64">
        <f t="shared" si="199"/>
        <v>0</v>
      </c>
      <c r="BN216" s="65"/>
      <c r="BO216" s="64">
        <f t="shared" si="200"/>
        <v>18240</v>
      </c>
      <c r="BP216" s="65">
        <f t="shared" si="201"/>
        <v>0.20489677684563959</v>
      </c>
      <c r="BQ216" s="1071"/>
      <c r="BR216" s="35">
        <f t="shared" si="174"/>
        <v>36485</v>
      </c>
      <c r="BS216" s="35"/>
      <c r="BT216" s="35">
        <v>36485</v>
      </c>
      <c r="BU216" s="74">
        <f t="shared" si="207"/>
        <v>0</v>
      </c>
      <c r="BV216" s="74">
        <f t="shared" si="208"/>
        <v>430816</v>
      </c>
      <c r="BW216" s="74" t="e">
        <f t="shared" si="188"/>
        <v>#VALUE!</v>
      </c>
      <c r="BX216" s="1098"/>
      <c r="BY216" s="296">
        <f t="shared" si="175"/>
        <v>0</v>
      </c>
      <c r="BZ216" s="296"/>
      <c r="CA216" s="296">
        <v>0</v>
      </c>
      <c r="CB216" s="296">
        <f t="shared" si="189"/>
        <v>0</v>
      </c>
      <c r="CC216" s="297"/>
      <c r="CD216" s="296">
        <f t="shared" si="204"/>
        <v>42550</v>
      </c>
      <c r="CE216" s="297"/>
      <c r="CF216" s="1061"/>
      <c r="CG216" s="33"/>
    </row>
    <row r="217" spans="1:85" ht="15.75" thickBot="1">
      <c r="A217" s="30">
        <v>44530</v>
      </c>
      <c r="B217" s="32"/>
      <c r="C217" s="842">
        <f t="shared" si="182"/>
        <v>89020.434000000067</v>
      </c>
      <c r="D217" s="842"/>
      <c r="E217" s="843" t="e">
        <f t="shared" si="183"/>
        <v>#VALUE!</v>
      </c>
      <c r="F217" s="245">
        <f t="shared" si="170"/>
        <v>0</v>
      </c>
      <c r="G217" s="231"/>
      <c r="H217" s="230"/>
      <c r="I217" s="231"/>
      <c r="J217" s="231">
        <f t="shared" si="190"/>
        <v>0</v>
      </c>
      <c r="K217" s="230" t="e">
        <f t="shared" si="167"/>
        <v>#DIV/0!</v>
      </c>
      <c r="L217" s="231">
        <f t="shared" si="205"/>
        <v>2336642</v>
      </c>
      <c r="M217" s="230">
        <f t="shared" si="191"/>
        <v>26248.377984766939</v>
      </c>
      <c r="N217" s="230">
        <f t="shared" si="192"/>
        <v>3213.9559183013271</v>
      </c>
      <c r="O217" s="1090"/>
      <c r="P217" s="1085"/>
      <c r="Q217" s="79">
        <f t="shared" si="193"/>
        <v>13184</v>
      </c>
      <c r="R217" s="76"/>
      <c r="S217" s="35">
        <v>13184</v>
      </c>
      <c r="T217" s="76">
        <f t="shared" si="184"/>
        <v>0</v>
      </c>
      <c r="U217" s="80" t="e">
        <f t="shared" si="177"/>
        <v>#DIV/0!</v>
      </c>
      <c r="V217" s="81">
        <f t="shared" si="194"/>
        <v>177690</v>
      </c>
      <c r="W217" s="80">
        <f t="shared" si="195"/>
        <v>1.9960585678564526</v>
      </c>
      <c r="X217" s="1137"/>
      <c r="Y217" s="83">
        <f t="shared" si="171"/>
        <v>850</v>
      </c>
      <c r="Z217" s="82"/>
      <c r="AA217" s="50">
        <v>850</v>
      </c>
      <c r="AB217" s="82">
        <f t="shared" si="185"/>
        <v>0</v>
      </c>
      <c r="AC217" s="84" t="e">
        <f t="shared" si="178"/>
        <v>#DIV/0!</v>
      </c>
      <c r="AD217" s="82">
        <f t="shared" si="196"/>
        <v>9004</v>
      </c>
      <c r="AE217" s="84">
        <f t="shared" si="186"/>
        <v>0.10114531681568743</v>
      </c>
      <c r="AF217" s="1048"/>
      <c r="AG217" s="95">
        <f t="shared" si="172"/>
        <v>360</v>
      </c>
      <c r="AH217" s="96"/>
      <c r="AI217" s="41">
        <v>360</v>
      </c>
      <c r="AJ217" s="96">
        <f t="shared" si="206"/>
        <v>0</v>
      </c>
      <c r="AK217" s="42"/>
      <c r="AL217" s="96">
        <f t="shared" si="203"/>
        <v>5115</v>
      </c>
      <c r="AM217" s="97">
        <f t="shared" si="197"/>
        <v>5.7458717848982807E-2</v>
      </c>
      <c r="AN217" s="1059"/>
      <c r="AO217" s="215"/>
      <c r="AP217" s="101"/>
      <c r="AQ217" s="111"/>
      <c r="AR217" s="111"/>
      <c r="AS217" s="259"/>
      <c r="AT217" s="111"/>
      <c r="AU217" s="1119"/>
      <c r="AV217" s="113"/>
      <c r="AW217" s="104"/>
      <c r="AX217" s="105"/>
      <c r="AY217" s="105"/>
      <c r="AZ217" s="279"/>
      <c r="BA217" s="105"/>
      <c r="BB217" s="1122"/>
      <c r="BC217" s="88">
        <f t="shared" si="169"/>
        <v>32623</v>
      </c>
      <c r="BD217" s="100"/>
      <c r="BE217" s="88">
        <v>32623</v>
      </c>
      <c r="BF217" s="88">
        <f t="shared" si="202"/>
        <v>0</v>
      </c>
      <c r="BG217" s="89">
        <f t="shared" si="198"/>
        <v>66929</v>
      </c>
      <c r="BH217" s="89" t="e">
        <f t="shared" si="187"/>
        <v>#VALUE!</v>
      </c>
      <c r="BI217" s="1134"/>
      <c r="BJ217" s="85">
        <f t="shared" si="173"/>
        <v>260</v>
      </c>
      <c r="BK217" s="85"/>
      <c r="BL217" s="64">
        <v>260</v>
      </c>
      <c r="BM217" s="85">
        <f t="shared" si="199"/>
        <v>0</v>
      </c>
      <c r="BN217" s="86"/>
      <c r="BO217" s="85">
        <f t="shared" si="200"/>
        <v>18240</v>
      </c>
      <c r="BP217" s="86">
        <f t="shared" si="201"/>
        <v>0.20489677684563959</v>
      </c>
      <c r="BQ217" s="1072"/>
      <c r="BR217" s="76">
        <f t="shared" si="174"/>
        <v>36485</v>
      </c>
      <c r="BS217" s="76"/>
      <c r="BT217" s="35">
        <v>36485</v>
      </c>
      <c r="BU217" s="81">
        <f t="shared" si="207"/>
        <v>0</v>
      </c>
      <c r="BV217" s="81">
        <f t="shared" si="208"/>
        <v>430816</v>
      </c>
      <c r="BW217" s="81" t="e">
        <f t="shared" si="188"/>
        <v>#VALUE!</v>
      </c>
      <c r="BX217" s="1099"/>
      <c r="BY217" s="299">
        <f t="shared" si="175"/>
        <v>0</v>
      </c>
      <c r="BZ217" s="299"/>
      <c r="CA217" s="299">
        <v>0</v>
      </c>
      <c r="CB217" s="299">
        <f t="shared" si="189"/>
        <v>0</v>
      </c>
      <c r="CC217" s="300"/>
      <c r="CD217" s="299">
        <f t="shared" si="204"/>
        <v>42550</v>
      </c>
      <c r="CE217" s="300"/>
      <c r="CF217" s="1062"/>
      <c r="CG217" s="33"/>
    </row>
    <row r="218" spans="1:85">
      <c r="A218" s="30">
        <v>44531</v>
      </c>
      <c r="B218" s="264"/>
      <c r="C218" s="848"/>
      <c r="D218" s="871"/>
      <c r="E218" s="850"/>
      <c r="F218" s="240"/>
      <c r="G218" s="365"/>
      <c r="H218" s="362"/>
      <c r="I218" s="240"/>
      <c r="J218" s="271"/>
      <c r="K218" s="280"/>
      <c r="L218" s="240"/>
      <c r="M218" s="280"/>
      <c r="N218" s="280"/>
      <c r="O218" s="1052" t="e">
        <f>1000*SUM(J218:J225)/SUM(B218:B225)</f>
        <v>#DIV/0!</v>
      </c>
      <c r="P218" s="1083" t="e">
        <f>O218/8.167</f>
        <v>#DIV/0!</v>
      </c>
      <c r="Q218" s="117">
        <f t="shared" si="193"/>
        <v>13184</v>
      </c>
      <c r="R218" s="118"/>
      <c r="S218" s="118">
        <v>40849</v>
      </c>
      <c r="T218" s="118">
        <f t="shared" si="184"/>
        <v>-27665</v>
      </c>
      <c r="U218" s="119" t="e">
        <f t="shared" si="177"/>
        <v>#DIV/0!</v>
      </c>
      <c r="V218" s="120">
        <f>V217+T218</f>
        <v>150025</v>
      </c>
      <c r="W218" s="119" t="e">
        <f t="shared" si="195"/>
        <v>#DIV/0!</v>
      </c>
      <c r="X218" s="1135" t="e">
        <f>1000*SUM(T218:T225)/SUM(B218:B225)</f>
        <v>#DIV/0!</v>
      </c>
      <c r="Y218" s="122">
        <f>AA217</f>
        <v>850</v>
      </c>
      <c r="Z218" s="122"/>
      <c r="AA218" s="122">
        <v>1106</v>
      </c>
      <c r="AB218" s="122">
        <f t="shared" si="185"/>
        <v>-256</v>
      </c>
      <c r="AC218" s="123" t="e">
        <f t="shared" si="178"/>
        <v>#DIV/0!</v>
      </c>
      <c r="AD218" s="122">
        <f>AD217+AB218</f>
        <v>8748</v>
      </c>
      <c r="AE218" s="123" t="e">
        <f t="shared" si="186"/>
        <v>#DIV/0!</v>
      </c>
      <c r="AF218" s="1049" t="e">
        <f>1000*SUM(AB218:AB225)/SUM(B218:B225)</f>
        <v>#DIV/0!</v>
      </c>
      <c r="AG218" s="124">
        <f>AI217</f>
        <v>360</v>
      </c>
      <c r="AH218" s="125"/>
      <c r="AI218" s="125">
        <v>907</v>
      </c>
      <c r="AJ218" s="125">
        <f t="shared" si="206"/>
        <v>-547</v>
      </c>
      <c r="AK218" s="42"/>
      <c r="AL218" s="125">
        <f>AL217+AJ218</f>
        <v>4568</v>
      </c>
      <c r="AM218" s="126" t="e">
        <f t="shared" si="197"/>
        <v>#DIV/0!</v>
      </c>
      <c r="AN218" s="1057" t="e">
        <f>1000*SUM(AJ218:AJ225)/SUM(B218:B225)</f>
        <v>#DIV/0!</v>
      </c>
      <c r="AO218" s="219"/>
      <c r="AP218" s="135"/>
      <c r="AQ218" s="102"/>
      <c r="AR218" s="102"/>
      <c r="AS218" s="257"/>
      <c r="AT218" s="102"/>
      <c r="AU218" s="1117" t="e">
        <f>1000*SUM(AQ218:AQ225)/SUM(D218:D225)</f>
        <v>#DIV/0!</v>
      </c>
      <c r="AV218" s="277"/>
      <c r="AW218" s="137"/>
      <c r="AX218" s="138"/>
      <c r="AY218" s="138"/>
      <c r="AZ218" s="278"/>
      <c r="BA218" s="138"/>
      <c r="BB218" s="1120" t="e">
        <f>1000*SUM(AX218:AX225)/SUM(D218:D225)</f>
        <v>#DIV/0!</v>
      </c>
      <c r="BC218" s="129">
        <f>BE217</f>
        <v>32623</v>
      </c>
      <c r="BD218" s="128"/>
      <c r="BE218" s="56">
        <v>32623</v>
      </c>
      <c r="BF218" s="129">
        <f t="shared" si="202"/>
        <v>0</v>
      </c>
      <c r="BG218" s="130">
        <f>BG217+BF218</f>
        <v>66929</v>
      </c>
      <c r="BH218" s="130" t="e">
        <f t="shared" si="187"/>
        <v>#DIV/0!</v>
      </c>
      <c r="BI218" s="1123" t="e">
        <f>1000*SUM(BF218:BF225)/SUM(D218:D225)</f>
        <v>#DIV/0!</v>
      </c>
      <c r="BJ218" s="132">
        <f>BL217</f>
        <v>260</v>
      </c>
      <c r="BK218" s="132"/>
      <c r="BL218" s="132">
        <v>62</v>
      </c>
      <c r="BM218" s="132">
        <f t="shared" si="199"/>
        <v>198</v>
      </c>
      <c r="BN218" s="134"/>
      <c r="BO218" s="132">
        <f>BO217+BM218</f>
        <v>18438</v>
      </c>
      <c r="BP218" s="134" t="e">
        <f t="shared" si="201"/>
        <v>#DIV/0!</v>
      </c>
      <c r="BQ218" s="1067" t="e">
        <f>1000*SUM(BM218:BM225)/SUM(B218:B225)</f>
        <v>#DIV/0!</v>
      </c>
      <c r="BR218" s="118">
        <f>BT217</f>
        <v>36485</v>
      </c>
      <c r="BS218" s="118"/>
      <c r="BT218" s="118">
        <v>36485</v>
      </c>
      <c r="BU218" s="120">
        <f t="shared" si="207"/>
        <v>0</v>
      </c>
      <c r="BV218" s="120">
        <f>BV217+BU218</f>
        <v>430816</v>
      </c>
      <c r="BW218" s="120" t="e">
        <f t="shared" si="188"/>
        <v>#DIV/0!</v>
      </c>
      <c r="BX218" s="1126" t="e">
        <f>1000*SUM(BU218:BU225)/SUM(D218:D225)</f>
        <v>#DIV/0!</v>
      </c>
      <c r="BY218" s="302">
        <f>CA217</f>
        <v>0</v>
      </c>
      <c r="BZ218" s="302"/>
      <c r="CA218" s="302">
        <v>0</v>
      </c>
      <c r="CB218" s="302">
        <f t="shared" si="189"/>
        <v>0</v>
      </c>
      <c r="CC218" s="304"/>
      <c r="CD218" s="302">
        <f>CD217+CB218</f>
        <v>42550</v>
      </c>
      <c r="CE218" s="304"/>
      <c r="CF218" s="1129">
        <f>1000*SUM(CB218:CB225)/SUM(B188:B225)</f>
        <v>0</v>
      </c>
    </row>
    <row r="219" spans="1:85">
      <c r="A219" s="30">
        <v>44532</v>
      </c>
      <c r="B219" s="32"/>
      <c r="C219" s="842"/>
      <c r="E219" s="843"/>
      <c r="F219" s="240"/>
      <c r="G219" s="365"/>
      <c r="H219" s="362"/>
      <c r="I219" s="240"/>
      <c r="J219" s="271"/>
      <c r="K219" s="280"/>
      <c r="L219" s="240"/>
      <c r="M219" s="280"/>
      <c r="N219" s="280"/>
      <c r="O219" s="1089"/>
      <c r="P219" s="1084"/>
      <c r="Q219" s="77">
        <f t="shared" si="193"/>
        <v>40849</v>
      </c>
      <c r="R219" s="35"/>
      <c r="S219" s="35">
        <v>40850</v>
      </c>
      <c r="T219" s="35">
        <f t="shared" si="184"/>
        <v>-1</v>
      </c>
      <c r="U219" s="36" t="e">
        <f t="shared" si="177"/>
        <v>#DIV/0!</v>
      </c>
      <c r="V219" s="74">
        <f t="shared" si="194"/>
        <v>150024</v>
      </c>
      <c r="W219" s="36" t="e">
        <f t="shared" si="195"/>
        <v>#DIV/0!</v>
      </c>
      <c r="X219" s="1136"/>
      <c r="Y219" s="50">
        <f t="shared" si="171"/>
        <v>1106</v>
      </c>
      <c r="Z219" s="50"/>
      <c r="AA219" s="50">
        <v>1106</v>
      </c>
      <c r="AB219" s="50">
        <f t="shared" si="185"/>
        <v>0</v>
      </c>
      <c r="AC219" s="51" t="e">
        <f t="shared" si="178"/>
        <v>#DIV/0!</v>
      </c>
      <c r="AD219" s="50">
        <f t="shared" si="196"/>
        <v>8748</v>
      </c>
      <c r="AE219" s="51" t="e">
        <f t="shared" si="186"/>
        <v>#DIV/0!</v>
      </c>
      <c r="AF219" s="1047"/>
      <c r="AG219" s="41">
        <f t="shared" si="172"/>
        <v>907</v>
      </c>
      <c r="AH219" s="41"/>
      <c r="AI219" s="41">
        <v>908</v>
      </c>
      <c r="AJ219" s="41">
        <f t="shared" si="206"/>
        <v>-1</v>
      </c>
      <c r="AK219" s="42"/>
      <c r="AL219" s="41">
        <f t="shared" si="203"/>
        <v>4567</v>
      </c>
      <c r="AM219" s="42" t="e">
        <f t="shared" si="197"/>
        <v>#DIV/0!</v>
      </c>
      <c r="AN219" s="1058"/>
      <c r="AO219" s="220"/>
      <c r="AP219" s="67"/>
      <c r="AQ219" s="68"/>
      <c r="AR219" s="68"/>
      <c r="AS219" s="258"/>
      <c r="AT219" s="68"/>
      <c r="AU219" s="1118"/>
      <c r="AV219" s="70"/>
      <c r="AW219" s="71"/>
      <c r="AX219" s="72"/>
      <c r="AY219" s="72"/>
      <c r="AZ219" s="276"/>
      <c r="BA219" s="72"/>
      <c r="BB219" s="1121"/>
      <c r="BC219" s="56">
        <f t="shared" si="169"/>
        <v>32623</v>
      </c>
      <c r="BD219" s="59"/>
      <c r="BE219" s="56">
        <v>32623</v>
      </c>
      <c r="BF219" s="56">
        <f t="shared" si="202"/>
        <v>0</v>
      </c>
      <c r="BG219" s="58">
        <f t="shared" si="198"/>
        <v>66929</v>
      </c>
      <c r="BH219" s="58" t="e">
        <f t="shared" si="187"/>
        <v>#DIV/0!</v>
      </c>
      <c r="BI219" s="1124"/>
      <c r="BJ219" s="64">
        <f t="shared" si="173"/>
        <v>62</v>
      </c>
      <c r="BK219" s="64"/>
      <c r="BL219" s="64">
        <v>63</v>
      </c>
      <c r="BM219" s="64">
        <f t="shared" si="199"/>
        <v>-1</v>
      </c>
      <c r="BN219" s="65"/>
      <c r="BO219" s="64">
        <f t="shared" si="200"/>
        <v>18437</v>
      </c>
      <c r="BP219" s="65" t="e">
        <f t="shared" si="201"/>
        <v>#DIV/0!</v>
      </c>
      <c r="BQ219" s="1071"/>
      <c r="BR219" s="35">
        <f t="shared" si="174"/>
        <v>36485</v>
      </c>
      <c r="BS219" s="35"/>
      <c r="BT219" s="35">
        <v>36485</v>
      </c>
      <c r="BU219" s="74">
        <f t="shared" si="207"/>
        <v>0</v>
      </c>
      <c r="BV219" s="74">
        <f t="shared" si="208"/>
        <v>430816</v>
      </c>
      <c r="BW219" s="74" t="e">
        <f t="shared" si="188"/>
        <v>#DIV/0!</v>
      </c>
      <c r="BX219" s="1127"/>
      <c r="BY219" s="296">
        <f t="shared" si="175"/>
        <v>0</v>
      </c>
      <c r="BZ219" s="296"/>
      <c r="CA219" s="296">
        <v>0</v>
      </c>
      <c r="CB219" s="296">
        <f t="shared" si="189"/>
        <v>0</v>
      </c>
      <c r="CC219" s="297"/>
      <c r="CD219" s="296">
        <f t="shared" si="204"/>
        <v>42550</v>
      </c>
      <c r="CE219" s="297"/>
      <c r="CF219" s="1130"/>
    </row>
    <row r="220" spans="1:85">
      <c r="A220" s="30">
        <v>44533</v>
      </c>
      <c r="B220" s="32"/>
      <c r="C220" s="842"/>
      <c r="D220" s="842"/>
      <c r="E220" s="843"/>
      <c r="F220" s="240"/>
      <c r="G220" s="365"/>
      <c r="H220" s="362"/>
      <c r="I220" s="240"/>
      <c r="J220" s="271"/>
      <c r="K220" s="280"/>
      <c r="L220" s="240"/>
      <c r="M220" s="280"/>
      <c r="N220" s="280"/>
      <c r="O220" s="1089"/>
      <c r="P220" s="1084"/>
      <c r="Q220" s="77">
        <f t="shared" si="193"/>
        <v>40850</v>
      </c>
      <c r="R220" s="35"/>
      <c r="S220" s="35">
        <v>40851</v>
      </c>
      <c r="T220" s="35">
        <f t="shared" si="184"/>
        <v>-1</v>
      </c>
      <c r="U220" s="36" t="e">
        <f t="shared" si="177"/>
        <v>#DIV/0!</v>
      </c>
      <c r="V220" s="74">
        <f t="shared" si="194"/>
        <v>150023</v>
      </c>
      <c r="W220" s="36" t="e">
        <f t="shared" si="195"/>
        <v>#DIV/0!</v>
      </c>
      <c r="X220" s="1136"/>
      <c r="Y220" s="50">
        <f t="shared" si="171"/>
        <v>1106</v>
      </c>
      <c r="Z220" s="50"/>
      <c r="AA220" s="50">
        <v>1106</v>
      </c>
      <c r="AB220" s="50">
        <f t="shared" si="185"/>
        <v>0</v>
      </c>
      <c r="AC220" s="51" t="e">
        <f t="shared" si="178"/>
        <v>#DIV/0!</v>
      </c>
      <c r="AD220" s="50">
        <f t="shared" si="196"/>
        <v>8748</v>
      </c>
      <c r="AE220" s="51" t="e">
        <f t="shared" si="186"/>
        <v>#DIV/0!</v>
      </c>
      <c r="AF220" s="1047"/>
      <c r="AG220" s="41">
        <f t="shared" si="172"/>
        <v>908</v>
      </c>
      <c r="AH220" s="41"/>
      <c r="AI220" s="41">
        <v>909</v>
      </c>
      <c r="AJ220" s="41">
        <f t="shared" si="206"/>
        <v>-1</v>
      </c>
      <c r="AK220" s="42"/>
      <c r="AL220" s="41">
        <f t="shared" si="203"/>
        <v>4566</v>
      </c>
      <c r="AM220" s="42" t="e">
        <f t="shared" si="197"/>
        <v>#DIV/0!</v>
      </c>
      <c r="AN220" s="1058"/>
      <c r="AO220" s="260"/>
      <c r="AP220" s="67"/>
      <c r="AQ220" s="68"/>
      <c r="AR220" s="68"/>
      <c r="AS220" s="258"/>
      <c r="AT220" s="68"/>
      <c r="AU220" s="1118"/>
      <c r="AV220" s="319"/>
      <c r="AW220" s="71"/>
      <c r="AX220" s="72"/>
      <c r="AY220" s="72"/>
      <c r="AZ220" s="276"/>
      <c r="BA220" s="72"/>
      <c r="BB220" s="1121"/>
      <c r="BC220" s="56">
        <f t="shared" si="169"/>
        <v>32623</v>
      </c>
      <c r="BD220" s="59"/>
      <c r="BE220" s="56">
        <v>32623</v>
      </c>
      <c r="BF220" s="56">
        <f t="shared" si="202"/>
        <v>0</v>
      </c>
      <c r="BG220" s="58">
        <f t="shared" si="198"/>
        <v>66929</v>
      </c>
      <c r="BH220" s="58" t="e">
        <f t="shared" si="187"/>
        <v>#DIV/0!</v>
      </c>
      <c r="BI220" s="1124"/>
      <c r="BJ220" s="64">
        <f t="shared" si="173"/>
        <v>63</v>
      </c>
      <c r="BK220" s="64"/>
      <c r="BL220" s="64">
        <v>64</v>
      </c>
      <c r="BM220" s="64">
        <f t="shared" si="199"/>
        <v>-1</v>
      </c>
      <c r="BN220" s="65"/>
      <c r="BO220" s="64">
        <f t="shared" si="200"/>
        <v>18436</v>
      </c>
      <c r="BP220" s="65" t="e">
        <f t="shared" si="201"/>
        <v>#DIV/0!</v>
      </c>
      <c r="BQ220" s="1071"/>
      <c r="BR220" s="35">
        <f t="shared" si="174"/>
        <v>36485</v>
      </c>
      <c r="BS220" s="35"/>
      <c r="BT220" s="35">
        <v>36485</v>
      </c>
      <c r="BU220" s="74">
        <f t="shared" si="207"/>
        <v>0</v>
      </c>
      <c r="BV220" s="74">
        <f t="shared" si="208"/>
        <v>430816</v>
      </c>
      <c r="BW220" s="74" t="e">
        <f t="shared" si="188"/>
        <v>#DIV/0!</v>
      </c>
      <c r="BX220" s="1127"/>
      <c r="BY220" s="296">
        <f t="shared" si="175"/>
        <v>0</v>
      </c>
      <c r="BZ220" s="296"/>
      <c r="CA220" s="296">
        <v>0</v>
      </c>
      <c r="CB220" s="296">
        <f t="shared" si="189"/>
        <v>0</v>
      </c>
      <c r="CC220" s="297"/>
      <c r="CD220" s="296">
        <f t="shared" si="204"/>
        <v>42550</v>
      </c>
      <c r="CE220" s="297"/>
      <c r="CF220" s="1130"/>
    </row>
    <row r="221" spans="1:85">
      <c r="A221" s="30">
        <v>44534</v>
      </c>
      <c r="B221" s="32"/>
      <c r="C221" s="842"/>
      <c r="D221" s="842"/>
      <c r="E221" s="843"/>
      <c r="F221" s="240"/>
      <c r="G221" s="365"/>
      <c r="H221" s="362"/>
      <c r="I221" s="240"/>
      <c r="J221" s="271"/>
      <c r="K221" s="280"/>
      <c r="L221" s="240"/>
      <c r="M221" s="280"/>
      <c r="N221" s="280"/>
      <c r="O221" s="1089"/>
      <c r="P221" s="1084"/>
      <c r="Q221" s="77">
        <f t="shared" si="193"/>
        <v>40851</v>
      </c>
      <c r="R221" s="35"/>
      <c r="S221" s="35">
        <v>40852</v>
      </c>
      <c r="T221" s="35">
        <f t="shared" si="184"/>
        <v>-1</v>
      </c>
      <c r="U221" s="36" t="e">
        <f t="shared" si="177"/>
        <v>#DIV/0!</v>
      </c>
      <c r="V221" s="74">
        <f t="shared" si="194"/>
        <v>150022</v>
      </c>
      <c r="W221" s="36" t="e">
        <f t="shared" si="195"/>
        <v>#DIV/0!</v>
      </c>
      <c r="X221" s="1136"/>
      <c r="Y221" s="50">
        <f t="shared" si="171"/>
        <v>1106</v>
      </c>
      <c r="Z221" s="50"/>
      <c r="AA221" s="50">
        <v>1106</v>
      </c>
      <c r="AB221" s="50">
        <f t="shared" si="185"/>
        <v>0</v>
      </c>
      <c r="AC221" s="51" t="e">
        <f t="shared" si="178"/>
        <v>#DIV/0!</v>
      </c>
      <c r="AD221" s="50">
        <f t="shared" si="196"/>
        <v>8748</v>
      </c>
      <c r="AE221" s="51" t="e">
        <f t="shared" si="186"/>
        <v>#DIV/0!</v>
      </c>
      <c r="AF221" s="1047"/>
      <c r="AG221" s="41">
        <f t="shared" si="172"/>
        <v>909</v>
      </c>
      <c r="AH221" s="41"/>
      <c r="AI221" s="41">
        <v>910</v>
      </c>
      <c r="AJ221" s="41">
        <f t="shared" si="206"/>
        <v>-1</v>
      </c>
      <c r="AK221" s="42"/>
      <c r="AL221" s="41">
        <f t="shared" si="203"/>
        <v>4565</v>
      </c>
      <c r="AM221" s="42" t="e">
        <f t="shared" si="197"/>
        <v>#DIV/0!</v>
      </c>
      <c r="AN221" s="1058"/>
      <c r="AO221" s="260"/>
      <c r="AP221" s="67"/>
      <c r="AQ221" s="68"/>
      <c r="AR221" s="68"/>
      <c r="AS221" s="258"/>
      <c r="AT221" s="68"/>
      <c r="AU221" s="1118"/>
      <c r="AV221" s="70"/>
      <c r="AW221" s="71"/>
      <c r="AX221" s="72"/>
      <c r="AY221" s="72"/>
      <c r="AZ221" s="276"/>
      <c r="BA221" s="72"/>
      <c r="BB221" s="1121"/>
      <c r="BC221" s="56">
        <f t="shared" si="169"/>
        <v>32623</v>
      </c>
      <c r="BD221" s="59"/>
      <c r="BE221" s="56">
        <v>32623</v>
      </c>
      <c r="BF221" s="56">
        <f t="shared" si="202"/>
        <v>0</v>
      </c>
      <c r="BG221" s="58">
        <f t="shared" si="198"/>
        <v>66929</v>
      </c>
      <c r="BH221" s="58" t="e">
        <f t="shared" si="187"/>
        <v>#DIV/0!</v>
      </c>
      <c r="BI221" s="1124"/>
      <c r="BJ221" s="64">
        <f t="shared" si="173"/>
        <v>64</v>
      </c>
      <c r="BK221" s="64"/>
      <c r="BL221" s="64">
        <v>65</v>
      </c>
      <c r="BM221" s="64">
        <f t="shared" si="199"/>
        <v>-1</v>
      </c>
      <c r="BN221" s="65"/>
      <c r="BO221" s="64">
        <f t="shared" si="200"/>
        <v>18435</v>
      </c>
      <c r="BP221" s="65" t="e">
        <f t="shared" si="201"/>
        <v>#DIV/0!</v>
      </c>
      <c r="BQ221" s="1071"/>
      <c r="BR221" s="35">
        <f t="shared" si="174"/>
        <v>36485</v>
      </c>
      <c r="BS221" s="35"/>
      <c r="BT221" s="35">
        <v>36485</v>
      </c>
      <c r="BU221" s="74">
        <f t="shared" si="207"/>
        <v>0</v>
      </c>
      <c r="BV221" s="74">
        <f t="shared" si="208"/>
        <v>430816</v>
      </c>
      <c r="BW221" s="74" t="e">
        <f t="shared" si="188"/>
        <v>#DIV/0!</v>
      </c>
      <c r="BX221" s="1127"/>
      <c r="BY221" s="296">
        <f t="shared" si="175"/>
        <v>0</v>
      </c>
      <c r="BZ221" s="296"/>
      <c r="CA221" s="296">
        <v>0</v>
      </c>
      <c r="CB221" s="296">
        <f t="shared" si="189"/>
        <v>0</v>
      </c>
      <c r="CC221" s="297"/>
      <c r="CD221" s="296">
        <f t="shared" si="204"/>
        <v>42550</v>
      </c>
      <c r="CE221" s="297"/>
      <c r="CF221" s="1130"/>
    </row>
    <row r="222" spans="1:85">
      <c r="A222" s="30">
        <v>44535</v>
      </c>
      <c r="B222" s="32"/>
      <c r="C222" s="842"/>
      <c r="D222" s="842"/>
      <c r="E222" s="843"/>
      <c r="F222" s="240"/>
      <c r="G222" s="365"/>
      <c r="H222" s="362"/>
      <c r="I222" s="240"/>
      <c r="J222" s="271"/>
      <c r="K222" s="280"/>
      <c r="L222" s="240"/>
      <c r="M222" s="280"/>
      <c r="N222" s="280"/>
      <c r="O222" s="1089"/>
      <c r="P222" s="1084"/>
      <c r="Q222" s="77">
        <f t="shared" si="193"/>
        <v>40852</v>
      </c>
      <c r="R222" s="35"/>
      <c r="S222" s="35">
        <v>40853</v>
      </c>
      <c r="T222" s="35">
        <f t="shared" si="184"/>
        <v>-1</v>
      </c>
      <c r="U222" s="36" t="e">
        <f t="shared" si="177"/>
        <v>#DIV/0!</v>
      </c>
      <c r="V222" s="74">
        <f t="shared" si="194"/>
        <v>150021</v>
      </c>
      <c r="W222" s="36" t="e">
        <f t="shared" si="195"/>
        <v>#DIV/0!</v>
      </c>
      <c r="X222" s="1136"/>
      <c r="Y222" s="50">
        <f t="shared" si="171"/>
        <v>1106</v>
      </c>
      <c r="Z222" s="50"/>
      <c r="AA222" s="50">
        <v>1106</v>
      </c>
      <c r="AB222" s="50">
        <f t="shared" si="185"/>
        <v>0</v>
      </c>
      <c r="AC222" s="51" t="e">
        <f t="shared" si="178"/>
        <v>#DIV/0!</v>
      </c>
      <c r="AD222" s="50">
        <f t="shared" si="196"/>
        <v>8748</v>
      </c>
      <c r="AE222" s="51" t="e">
        <f t="shared" si="186"/>
        <v>#DIV/0!</v>
      </c>
      <c r="AF222" s="1047"/>
      <c r="AG222" s="41">
        <f t="shared" si="172"/>
        <v>910</v>
      </c>
      <c r="AH222" s="41"/>
      <c r="AI222" s="41">
        <v>911</v>
      </c>
      <c r="AJ222" s="41">
        <f t="shared" si="206"/>
        <v>-1</v>
      </c>
      <c r="AK222" s="42"/>
      <c r="AL222" s="41">
        <f t="shared" si="203"/>
        <v>4564</v>
      </c>
      <c r="AM222" s="42" t="e">
        <f t="shared" si="197"/>
        <v>#DIV/0!</v>
      </c>
      <c r="AN222" s="1058"/>
      <c r="AO222" s="260"/>
      <c r="AP222" s="67"/>
      <c r="AQ222" s="68"/>
      <c r="AR222" s="68"/>
      <c r="AS222" s="258"/>
      <c r="AT222" s="68"/>
      <c r="AU222" s="1118"/>
      <c r="AV222" s="70"/>
      <c r="AW222" s="71"/>
      <c r="AX222" s="72"/>
      <c r="AY222" s="72"/>
      <c r="AZ222" s="276"/>
      <c r="BA222" s="72"/>
      <c r="BB222" s="1121"/>
      <c r="BC222" s="56">
        <f t="shared" si="169"/>
        <v>32623</v>
      </c>
      <c r="BD222" s="59"/>
      <c r="BE222" s="56">
        <v>32623</v>
      </c>
      <c r="BF222" s="56">
        <f t="shared" si="202"/>
        <v>0</v>
      </c>
      <c r="BG222" s="58">
        <f t="shared" si="198"/>
        <v>66929</v>
      </c>
      <c r="BH222" s="58" t="e">
        <f t="shared" si="187"/>
        <v>#DIV/0!</v>
      </c>
      <c r="BI222" s="1124"/>
      <c r="BJ222" s="64">
        <f t="shared" si="173"/>
        <v>65</v>
      </c>
      <c r="BK222" s="64"/>
      <c r="BL222" s="64">
        <v>66</v>
      </c>
      <c r="BM222" s="64">
        <f t="shared" si="199"/>
        <v>-1</v>
      </c>
      <c r="BN222" s="65"/>
      <c r="BO222" s="64">
        <f t="shared" si="200"/>
        <v>18434</v>
      </c>
      <c r="BP222" s="65" t="e">
        <f t="shared" si="201"/>
        <v>#DIV/0!</v>
      </c>
      <c r="BQ222" s="1071"/>
      <c r="BR222" s="35">
        <f t="shared" si="174"/>
        <v>36485</v>
      </c>
      <c r="BS222" s="35"/>
      <c r="BT222" s="35">
        <v>36485</v>
      </c>
      <c r="BU222" s="74">
        <f t="shared" si="207"/>
        <v>0</v>
      </c>
      <c r="BV222" s="74">
        <f t="shared" si="208"/>
        <v>430816</v>
      </c>
      <c r="BW222" s="74" t="e">
        <f t="shared" si="188"/>
        <v>#DIV/0!</v>
      </c>
      <c r="BX222" s="1127"/>
      <c r="BY222" s="296">
        <f t="shared" si="175"/>
        <v>0</v>
      </c>
      <c r="BZ222" s="296"/>
      <c r="CA222" s="296">
        <v>0</v>
      </c>
      <c r="CB222" s="296">
        <f t="shared" si="189"/>
        <v>0</v>
      </c>
      <c r="CC222" s="297"/>
      <c r="CD222" s="296">
        <f t="shared" si="204"/>
        <v>42550</v>
      </c>
      <c r="CE222" s="297"/>
      <c r="CF222" s="1130"/>
    </row>
    <row r="223" spans="1:85">
      <c r="A223" s="30">
        <v>44536</v>
      </c>
      <c r="B223" s="32"/>
      <c r="C223" s="842"/>
      <c r="D223" s="842"/>
      <c r="E223" s="843"/>
      <c r="F223" s="240"/>
      <c r="G223" s="365"/>
      <c r="H223" s="362"/>
      <c r="I223" s="240"/>
      <c r="J223" s="271"/>
      <c r="K223" s="280"/>
      <c r="L223" s="240"/>
      <c r="M223" s="280"/>
      <c r="N223" s="280"/>
      <c r="O223" s="1089"/>
      <c r="P223" s="1084"/>
      <c r="Q223" s="77">
        <f t="shared" si="193"/>
        <v>40853</v>
      </c>
      <c r="R223" s="35"/>
      <c r="S223" s="35">
        <v>40854</v>
      </c>
      <c r="T223" s="35">
        <f t="shared" si="184"/>
        <v>-1</v>
      </c>
      <c r="U223" s="36" t="e">
        <f t="shared" si="177"/>
        <v>#DIV/0!</v>
      </c>
      <c r="V223" s="74">
        <f t="shared" si="194"/>
        <v>150020</v>
      </c>
      <c r="W223" s="36" t="e">
        <f t="shared" si="195"/>
        <v>#DIV/0!</v>
      </c>
      <c r="X223" s="1136"/>
      <c r="Y223" s="50">
        <f t="shared" si="171"/>
        <v>1106</v>
      </c>
      <c r="Z223" s="50"/>
      <c r="AA223" s="50">
        <v>1106</v>
      </c>
      <c r="AB223" s="50">
        <f t="shared" si="185"/>
        <v>0</v>
      </c>
      <c r="AC223" s="51" t="e">
        <f t="shared" si="178"/>
        <v>#DIV/0!</v>
      </c>
      <c r="AD223" s="50">
        <f t="shared" si="196"/>
        <v>8748</v>
      </c>
      <c r="AE223" s="51" t="e">
        <f t="shared" si="186"/>
        <v>#DIV/0!</v>
      </c>
      <c r="AF223" s="1047"/>
      <c r="AG223" s="41">
        <f t="shared" si="172"/>
        <v>911</v>
      </c>
      <c r="AH223" s="41"/>
      <c r="AI223" s="41">
        <v>912</v>
      </c>
      <c r="AJ223" s="41">
        <f t="shared" si="206"/>
        <v>-1</v>
      </c>
      <c r="AK223" s="42"/>
      <c r="AL223" s="41">
        <f t="shared" si="203"/>
        <v>4563</v>
      </c>
      <c r="AM223" s="42" t="e">
        <f t="shared" si="197"/>
        <v>#DIV/0!</v>
      </c>
      <c r="AN223" s="1058"/>
      <c r="AO223" s="260"/>
      <c r="AP223" s="67"/>
      <c r="AQ223" s="68"/>
      <c r="AR223" s="68"/>
      <c r="AS223" s="258"/>
      <c r="AT223" s="68"/>
      <c r="AU223" s="1118"/>
      <c r="AV223" s="70"/>
      <c r="AW223" s="71"/>
      <c r="AX223" s="72"/>
      <c r="AY223" s="72"/>
      <c r="AZ223" s="276"/>
      <c r="BA223" s="72"/>
      <c r="BB223" s="1121"/>
      <c r="BC223" s="56">
        <f t="shared" si="169"/>
        <v>32623</v>
      </c>
      <c r="BD223" s="59"/>
      <c r="BE223" s="56">
        <v>32623</v>
      </c>
      <c r="BF223" s="56">
        <f t="shared" si="202"/>
        <v>0</v>
      </c>
      <c r="BG223" s="58">
        <f t="shared" si="198"/>
        <v>66929</v>
      </c>
      <c r="BH223" s="58" t="e">
        <f t="shared" si="187"/>
        <v>#DIV/0!</v>
      </c>
      <c r="BI223" s="1124"/>
      <c r="BJ223" s="64">
        <f t="shared" si="173"/>
        <v>66</v>
      </c>
      <c r="BK223" s="64"/>
      <c r="BL223" s="64">
        <v>67</v>
      </c>
      <c r="BM223" s="64">
        <f t="shared" si="199"/>
        <v>-1</v>
      </c>
      <c r="BN223" s="65"/>
      <c r="BO223" s="64">
        <f t="shared" si="200"/>
        <v>18433</v>
      </c>
      <c r="BP223" s="65" t="e">
        <f t="shared" si="201"/>
        <v>#DIV/0!</v>
      </c>
      <c r="BQ223" s="1071"/>
      <c r="BR223" s="35">
        <f t="shared" si="174"/>
        <v>36485</v>
      </c>
      <c r="BS223" s="35"/>
      <c r="BT223" s="35">
        <v>36485</v>
      </c>
      <c r="BU223" s="74">
        <f t="shared" si="207"/>
        <v>0</v>
      </c>
      <c r="BV223" s="74">
        <f t="shared" si="208"/>
        <v>430816</v>
      </c>
      <c r="BW223" s="74" t="e">
        <f t="shared" si="188"/>
        <v>#DIV/0!</v>
      </c>
      <c r="BX223" s="1127"/>
      <c r="BY223" s="296">
        <f t="shared" si="175"/>
        <v>0</v>
      </c>
      <c r="BZ223" s="296"/>
      <c r="CA223" s="296">
        <v>0</v>
      </c>
      <c r="CB223" s="296">
        <f t="shared" si="189"/>
        <v>0</v>
      </c>
      <c r="CC223" s="297"/>
      <c r="CD223" s="296">
        <f t="shared" si="204"/>
        <v>42550</v>
      </c>
      <c r="CE223" s="297"/>
      <c r="CF223" s="1130"/>
    </row>
    <row r="224" spans="1:85">
      <c r="A224" s="30">
        <v>44537</v>
      </c>
      <c r="B224" s="32"/>
      <c r="C224" s="842"/>
      <c r="D224" s="842"/>
      <c r="E224" s="843"/>
      <c r="F224" s="240"/>
      <c r="G224" s="365"/>
      <c r="H224" s="362"/>
      <c r="I224" s="240"/>
      <c r="J224" s="271"/>
      <c r="K224" s="280"/>
      <c r="L224" s="240"/>
      <c r="M224" s="280"/>
      <c r="N224" s="280"/>
      <c r="O224" s="1089"/>
      <c r="P224" s="1084"/>
      <c r="Q224" s="77">
        <f t="shared" si="193"/>
        <v>40854</v>
      </c>
      <c r="R224" s="35"/>
      <c r="S224" s="35">
        <v>40855</v>
      </c>
      <c r="T224" s="35">
        <f t="shared" si="184"/>
        <v>-1</v>
      </c>
      <c r="U224" s="36" t="e">
        <f t="shared" si="177"/>
        <v>#DIV/0!</v>
      </c>
      <c r="V224" s="74">
        <f t="shared" si="194"/>
        <v>150019</v>
      </c>
      <c r="W224" s="36" t="e">
        <f t="shared" si="195"/>
        <v>#DIV/0!</v>
      </c>
      <c r="X224" s="1136"/>
      <c r="Y224" s="50">
        <f t="shared" si="171"/>
        <v>1106</v>
      </c>
      <c r="Z224" s="50"/>
      <c r="AA224" s="50">
        <v>1106</v>
      </c>
      <c r="AB224" s="50">
        <f t="shared" si="185"/>
        <v>0</v>
      </c>
      <c r="AC224" s="51" t="e">
        <f t="shared" si="178"/>
        <v>#DIV/0!</v>
      </c>
      <c r="AD224" s="50">
        <f t="shared" si="196"/>
        <v>8748</v>
      </c>
      <c r="AE224" s="51" t="e">
        <f t="shared" si="186"/>
        <v>#DIV/0!</v>
      </c>
      <c r="AF224" s="1047"/>
      <c r="AG224" s="41">
        <f t="shared" si="172"/>
        <v>912</v>
      </c>
      <c r="AH224" s="41"/>
      <c r="AI224" s="41">
        <v>913</v>
      </c>
      <c r="AJ224" s="41">
        <f t="shared" si="206"/>
        <v>-1</v>
      </c>
      <c r="AK224" s="42"/>
      <c r="AL224" s="41">
        <f t="shared" si="203"/>
        <v>4562</v>
      </c>
      <c r="AM224" s="42" t="e">
        <f t="shared" si="197"/>
        <v>#DIV/0!</v>
      </c>
      <c r="AN224" s="1058"/>
      <c r="AO224" s="260"/>
      <c r="AP224" s="67"/>
      <c r="AQ224" s="68"/>
      <c r="AR224" s="68"/>
      <c r="AS224" s="258"/>
      <c r="AT224" s="68"/>
      <c r="AU224" s="1118"/>
      <c r="AV224" s="70"/>
      <c r="AW224" s="71"/>
      <c r="AX224" s="72"/>
      <c r="AY224" s="72"/>
      <c r="AZ224" s="276"/>
      <c r="BA224" s="72"/>
      <c r="BB224" s="1121"/>
      <c r="BC224" s="56">
        <f t="shared" ref="BC224:BC225" si="209">BE223</f>
        <v>32623</v>
      </c>
      <c r="BD224" s="59"/>
      <c r="BE224" s="56">
        <v>32623</v>
      </c>
      <c r="BF224" s="56">
        <f t="shared" si="202"/>
        <v>0</v>
      </c>
      <c r="BG224" s="58">
        <f t="shared" si="198"/>
        <v>66929</v>
      </c>
      <c r="BH224" s="58" t="e">
        <f t="shared" si="187"/>
        <v>#DIV/0!</v>
      </c>
      <c r="BI224" s="1124"/>
      <c r="BJ224" s="64">
        <f t="shared" si="173"/>
        <v>67</v>
      </c>
      <c r="BK224" s="64"/>
      <c r="BL224" s="64">
        <v>68</v>
      </c>
      <c r="BM224" s="64">
        <f t="shared" si="199"/>
        <v>-1</v>
      </c>
      <c r="BN224" s="65"/>
      <c r="BO224" s="64">
        <f t="shared" si="200"/>
        <v>18432</v>
      </c>
      <c r="BP224" s="65" t="e">
        <f t="shared" si="201"/>
        <v>#DIV/0!</v>
      </c>
      <c r="BQ224" s="1071"/>
      <c r="BR224" s="35">
        <f t="shared" si="174"/>
        <v>36485</v>
      </c>
      <c r="BS224" s="35"/>
      <c r="BT224" s="35">
        <v>36485</v>
      </c>
      <c r="BU224" s="74">
        <f t="shared" si="207"/>
        <v>0</v>
      </c>
      <c r="BV224" s="74">
        <f t="shared" si="208"/>
        <v>430816</v>
      </c>
      <c r="BW224" s="74" t="e">
        <f t="shared" si="188"/>
        <v>#DIV/0!</v>
      </c>
      <c r="BX224" s="1127"/>
      <c r="BY224" s="296">
        <f t="shared" si="175"/>
        <v>0</v>
      </c>
      <c r="BZ224" s="296"/>
      <c r="CA224" s="296">
        <v>0</v>
      </c>
      <c r="CB224" s="296">
        <f t="shared" si="189"/>
        <v>0</v>
      </c>
      <c r="CC224" s="297"/>
      <c r="CD224" s="296">
        <f t="shared" si="204"/>
        <v>42550</v>
      </c>
      <c r="CE224" s="297"/>
      <c r="CF224" s="1130"/>
    </row>
    <row r="225" spans="1:84" ht="15.75" thickBot="1">
      <c r="A225" s="30">
        <v>44538</v>
      </c>
      <c r="B225" s="109"/>
      <c r="C225" s="845"/>
      <c r="D225" s="845"/>
      <c r="E225" s="847"/>
      <c r="F225" s="231"/>
      <c r="G225" s="367"/>
      <c r="H225" s="364"/>
      <c r="I225" s="231"/>
      <c r="J225" s="273"/>
      <c r="K225" s="230"/>
      <c r="L225" s="231"/>
      <c r="M225" s="230"/>
      <c r="N225" s="230"/>
      <c r="O225" s="1090"/>
      <c r="P225" s="1085"/>
      <c r="Q225" s="79">
        <f t="shared" si="193"/>
        <v>40855</v>
      </c>
      <c r="R225" s="76"/>
      <c r="S225" s="76">
        <v>40856</v>
      </c>
      <c r="T225" s="76">
        <f t="shared" si="184"/>
        <v>-1</v>
      </c>
      <c r="U225" s="80" t="e">
        <f t="shared" si="177"/>
        <v>#DIV/0!</v>
      </c>
      <c r="V225" s="81">
        <f t="shared" si="194"/>
        <v>150018</v>
      </c>
      <c r="W225" s="80" t="e">
        <f t="shared" si="195"/>
        <v>#DIV/0!</v>
      </c>
      <c r="X225" s="1137"/>
      <c r="Y225" s="82">
        <f t="shared" si="171"/>
        <v>1106</v>
      </c>
      <c r="Z225" s="82"/>
      <c r="AA225" s="82">
        <v>1106</v>
      </c>
      <c r="AB225" s="82">
        <f t="shared" si="185"/>
        <v>0</v>
      </c>
      <c r="AC225" s="84" t="e">
        <f t="shared" si="178"/>
        <v>#DIV/0!</v>
      </c>
      <c r="AD225" s="82">
        <f t="shared" si="196"/>
        <v>8748</v>
      </c>
      <c r="AE225" s="84" t="e">
        <f t="shared" si="186"/>
        <v>#DIV/0!</v>
      </c>
      <c r="AF225" s="1048"/>
      <c r="AG225" s="95"/>
      <c r="AH225" s="96"/>
      <c r="AI225" s="96"/>
      <c r="AJ225" s="96"/>
      <c r="AK225" s="97"/>
      <c r="AL225" s="96"/>
      <c r="AM225" s="97"/>
      <c r="AN225" s="1059"/>
      <c r="AO225" s="266"/>
      <c r="AP225" s="101"/>
      <c r="AQ225" s="111"/>
      <c r="AR225" s="111"/>
      <c r="AS225" s="259"/>
      <c r="AT225" s="111"/>
      <c r="AU225" s="1119"/>
      <c r="AV225" s="113"/>
      <c r="AW225" s="104"/>
      <c r="AX225" s="105"/>
      <c r="AY225" s="105"/>
      <c r="AZ225" s="279"/>
      <c r="BA225" s="105"/>
      <c r="BB225" s="1122"/>
      <c r="BC225" s="88">
        <f t="shared" si="209"/>
        <v>32623</v>
      </c>
      <c r="BD225" s="100"/>
      <c r="BE225" s="88">
        <v>32623</v>
      </c>
      <c r="BF225" s="88">
        <f t="shared" si="202"/>
        <v>0</v>
      </c>
      <c r="BG225" s="89">
        <f t="shared" si="198"/>
        <v>66929</v>
      </c>
      <c r="BH225" s="89" t="e">
        <f t="shared" si="187"/>
        <v>#DIV/0!</v>
      </c>
      <c r="BI225" s="1125"/>
      <c r="BJ225" s="85">
        <f t="shared" si="173"/>
        <v>68</v>
      </c>
      <c r="BK225" s="85"/>
      <c r="BL225" s="85">
        <v>69</v>
      </c>
      <c r="BM225" s="85">
        <f t="shared" si="199"/>
        <v>-1</v>
      </c>
      <c r="BN225" s="86"/>
      <c r="BO225" s="85">
        <f t="shared" si="200"/>
        <v>18431</v>
      </c>
      <c r="BP225" s="86" t="e">
        <f t="shared" si="201"/>
        <v>#DIV/0!</v>
      </c>
      <c r="BQ225" s="1072"/>
      <c r="BR225" s="76">
        <f t="shared" si="174"/>
        <v>36485</v>
      </c>
      <c r="BS225" s="76"/>
      <c r="BT225" s="76">
        <v>36485</v>
      </c>
      <c r="BU225" s="81">
        <f t="shared" si="207"/>
        <v>0</v>
      </c>
      <c r="BV225" s="81">
        <f t="shared" si="208"/>
        <v>430816</v>
      </c>
      <c r="BW225" s="81" t="e">
        <f t="shared" si="188"/>
        <v>#DIV/0!</v>
      </c>
      <c r="BX225" s="1128"/>
      <c r="BY225" s="299">
        <f t="shared" si="175"/>
        <v>0</v>
      </c>
      <c r="BZ225" s="299"/>
      <c r="CA225" s="299">
        <v>0</v>
      </c>
      <c r="CB225" s="299">
        <f t="shared" si="189"/>
        <v>0</v>
      </c>
      <c r="CC225" s="300"/>
      <c r="CD225" s="299">
        <f t="shared" si="204"/>
        <v>42550</v>
      </c>
      <c r="CE225" s="300"/>
      <c r="CF225" s="1131"/>
    </row>
  </sheetData>
  <mergeCells count="100">
    <mergeCell ref="BR1:BX1"/>
    <mergeCell ref="BY1:CF1"/>
    <mergeCell ref="B1:C1"/>
    <mergeCell ref="D1:E1"/>
    <mergeCell ref="F1:P1"/>
    <mergeCell ref="Q1:X1"/>
    <mergeCell ref="Y1:AF1"/>
    <mergeCell ref="AG1:AN1"/>
    <mergeCell ref="AU4:AU34"/>
    <mergeCell ref="AO1:AU1"/>
    <mergeCell ref="AV1:BB1"/>
    <mergeCell ref="BC1:BI1"/>
    <mergeCell ref="BJ1:BQ1"/>
    <mergeCell ref="O4:O34"/>
    <mergeCell ref="P4:P34"/>
    <mergeCell ref="X4:X34"/>
    <mergeCell ref="AF4:AF34"/>
    <mergeCell ref="AN4:AN34"/>
    <mergeCell ref="O35:O64"/>
    <mergeCell ref="P35:P64"/>
    <mergeCell ref="X35:X64"/>
    <mergeCell ref="AF35:AF64"/>
    <mergeCell ref="AN35:AN64"/>
    <mergeCell ref="BX35:BX64"/>
    <mergeCell ref="CF35:CF64"/>
    <mergeCell ref="BB4:BB34"/>
    <mergeCell ref="BI4:BI34"/>
    <mergeCell ref="BQ4:BQ34"/>
    <mergeCell ref="BX4:BX34"/>
    <mergeCell ref="CF4:CF34"/>
    <mergeCell ref="AU65:AU95"/>
    <mergeCell ref="AU35:AU64"/>
    <mergeCell ref="BB35:BB64"/>
    <mergeCell ref="BI35:BI64"/>
    <mergeCell ref="BQ35:BQ64"/>
    <mergeCell ref="O65:O95"/>
    <mergeCell ref="P65:P95"/>
    <mergeCell ref="X65:X95"/>
    <mergeCell ref="AF65:AF95"/>
    <mergeCell ref="AN65:AN95"/>
    <mergeCell ref="O96:O126"/>
    <mergeCell ref="P96:P126"/>
    <mergeCell ref="X96:X126"/>
    <mergeCell ref="AF96:AF126"/>
    <mergeCell ref="AN96:AN126"/>
    <mergeCell ref="BX96:BX126"/>
    <mergeCell ref="CF96:CF126"/>
    <mergeCell ref="BB65:BB95"/>
    <mergeCell ref="BI65:BI95"/>
    <mergeCell ref="BQ65:BQ95"/>
    <mergeCell ref="BX65:BX95"/>
    <mergeCell ref="CF65:CF95"/>
    <mergeCell ref="AU127:AU156"/>
    <mergeCell ref="AU96:AU126"/>
    <mergeCell ref="BB96:BB126"/>
    <mergeCell ref="BI96:BI126"/>
    <mergeCell ref="BQ96:BQ126"/>
    <mergeCell ref="O127:O156"/>
    <mergeCell ref="P127:P156"/>
    <mergeCell ref="X127:X156"/>
    <mergeCell ref="AF127:AF156"/>
    <mergeCell ref="AN127:AN156"/>
    <mergeCell ref="O157:O187"/>
    <mergeCell ref="P157:P187"/>
    <mergeCell ref="X157:X187"/>
    <mergeCell ref="AF157:AF187"/>
    <mergeCell ref="AN157:AN187"/>
    <mergeCell ref="BX157:BX187"/>
    <mergeCell ref="CF157:CF187"/>
    <mergeCell ref="BB127:BB156"/>
    <mergeCell ref="BI127:BI156"/>
    <mergeCell ref="BQ127:BQ156"/>
    <mergeCell ref="BX127:BX156"/>
    <mergeCell ref="CF127:CF156"/>
    <mergeCell ref="AU188:AU217"/>
    <mergeCell ref="AU157:AU187"/>
    <mergeCell ref="BB157:BB187"/>
    <mergeCell ref="BI157:BI187"/>
    <mergeCell ref="BQ157:BQ187"/>
    <mergeCell ref="O188:O217"/>
    <mergeCell ref="P188:P217"/>
    <mergeCell ref="X188:X217"/>
    <mergeCell ref="AF188:AF217"/>
    <mergeCell ref="AN188:AN217"/>
    <mergeCell ref="O218:O225"/>
    <mergeCell ref="P218:P225"/>
    <mergeCell ref="X218:X225"/>
    <mergeCell ref="AF218:AF225"/>
    <mergeCell ref="AN218:AN225"/>
    <mergeCell ref="CF218:CF225"/>
    <mergeCell ref="BB188:BB217"/>
    <mergeCell ref="BI188:BI217"/>
    <mergeCell ref="BQ188:BQ217"/>
    <mergeCell ref="BX188:BX217"/>
    <mergeCell ref="CF188:CF217"/>
    <mergeCell ref="AU218:AU225"/>
    <mergeCell ref="BB218:BB225"/>
    <mergeCell ref="BI218:BI225"/>
    <mergeCell ref="BQ218:BQ225"/>
    <mergeCell ref="BX218:BX225"/>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H225"/>
  <sheetViews>
    <sheetView zoomScale="80" zoomScaleNormal="80" workbookViewId="0">
      <pane xSplit="1" topLeftCell="B1" activePane="topRight" state="frozen"/>
      <selection pane="topRight" activeCell="D11" sqref="D11"/>
    </sheetView>
  </sheetViews>
  <sheetFormatPr defaultRowHeight="15"/>
  <cols>
    <col min="1" max="1" width="14.5703125" bestFit="1" customWidth="1"/>
    <col min="2" max="4" width="10.7109375" customWidth="1"/>
    <col min="5" max="5" width="12.42578125" bestFit="1" customWidth="1"/>
    <col min="6" max="6" width="9.7109375" customWidth="1"/>
    <col min="7" max="8" width="10.28515625" customWidth="1"/>
    <col min="9" max="13" width="9.7109375" customWidth="1"/>
    <col min="14" max="14" width="12.42578125" bestFit="1" customWidth="1"/>
    <col min="15" max="20" width="9.7109375" customWidth="1"/>
    <col min="21" max="24" width="9.7109375" style="31" customWidth="1"/>
    <col min="25" max="54" width="9.7109375" customWidth="1"/>
    <col min="60" max="60" width="9.140625" style="239"/>
    <col min="75" max="75" width="12.42578125" bestFit="1" customWidth="1"/>
  </cols>
  <sheetData>
    <row r="1" spans="1:86">
      <c r="B1" s="1161" t="s">
        <v>49</v>
      </c>
      <c r="C1" s="1162"/>
      <c r="D1" s="1162" t="s">
        <v>50</v>
      </c>
      <c r="E1" s="1163"/>
      <c r="F1" s="1164" t="s">
        <v>64</v>
      </c>
      <c r="G1" s="1165"/>
      <c r="H1" s="1165"/>
      <c r="I1" s="1165"/>
      <c r="J1" s="1165"/>
      <c r="K1" s="1165"/>
      <c r="L1" s="1165"/>
      <c r="M1" s="1165"/>
      <c r="N1" s="1165"/>
      <c r="O1" s="1165"/>
      <c r="P1" s="1166"/>
      <c r="Q1" s="1155" t="s">
        <v>41</v>
      </c>
      <c r="R1" s="1156"/>
      <c r="S1" s="1156"/>
      <c r="T1" s="1156"/>
      <c r="U1" s="1156"/>
      <c r="V1" s="1156"/>
      <c r="W1" s="1156"/>
      <c r="X1" s="1157"/>
      <c r="Y1" s="1167" t="s">
        <v>44</v>
      </c>
      <c r="Z1" s="1168"/>
      <c r="AA1" s="1168"/>
      <c r="AB1" s="1168"/>
      <c r="AC1" s="1168"/>
      <c r="AD1" s="1168"/>
      <c r="AE1" s="1168"/>
      <c r="AF1" s="1169"/>
      <c r="AG1" s="1170" t="s">
        <v>56</v>
      </c>
      <c r="AH1" s="1171"/>
      <c r="AI1" s="1171"/>
      <c r="AJ1" s="1171"/>
      <c r="AK1" s="1171"/>
      <c r="AL1" s="1171"/>
      <c r="AM1" s="1171"/>
      <c r="AN1" s="1172"/>
      <c r="AO1" s="1144" t="s">
        <v>55</v>
      </c>
      <c r="AP1" s="1145"/>
      <c r="AQ1" s="1145"/>
      <c r="AR1" s="1145"/>
      <c r="AS1" s="1145"/>
      <c r="AT1" s="1145"/>
      <c r="AU1" s="1146"/>
      <c r="AV1" s="1147" t="s">
        <v>60</v>
      </c>
      <c r="AW1" s="1148"/>
      <c r="AX1" s="1148"/>
      <c r="AY1" s="1148"/>
      <c r="AZ1" s="1148"/>
      <c r="BA1" s="1148"/>
      <c r="BB1" s="1148"/>
      <c r="BC1" s="1149" t="s">
        <v>58</v>
      </c>
      <c r="BD1" s="1150"/>
      <c r="BE1" s="1150"/>
      <c r="BF1" s="1150"/>
      <c r="BG1" s="1150"/>
      <c r="BH1" s="1150"/>
      <c r="BI1" s="1151"/>
      <c r="BJ1" s="1152" t="s">
        <v>57</v>
      </c>
      <c r="BK1" s="1153"/>
      <c r="BL1" s="1153"/>
      <c r="BM1" s="1153"/>
      <c r="BN1" s="1153"/>
      <c r="BO1" s="1153"/>
      <c r="BP1" s="1153"/>
      <c r="BQ1" s="1154"/>
      <c r="BR1" s="1155" t="s">
        <v>59</v>
      </c>
      <c r="BS1" s="1156"/>
      <c r="BT1" s="1156"/>
      <c r="BU1" s="1156"/>
      <c r="BV1" s="1156"/>
      <c r="BW1" s="1156"/>
      <c r="BX1" s="1157"/>
      <c r="BY1" s="1158" t="s">
        <v>93</v>
      </c>
      <c r="BZ1" s="1159"/>
      <c r="CA1" s="1159"/>
      <c r="CB1" s="1159"/>
      <c r="CC1" s="1159"/>
      <c r="CD1" s="1159"/>
      <c r="CE1" s="1159"/>
      <c r="CF1" s="1160"/>
    </row>
    <row r="2" spans="1:86" ht="99" customHeight="1" thickBot="1">
      <c r="A2" s="872">
        <v>2020</v>
      </c>
      <c r="B2" s="173" t="s">
        <v>45</v>
      </c>
      <c r="C2" s="174" t="s">
        <v>46</v>
      </c>
      <c r="D2" s="174" t="s">
        <v>47</v>
      </c>
      <c r="E2" s="175" t="s">
        <v>48</v>
      </c>
      <c r="F2" s="221" t="s">
        <v>36</v>
      </c>
      <c r="G2" s="222" t="s">
        <v>37</v>
      </c>
      <c r="H2" s="222" t="s">
        <v>138</v>
      </c>
      <c r="I2" s="223" t="s">
        <v>38</v>
      </c>
      <c r="J2" s="223" t="s">
        <v>39</v>
      </c>
      <c r="K2" s="224" t="s">
        <v>40</v>
      </c>
      <c r="L2" s="223" t="s">
        <v>43</v>
      </c>
      <c r="M2" s="225" t="s">
        <v>42</v>
      </c>
      <c r="N2" s="225" t="s">
        <v>66</v>
      </c>
      <c r="O2" s="224" t="s">
        <v>62</v>
      </c>
      <c r="P2" s="224" t="s">
        <v>65</v>
      </c>
      <c r="Q2" s="150" t="s">
        <v>36</v>
      </c>
      <c r="R2" s="151" t="s">
        <v>37</v>
      </c>
      <c r="S2" s="152" t="s">
        <v>38</v>
      </c>
      <c r="T2" s="152" t="s">
        <v>39</v>
      </c>
      <c r="U2" s="153" t="s">
        <v>40</v>
      </c>
      <c r="V2" s="152" t="s">
        <v>43</v>
      </c>
      <c r="W2" s="154" t="s">
        <v>42</v>
      </c>
      <c r="X2" s="153" t="s">
        <v>62</v>
      </c>
      <c r="Y2" s="46" t="s">
        <v>36</v>
      </c>
      <c r="Z2" s="47" t="s">
        <v>37</v>
      </c>
      <c r="AA2" s="48" t="s">
        <v>38</v>
      </c>
      <c r="AB2" s="48" t="s">
        <v>39</v>
      </c>
      <c r="AC2" s="143" t="s">
        <v>40</v>
      </c>
      <c r="AD2" s="48" t="s">
        <v>43</v>
      </c>
      <c r="AE2" s="143" t="s">
        <v>42</v>
      </c>
      <c r="AF2" s="144" t="s">
        <v>62</v>
      </c>
      <c r="AG2" s="75" t="s">
        <v>36</v>
      </c>
      <c r="AH2" s="38" t="s">
        <v>37</v>
      </c>
      <c r="AI2" s="39" t="s">
        <v>38</v>
      </c>
      <c r="AJ2" s="39" t="s">
        <v>39</v>
      </c>
      <c r="AK2" s="163" t="s">
        <v>40</v>
      </c>
      <c r="AL2" s="39" t="s">
        <v>43</v>
      </c>
      <c r="AM2" s="164" t="s">
        <v>42</v>
      </c>
      <c r="AN2" s="165" t="s">
        <v>62</v>
      </c>
      <c r="AO2" s="183" t="s">
        <v>51</v>
      </c>
      <c r="AP2" s="184" t="s">
        <v>52</v>
      </c>
      <c r="AQ2" s="185" t="s">
        <v>39</v>
      </c>
      <c r="AR2" s="184" t="s">
        <v>53</v>
      </c>
      <c r="AS2" s="184" t="s">
        <v>43</v>
      </c>
      <c r="AT2" s="190" t="s">
        <v>54</v>
      </c>
      <c r="AU2" s="191" t="s">
        <v>63</v>
      </c>
      <c r="AV2" s="195" t="s">
        <v>51</v>
      </c>
      <c r="AW2" s="196" t="s">
        <v>52</v>
      </c>
      <c r="AX2" s="197" t="s">
        <v>39</v>
      </c>
      <c r="AY2" s="196" t="s">
        <v>53</v>
      </c>
      <c r="AZ2" s="196" t="s">
        <v>43</v>
      </c>
      <c r="BA2" s="203" t="s">
        <v>54</v>
      </c>
      <c r="BB2" s="204"/>
      <c r="BC2" s="53" t="s">
        <v>36</v>
      </c>
      <c r="BD2" s="54" t="s">
        <v>37</v>
      </c>
      <c r="BE2" s="55" t="s">
        <v>38</v>
      </c>
      <c r="BF2" s="55" t="s">
        <v>39</v>
      </c>
      <c r="BG2" s="55" t="s">
        <v>43</v>
      </c>
      <c r="BH2" s="275" t="s">
        <v>42</v>
      </c>
      <c r="BI2" s="236" t="s">
        <v>63</v>
      </c>
      <c r="BJ2" s="60" t="s">
        <v>36</v>
      </c>
      <c r="BK2" s="61" t="s">
        <v>37</v>
      </c>
      <c r="BL2" s="62" t="s">
        <v>38</v>
      </c>
      <c r="BM2" s="62" t="s">
        <v>39</v>
      </c>
      <c r="BN2" s="208" t="s">
        <v>40</v>
      </c>
      <c r="BO2" s="62" t="s">
        <v>43</v>
      </c>
      <c r="BP2" s="214" t="s">
        <v>42</v>
      </c>
      <c r="BQ2" s="213" t="s">
        <v>63</v>
      </c>
      <c r="BR2" s="150" t="s">
        <v>36</v>
      </c>
      <c r="BS2" s="151" t="s">
        <v>37</v>
      </c>
      <c r="BT2" s="152" t="s">
        <v>38</v>
      </c>
      <c r="BU2" s="152" t="s">
        <v>39</v>
      </c>
      <c r="BV2" s="152" t="s">
        <v>43</v>
      </c>
      <c r="BW2" s="154" t="s">
        <v>42</v>
      </c>
      <c r="BX2" s="155" t="s">
        <v>62</v>
      </c>
      <c r="BY2" s="285" t="s">
        <v>36</v>
      </c>
      <c r="BZ2" s="286" t="s">
        <v>37</v>
      </c>
      <c r="CA2" s="287" t="s">
        <v>38</v>
      </c>
      <c r="CB2" s="287" t="s">
        <v>39</v>
      </c>
      <c r="CC2" s="288" t="s">
        <v>40</v>
      </c>
      <c r="CD2" s="287" t="s">
        <v>43</v>
      </c>
      <c r="CE2" s="289" t="s">
        <v>42</v>
      </c>
      <c r="CF2" s="290" t="s">
        <v>63</v>
      </c>
    </row>
    <row r="3" spans="1:86" ht="15.75" thickBot="1">
      <c r="A3" s="176" t="s">
        <v>496</v>
      </c>
      <c r="B3" s="177">
        <v>1851958</v>
      </c>
      <c r="C3" s="178">
        <f>B3</f>
        <v>1851958</v>
      </c>
      <c r="D3" s="179">
        <v>29248.58</v>
      </c>
      <c r="E3" s="180">
        <f>D3</f>
        <v>29248.58</v>
      </c>
      <c r="F3" s="352">
        <v>0</v>
      </c>
      <c r="G3" s="352">
        <f>32570+31470</f>
        <v>64040</v>
      </c>
      <c r="H3" s="351">
        <v>12.82</v>
      </c>
      <c r="I3" s="352">
        <v>32000</v>
      </c>
      <c r="J3" s="352">
        <f t="shared" ref="J3:J9" si="0">F3+G3-I3</f>
        <v>32040</v>
      </c>
      <c r="K3" s="351">
        <f>J3*1000/B3</f>
        <v>17.300608329130576</v>
      </c>
      <c r="L3" s="352">
        <f>J3</f>
        <v>32040</v>
      </c>
      <c r="M3" s="351">
        <f>L3*1000/C3</f>
        <v>17.300608329130576</v>
      </c>
      <c r="N3" s="351">
        <f>M3/8.167</f>
        <v>2.1183553727354689</v>
      </c>
      <c r="O3" s="351">
        <f>M3</f>
        <v>17.300608329130576</v>
      </c>
      <c r="P3" s="351">
        <f>N3</f>
        <v>2.1183553727354689</v>
      </c>
      <c r="Q3" s="156">
        <v>21188</v>
      </c>
      <c r="R3" s="157">
        <v>34090</v>
      </c>
      <c r="S3" s="157">
        <v>44771</v>
      </c>
      <c r="T3" s="158">
        <f>Q3+R3-S3</f>
        <v>10507</v>
      </c>
      <c r="U3" s="161">
        <f>1000*T3/B3</f>
        <v>5.6734547975710035</v>
      </c>
      <c r="V3" s="159">
        <f>T3</f>
        <v>10507</v>
      </c>
      <c r="W3" s="161">
        <f>1000*V3/C3</f>
        <v>5.6734547975710035</v>
      </c>
      <c r="X3" s="162">
        <f>W3</f>
        <v>5.6734547975710035</v>
      </c>
      <c r="Y3" s="145">
        <v>393</v>
      </c>
      <c r="Z3" s="146"/>
      <c r="AA3" s="146">
        <v>231</v>
      </c>
      <c r="AB3" s="146">
        <f>Y3+Z3-AA3</f>
        <v>162</v>
      </c>
      <c r="AC3" s="147">
        <f>AB3*1000/B3</f>
        <v>8.7474985933806274E-2</v>
      </c>
      <c r="AD3" s="146">
        <f>AB3</f>
        <v>162</v>
      </c>
      <c r="AE3" s="147">
        <f t="shared" ref="AE3:AE36" si="1">AD3*1000/C3</f>
        <v>8.7474985933806274E-2</v>
      </c>
      <c r="AF3" s="148">
        <f>AE3</f>
        <v>8.7474985933806274E-2</v>
      </c>
      <c r="AG3" s="166">
        <v>433</v>
      </c>
      <c r="AH3" s="167"/>
      <c r="AI3" s="167">
        <v>290</v>
      </c>
      <c r="AJ3" s="167">
        <f>AG3+AH3-AI3</f>
        <v>143</v>
      </c>
      <c r="AK3" s="168">
        <f t="shared" ref="AK3:AK13" si="2">AJ3*1000/B3</f>
        <v>7.7215574003298135E-2</v>
      </c>
      <c r="AL3" s="167">
        <f>AJ3</f>
        <v>143</v>
      </c>
      <c r="AM3" s="168">
        <f>AL3*1000/C3</f>
        <v>7.7215574003298135E-2</v>
      </c>
      <c r="AN3" s="353">
        <f>AM3</f>
        <v>7.7215574003298135E-2</v>
      </c>
      <c r="AO3" s="186">
        <v>23.6</v>
      </c>
      <c r="AP3" s="187">
        <v>24</v>
      </c>
      <c r="AQ3" s="307">
        <f>AO3*AP3*0.49705</f>
        <v>281.52912000000003</v>
      </c>
      <c r="AR3" s="307">
        <f t="shared" ref="AR3:AR13" si="3">AQ3*1000/D3</f>
        <v>9.625394463594473</v>
      </c>
      <c r="AS3" s="308">
        <f>AQ3</f>
        <v>281.52912000000003</v>
      </c>
      <c r="AT3" s="189">
        <f t="shared" ref="AT3:AT13" si="4">AS3*1000/E3</f>
        <v>9.625394463594473</v>
      </c>
      <c r="AU3" s="189">
        <f>AT3</f>
        <v>9.625394463594473</v>
      </c>
      <c r="AV3" s="201">
        <v>14.6</v>
      </c>
      <c r="AW3" s="198">
        <v>12</v>
      </c>
      <c r="AX3" s="284">
        <f t="shared" ref="AX3:AX9" si="5">AV3*AW3*0.51673</f>
        <v>90.531096000000005</v>
      </c>
      <c r="AY3" s="284">
        <f t="shared" ref="AY3:AY14" si="6">AX3*1000/D3</f>
        <v>3.0952304693082535</v>
      </c>
      <c r="AZ3" s="309">
        <f>AX3</f>
        <v>90.531096000000005</v>
      </c>
      <c r="BA3" s="202">
        <f t="shared" ref="BA3:BA13" si="7">AZ3*1000/E3</f>
        <v>3.0952304693082535</v>
      </c>
      <c r="BB3" s="200">
        <f>BA3</f>
        <v>3.0952304693082535</v>
      </c>
      <c r="BC3" s="232">
        <v>17375</v>
      </c>
      <c r="BD3" s="233">
        <v>33560</v>
      </c>
      <c r="BE3" s="233">
        <v>50935</v>
      </c>
      <c r="BF3" s="234"/>
      <c r="BG3" s="235">
        <f>BF3</f>
        <v>0</v>
      </c>
      <c r="BH3" s="235">
        <f>BG3*1000/E3</f>
        <v>0</v>
      </c>
      <c r="BI3" s="237">
        <f>BH3</f>
        <v>0</v>
      </c>
      <c r="BJ3" s="209">
        <v>288</v>
      </c>
      <c r="BK3" s="210">
        <v>1100</v>
      </c>
      <c r="BL3" s="210">
        <v>1388</v>
      </c>
      <c r="BM3" s="210"/>
      <c r="BN3" s="211"/>
      <c r="BO3" s="210"/>
      <c r="BP3" s="211"/>
      <c r="BQ3" s="212"/>
      <c r="BR3" s="156">
        <v>24236</v>
      </c>
      <c r="BS3" s="157">
        <v>30300</v>
      </c>
      <c r="BT3" s="157">
        <v>35795</v>
      </c>
      <c r="BU3" s="281">
        <f>BR3+BS3-BT3</f>
        <v>18741</v>
      </c>
      <c r="BV3" s="159">
        <f>BU3</f>
        <v>18741</v>
      </c>
      <c r="BW3" s="159">
        <f>BV3*1000/E3</f>
        <v>640.74905516780643</v>
      </c>
      <c r="BX3" s="354">
        <f>BW3</f>
        <v>640.74905516780643</v>
      </c>
      <c r="BY3" s="291">
        <v>0</v>
      </c>
      <c r="BZ3" s="292">
        <v>3750</v>
      </c>
      <c r="CA3" s="292">
        <v>1300</v>
      </c>
      <c r="CB3" s="292">
        <f>BY3+BZ3-CA3</f>
        <v>2450</v>
      </c>
      <c r="CC3" s="293">
        <f>CB3*1000/B3</f>
        <v>1.3229241699865764</v>
      </c>
      <c r="CD3" s="292">
        <f>CB3</f>
        <v>2450</v>
      </c>
      <c r="CE3" s="293">
        <f>CD3*1000/C3</f>
        <v>1.3229241699865764</v>
      </c>
      <c r="CF3" s="294">
        <f>CE3</f>
        <v>1.3229241699865764</v>
      </c>
    </row>
    <row r="4" spans="1:86">
      <c r="A4" s="30">
        <v>43952</v>
      </c>
      <c r="B4" s="32">
        <v>496572</v>
      </c>
      <c r="C4" s="1">
        <f>C3+B4</f>
        <v>2348530</v>
      </c>
      <c r="D4" s="91">
        <v>5953.82</v>
      </c>
      <c r="E4" s="93">
        <f>E3+D4</f>
        <v>35202.400000000001</v>
      </c>
      <c r="F4" s="240">
        <v>32000</v>
      </c>
      <c r="G4" s="240"/>
      <c r="H4" s="280"/>
      <c r="I4" s="240">
        <v>20000</v>
      </c>
      <c r="J4" s="240">
        <f t="shared" si="0"/>
        <v>12000</v>
      </c>
      <c r="K4" s="280">
        <f t="shared" ref="K4:K9" si="8">J4*1000/B4</f>
        <v>24.165679901404026</v>
      </c>
      <c r="L4" s="240">
        <f>J4</f>
        <v>12000</v>
      </c>
      <c r="M4" s="280">
        <f t="shared" ref="M4:M10" si="9">L4*1000/C4</f>
        <v>5.1095791835744064</v>
      </c>
      <c r="N4" s="280">
        <f t="shared" ref="N4:N10" si="10">M4/8.167</f>
        <v>0.62563722095927599</v>
      </c>
      <c r="O4" s="1052">
        <f>1000*SUM(J4:J34)/SUM(B4:B34)</f>
        <v>23.342818587437772</v>
      </c>
      <c r="P4" s="1083">
        <f>O4/8.167</f>
        <v>2.8581876561084574</v>
      </c>
      <c r="Q4" s="35">
        <f t="shared" ref="Q4:Q10" si="11">S3</f>
        <v>44771</v>
      </c>
      <c r="R4" s="35"/>
      <c r="S4" s="35">
        <v>44771</v>
      </c>
      <c r="T4" s="37">
        <f>Q4+R4-S4</f>
        <v>0</v>
      </c>
      <c r="U4" s="36">
        <f>1000*T4/B4</f>
        <v>0</v>
      </c>
      <c r="V4" s="74">
        <f>V3+T4</f>
        <v>10507</v>
      </c>
      <c r="W4" s="36">
        <f>1000*V4/C4</f>
        <v>4.4738623734846907</v>
      </c>
      <c r="X4" s="1136">
        <f>1000*SUM(T3:T34)/SUM(B4:B34)</f>
        <v>1.9826239981790141</v>
      </c>
      <c r="Y4" s="121">
        <v>231</v>
      </c>
      <c r="Z4" s="122"/>
      <c r="AA4" s="122">
        <f>201+30</f>
        <v>231</v>
      </c>
      <c r="AB4" s="122">
        <f>Y4+Z4-AA4</f>
        <v>0</v>
      </c>
      <c r="AC4" s="123">
        <f>AB4*1000/B4</f>
        <v>0</v>
      </c>
      <c r="AD4" s="122">
        <f>AD3+AB4</f>
        <v>162</v>
      </c>
      <c r="AE4" s="123">
        <f t="shared" si="1"/>
        <v>6.8979318978254489E-2</v>
      </c>
      <c r="AF4" s="1046">
        <f>1000*SUM(AB3:AB34)/SUM(B4:B34)</f>
        <v>0.48198359339858343</v>
      </c>
      <c r="AG4" s="40">
        <f>AI3</f>
        <v>290</v>
      </c>
      <c r="AH4" s="41"/>
      <c r="AI4" s="41">
        <v>256</v>
      </c>
      <c r="AJ4" s="41">
        <f>AG4+AH4-AI4</f>
        <v>34</v>
      </c>
      <c r="AK4" s="42">
        <f t="shared" si="2"/>
        <v>6.8469426387311405E-2</v>
      </c>
      <c r="AL4" s="41">
        <f>AL3+AJ4</f>
        <v>177</v>
      </c>
      <c r="AM4" s="42">
        <f>AL4*1000/C4</f>
        <v>7.5366292957722486E-2</v>
      </c>
      <c r="AN4" s="1057">
        <f>1000*SUM(AJ4:AJ34)/SUM(B4:B34)</f>
        <v>0.18544429565053774</v>
      </c>
      <c r="AO4" s="67">
        <v>4.0999999999999996</v>
      </c>
      <c r="AP4" s="67">
        <v>24</v>
      </c>
      <c r="AQ4" s="68">
        <f>AO4*AP4*0.49705</f>
        <v>48.909719999999993</v>
      </c>
      <c r="AR4" s="68">
        <f t="shared" si="3"/>
        <v>8.2148469386041221</v>
      </c>
      <c r="AS4" s="69">
        <f>AS3+AQ4</f>
        <v>330.43884000000003</v>
      </c>
      <c r="AT4" s="140">
        <f t="shared" si="4"/>
        <v>9.3868270345203744</v>
      </c>
      <c r="AU4" s="1064">
        <f>1000*SUM(AQ4:AQ34)/SUM(D4:D34)</f>
        <v>8.446814575143673</v>
      </c>
      <c r="AV4" s="71">
        <v>2.5</v>
      </c>
      <c r="AW4" s="71">
        <v>12</v>
      </c>
      <c r="AX4" s="72">
        <f t="shared" si="5"/>
        <v>15.501900000000001</v>
      </c>
      <c r="AY4" s="72">
        <f t="shared" si="6"/>
        <v>2.6036897319703991</v>
      </c>
      <c r="AZ4" s="73">
        <f>AZ3+AX4</f>
        <v>106.03299600000001</v>
      </c>
      <c r="BA4" s="192">
        <f t="shared" si="7"/>
        <v>3.0120956525691431</v>
      </c>
      <c r="BB4" s="1075">
        <f>1000*SUM(AX4:AX34)/SUM(D4:D34)</f>
        <v>2.716235468631206</v>
      </c>
      <c r="BC4" s="56">
        <f>BE3</f>
        <v>50935</v>
      </c>
      <c r="BD4" s="56"/>
      <c r="BE4" s="56">
        <v>50935</v>
      </c>
      <c r="BF4" s="57"/>
      <c r="BG4" s="58">
        <f>BG3+BF4</f>
        <v>0</v>
      </c>
      <c r="BH4" s="58">
        <f>BG4*1000/E4</f>
        <v>0</v>
      </c>
      <c r="BI4" s="1132">
        <f>1000*SUM(BF4:BF34)/SUM(D4:D34)</f>
        <v>95.326619385399553</v>
      </c>
      <c r="BJ4" s="63">
        <f>BL3</f>
        <v>1388</v>
      </c>
      <c r="BK4" s="64"/>
      <c r="BL4" s="64">
        <v>1388</v>
      </c>
      <c r="BM4" s="64"/>
      <c r="BN4" s="65"/>
      <c r="BO4" s="64"/>
      <c r="BP4" s="65"/>
      <c r="BQ4" s="1071">
        <f>1000*SUM(BM4:BM34)/SUM(B4:B34)</f>
        <v>0.23505815115611722</v>
      </c>
      <c r="BR4" s="117">
        <f>BT3</f>
        <v>35795</v>
      </c>
      <c r="BS4" s="118"/>
      <c r="BT4" s="118">
        <v>35795</v>
      </c>
      <c r="BU4" s="149">
        <f>BR4+BS4-BT4</f>
        <v>0</v>
      </c>
      <c r="BV4" s="120">
        <f>BV3+BU4</f>
        <v>18741</v>
      </c>
      <c r="BW4" s="120">
        <f>BV4*1000/E4</f>
        <v>532.37847419494119</v>
      </c>
      <c r="BX4" s="1063">
        <f>1000*SUM(BU4:BU34)/SUM(D4:D34)</f>
        <v>448.97001525970001</v>
      </c>
      <c r="BY4" s="295">
        <f>CA3</f>
        <v>1300</v>
      </c>
      <c r="BZ4" s="296"/>
      <c r="CA4" s="296">
        <v>950</v>
      </c>
      <c r="CB4" s="296">
        <f>BY4+BZ4-CA4</f>
        <v>350</v>
      </c>
      <c r="CC4" s="297">
        <f>CB4*1000/B4</f>
        <v>0.7048323304576174</v>
      </c>
      <c r="CD4" s="296">
        <f>CD3+CB4</f>
        <v>2800</v>
      </c>
      <c r="CE4" s="297">
        <f>CD4*1000/C4</f>
        <v>1.1922351428340281</v>
      </c>
      <c r="CF4" s="1061">
        <f>1000*SUM(CB4:CB34)/SUM(B4:B34)</f>
        <v>3.5744852669725852E-2</v>
      </c>
    </row>
    <row r="5" spans="1:86">
      <c r="A5" s="30">
        <v>43953</v>
      </c>
      <c r="B5" s="32">
        <v>528636</v>
      </c>
      <c r="C5" s="1">
        <f t="shared" ref="C5:C63" si="12">C4+B5</f>
        <v>2877166</v>
      </c>
      <c r="D5" s="91">
        <v>6633.74</v>
      </c>
      <c r="E5" s="93">
        <f>E4+D5</f>
        <v>41836.14</v>
      </c>
      <c r="F5" s="240">
        <v>20000</v>
      </c>
      <c r="G5" s="240"/>
      <c r="H5" s="280"/>
      <c r="I5" s="240">
        <v>4000</v>
      </c>
      <c r="J5" s="240">
        <f t="shared" si="0"/>
        <v>16000</v>
      </c>
      <c r="K5" s="280">
        <f t="shared" si="8"/>
        <v>30.266572840290863</v>
      </c>
      <c r="L5" s="240">
        <f>L3+J5</f>
        <v>48040</v>
      </c>
      <c r="M5" s="280">
        <f t="shared" si="9"/>
        <v>16.696985853440502</v>
      </c>
      <c r="N5" s="280">
        <f t="shared" si="10"/>
        <v>2.0444454332607447</v>
      </c>
      <c r="O5" s="1089"/>
      <c r="P5" s="1084"/>
      <c r="Q5" s="35">
        <f t="shared" si="11"/>
        <v>44771</v>
      </c>
      <c r="R5" s="35"/>
      <c r="S5" s="35">
        <v>44771</v>
      </c>
      <c r="T5" s="35"/>
      <c r="U5" s="36"/>
      <c r="V5" s="74">
        <f t="shared" ref="V5:V12" si="13">V4+T5</f>
        <v>10507</v>
      </c>
      <c r="W5" s="36">
        <f t="shared" ref="W5:W12" si="14">1000*V5/C5</f>
        <v>3.6518574180287131</v>
      </c>
      <c r="X5" s="1136"/>
      <c r="Y5" s="49">
        <f>AA4</f>
        <v>231</v>
      </c>
      <c r="Z5" s="50">
        <v>900</v>
      </c>
      <c r="AA5" s="50">
        <f>797+35</f>
        <v>832</v>
      </c>
      <c r="AB5" s="50">
        <f>Y5+Z5-AA5</f>
        <v>299</v>
      </c>
      <c r="AC5" s="51">
        <f>AB5*1000/B5</f>
        <v>0.56560657995293551</v>
      </c>
      <c r="AD5" s="50">
        <f>AD4+AB5</f>
        <v>461</v>
      </c>
      <c r="AE5" s="51">
        <f t="shared" si="1"/>
        <v>0.16022711237377335</v>
      </c>
      <c r="AF5" s="1047"/>
      <c r="AG5" s="40">
        <f>AI4</f>
        <v>256</v>
      </c>
      <c r="AH5" s="41"/>
      <c r="AI5" s="41">
        <v>192</v>
      </c>
      <c r="AJ5" s="41">
        <f t="shared" ref="AJ5:AJ13" si="15">AG5+AH5-AI5</f>
        <v>64</v>
      </c>
      <c r="AK5" s="42">
        <f t="shared" si="2"/>
        <v>0.12106629136116345</v>
      </c>
      <c r="AL5" s="41">
        <f>AL4+AJ5</f>
        <v>241</v>
      </c>
      <c r="AM5" s="42">
        <f>AL5*1000/C5</f>
        <v>8.3762980655269798E-2</v>
      </c>
      <c r="AN5" s="1058"/>
      <c r="AO5" s="67">
        <v>4.4000000000000004</v>
      </c>
      <c r="AP5" s="67">
        <v>24</v>
      </c>
      <c r="AQ5" s="68">
        <f t="shared" ref="AQ5:AQ13" si="16">AO5*AP5*0.49705</f>
        <v>52.488480000000003</v>
      </c>
      <c r="AR5" s="68">
        <f t="shared" si="3"/>
        <v>7.9123511020932389</v>
      </c>
      <c r="AS5" s="69">
        <f>AS4+AQ5</f>
        <v>382.92732000000001</v>
      </c>
      <c r="AT5" s="140">
        <f t="shared" si="4"/>
        <v>9.1530270240036486</v>
      </c>
      <c r="AU5" s="1073"/>
      <c r="AV5" s="71">
        <v>2.9</v>
      </c>
      <c r="AW5" s="71">
        <v>12</v>
      </c>
      <c r="AX5" s="72">
        <f t="shared" si="5"/>
        <v>17.982203999999999</v>
      </c>
      <c r="AY5" s="72">
        <f t="shared" si="6"/>
        <v>2.7107188403525009</v>
      </c>
      <c r="AZ5" s="73">
        <f>AZ4+AX5</f>
        <v>124.01520000000001</v>
      </c>
      <c r="BA5" s="192">
        <f t="shared" si="7"/>
        <v>2.9643078926497526</v>
      </c>
      <c r="BB5" s="1075"/>
      <c r="BC5" s="56">
        <f>BE4</f>
        <v>50935</v>
      </c>
      <c r="BD5" s="56"/>
      <c r="BE5" s="56">
        <v>50935</v>
      </c>
      <c r="BF5" s="57"/>
      <c r="BG5" s="58">
        <f t="shared" ref="BG5:BG13" si="17">BG4+BF5</f>
        <v>0</v>
      </c>
      <c r="BH5" s="58">
        <f t="shared" ref="BH5:BH13" si="18">BG5*1000/E5</f>
        <v>0</v>
      </c>
      <c r="BI5" s="1133"/>
      <c r="BJ5" s="63">
        <f>BL4</f>
        <v>1388</v>
      </c>
      <c r="BK5" s="64"/>
      <c r="BL5" s="64">
        <v>1388</v>
      </c>
      <c r="BM5" s="64"/>
      <c r="BN5" s="65"/>
      <c r="BO5" s="64"/>
      <c r="BP5" s="65"/>
      <c r="BQ5" s="1071"/>
      <c r="BR5" s="77">
        <f>BT4</f>
        <v>35795</v>
      </c>
      <c r="BS5" s="35"/>
      <c r="BT5" s="35">
        <v>29326</v>
      </c>
      <c r="BU5" s="74">
        <f t="shared" ref="BU5:BU13" si="19">BR5+BS5-BT5</f>
        <v>6469</v>
      </c>
      <c r="BV5" s="74">
        <f t="shared" ref="BV5:BV10" si="20">BV4+BU5</f>
        <v>25210</v>
      </c>
      <c r="BW5" s="74">
        <f t="shared" ref="BW5:BW10" si="21">BV5*1000/E5</f>
        <v>602.58905338781256</v>
      </c>
      <c r="BX5" s="1098"/>
      <c r="BY5" s="295">
        <f>CA4</f>
        <v>950</v>
      </c>
      <c r="BZ5" s="296"/>
      <c r="CA5" s="296">
        <v>900</v>
      </c>
      <c r="CB5" s="296">
        <f>BY5+BZ5-CA5</f>
        <v>50</v>
      </c>
      <c r="CC5" s="297">
        <f>CB5*1000/B5</f>
        <v>9.4583040125908943E-2</v>
      </c>
      <c r="CD5" s="296">
        <f>CD4+CB5</f>
        <v>2850</v>
      </c>
      <c r="CE5" s="297">
        <f t="shared" ref="CE5:CE13" si="22">CD5*1000/C5</f>
        <v>0.99055806998970519</v>
      </c>
      <c r="CF5" s="1061"/>
      <c r="CH5">
        <f>G3*H3</f>
        <v>820992.8</v>
      </c>
    </row>
    <row r="6" spans="1:86">
      <c r="A6" s="30">
        <v>43954</v>
      </c>
      <c r="B6" s="32">
        <v>546054</v>
      </c>
      <c r="C6" s="1">
        <f t="shared" si="12"/>
        <v>3423220</v>
      </c>
      <c r="D6" s="91">
        <v>7573.14</v>
      </c>
      <c r="E6" s="93">
        <f t="shared" ref="E6:E63" si="23">E5+D6</f>
        <v>49409.279999999999</v>
      </c>
      <c r="F6" s="240">
        <v>4000</v>
      </c>
      <c r="G6" s="240">
        <v>32200</v>
      </c>
      <c r="H6" s="280">
        <v>14.74</v>
      </c>
      <c r="I6" s="240">
        <v>22000</v>
      </c>
      <c r="J6" s="240">
        <f t="shared" si="0"/>
        <v>14200</v>
      </c>
      <c r="K6" s="280">
        <f t="shared" si="8"/>
        <v>26.004754108568019</v>
      </c>
      <c r="L6" s="240">
        <f t="shared" ref="L6:L36" si="24">L5+J6</f>
        <v>62240</v>
      </c>
      <c r="M6" s="280">
        <f t="shared" si="9"/>
        <v>18.181711955410403</v>
      </c>
      <c r="N6" s="280">
        <f t="shared" si="10"/>
        <v>2.2262412091845727</v>
      </c>
      <c r="O6" s="1089"/>
      <c r="P6" s="1084"/>
      <c r="Q6" s="35">
        <f t="shared" si="11"/>
        <v>44771</v>
      </c>
      <c r="R6" s="35"/>
      <c r="S6" s="35">
        <v>44771</v>
      </c>
      <c r="T6" s="35"/>
      <c r="U6" s="36"/>
      <c r="V6" s="74">
        <f t="shared" si="13"/>
        <v>10507</v>
      </c>
      <c r="W6" s="36">
        <f t="shared" si="14"/>
        <v>3.0693323829610719</v>
      </c>
      <c r="X6" s="1136"/>
      <c r="Y6" s="49">
        <f>AA5</f>
        <v>832</v>
      </c>
      <c r="Z6" s="50"/>
      <c r="AA6" s="50">
        <f>246+25</f>
        <v>271</v>
      </c>
      <c r="AB6" s="50">
        <f>Y6+Z6-AA6</f>
        <v>561</v>
      </c>
      <c r="AC6" s="51">
        <f>AB6*1000/B6</f>
        <v>1.0273709193596239</v>
      </c>
      <c r="AD6" s="50">
        <f>AD5+AB6</f>
        <v>1022</v>
      </c>
      <c r="AE6" s="51">
        <f t="shared" si="1"/>
        <v>0.29854931906216953</v>
      </c>
      <c r="AF6" s="1047"/>
      <c r="AG6" s="40">
        <f>AI5</f>
        <v>192</v>
      </c>
      <c r="AH6" s="41">
        <v>1000</v>
      </c>
      <c r="AI6" s="41">
        <v>1042</v>
      </c>
      <c r="AJ6" s="41">
        <f t="shared" si="15"/>
        <v>150</v>
      </c>
      <c r="AK6" s="42">
        <f t="shared" si="2"/>
        <v>0.27469810678064804</v>
      </c>
      <c r="AL6" s="41">
        <f t="shared" ref="AL6:AL13" si="25">AL5+AJ6</f>
        <v>391</v>
      </c>
      <c r="AM6" s="42">
        <f>AL6*1000/C6</f>
        <v>0.11421994496409812</v>
      </c>
      <c r="AN6" s="1058"/>
      <c r="AO6" s="67">
        <v>4.2</v>
      </c>
      <c r="AP6" s="67">
        <v>24</v>
      </c>
      <c r="AQ6" s="68">
        <f t="shared" si="16"/>
        <v>50.102640000000008</v>
      </c>
      <c r="AR6" s="68">
        <f t="shared" si="3"/>
        <v>6.6158343830960478</v>
      </c>
      <c r="AS6" s="69">
        <f t="shared" ref="AS6:AS13" si="26">AS5+AQ6</f>
        <v>433.02996000000002</v>
      </c>
      <c r="AT6" s="140">
        <f t="shared" si="4"/>
        <v>8.7641422825833537</v>
      </c>
      <c r="AU6" s="1073"/>
      <c r="AV6" s="71">
        <v>3.2</v>
      </c>
      <c r="AW6" s="71">
        <v>12</v>
      </c>
      <c r="AX6" s="72">
        <f t="shared" si="5"/>
        <v>19.842432000000002</v>
      </c>
      <c r="AY6" s="72">
        <f t="shared" si="6"/>
        <v>2.6201063231367701</v>
      </c>
      <c r="AZ6" s="73">
        <f t="shared" ref="AZ6:AZ13" si="27">AZ5+AX6</f>
        <v>143.85763200000002</v>
      </c>
      <c r="BA6" s="192">
        <f t="shared" si="7"/>
        <v>2.9115508665578615</v>
      </c>
      <c r="BB6" s="1075"/>
      <c r="BC6" s="56">
        <f>BE5</f>
        <v>50935</v>
      </c>
      <c r="BD6" s="56"/>
      <c r="BE6" s="56">
        <v>50935</v>
      </c>
      <c r="BF6" s="57"/>
      <c r="BG6" s="58">
        <f t="shared" si="17"/>
        <v>0</v>
      </c>
      <c r="BH6" s="58">
        <f t="shared" si="18"/>
        <v>0</v>
      </c>
      <c r="BI6" s="1133"/>
      <c r="BJ6" s="63">
        <f>BL5</f>
        <v>1388</v>
      </c>
      <c r="BK6" s="64"/>
      <c r="BL6" s="64">
        <v>1388</v>
      </c>
      <c r="BM6" s="64"/>
      <c r="BN6" s="65"/>
      <c r="BO6" s="64"/>
      <c r="BP6" s="65"/>
      <c r="BQ6" s="1071"/>
      <c r="BR6" s="77">
        <f>BT5</f>
        <v>29326</v>
      </c>
      <c r="BS6" s="35"/>
      <c r="BT6" s="35">
        <v>25629</v>
      </c>
      <c r="BU6" s="74">
        <f t="shared" si="19"/>
        <v>3697</v>
      </c>
      <c r="BV6" s="74">
        <f t="shared" si="20"/>
        <v>28907</v>
      </c>
      <c r="BW6" s="74">
        <f t="shared" si="21"/>
        <v>585.05203880728482</v>
      </c>
      <c r="BX6" s="1098"/>
      <c r="BY6" s="295">
        <f>CA5</f>
        <v>900</v>
      </c>
      <c r="BZ6" s="296"/>
      <c r="CA6" s="296">
        <v>800</v>
      </c>
      <c r="CB6" s="296">
        <f>BY6+BZ6-CA6</f>
        <v>100</v>
      </c>
      <c r="CC6" s="297">
        <f>CB6*1000/B6</f>
        <v>0.18313207118709871</v>
      </c>
      <c r="CD6" s="296">
        <f t="shared" ref="CD6:CD13" si="28">CD5+CB6</f>
        <v>2950</v>
      </c>
      <c r="CE6" s="297">
        <f t="shared" si="22"/>
        <v>0.86176173310508819</v>
      </c>
      <c r="CF6" s="1061"/>
      <c r="CH6">
        <f t="shared" ref="CH6:CH69" si="29">G4*H4</f>
        <v>0</v>
      </c>
    </row>
    <row r="7" spans="1:86">
      <c r="A7" s="30">
        <v>43955</v>
      </c>
      <c r="B7" s="32">
        <v>595758</v>
      </c>
      <c r="C7" s="1">
        <f t="shared" si="12"/>
        <v>4018978</v>
      </c>
      <c r="D7" s="91">
        <v>7520.06</v>
      </c>
      <c r="E7" s="93">
        <f t="shared" si="23"/>
        <v>56929.34</v>
      </c>
      <c r="F7" s="240">
        <f>I6</f>
        <v>22000</v>
      </c>
      <c r="G7" s="240"/>
      <c r="H7" s="280"/>
      <c r="I7" s="240">
        <v>4000</v>
      </c>
      <c r="J7" s="240">
        <f t="shared" si="0"/>
        <v>18000</v>
      </c>
      <c r="K7" s="280">
        <f t="shared" si="8"/>
        <v>30.213610224285699</v>
      </c>
      <c r="L7" s="240">
        <f t="shared" si="24"/>
        <v>80240</v>
      </c>
      <c r="M7" s="280">
        <f t="shared" si="9"/>
        <v>19.965274753929979</v>
      </c>
      <c r="N7" s="280">
        <f t="shared" si="10"/>
        <v>2.4446277401652967</v>
      </c>
      <c r="O7" s="1089"/>
      <c r="P7" s="1084"/>
      <c r="Q7" s="35">
        <f t="shared" si="11"/>
        <v>44771</v>
      </c>
      <c r="R7" s="35"/>
      <c r="S7" s="35">
        <v>44771</v>
      </c>
      <c r="T7" s="35"/>
      <c r="U7" s="36"/>
      <c r="V7" s="74">
        <f t="shared" si="13"/>
        <v>10507</v>
      </c>
      <c r="W7" s="36">
        <f t="shared" si="14"/>
        <v>2.6143462342914043</v>
      </c>
      <c r="X7" s="1136"/>
      <c r="Y7" s="49">
        <f>AA6</f>
        <v>271</v>
      </c>
      <c r="Z7" s="50"/>
      <c r="AA7" s="50">
        <f>108+40</f>
        <v>148</v>
      </c>
      <c r="AB7" s="50">
        <f>Y7+Z7-AA7</f>
        <v>123</v>
      </c>
      <c r="AC7" s="51">
        <f>AB7*1000/B7</f>
        <v>0.20645966986595229</v>
      </c>
      <c r="AD7" s="50">
        <f>AD6+AB7</f>
        <v>1145</v>
      </c>
      <c r="AE7" s="51">
        <f t="shared" si="1"/>
        <v>0.28489830001557609</v>
      </c>
      <c r="AF7" s="1047"/>
      <c r="AG7" s="40">
        <f>AI6</f>
        <v>1042</v>
      </c>
      <c r="AH7" s="41"/>
      <c r="AI7" s="41">
        <v>885</v>
      </c>
      <c r="AJ7" s="41">
        <f>AG7+AH7-AI7</f>
        <v>157</v>
      </c>
      <c r="AK7" s="42">
        <f t="shared" si="2"/>
        <v>0.26352982251182527</v>
      </c>
      <c r="AL7" s="41">
        <f t="shared" si="25"/>
        <v>548</v>
      </c>
      <c r="AM7" s="42">
        <f>AL7*1000/C7</f>
        <v>0.13635307284588272</v>
      </c>
      <c r="AN7" s="1058"/>
      <c r="AO7" s="67">
        <v>4.8</v>
      </c>
      <c r="AP7" s="67">
        <v>24</v>
      </c>
      <c r="AQ7" s="68">
        <f t="shared" si="16"/>
        <v>57.260159999999992</v>
      </c>
      <c r="AR7" s="68">
        <f t="shared" si="3"/>
        <v>7.6143222261524492</v>
      </c>
      <c r="AS7" s="69">
        <f t="shared" si="26"/>
        <v>490.29012</v>
      </c>
      <c r="AT7" s="140">
        <f t="shared" si="4"/>
        <v>8.6122572297518296</v>
      </c>
      <c r="AU7" s="1073"/>
      <c r="AV7" s="71">
        <v>3.2</v>
      </c>
      <c r="AW7" s="71">
        <v>12</v>
      </c>
      <c r="AX7" s="72">
        <f t="shared" si="5"/>
        <v>19.842432000000002</v>
      </c>
      <c r="AY7" s="72">
        <f t="shared" si="6"/>
        <v>2.6386002239343833</v>
      </c>
      <c r="AZ7" s="73">
        <f t="shared" si="27"/>
        <v>163.70006400000003</v>
      </c>
      <c r="BA7" s="192">
        <f t="shared" si="7"/>
        <v>2.8754955529082196</v>
      </c>
      <c r="BB7" s="1075"/>
      <c r="BC7" s="56">
        <f>BE6</f>
        <v>50935</v>
      </c>
      <c r="BD7" s="56"/>
      <c r="BE7" s="56">
        <v>50935</v>
      </c>
      <c r="BF7" s="57"/>
      <c r="BG7" s="58">
        <f t="shared" si="17"/>
        <v>0</v>
      </c>
      <c r="BH7" s="58">
        <f t="shared" si="18"/>
        <v>0</v>
      </c>
      <c r="BI7" s="1133"/>
      <c r="BJ7" s="63">
        <f>BL6</f>
        <v>1388</v>
      </c>
      <c r="BK7" s="64"/>
      <c r="BL7" s="64">
        <v>1388</v>
      </c>
      <c r="BM7" s="64"/>
      <c r="BN7" s="65"/>
      <c r="BO7" s="64"/>
      <c r="BP7" s="65"/>
      <c r="BQ7" s="1071"/>
      <c r="BR7" s="77">
        <f>BT6</f>
        <v>25629</v>
      </c>
      <c r="BS7" s="35"/>
      <c r="BT7" s="35">
        <v>23781</v>
      </c>
      <c r="BU7" s="74">
        <f t="shared" si="19"/>
        <v>1848</v>
      </c>
      <c r="BV7" s="74">
        <f t="shared" si="20"/>
        <v>30755</v>
      </c>
      <c r="BW7" s="74">
        <f t="shared" si="21"/>
        <v>540.23110051864296</v>
      </c>
      <c r="BX7" s="1098"/>
      <c r="BY7" s="295">
        <f>CA6</f>
        <v>800</v>
      </c>
      <c r="BZ7" s="296"/>
      <c r="CA7" s="296">
        <v>800</v>
      </c>
      <c r="CB7" s="296"/>
      <c r="CC7" s="297"/>
      <c r="CD7" s="296">
        <f t="shared" si="28"/>
        <v>2950</v>
      </c>
      <c r="CE7" s="297">
        <f t="shared" si="22"/>
        <v>0.7340174541886022</v>
      </c>
      <c r="CF7" s="1061"/>
      <c r="CH7">
        <f t="shared" si="29"/>
        <v>0</v>
      </c>
    </row>
    <row r="8" spans="1:86">
      <c r="A8" s="30">
        <v>43956</v>
      </c>
      <c r="B8" s="32">
        <v>604590</v>
      </c>
      <c r="C8" s="1">
        <f t="shared" si="12"/>
        <v>4623568</v>
      </c>
      <c r="D8" s="91">
        <v>7119.4</v>
      </c>
      <c r="E8" s="93">
        <f t="shared" si="23"/>
        <v>64048.74</v>
      </c>
      <c r="F8" s="240">
        <f>I7</f>
        <v>4000</v>
      </c>
      <c r="G8" s="240">
        <v>32500</v>
      </c>
      <c r="H8" s="280">
        <v>10.83</v>
      </c>
      <c r="I8" s="240">
        <v>26000</v>
      </c>
      <c r="J8" s="240">
        <f t="shared" si="0"/>
        <v>10500</v>
      </c>
      <c r="K8" s="280">
        <f t="shared" si="8"/>
        <v>17.367141368530739</v>
      </c>
      <c r="L8" s="240">
        <f t="shared" si="24"/>
        <v>90740</v>
      </c>
      <c r="M8" s="280">
        <f t="shared" si="9"/>
        <v>19.625535949725407</v>
      </c>
      <c r="N8" s="280">
        <f t="shared" si="10"/>
        <v>2.4030287681799201</v>
      </c>
      <c r="O8" s="1089"/>
      <c r="P8" s="1084"/>
      <c r="Q8" s="35">
        <f t="shared" si="11"/>
        <v>44771</v>
      </c>
      <c r="R8" s="35"/>
      <c r="S8" s="35">
        <v>42728</v>
      </c>
      <c r="T8" s="35">
        <f t="shared" ref="T8:T15" si="30">Q8+R8-S8</f>
        <v>2043</v>
      </c>
      <c r="U8" s="36">
        <f t="shared" ref="U8:U15" si="31">1000*T8/B8</f>
        <v>3.3791495062769812</v>
      </c>
      <c r="V8" s="74">
        <f t="shared" si="13"/>
        <v>12550</v>
      </c>
      <c r="W8" s="36">
        <f t="shared" si="14"/>
        <v>2.7143539361808888</v>
      </c>
      <c r="X8" s="1136"/>
      <c r="Y8" s="49">
        <f t="shared" ref="Y8:Y33" si="32">AA7</f>
        <v>148</v>
      </c>
      <c r="Z8" s="50">
        <v>400</v>
      </c>
      <c r="AA8" s="50">
        <f>173+75</f>
        <v>248</v>
      </c>
      <c r="AB8" s="50">
        <f t="shared" ref="AB8:AB13" si="33">Y8+Z8-AA8</f>
        <v>300</v>
      </c>
      <c r="AC8" s="51">
        <f t="shared" ref="AC8:AC13" si="34">AB8*1000/B8</f>
        <v>0.49620403910087829</v>
      </c>
      <c r="AD8" s="50">
        <f t="shared" ref="AD8:AD13" si="35">AD7+AB8</f>
        <v>1445</v>
      </c>
      <c r="AE8" s="51">
        <f t="shared" si="1"/>
        <v>0.31252919822959241</v>
      </c>
      <c r="AF8" s="1047"/>
      <c r="AG8" s="40">
        <f t="shared" ref="AG8:AG33" si="36">AI7</f>
        <v>885</v>
      </c>
      <c r="AH8" s="41"/>
      <c r="AI8" s="41">
        <v>733</v>
      </c>
      <c r="AJ8" s="41">
        <f>AG8+AH8-AI8</f>
        <v>152</v>
      </c>
      <c r="AK8" s="42">
        <f t="shared" si="2"/>
        <v>0.25141004647777832</v>
      </c>
      <c r="AL8" s="41">
        <f t="shared" si="25"/>
        <v>700</v>
      </c>
      <c r="AM8" s="42">
        <f t="shared" ref="AM8:AM13" si="37">AL8*1000/C8</f>
        <v>0.15139822751606552</v>
      </c>
      <c r="AN8" s="1058"/>
      <c r="AO8" s="311">
        <v>6</v>
      </c>
      <c r="AP8" s="67">
        <v>24</v>
      </c>
      <c r="AQ8" s="68">
        <f t="shared" si="16"/>
        <v>71.575199999999995</v>
      </c>
      <c r="AR8" s="68">
        <f t="shared" si="3"/>
        <v>10.053543837963874</v>
      </c>
      <c r="AS8" s="69">
        <f t="shared" si="26"/>
        <v>561.86532</v>
      </c>
      <c r="AT8" s="140">
        <f t="shared" si="4"/>
        <v>8.7724648447416751</v>
      </c>
      <c r="AU8" s="1073"/>
      <c r="AV8" s="71">
        <v>2.8</v>
      </c>
      <c r="AW8" s="71">
        <v>12</v>
      </c>
      <c r="AX8" s="72">
        <f t="shared" si="5"/>
        <v>17.362127999999998</v>
      </c>
      <c r="AY8" s="72">
        <f t="shared" si="6"/>
        <v>2.4387066325813969</v>
      </c>
      <c r="AZ8" s="73">
        <f t="shared" si="27"/>
        <v>181.06219200000004</v>
      </c>
      <c r="BA8" s="192">
        <f t="shared" si="7"/>
        <v>2.8269438555699931</v>
      </c>
      <c r="BB8" s="1075"/>
      <c r="BC8" s="56">
        <f t="shared" ref="BC8:BC33" si="38">BE7</f>
        <v>50935</v>
      </c>
      <c r="BD8" s="56"/>
      <c r="BE8" s="56">
        <v>45721</v>
      </c>
      <c r="BF8" s="57">
        <f>BC8-BE8+BD8</f>
        <v>5214</v>
      </c>
      <c r="BG8" s="58">
        <f t="shared" si="17"/>
        <v>5214</v>
      </c>
      <c r="BH8" s="58">
        <f t="shared" si="18"/>
        <v>81.406753669158832</v>
      </c>
      <c r="BI8" s="1133"/>
      <c r="BJ8" s="63">
        <f t="shared" ref="BJ8:BJ33" si="39">BL7</f>
        <v>1388</v>
      </c>
      <c r="BK8" s="64"/>
      <c r="BL8" s="64">
        <v>1388</v>
      </c>
      <c r="BM8" s="64"/>
      <c r="BN8" s="65"/>
      <c r="BO8" s="64"/>
      <c r="BP8" s="65"/>
      <c r="BQ8" s="1071"/>
      <c r="BR8" s="77">
        <f t="shared" ref="BR8:BR33" si="40">BT7</f>
        <v>23781</v>
      </c>
      <c r="BS8" s="35"/>
      <c r="BT8" s="35">
        <v>19160</v>
      </c>
      <c r="BU8" s="74">
        <f t="shared" si="19"/>
        <v>4621</v>
      </c>
      <c r="BV8" s="74">
        <f t="shared" si="20"/>
        <v>35376</v>
      </c>
      <c r="BW8" s="74">
        <f t="shared" si="21"/>
        <v>552.32936666669787</v>
      </c>
      <c r="BX8" s="1098"/>
      <c r="BY8" s="295">
        <f t="shared" ref="BY8:BY13" si="41">CA7</f>
        <v>800</v>
      </c>
      <c r="BZ8" s="296"/>
      <c r="CA8" s="296">
        <v>800</v>
      </c>
      <c r="CB8" s="296"/>
      <c r="CC8" s="297"/>
      <c r="CD8" s="296">
        <f t="shared" si="28"/>
        <v>2950</v>
      </c>
      <c r="CE8" s="297">
        <f t="shared" si="22"/>
        <v>0.63803538738913324</v>
      </c>
      <c r="CF8" s="1061"/>
      <c r="CH8">
        <f t="shared" si="29"/>
        <v>474628</v>
      </c>
    </row>
    <row r="9" spans="1:86">
      <c r="A9" s="30">
        <v>43957</v>
      </c>
      <c r="B9" s="32">
        <v>544549</v>
      </c>
      <c r="C9" s="1">
        <f t="shared" si="12"/>
        <v>5168117</v>
      </c>
      <c r="D9" s="91">
        <v>6653.94</v>
      </c>
      <c r="E9" s="93">
        <f t="shared" si="23"/>
        <v>70702.679999999993</v>
      </c>
      <c r="F9" s="240">
        <f>I8</f>
        <v>26000</v>
      </c>
      <c r="G9" s="240">
        <v>32060</v>
      </c>
      <c r="H9" s="280">
        <v>14</v>
      </c>
      <c r="I9" s="240">
        <v>51500</v>
      </c>
      <c r="J9" s="240">
        <f t="shared" si="0"/>
        <v>6560</v>
      </c>
      <c r="K9" s="280">
        <f t="shared" si="8"/>
        <v>12.04666614023715</v>
      </c>
      <c r="L9" s="240">
        <f t="shared" si="24"/>
        <v>97300</v>
      </c>
      <c r="M9" s="280">
        <f t="shared" si="9"/>
        <v>18.826973150956142</v>
      </c>
      <c r="N9" s="280">
        <f t="shared" si="10"/>
        <v>2.3052495593187392</v>
      </c>
      <c r="O9" s="1089"/>
      <c r="P9" s="1084"/>
      <c r="Q9" s="35">
        <f t="shared" si="11"/>
        <v>42728</v>
      </c>
      <c r="R9" s="35"/>
      <c r="S9" s="35">
        <v>40911</v>
      </c>
      <c r="T9" s="35">
        <f t="shared" si="30"/>
        <v>1817</v>
      </c>
      <c r="U9" s="36">
        <f t="shared" si="31"/>
        <v>3.3367061550016621</v>
      </c>
      <c r="V9" s="74">
        <f t="shared" si="13"/>
        <v>14367</v>
      </c>
      <c r="W9" s="36">
        <f t="shared" si="14"/>
        <v>2.7799293243554666</v>
      </c>
      <c r="X9" s="1136"/>
      <c r="Y9" s="49">
        <f t="shared" si="32"/>
        <v>248</v>
      </c>
      <c r="Z9" s="52">
        <v>500</v>
      </c>
      <c r="AA9" s="50">
        <f>308+70</f>
        <v>378</v>
      </c>
      <c r="AB9" s="50">
        <f t="shared" si="33"/>
        <v>370</v>
      </c>
      <c r="AC9" s="51">
        <f t="shared" si="34"/>
        <v>0.67946135242191241</v>
      </c>
      <c r="AD9" s="50">
        <f t="shared" si="35"/>
        <v>1815</v>
      </c>
      <c r="AE9" s="51">
        <f t="shared" si="1"/>
        <v>0.35119173966069267</v>
      </c>
      <c r="AF9" s="1047"/>
      <c r="AG9" s="40">
        <f t="shared" si="36"/>
        <v>733</v>
      </c>
      <c r="AH9" s="43"/>
      <c r="AI9" s="41">
        <v>626</v>
      </c>
      <c r="AJ9" s="41">
        <f>AG9+AH9-AI9</f>
        <v>107</v>
      </c>
      <c r="AK9" s="42">
        <f t="shared" si="2"/>
        <v>0.19649287759228279</v>
      </c>
      <c r="AL9" s="41">
        <f t="shared" si="25"/>
        <v>807</v>
      </c>
      <c r="AM9" s="42">
        <f t="shared" si="37"/>
        <v>0.15614971565078731</v>
      </c>
      <c r="AN9" s="1058"/>
      <c r="AO9" s="67">
        <v>4.0999999999999996</v>
      </c>
      <c r="AP9" s="67">
        <v>24</v>
      </c>
      <c r="AQ9" s="68">
        <f t="shared" si="16"/>
        <v>48.909719999999993</v>
      </c>
      <c r="AR9" s="68">
        <f t="shared" si="3"/>
        <v>7.3504900855733588</v>
      </c>
      <c r="AS9" s="69">
        <f t="shared" si="26"/>
        <v>610.77503999999999</v>
      </c>
      <c r="AT9" s="140">
        <f t="shared" si="4"/>
        <v>8.6386405720405524</v>
      </c>
      <c r="AU9" s="1073"/>
      <c r="AV9" s="71">
        <v>2.7</v>
      </c>
      <c r="AW9" s="71">
        <v>12</v>
      </c>
      <c r="AX9" s="72">
        <f t="shared" si="5"/>
        <v>16.742052000000005</v>
      </c>
      <c r="AY9" s="72">
        <f t="shared" si="6"/>
        <v>2.5161110560059159</v>
      </c>
      <c r="AZ9" s="73">
        <f t="shared" si="27"/>
        <v>197.80424400000004</v>
      </c>
      <c r="BA9" s="192">
        <f t="shared" si="7"/>
        <v>2.7976908937539573</v>
      </c>
      <c r="BB9" s="1075"/>
      <c r="BC9" s="56">
        <f t="shared" si="38"/>
        <v>45721</v>
      </c>
      <c r="BD9" s="56"/>
      <c r="BE9" s="56">
        <v>45721</v>
      </c>
      <c r="BF9" s="57"/>
      <c r="BG9" s="58">
        <f t="shared" si="17"/>
        <v>5214</v>
      </c>
      <c r="BH9" s="58">
        <f t="shared" si="18"/>
        <v>73.745436523764027</v>
      </c>
      <c r="BI9" s="1133"/>
      <c r="BJ9" s="63">
        <f t="shared" si="39"/>
        <v>1388</v>
      </c>
      <c r="BK9" s="66"/>
      <c r="BL9" s="64">
        <v>1388</v>
      </c>
      <c r="BM9" s="64"/>
      <c r="BN9" s="65"/>
      <c r="BO9" s="64"/>
      <c r="BP9" s="65"/>
      <c r="BQ9" s="1071"/>
      <c r="BR9" s="77">
        <f t="shared" si="40"/>
        <v>19160</v>
      </c>
      <c r="BS9" s="35"/>
      <c r="BT9" s="35">
        <v>16388</v>
      </c>
      <c r="BU9" s="74">
        <f t="shared" si="19"/>
        <v>2772</v>
      </c>
      <c r="BV9" s="74">
        <f t="shared" si="20"/>
        <v>38148</v>
      </c>
      <c r="BW9" s="74">
        <f t="shared" si="21"/>
        <v>539.55521912323559</v>
      </c>
      <c r="BX9" s="1098"/>
      <c r="BY9" s="295">
        <f t="shared" si="41"/>
        <v>800</v>
      </c>
      <c r="BZ9" s="298"/>
      <c r="CA9" s="296">
        <v>800</v>
      </c>
      <c r="CB9" s="296"/>
      <c r="CC9" s="297"/>
      <c r="CD9" s="296">
        <f t="shared" si="28"/>
        <v>2950</v>
      </c>
      <c r="CE9" s="297">
        <f t="shared" si="22"/>
        <v>0.57080751074327463</v>
      </c>
      <c r="CF9" s="1061"/>
      <c r="CH9">
        <f t="shared" si="29"/>
        <v>0</v>
      </c>
    </row>
    <row r="10" spans="1:86">
      <c r="A10" s="30">
        <v>43958</v>
      </c>
      <c r="B10" s="32">
        <v>455457</v>
      </c>
      <c r="C10" s="1">
        <f t="shared" si="12"/>
        <v>5623574</v>
      </c>
      <c r="D10" s="91">
        <v>6041.36</v>
      </c>
      <c r="E10" s="93">
        <f t="shared" si="23"/>
        <v>76744.039999999994</v>
      </c>
      <c r="F10" s="240">
        <f>I9</f>
        <v>51500</v>
      </c>
      <c r="G10" s="240"/>
      <c r="H10" s="280"/>
      <c r="I10" s="240">
        <v>51500</v>
      </c>
      <c r="J10" s="240"/>
      <c r="K10" s="280"/>
      <c r="L10" s="240">
        <f t="shared" si="24"/>
        <v>97300</v>
      </c>
      <c r="M10" s="280">
        <f t="shared" si="9"/>
        <v>17.30216406861544</v>
      </c>
      <c r="N10" s="280">
        <f t="shared" si="10"/>
        <v>2.118545863672761</v>
      </c>
      <c r="O10" s="1089"/>
      <c r="P10" s="1084"/>
      <c r="Q10" s="35">
        <f t="shared" si="11"/>
        <v>40911</v>
      </c>
      <c r="R10" s="35"/>
      <c r="S10" s="35">
        <v>38540</v>
      </c>
      <c r="T10" s="35">
        <f t="shared" si="30"/>
        <v>2371</v>
      </c>
      <c r="U10" s="36">
        <f t="shared" si="31"/>
        <v>5.2057603681576969</v>
      </c>
      <c r="V10" s="74">
        <f t="shared" si="13"/>
        <v>16738</v>
      </c>
      <c r="W10" s="36">
        <f t="shared" si="14"/>
        <v>2.9763989946606908</v>
      </c>
      <c r="X10" s="1136"/>
      <c r="Y10" s="49">
        <f t="shared" si="32"/>
        <v>378</v>
      </c>
      <c r="Z10" s="52"/>
      <c r="AA10" s="52">
        <f>63+90</f>
        <v>153</v>
      </c>
      <c r="AB10" s="50">
        <f t="shared" si="33"/>
        <v>225</v>
      </c>
      <c r="AC10" s="51">
        <f t="shared" si="34"/>
        <v>0.49400931372226137</v>
      </c>
      <c r="AD10" s="50">
        <f t="shared" si="35"/>
        <v>2040</v>
      </c>
      <c r="AE10" s="51">
        <f t="shared" si="1"/>
        <v>0.36275863001002567</v>
      </c>
      <c r="AF10" s="1047"/>
      <c r="AG10" s="40">
        <f t="shared" si="36"/>
        <v>626</v>
      </c>
      <c r="AH10" s="43">
        <v>-250</v>
      </c>
      <c r="AI10" s="43">
        <v>220</v>
      </c>
      <c r="AJ10" s="41">
        <f t="shared" si="15"/>
        <v>156</v>
      </c>
      <c r="AK10" s="42">
        <f t="shared" si="2"/>
        <v>0.3425131241807679</v>
      </c>
      <c r="AL10" s="41">
        <f t="shared" si="25"/>
        <v>963</v>
      </c>
      <c r="AM10" s="42">
        <f t="shared" si="37"/>
        <v>0.17124341210767388</v>
      </c>
      <c r="AN10" s="1058"/>
      <c r="AO10" s="355">
        <v>4.7</v>
      </c>
      <c r="AP10" s="67">
        <v>24</v>
      </c>
      <c r="AQ10" s="68">
        <f t="shared" si="16"/>
        <v>56.067240000000005</v>
      </c>
      <c r="AR10" s="68">
        <f t="shared" si="3"/>
        <v>9.280565965279342</v>
      </c>
      <c r="AS10" s="69">
        <f t="shared" si="26"/>
        <v>666.84227999999996</v>
      </c>
      <c r="AT10" s="140">
        <f t="shared" si="4"/>
        <v>8.6891735175786931</v>
      </c>
      <c r="AU10" s="1073"/>
      <c r="AV10" s="356">
        <v>2.7</v>
      </c>
      <c r="AW10" s="71">
        <v>12</v>
      </c>
      <c r="AX10" s="72">
        <f t="shared" ref="AX10:AX17" si="42">AV10*AW10*0.51673</f>
        <v>16.742052000000005</v>
      </c>
      <c r="AY10" s="72">
        <f t="shared" si="6"/>
        <v>2.7712389263344686</v>
      </c>
      <c r="AZ10" s="73">
        <f t="shared" si="27"/>
        <v>214.54629600000004</v>
      </c>
      <c r="BA10" s="192">
        <f t="shared" si="7"/>
        <v>2.7956085710369178</v>
      </c>
      <c r="BB10" s="1075"/>
      <c r="BC10" s="56">
        <f t="shared" si="38"/>
        <v>45721</v>
      </c>
      <c r="BD10" s="56"/>
      <c r="BE10" s="56">
        <v>45721</v>
      </c>
      <c r="BF10" s="57"/>
      <c r="BG10" s="58">
        <f t="shared" si="17"/>
        <v>5214</v>
      </c>
      <c r="BH10" s="58">
        <f t="shared" si="18"/>
        <v>67.940129292124837</v>
      </c>
      <c r="BI10" s="1133"/>
      <c r="BJ10" s="63">
        <f t="shared" si="39"/>
        <v>1388</v>
      </c>
      <c r="BK10" s="66"/>
      <c r="BL10" s="64">
        <v>1388</v>
      </c>
      <c r="BM10" s="64"/>
      <c r="BN10" s="65"/>
      <c r="BO10" s="64"/>
      <c r="BP10" s="65"/>
      <c r="BQ10" s="1071"/>
      <c r="BR10" s="77">
        <f t="shared" si="40"/>
        <v>16388</v>
      </c>
      <c r="BS10" s="35"/>
      <c r="BT10" s="35">
        <v>12691</v>
      </c>
      <c r="BU10" s="74">
        <f t="shared" si="19"/>
        <v>3697</v>
      </c>
      <c r="BV10" s="74">
        <f t="shared" si="20"/>
        <v>41845</v>
      </c>
      <c r="BW10" s="74">
        <f t="shared" si="21"/>
        <v>545.2540679380445</v>
      </c>
      <c r="BX10" s="1098"/>
      <c r="BY10" s="295">
        <f t="shared" si="41"/>
        <v>800</v>
      </c>
      <c r="BZ10" s="298"/>
      <c r="CA10" s="296">
        <v>800</v>
      </c>
      <c r="CB10" s="296"/>
      <c r="CC10" s="297"/>
      <c r="CD10" s="296">
        <f t="shared" si="28"/>
        <v>2950</v>
      </c>
      <c r="CE10" s="297">
        <f t="shared" si="22"/>
        <v>0.52457743065175277</v>
      </c>
      <c r="CF10" s="1061"/>
      <c r="CH10">
        <f t="shared" si="29"/>
        <v>351975</v>
      </c>
    </row>
    <row r="11" spans="1:86">
      <c r="A11" s="30">
        <v>43959</v>
      </c>
      <c r="B11" s="32">
        <v>475017</v>
      </c>
      <c r="C11" s="1">
        <f t="shared" si="12"/>
        <v>6098591</v>
      </c>
      <c r="D11" s="91">
        <v>5982.6</v>
      </c>
      <c r="E11" s="93">
        <f t="shared" si="23"/>
        <v>82726.64</v>
      </c>
      <c r="F11" s="240">
        <f t="shared" ref="F11:F34" si="43">I10</f>
        <v>51500</v>
      </c>
      <c r="G11" s="240"/>
      <c r="H11" s="280"/>
      <c r="I11" s="240">
        <f>30000+18000</f>
        <v>48000</v>
      </c>
      <c r="J11" s="240">
        <f t="shared" ref="J11:J16" si="44">F11+G11-I11</f>
        <v>3500</v>
      </c>
      <c r="K11" s="280">
        <f t="shared" ref="K11:K16" si="45">J11*1000/B11</f>
        <v>7.3681573501579942</v>
      </c>
      <c r="L11" s="240">
        <f t="shared" si="24"/>
        <v>100800</v>
      </c>
      <c r="M11" s="280">
        <f t="shared" ref="M11:M36" si="46">L11*1000/C11</f>
        <v>16.528407955214572</v>
      </c>
      <c r="N11" s="280">
        <f t="shared" ref="N11:N36" si="47">M11/8.167</f>
        <v>2.0238040841452887</v>
      </c>
      <c r="O11" s="1089"/>
      <c r="P11" s="1084"/>
      <c r="Q11" s="35">
        <f t="shared" ref="Q11:Q33" si="48">S10</f>
        <v>38540</v>
      </c>
      <c r="R11" s="35"/>
      <c r="S11" s="35">
        <v>36680</v>
      </c>
      <c r="T11" s="35">
        <f t="shared" si="30"/>
        <v>1860</v>
      </c>
      <c r="U11" s="36">
        <f t="shared" si="31"/>
        <v>3.9156493346553911</v>
      </c>
      <c r="V11" s="74">
        <f t="shared" si="13"/>
        <v>18598</v>
      </c>
      <c r="W11" s="36">
        <f t="shared" si="14"/>
        <v>3.0495568566575462</v>
      </c>
      <c r="X11" s="1136"/>
      <c r="Y11" s="49">
        <f t="shared" si="32"/>
        <v>153</v>
      </c>
      <c r="Z11" s="52">
        <v>900</v>
      </c>
      <c r="AA11" s="52">
        <f>832+65</f>
        <v>897</v>
      </c>
      <c r="AB11" s="50">
        <f t="shared" si="33"/>
        <v>156</v>
      </c>
      <c r="AC11" s="51">
        <f t="shared" si="34"/>
        <v>0.32840929903561344</v>
      </c>
      <c r="AD11" s="50">
        <f t="shared" si="35"/>
        <v>2196</v>
      </c>
      <c r="AE11" s="51">
        <f t="shared" si="1"/>
        <v>0.36008317331003176</v>
      </c>
      <c r="AF11" s="1047"/>
      <c r="AG11" s="40">
        <f t="shared" si="36"/>
        <v>220</v>
      </c>
      <c r="AH11" s="43"/>
      <c r="AI11" s="43">
        <v>80</v>
      </c>
      <c r="AJ11" s="41">
        <f t="shared" si="15"/>
        <v>140</v>
      </c>
      <c r="AK11" s="42">
        <f t="shared" si="2"/>
        <v>0.29472629400631978</v>
      </c>
      <c r="AL11" s="41">
        <f t="shared" si="25"/>
        <v>1103</v>
      </c>
      <c r="AM11" s="42">
        <f t="shared" si="37"/>
        <v>0.18086144816073091</v>
      </c>
      <c r="AN11" s="1058"/>
      <c r="AO11" s="355">
        <v>4.8</v>
      </c>
      <c r="AP11" s="67">
        <v>24</v>
      </c>
      <c r="AQ11" s="68">
        <f t="shared" si="16"/>
        <v>57.260159999999992</v>
      </c>
      <c r="AR11" s="68">
        <f t="shared" si="3"/>
        <v>9.5711162370875513</v>
      </c>
      <c r="AS11" s="69">
        <f t="shared" si="26"/>
        <v>724.10244</v>
      </c>
      <c r="AT11" s="140">
        <f t="shared" si="4"/>
        <v>8.7529535830296012</v>
      </c>
      <c r="AU11" s="1073"/>
      <c r="AV11" s="356">
        <v>2.7</v>
      </c>
      <c r="AW11" s="71">
        <v>12</v>
      </c>
      <c r="AX11" s="72">
        <f t="shared" si="42"/>
        <v>16.742052000000005</v>
      </c>
      <c r="AY11" s="72">
        <f t="shared" si="6"/>
        <v>2.7984575268278009</v>
      </c>
      <c r="AZ11" s="73">
        <f t="shared" si="27"/>
        <v>231.28834800000004</v>
      </c>
      <c r="BA11" s="192">
        <f t="shared" si="7"/>
        <v>2.7958146009556302</v>
      </c>
      <c r="BB11" s="1075"/>
      <c r="BC11" s="56">
        <f t="shared" si="38"/>
        <v>45721</v>
      </c>
      <c r="BD11" s="56"/>
      <c r="BE11" s="56">
        <v>43890</v>
      </c>
      <c r="BF11" s="57">
        <f>BC11-BE11+BD11</f>
        <v>1831</v>
      </c>
      <c r="BG11" s="58">
        <f t="shared" si="17"/>
        <v>7045</v>
      </c>
      <c r="BH11" s="58">
        <f t="shared" si="18"/>
        <v>85.159991992905788</v>
      </c>
      <c r="BI11" s="1133"/>
      <c r="BJ11" s="63">
        <f t="shared" si="39"/>
        <v>1388</v>
      </c>
      <c r="BK11" s="66"/>
      <c r="BL11" s="66">
        <v>1020</v>
      </c>
      <c r="BM11" s="64">
        <f t="shared" ref="BM11:BM25" si="49">BJ11+BK11-BL11</f>
        <v>368</v>
      </c>
      <c r="BN11" s="65">
        <f t="shared" ref="BN11:BN25" si="50">BM11*1000/B11</f>
        <v>0.77470911567375489</v>
      </c>
      <c r="BO11" s="64">
        <f t="shared" ref="BO11:BO36" si="51">BO10+BM11</f>
        <v>368</v>
      </c>
      <c r="BP11" s="65">
        <f t="shared" ref="BP11:BP36" si="52">BO11*1000/C11</f>
        <v>6.0341806820624636E-2</v>
      </c>
      <c r="BQ11" s="1071"/>
      <c r="BR11" s="77">
        <f t="shared" si="40"/>
        <v>12691</v>
      </c>
      <c r="BS11" s="35"/>
      <c r="BT11" s="35">
        <v>9327</v>
      </c>
      <c r="BU11" s="74">
        <f t="shared" si="19"/>
        <v>3364</v>
      </c>
      <c r="BV11" s="74">
        <f t="shared" ref="BV11:BV34" si="53">BV10+BU11</f>
        <v>45209</v>
      </c>
      <c r="BW11" s="74">
        <f t="shared" ref="BW11:BW30" si="54">BV11*1000/E11</f>
        <v>546.48659730408485</v>
      </c>
      <c r="BX11" s="1098"/>
      <c r="BY11" s="295">
        <f t="shared" si="41"/>
        <v>800</v>
      </c>
      <c r="BZ11" s="298"/>
      <c r="CA11" s="296">
        <v>800</v>
      </c>
      <c r="CB11" s="296"/>
      <c r="CC11" s="297"/>
      <c r="CD11" s="296">
        <f t="shared" si="28"/>
        <v>2950</v>
      </c>
      <c r="CE11" s="297">
        <f t="shared" si="22"/>
        <v>0.4837182883718551</v>
      </c>
      <c r="CF11" s="1061"/>
      <c r="CH11">
        <f t="shared" si="29"/>
        <v>448840</v>
      </c>
    </row>
    <row r="12" spans="1:86">
      <c r="A12" s="30">
        <v>43960</v>
      </c>
      <c r="B12" s="32">
        <v>489994</v>
      </c>
      <c r="C12" s="1">
        <f t="shared" si="12"/>
        <v>6588585</v>
      </c>
      <c r="D12" s="91">
        <v>6155.24</v>
      </c>
      <c r="E12" s="93">
        <f t="shared" si="23"/>
        <v>88881.88</v>
      </c>
      <c r="F12" s="240">
        <f t="shared" si="43"/>
        <v>48000</v>
      </c>
      <c r="G12" s="240"/>
      <c r="H12" s="280"/>
      <c r="I12" s="240">
        <f>18000+18000</f>
        <v>36000</v>
      </c>
      <c r="J12" s="240">
        <f t="shared" si="44"/>
        <v>12000</v>
      </c>
      <c r="K12" s="280">
        <f t="shared" si="45"/>
        <v>24.490095797091392</v>
      </c>
      <c r="L12" s="240">
        <f t="shared" si="24"/>
        <v>112800</v>
      </c>
      <c r="M12" s="280">
        <f t="shared" si="46"/>
        <v>17.120519808122683</v>
      </c>
      <c r="N12" s="280">
        <f t="shared" si="47"/>
        <v>2.0963046171326907</v>
      </c>
      <c r="O12" s="1089"/>
      <c r="P12" s="1084"/>
      <c r="Q12" s="35">
        <f t="shared" si="48"/>
        <v>36680</v>
      </c>
      <c r="R12" s="35"/>
      <c r="S12" s="35">
        <v>36414</v>
      </c>
      <c r="T12" s="35">
        <f t="shared" si="30"/>
        <v>266</v>
      </c>
      <c r="U12" s="36">
        <f t="shared" si="31"/>
        <v>0.54286379016885922</v>
      </c>
      <c r="V12" s="74">
        <f t="shared" si="13"/>
        <v>18864</v>
      </c>
      <c r="W12" s="36">
        <f t="shared" si="14"/>
        <v>2.8631337381243469</v>
      </c>
      <c r="X12" s="1136"/>
      <c r="Y12" s="49">
        <f t="shared" si="32"/>
        <v>897</v>
      </c>
      <c r="Z12" s="52"/>
      <c r="AA12" s="52">
        <f>581+60</f>
        <v>641</v>
      </c>
      <c r="AB12" s="50">
        <f t="shared" si="33"/>
        <v>256</v>
      </c>
      <c r="AC12" s="51">
        <f t="shared" si="34"/>
        <v>0.52245537700461642</v>
      </c>
      <c r="AD12" s="50">
        <f t="shared" si="35"/>
        <v>2452</v>
      </c>
      <c r="AE12" s="51">
        <f t="shared" si="1"/>
        <v>0.37215881710564558</v>
      </c>
      <c r="AF12" s="1047"/>
      <c r="AG12" s="40">
        <f t="shared" si="36"/>
        <v>80</v>
      </c>
      <c r="AH12" s="43">
        <v>300</v>
      </c>
      <c r="AI12" s="43">
        <v>240</v>
      </c>
      <c r="AJ12" s="41">
        <f t="shared" si="15"/>
        <v>140</v>
      </c>
      <c r="AK12" s="42">
        <f t="shared" si="2"/>
        <v>0.28571778429939959</v>
      </c>
      <c r="AL12" s="41">
        <f t="shared" si="25"/>
        <v>1243</v>
      </c>
      <c r="AM12" s="42">
        <f t="shared" si="37"/>
        <v>0.18865962873667108</v>
      </c>
      <c r="AN12" s="1058"/>
      <c r="AO12" s="355">
        <v>4.5999999999999996</v>
      </c>
      <c r="AP12" s="67">
        <v>24</v>
      </c>
      <c r="AQ12" s="68">
        <f t="shared" si="16"/>
        <v>54.874319999999997</v>
      </c>
      <c r="AR12" s="68">
        <f t="shared" si="3"/>
        <v>8.9150577394220214</v>
      </c>
      <c r="AS12" s="69">
        <f t="shared" si="26"/>
        <v>778.97676000000001</v>
      </c>
      <c r="AT12" s="140">
        <f t="shared" si="4"/>
        <v>8.7641796055618979</v>
      </c>
      <c r="AU12" s="1073"/>
      <c r="AV12" s="356">
        <v>2.8</v>
      </c>
      <c r="AW12" s="71">
        <v>12</v>
      </c>
      <c r="AX12" s="72">
        <f t="shared" si="42"/>
        <v>17.362127999999998</v>
      </c>
      <c r="AY12" s="72">
        <f t="shared" si="6"/>
        <v>2.8207069098849105</v>
      </c>
      <c r="AZ12" s="73">
        <f t="shared" si="27"/>
        <v>248.65047600000003</v>
      </c>
      <c r="BA12" s="192">
        <f t="shared" si="7"/>
        <v>2.7975384409060657</v>
      </c>
      <c r="BB12" s="1075"/>
      <c r="BC12" s="56">
        <f t="shared" si="38"/>
        <v>43890</v>
      </c>
      <c r="BD12" s="56"/>
      <c r="BE12" s="56">
        <v>43890</v>
      </c>
      <c r="BF12" s="57"/>
      <c r="BG12" s="58">
        <f t="shared" si="17"/>
        <v>7045</v>
      </c>
      <c r="BH12" s="58">
        <f t="shared" si="18"/>
        <v>79.262499848113023</v>
      </c>
      <c r="BI12" s="1133"/>
      <c r="BJ12" s="63">
        <f t="shared" si="39"/>
        <v>1020</v>
      </c>
      <c r="BK12" s="66"/>
      <c r="BL12" s="66">
        <v>840</v>
      </c>
      <c r="BM12" s="64">
        <f t="shared" si="49"/>
        <v>180</v>
      </c>
      <c r="BN12" s="65">
        <f t="shared" si="50"/>
        <v>0.3673514369563709</v>
      </c>
      <c r="BO12" s="64">
        <f t="shared" si="51"/>
        <v>548</v>
      </c>
      <c r="BP12" s="65">
        <f t="shared" si="52"/>
        <v>8.3174156514638581E-2</v>
      </c>
      <c r="BQ12" s="1071"/>
      <c r="BR12" s="77">
        <f t="shared" si="40"/>
        <v>9327</v>
      </c>
      <c r="BS12" s="35">
        <v>26400</v>
      </c>
      <c r="BT12" s="35">
        <v>35727</v>
      </c>
      <c r="BU12" s="74">
        <f t="shared" si="19"/>
        <v>0</v>
      </c>
      <c r="BV12" s="74">
        <f t="shared" si="53"/>
        <v>45209</v>
      </c>
      <c r="BW12" s="74">
        <f t="shared" si="54"/>
        <v>508.64135637094984</v>
      </c>
      <c r="BX12" s="1098"/>
      <c r="BY12" s="295">
        <f t="shared" si="41"/>
        <v>800</v>
      </c>
      <c r="BZ12" s="298"/>
      <c r="CA12" s="296">
        <v>800</v>
      </c>
      <c r="CB12" s="296"/>
      <c r="CC12" s="297"/>
      <c r="CD12" s="296">
        <f t="shared" si="28"/>
        <v>2950</v>
      </c>
      <c r="CE12" s="297">
        <f t="shared" si="22"/>
        <v>0.44774409072661275</v>
      </c>
      <c r="CF12" s="1061"/>
      <c r="CH12">
        <f t="shared" si="29"/>
        <v>0</v>
      </c>
    </row>
    <row r="13" spans="1:86">
      <c r="A13" s="30">
        <v>43961</v>
      </c>
      <c r="B13" s="32">
        <v>507963</v>
      </c>
      <c r="C13" s="1">
        <f t="shared" si="12"/>
        <v>7096548</v>
      </c>
      <c r="D13" s="91">
        <v>6178.02</v>
      </c>
      <c r="E13" s="93">
        <f t="shared" si="23"/>
        <v>95059.900000000009</v>
      </c>
      <c r="F13" s="240">
        <f t="shared" si="43"/>
        <v>36000</v>
      </c>
      <c r="G13" s="240"/>
      <c r="H13" s="280"/>
      <c r="I13" s="240">
        <f>4000+18000</f>
        <v>22000</v>
      </c>
      <c r="J13" s="240">
        <f t="shared" si="44"/>
        <v>14000</v>
      </c>
      <c r="K13" s="280">
        <f t="shared" si="45"/>
        <v>27.561062518333028</v>
      </c>
      <c r="L13" s="240">
        <f t="shared" si="24"/>
        <v>126800</v>
      </c>
      <c r="M13" s="280">
        <f t="shared" si="46"/>
        <v>17.86784222413489</v>
      </c>
      <c r="N13" s="280">
        <f t="shared" si="47"/>
        <v>2.1878097494961297</v>
      </c>
      <c r="O13" s="1089"/>
      <c r="P13" s="1084"/>
      <c r="Q13" s="35">
        <f t="shared" si="48"/>
        <v>36414</v>
      </c>
      <c r="R13" s="35"/>
      <c r="S13" s="35">
        <v>36147</v>
      </c>
      <c r="T13" s="35">
        <f t="shared" si="30"/>
        <v>267</v>
      </c>
      <c r="U13" s="36">
        <f t="shared" si="31"/>
        <v>0.52562883517106562</v>
      </c>
      <c r="V13" s="74">
        <f t="shared" ref="V13:V36" si="55">V12+T13</f>
        <v>19131</v>
      </c>
      <c r="W13" s="36">
        <f t="shared" ref="W13:W36" si="56">1000*V13/C13</f>
        <v>2.6958177412454618</v>
      </c>
      <c r="X13" s="1136"/>
      <c r="Y13" s="49">
        <f t="shared" si="32"/>
        <v>641</v>
      </c>
      <c r="Z13" s="50"/>
      <c r="AA13" s="50">
        <f>173+125</f>
        <v>298</v>
      </c>
      <c r="AB13" s="50">
        <f t="shared" si="33"/>
        <v>343</v>
      </c>
      <c r="AC13" s="51">
        <f t="shared" si="34"/>
        <v>0.6752460316991592</v>
      </c>
      <c r="AD13" s="50">
        <f t="shared" si="35"/>
        <v>2795</v>
      </c>
      <c r="AE13" s="51">
        <f t="shared" si="1"/>
        <v>0.39385346227489759</v>
      </c>
      <c r="AF13" s="1047"/>
      <c r="AG13" s="40">
        <f t="shared" si="36"/>
        <v>240</v>
      </c>
      <c r="AH13" s="41"/>
      <c r="AI13" s="41">
        <v>210</v>
      </c>
      <c r="AJ13" s="41">
        <f t="shared" si="15"/>
        <v>30</v>
      </c>
      <c r="AK13" s="42">
        <f t="shared" si="2"/>
        <v>5.9059419682142206E-2</v>
      </c>
      <c r="AL13" s="41">
        <f t="shared" si="25"/>
        <v>1273</v>
      </c>
      <c r="AM13" s="42">
        <f t="shared" si="37"/>
        <v>0.17938299015239523</v>
      </c>
      <c r="AN13" s="1058"/>
      <c r="AO13" s="67">
        <v>4.3</v>
      </c>
      <c r="AP13" s="67">
        <v>24</v>
      </c>
      <c r="AQ13" s="68">
        <f t="shared" si="16"/>
        <v>51.295559999999995</v>
      </c>
      <c r="AR13" s="68">
        <f t="shared" si="3"/>
        <v>8.3029125836433018</v>
      </c>
      <c r="AS13" s="69">
        <f t="shared" si="26"/>
        <v>830.27232000000004</v>
      </c>
      <c r="AT13" s="140">
        <f t="shared" si="4"/>
        <v>8.7342014876935483</v>
      </c>
      <c r="AU13" s="1073"/>
      <c r="AV13" s="71">
        <v>2.8</v>
      </c>
      <c r="AW13" s="71">
        <v>12</v>
      </c>
      <c r="AX13" s="72">
        <f t="shared" si="42"/>
        <v>17.362127999999998</v>
      </c>
      <c r="AY13" s="72">
        <f t="shared" si="6"/>
        <v>2.810306214612448</v>
      </c>
      <c r="AZ13" s="73">
        <f t="shared" si="27"/>
        <v>266.01260400000001</v>
      </c>
      <c r="BA13" s="192">
        <f t="shared" si="7"/>
        <v>2.7983682288746357</v>
      </c>
      <c r="BB13" s="1075"/>
      <c r="BC13" s="56">
        <f t="shared" si="38"/>
        <v>43890</v>
      </c>
      <c r="BD13" s="56"/>
      <c r="BE13" s="56">
        <v>43890</v>
      </c>
      <c r="BF13" s="57"/>
      <c r="BG13" s="58">
        <f t="shared" si="17"/>
        <v>7045</v>
      </c>
      <c r="BH13" s="58">
        <f t="shared" si="18"/>
        <v>74.111165696576577</v>
      </c>
      <c r="BI13" s="1133"/>
      <c r="BJ13" s="63">
        <f t="shared" si="39"/>
        <v>840</v>
      </c>
      <c r="BK13" s="64"/>
      <c r="BL13" s="64">
        <v>720</v>
      </c>
      <c r="BM13" s="64">
        <f t="shared" si="49"/>
        <v>120</v>
      </c>
      <c r="BN13" s="65">
        <f t="shared" si="50"/>
        <v>0.23623767872856882</v>
      </c>
      <c r="BO13" s="64">
        <f t="shared" si="51"/>
        <v>668</v>
      </c>
      <c r="BP13" s="65">
        <f t="shared" si="52"/>
        <v>9.4130272915789473E-2</v>
      </c>
      <c r="BQ13" s="1071"/>
      <c r="BR13" s="77">
        <f t="shared" si="40"/>
        <v>35727</v>
      </c>
      <c r="BS13" s="35"/>
      <c r="BT13" s="35">
        <v>32099</v>
      </c>
      <c r="BU13" s="74">
        <f t="shared" si="19"/>
        <v>3628</v>
      </c>
      <c r="BV13" s="74">
        <f t="shared" si="53"/>
        <v>48837</v>
      </c>
      <c r="BW13" s="74">
        <f t="shared" si="54"/>
        <v>513.74975147249256</v>
      </c>
      <c r="BX13" s="1098"/>
      <c r="BY13" s="295">
        <f t="shared" si="41"/>
        <v>800</v>
      </c>
      <c r="BZ13" s="296"/>
      <c r="CA13" s="296">
        <v>800</v>
      </c>
      <c r="CB13" s="296"/>
      <c r="CC13" s="297"/>
      <c r="CD13" s="296">
        <f t="shared" si="28"/>
        <v>2950</v>
      </c>
      <c r="CE13" s="297">
        <f t="shared" si="22"/>
        <v>0.41569506751733376</v>
      </c>
      <c r="CF13" s="1061"/>
      <c r="CH13">
        <f t="shared" si="29"/>
        <v>0</v>
      </c>
    </row>
    <row r="14" spans="1:86">
      <c r="A14" s="30">
        <v>43962</v>
      </c>
      <c r="B14" s="32">
        <v>533801</v>
      </c>
      <c r="C14" s="1">
        <f t="shared" si="12"/>
        <v>7630349</v>
      </c>
      <c r="D14" s="91">
        <v>6483.84</v>
      </c>
      <c r="E14" s="93">
        <f t="shared" si="23"/>
        <v>101543.74</v>
      </c>
      <c r="F14" s="240">
        <f t="shared" si="43"/>
        <v>22000</v>
      </c>
      <c r="G14" s="240">
        <v>31340</v>
      </c>
      <c r="H14" s="280">
        <v>7.78</v>
      </c>
      <c r="I14" s="240">
        <f>20000+17000</f>
        <v>37000</v>
      </c>
      <c r="J14" s="240">
        <f t="shared" si="44"/>
        <v>16340</v>
      </c>
      <c r="K14" s="280">
        <f t="shared" si="45"/>
        <v>30.610658279021582</v>
      </c>
      <c r="L14" s="240">
        <f t="shared" si="24"/>
        <v>143140</v>
      </c>
      <c r="M14" s="280">
        <f t="shared" si="46"/>
        <v>18.759299214229912</v>
      </c>
      <c r="N14" s="280">
        <f t="shared" si="47"/>
        <v>2.2969632930366002</v>
      </c>
      <c r="O14" s="1089"/>
      <c r="P14" s="1084"/>
      <c r="Q14" s="35">
        <f t="shared" si="48"/>
        <v>36147</v>
      </c>
      <c r="R14" s="35"/>
      <c r="S14" s="35">
        <v>34539</v>
      </c>
      <c r="T14" s="35">
        <f t="shared" si="30"/>
        <v>1608</v>
      </c>
      <c r="U14" s="36">
        <f t="shared" si="31"/>
        <v>3.0123585381068976</v>
      </c>
      <c r="V14" s="74">
        <f t="shared" si="55"/>
        <v>20739</v>
      </c>
      <c r="W14" s="36">
        <f t="shared" si="56"/>
        <v>2.7179621797115701</v>
      </c>
      <c r="X14" s="1136"/>
      <c r="Y14" s="49">
        <f t="shared" si="32"/>
        <v>298</v>
      </c>
      <c r="Z14" s="50">
        <v>900</v>
      </c>
      <c r="AA14" s="50">
        <f>581+90</f>
        <v>671</v>
      </c>
      <c r="AB14" s="50">
        <f t="shared" ref="AB14:AB25" si="57">Y14+Z14-AA14</f>
        <v>527</v>
      </c>
      <c r="AC14" s="51">
        <f t="shared" ref="AC14:AC25" si="58">AB14*1000/B14</f>
        <v>0.98725929700393966</v>
      </c>
      <c r="AD14" s="50">
        <f t="shared" ref="AD14:AD36" si="59">AD13+AB14</f>
        <v>3322</v>
      </c>
      <c r="AE14" s="51">
        <f t="shared" si="1"/>
        <v>0.43536671782640612</v>
      </c>
      <c r="AF14" s="1047"/>
      <c r="AG14" s="40">
        <f t="shared" si="36"/>
        <v>210</v>
      </c>
      <c r="AH14" s="41">
        <v>400</v>
      </c>
      <c r="AI14" s="41">
        <v>606</v>
      </c>
      <c r="AJ14" s="41">
        <f t="shared" ref="AJ14:AJ36" si="60">AG14+AH14-AI14</f>
        <v>4</v>
      </c>
      <c r="AK14" s="42">
        <f t="shared" ref="AK14:AK26" si="61">AJ14*1000/B14</f>
        <v>7.4934291992708891E-3</v>
      </c>
      <c r="AL14" s="41">
        <f t="shared" ref="AL14:AL36" si="62">AL13+AJ14</f>
        <v>1277</v>
      </c>
      <c r="AM14" s="42">
        <f t="shared" ref="AM14:AM36" si="63">AL14*1000/C14</f>
        <v>0.16735800682249266</v>
      </c>
      <c r="AN14" s="1058"/>
      <c r="AO14" s="67">
        <v>3.9</v>
      </c>
      <c r="AP14" s="67">
        <v>24</v>
      </c>
      <c r="AQ14" s="68">
        <f>AO14*AP14*0.49705</f>
        <v>46.523879999999998</v>
      </c>
      <c r="AR14" s="68">
        <f t="shared" ref="AR14:AR25" si="64">AQ14*1000/D14</f>
        <v>7.1753590464909678</v>
      </c>
      <c r="AS14" s="69">
        <f t="shared" ref="AS14:AS44" si="65">AS13+AQ14</f>
        <v>876.7962</v>
      </c>
      <c r="AT14" s="140">
        <f t="shared" ref="AT14:AT44" si="66">AS14*1000/E14</f>
        <v>8.6346652191459548</v>
      </c>
      <c r="AU14" s="1073"/>
      <c r="AV14" s="71">
        <v>2.9</v>
      </c>
      <c r="AW14" s="71">
        <v>12</v>
      </c>
      <c r="AX14" s="72">
        <f t="shared" si="42"/>
        <v>17.982203999999999</v>
      </c>
      <c r="AY14" s="72">
        <f t="shared" si="6"/>
        <v>2.7733879923008584</v>
      </c>
      <c r="AZ14" s="73">
        <f t="shared" ref="AZ14:AZ36" si="67">AZ13+AX14</f>
        <v>283.99480800000003</v>
      </c>
      <c r="BA14" s="192">
        <f t="shared" ref="BA14:BA36" si="68">AZ14*1000/E14</f>
        <v>2.796773173806677</v>
      </c>
      <c r="BB14" s="1075"/>
      <c r="BC14" s="56">
        <f t="shared" si="38"/>
        <v>43890</v>
      </c>
      <c r="BD14" s="56"/>
      <c r="BE14" s="56">
        <v>43890</v>
      </c>
      <c r="BF14" s="57"/>
      <c r="BG14" s="58">
        <f t="shared" ref="BG14:BG36" si="69">BG13+BF14</f>
        <v>7045</v>
      </c>
      <c r="BH14" s="58">
        <f t="shared" ref="BH14:BH36" si="70">BG14*1000/E14</f>
        <v>69.378969102378932</v>
      </c>
      <c r="BI14" s="1133"/>
      <c r="BJ14" s="63">
        <f t="shared" si="39"/>
        <v>720</v>
      </c>
      <c r="BK14" s="64"/>
      <c r="BL14" s="64">
        <v>540</v>
      </c>
      <c r="BM14" s="64">
        <f t="shared" si="49"/>
        <v>180</v>
      </c>
      <c r="BN14" s="65">
        <f t="shared" si="50"/>
        <v>0.33720431396719003</v>
      </c>
      <c r="BO14" s="64">
        <f t="shared" si="51"/>
        <v>848</v>
      </c>
      <c r="BP14" s="65">
        <f t="shared" si="52"/>
        <v>0.11113515253365214</v>
      </c>
      <c r="BQ14" s="1071"/>
      <c r="BR14" s="77">
        <f t="shared" si="40"/>
        <v>32099</v>
      </c>
      <c r="BS14" s="35"/>
      <c r="BT14" s="35">
        <v>27478</v>
      </c>
      <c r="BU14" s="74">
        <f t="shared" ref="BU14:BU30" si="71">BR14+BS14-BT14</f>
        <v>4621</v>
      </c>
      <c r="BV14" s="74">
        <f t="shared" si="53"/>
        <v>53458</v>
      </c>
      <c r="BW14" s="74">
        <f t="shared" si="54"/>
        <v>526.45293545421896</v>
      </c>
      <c r="BX14" s="1098"/>
      <c r="BY14" s="295">
        <f>CA13</f>
        <v>800</v>
      </c>
      <c r="BZ14" s="296"/>
      <c r="CA14" s="296">
        <v>800</v>
      </c>
      <c r="CB14" s="296"/>
      <c r="CC14" s="297"/>
      <c r="CD14" s="296">
        <f t="shared" ref="CD14:CD36" si="72">CD13+CB14</f>
        <v>2950</v>
      </c>
      <c r="CE14" s="297">
        <f t="shared" ref="CE14:CE36" si="73">CD14*1000/C14</f>
        <v>0.38661403298853042</v>
      </c>
      <c r="CF14" s="1061"/>
      <c r="CH14">
        <f t="shared" si="29"/>
        <v>0</v>
      </c>
    </row>
    <row r="15" spans="1:86">
      <c r="A15" s="30">
        <v>43963</v>
      </c>
      <c r="B15" s="32">
        <v>514479</v>
      </c>
      <c r="C15" s="1">
        <f t="shared" si="12"/>
        <v>8144828</v>
      </c>
      <c r="D15" s="91">
        <v>6427.82</v>
      </c>
      <c r="E15" s="93">
        <f t="shared" si="23"/>
        <v>107971.56</v>
      </c>
      <c r="F15" s="240">
        <f t="shared" si="43"/>
        <v>37000</v>
      </c>
      <c r="G15" s="240">
        <v>32200</v>
      </c>
      <c r="H15" s="280">
        <v>19.05</v>
      </c>
      <c r="I15" s="240">
        <f>26000+17000</f>
        <v>43000</v>
      </c>
      <c r="J15" s="240">
        <f t="shared" si="44"/>
        <v>26200</v>
      </c>
      <c r="K15" s="280">
        <f t="shared" si="45"/>
        <v>50.925305017308773</v>
      </c>
      <c r="L15" s="240">
        <f t="shared" si="24"/>
        <v>169340</v>
      </c>
      <c r="M15" s="280">
        <f t="shared" si="46"/>
        <v>20.791108173186714</v>
      </c>
      <c r="N15" s="280">
        <f t="shared" si="47"/>
        <v>2.5457460723872556</v>
      </c>
      <c r="O15" s="1089"/>
      <c r="P15" s="1084"/>
      <c r="Q15" s="35">
        <f t="shared" si="48"/>
        <v>34539</v>
      </c>
      <c r="R15" s="35"/>
      <c r="S15" s="35">
        <v>33464</v>
      </c>
      <c r="T15" s="35">
        <f t="shared" si="30"/>
        <v>1075</v>
      </c>
      <c r="U15" s="36">
        <f t="shared" si="31"/>
        <v>2.0894924768552263</v>
      </c>
      <c r="V15" s="74">
        <f t="shared" si="55"/>
        <v>21814</v>
      </c>
      <c r="W15" s="36">
        <f t="shared" si="56"/>
        <v>2.6782640468282448</v>
      </c>
      <c r="X15" s="1136"/>
      <c r="Y15" s="49">
        <f t="shared" si="32"/>
        <v>671</v>
      </c>
      <c r="Z15" s="50"/>
      <c r="AA15" s="50">
        <f>493+75</f>
        <v>568</v>
      </c>
      <c r="AB15" s="50">
        <f t="shared" si="57"/>
        <v>103</v>
      </c>
      <c r="AC15" s="51">
        <f t="shared" si="58"/>
        <v>0.20020253499171006</v>
      </c>
      <c r="AD15" s="50">
        <f t="shared" si="59"/>
        <v>3425</v>
      </c>
      <c r="AE15" s="51">
        <f t="shared" si="1"/>
        <v>0.42051225636686251</v>
      </c>
      <c r="AF15" s="1047"/>
      <c r="AG15" s="40">
        <f t="shared" si="36"/>
        <v>606</v>
      </c>
      <c r="AH15" s="41"/>
      <c r="AI15" s="41">
        <v>509</v>
      </c>
      <c r="AJ15" s="41">
        <f t="shared" si="60"/>
        <v>97</v>
      </c>
      <c r="AK15" s="42">
        <f t="shared" si="61"/>
        <v>0.18854025139995995</v>
      </c>
      <c r="AL15" s="41">
        <f t="shared" si="62"/>
        <v>1374</v>
      </c>
      <c r="AM15" s="42">
        <f t="shared" si="63"/>
        <v>0.16869601175126103</v>
      </c>
      <c r="AN15" s="1058"/>
      <c r="AO15" s="67">
        <v>3.3</v>
      </c>
      <c r="AP15" s="67">
        <v>24</v>
      </c>
      <c r="AQ15" s="68">
        <f>AO15*AP15*0.49705</f>
        <v>39.366359999999993</v>
      </c>
      <c r="AR15" s="68">
        <f t="shared" si="64"/>
        <v>6.1243718710231452</v>
      </c>
      <c r="AS15" s="69">
        <f t="shared" si="65"/>
        <v>916.16255999999998</v>
      </c>
      <c r="AT15" s="140">
        <f t="shared" si="66"/>
        <v>8.485221108225165</v>
      </c>
      <c r="AU15" s="1073"/>
      <c r="AV15" s="71">
        <v>2.8</v>
      </c>
      <c r="AW15" s="71">
        <v>12</v>
      </c>
      <c r="AX15" s="72">
        <f t="shared" si="42"/>
        <v>17.362127999999998</v>
      </c>
      <c r="AY15" s="72">
        <f t="shared" ref="AY15:AY25" si="74">AX15*1000/D15</f>
        <v>2.7010911942151457</v>
      </c>
      <c r="AZ15" s="73">
        <f t="shared" si="67"/>
        <v>301.35693600000002</v>
      </c>
      <c r="BA15" s="192">
        <f t="shared" si="68"/>
        <v>2.7910769836056835</v>
      </c>
      <c r="BB15" s="1075"/>
      <c r="BC15" s="56">
        <f t="shared" si="38"/>
        <v>43890</v>
      </c>
      <c r="BD15" s="56"/>
      <c r="BE15" s="56">
        <v>43890</v>
      </c>
      <c r="BF15" s="57"/>
      <c r="BG15" s="58">
        <f t="shared" si="69"/>
        <v>7045</v>
      </c>
      <c r="BH15" s="58">
        <f t="shared" si="70"/>
        <v>65.248663629570601</v>
      </c>
      <c r="BI15" s="1133"/>
      <c r="BJ15" s="63">
        <f t="shared" si="39"/>
        <v>540</v>
      </c>
      <c r="BK15" s="64"/>
      <c r="BL15" s="64">
        <v>384</v>
      </c>
      <c r="BM15" s="64">
        <f t="shared" si="49"/>
        <v>156</v>
      </c>
      <c r="BN15" s="65">
        <f t="shared" si="50"/>
        <v>0.30321937338550259</v>
      </c>
      <c r="BO15" s="64">
        <f t="shared" si="51"/>
        <v>1004</v>
      </c>
      <c r="BP15" s="65">
        <f t="shared" si="52"/>
        <v>0.12326841033352699</v>
      </c>
      <c r="BQ15" s="1071"/>
      <c r="BR15" s="77">
        <f t="shared" si="40"/>
        <v>27478</v>
      </c>
      <c r="BS15" s="35"/>
      <c r="BT15" s="35">
        <v>24705</v>
      </c>
      <c r="BU15" s="74">
        <f t="shared" si="71"/>
        <v>2773</v>
      </c>
      <c r="BV15" s="74">
        <f t="shared" si="53"/>
        <v>56231</v>
      </c>
      <c r="BW15" s="74">
        <f t="shared" si="54"/>
        <v>520.79454997223343</v>
      </c>
      <c r="BX15" s="1098"/>
      <c r="BY15" s="295">
        <v>800</v>
      </c>
      <c r="BZ15" s="296"/>
      <c r="CA15" s="296">
        <v>800</v>
      </c>
      <c r="CB15" s="296"/>
      <c r="CC15" s="297"/>
      <c r="CD15" s="296">
        <f t="shared" si="72"/>
        <v>2950</v>
      </c>
      <c r="CE15" s="297">
        <f t="shared" si="73"/>
        <v>0.36219303833058231</v>
      </c>
      <c r="CF15" s="1061"/>
      <c r="CH15">
        <f t="shared" si="29"/>
        <v>0</v>
      </c>
    </row>
    <row r="16" spans="1:86">
      <c r="A16" s="30">
        <v>43964</v>
      </c>
      <c r="B16" s="32">
        <v>543329</v>
      </c>
      <c r="C16" s="1">
        <f t="shared" si="12"/>
        <v>8688157</v>
      </c>
      <c r="D16" s="91">
        <v>6245.64</v>
      </c>
      <c r="E16" s="93">
        <f t="shared" si="23"/>
        <v>114217.2</v>
      </c>
      <c r="F16" s="240">
        <f t="shared" si="43"/>
        <v>43000</v>
      </c>
      <c r="G16" s="240">
        <v>29500</v>
      </c>
      <c r="H16" s="280">
        <v>21.62</v>
      </c>
      <c r="I16" s="240">
        <f>34000+17000+2800</f>
        <v>53800</v>
      </c>
      <c r="J16" s="240">
        <f t="shared" si="44"/>
        <v>18700</v>
      </c>
      <c r="K16" s="280">
        <f t="shared" si="45"/>
        <v>34.417452409129645</v>
      </c>
      <c r="L16" s="240">
        <f t="shared" si="24"/>
        <v>188040</v>
      </c>
      <c r="M16" s="280">
        <f t="shared" si="46"/>
        <v>21.64325529568584</v>
      </c>
      <c r="N16" s="280">
        <f t="shared" si="47"/>
        <v>2.6500863592121759</v>
      </c>
      <c r="O16" s="1089"/>
      <c r="P16" s="1084"/>
      <c r="Q16" s="35">
        <f t="shared" si="48"/>
        <v>33464</v>
      </c>
      <c r="R16" s="35"/>
      <c r="S16" s="35">
        <v>33464</v>
      </c>
      <c r="T16" s="35"/>
      <c r="U16" s="36"/>
      <c r="V16" s="74">
        <f t="shared" si="55"/>
        <v>21814</v>
      </c>
      <c r="W16" s="36">
        <f t="shared" si="56"/>
        <v>2.5107741492240527</v>
      </c>
      <c r="X16" s="1136"/>
      <c r="Y16" s="49">
        <f t="shared" si="32"/>
        <v>568</v>
      </c>
      <c r="Z16" s="50"/>
      <c r="AA16" s="50">
        <f>162+55</f>
        <v>217</v>
      </c>
      <c r="AB16" s="50">
        <f t="shared" si="57"/>
        <v>351</v>
      </c>
      <c r="AC16" s="51">
        <f t="shared" si="58"/>
        <v>0.64601742222483982</v>
      </c>
      <c r="AD16" s="50">
        <f t="shared" si="59"/>
        <v>3776</v>
      </c>
      <c r="AE16" s="51">
        <f t="shared" si="1"/>
        <v>0.4346146138933723</v>
      </c>
      <c r="AF16" s="1047"/>
      <c r="AG16" s="40">
        <f t="shared" si="36"/>
        <v>509</v>
      </c>
      <c r="AH16" s="41"/>
      <c r="AI16" s="41">
        <v>452</v>
      </c>
      <c r="AJ16" s="41">
        <f t="shared" si="60"/>
        <v>57</v>
      </c>
      <c r="AK16" s="42">
        <f t="shared" si="61"/>
        <v>0.10490881215617057</v>
      </c>
      <c r="AL16" s="41">
        <f t="shared" si="62"/>
        <v>1431</v>
      </c>
      <c r="AM16" s="42">
        <f t="shared" si="63"/>
        <v>0.16470696834783258</v>
      </c>
      <c r="AN16" s="1058"/>
      <c r="AO16" s="67">
        <v>3.7</v>
      </c>
      <c r="AP16" s="67">
        <v>24</v>
      </c>
      <c r="AQ16" s="68">
        <f>AO16*AP16*0.49705</f>
        <v>44.138040000000004</v>
      </c>
      <c r="AR16" s="68">
        <f t="shared" si="64"/>
        <v>7.0670163506061829</v>
      </c>
      <c r="AS16" s="69">
        <f t="shared" si="65"/>
        <v>960.30060000000003</v>
      </c>
      <c r="AT16" s="140">
        <f t="shared" si="66"/>
        <v>8.4076706485538075</v>
      </c>
      <c r="AU16" s="1073"/>
      <c r="AV16" s="216">
        <v>2</v>
      </c>
      <c r="AW16" s="71">
        <v>12</v>
      </c>
      <c r="AX16" s="72">
        <f t="shared" si="42"/>
        <v>12.401520000000001</v>
      </c>
      <c r="AY16" s="72">
        <f t="shared" si="74"/>
        <v>1.9856283743539496</v>
      </c>
      <c r="AZ16" s="73">
        <f t="shared" si="67"/>
        <v>313.75845600000002</v>
      </c>
      <c r="BA16" s="192">
        <f t="shared" si="68"/>
        <v>2.7470333364852229</v>
      </c>
      <c r="BB16" s="1075"/>
      <c r="BC16" s="56">
        <f t="shared" si="38"/>
        <v>43890</v>
      </c>
      <c r="BD16" s="56"/>
      <c r="BE16" s="56">
        <v>43890</v>
      </c>
      <c r="BF16" s="57"/>
      <c r="BG16" s="58">
        <f t="shared" si="69"/>
        <v>7045</v>
      </c>
      <c r="BH16" s="58">
        <f t="shared" si="70"/>
        <v>61.680727596193918</v>
      </c>
      <c r="BI16" s="1133"/>
      <c r="BJ16" s="63">
        <f t="shared" si="39"/>
        <v>384</v>
      </c>
      <c r="BK16" s="64"/>
      <c r="BL16" s="64">
        <v>180</v>
      </c>
      <c r="BM16" s="64">
        <f t="shared" si="49"/>
        <v>204</v>
      </c>
      <c r="BN16" s="65">
        <f t="shared" si="50"/>
        <v>0.37546311719050518</v>
      </c>
      <c r="BO16" s="64">
        <f t="shared" si="51"/>
        <v>1208</v>
      </c>
      <c r="BP16" s="65">
        <f t="shared" si="52"/>
        <v>0.13903984469893901</v>
      </c>
      <c r="BQ16" s="1071"/>
      <c r="BR16" s="77">
        <f t="shared" si="40"/>
        <v>24705</v>
      </c>
      <c r="BS16" s="317"/>
      <c r="BT16" s="35">
        <v>22857</v>
      </c>
      <c r="BU16" s="74">
        <f t="shared" si="71"/>
        <v>1848</v>
      </c>
      <c r="BV16" s="74">
        <f t="shared" si="53"/>
        <v>58079</v>
      </c>
      <c r="BW16" s="74">
        <f t="shared" si="54"/>
        <v>508.4960934079981</v>
      </c>
      <c r="BX16" s="1098"/>
      <c r="BY16" s="295">
        <v>800</v>
      </c>
      <c r="BZ16" s="296"/>
      <c r="CA16" s="296">
        <v>800</v>
      </c>
      <c r="CB16" s="296"/>
      <c r="CC16" s="297"/>
      <c r="CD16" s="296">
        <f t="shared" si="72"/>
        <v>2950</v>
      </c>
      <c r="CE16" s="297">
        <f t="shared" si="73"/>
        <v>0.33954266710419712</v>
      </c>
      <c r="CF16" s="1061"/>
      <c r="CH16">
        <f t="shared" si="29"/>
        <v>243825.2</v>
      </c>
    </row>
    <row r="17" spans="1:86">
      <c r="A17" s="30">
        <v>43965</v>
      </c>
      <c r="B17" s="32">
        <v>474538</v>
      </c>
      <c r="C17" s="1">
        <f t="shared" si="12"/>
        <v>9162695</v>
      </c>
      <c r="D17" s="91">
        <v>5180.24</v>
      </c>
      <c r="E17" s="93">
        <f t="shared" si="23"/>
        <v>119397.44</v>
      </c>
      <c r="F17" s="240">
        <f t="shared" si="43"/>
        <v>53800</v>
      </c>
      <c r="G17" s="240"/>
      <c r="H17" s="280"/>
      <c r="I17" s="240">
        <f>24000+17000+2450</f>
        <v>43450</v>
      </c>
      <c r="J17" s="240">
        <f t="shared" ref="J17:J25" si="75">F17+G17-I17</f>
        <v>10350</v>
      </c>
      <c r="K17" s="280">
        <f t="shared" ref="K17:K25" si="76">J17*1000/B17</f>
        <v>21.810687447580595</v>
      </c>
      <c r="L17" s="240">
        <f t="shared" si="24"/>
        <v>198390</v>
      </c>
      <c r="M17" s="280">
        <f t="shared" si="46"/>
        <v>21.651926643853145</v>
      </c>
      <c r="N17" s="280">
        <f t="shared" si="47"/>
        <v>2.6511481136100339</v>
      </c>
      <c r="O17" s="1089"/>
      <c r="P17" s="1084"/>
      <c r="Q17" s="35">
        <f t="shared" si="48"/>
        <v>33464</v>
      </c>
      <c r="R17" s="35"/>
      <c r="S17" s="35">
        <v>33195</v>
      </c>
      <c r="T17" s="35">
        <f>Q17+R17-S17</f>
        <v>269</v>
      </c>
      <c r="U17" s="36">
        <f>1000*T17/B17</f>
        <v>0.56686714235740865</v>
      </c>
      <c r="V17" s="74">
        <f t="shared" si="55"/>
        <v>22083</v>
      </c>
      <c r="W17" s="36">
        <f t="shared" si="56"/>
        <v>2.4100987755240135</v>
      </c>
      <c r="X17" s="1136"/>
      <c r="Y17" s="49">
        <f t="shared" si="32"/>
        <v>217</v>
      </c>
      <c r="Z17" s="50">
        <v>400</v>
      </c>
      <c r="AA17" s="50">
        <f>201+75</f>
        <v>276</v>
      </c>
      <c r="AB17" s="50">
        <f t="shared" si="57"/>
        <v>341</v>
      </c>
      <c r="AC17" s="51">
        <f t="shared" si="58"/>
        <v>0.71859366373188238</v>
      </c>
      <c r="AD17" s="50">
        <f t="shared" si="59"/>
        <v>4117</v>
      </c>
      <c r="AE17" s="51">
        <f t="shared" si="1"/>
        <v>0.44932195167469835</v>
      </c>
      <c r="AF17" s="1047"/>
      <c r="AG17" s="40">
        <f t="shared" si="36"/>
        <v>452</v>
      </c>
      <c r="AH17" s="41"/>
      <c r="AI17" s="41">
        <v>325</v>
      </c>
      <c r="AJ17" s="41">
        <f t="shared" si="60"/>
        <v>127</v>
      </c>
      <c r="AK17" s="42">
        <f t="shared" si="61"/>
        <v>0.26762872520219666</v>
      </c>
      <c r="AL17" s="41">
        <f t="shared" si="62"/>
        <v>1558</v>
      </c>
      <c r="AM17" s="42">
        <f t="shared" si="63"/>
        <v>0.1700373088921982</v>
      </c>
      <c r="AN17" s="1058"/>
      <c r="AO17" s="67">
        <v>4.0999999999999996</v>
      </c>
      <c r="AP17" s="67">
        <v>24</v>
      </c>
      <c r="AQ17" s="68">
        <f>AO17*AP17*0.49705</f>
        <v>48.909719999999993</v>
      </c>
      <c r="AR17" s="68">
        <f t="shared" si="64"/>
        <v>9.4415934396861907</v>
      </c>
      <c r="AS17" s="69">
        <f t="shared" si="65"/>
        <v>1009.21032</v>
      </c>
      <c r="AT17" s="140">
        <f t="shared" si="66"/>
        <v>8.4525289654451559</v>
      </c>
      <c r="AU17" s="1073"/>
      <c r="AV17" s="71">
        <v>2.4</v>
      </c>
      <c r="AW17" s="71">
        <v>12</v>
      </c>
      <c r="AX17" s="72">
        <f t="shared" si="42"/>
        <v>14.881824</v>
      </c>
      <c r="AY17" s="72">
        <f t="shared" si="74"/>
        <v>2.8728058931632514</v>
      </c>
      <c r="AZ17" s="73">
        <f t="shared" si="67"/>
        <v>328.64028000000002</v>
      </c>
      <c r="BA17" s="192">
        <f t="shared" si="68"/>
        <v>2.752490170643525</v>
      </c>
      <c r="BB17" s="1075"/>
      <c r="BC17" s="56">
        <f t="shared" si="38"/>
        <v>43890</v>
      </c>
      <c r="BD17" s="56"/>
      <c r="BE17" s="56">
        <v>43890</v>
      </c>
      <c r="BF17" s="57"/>
      <c r="BG17" s="58">
        <f t="shared" si="69"/>
        <v>7045</v>
      </c>
      <c r="BH17" s="58">
        <f t="shared" si="70"/>
        <v>59.004615174328691</v>
      </c>
      <c r="BI17" s="1133"/>
      <c r="BJ17" s="63">
        <f t="shared" si="39"/>
        <v>180</v>
      </c>
      <c r="BK17" s="64">
        <v>1100</v>
      </c>
      <c r="BL17" s="64">
        <v>1100</v>
      </c>
      <c r="BM17" s="64">
        <f t="shared" si="49"/>
        <v>180</v>
      </c>
      <c r="BN17" s="65">
        <f t="shared" si="50"/>
        <v>0.37931630343618422</v>
      </c>
      <c r="BO17" s="64">
        <f t="shared" si="51"/>
        <v>1388</v>
      </c>
      <c r="BP17" s="65">
        <f t="shared" si="52"/>
        <v>0.15148381562411495</v>
      </c>
      <c r="BQ17" s="1071"/>
      <c r="BR17" s="77">
        <f t="shared" si="40"/>
        <v>22857</v>
      </c>
      <c r="BS17" s="35"/>
      <c r="BT17" s="35">
        <v>19160</v>
      </c>
      <c r="BU17" s="74">
        <f t="shared" si="71"/>
        <v>3697</v>
      </c>
      <c r="BV17" s="74">
        <f t="shared" si="53"/>
        <v>61776</v>
      </c>
      <c r="BW17" s="74">
        <f t="shared" si="54"/>
        <v>517.3980279644187</v>
      </c>
      <c r="BX17" s="1098"/>
      <c r="BY17" s="295">
        <v>800</v>
      </c>
      <c r="BZ17" s="296"/>
      <c r="CA17" s="296">
        <v>800</v>
      </c>
      <c r="CB17" s="296"/>
      <c r="CC17" s="297"/>
      <c r="CD17" s="296">
        <f t="shared" si="72"/>
        <v>2950</v>
      </c>
      <c r="CE17" s="297">
        <f t="shared" si="73"/>
        <v>0.32195767729909158</v>
      </c>
      <c r="CF17" s="1061"/>
      <c r="CH17">
        <f t="shared" si="29"/>
        <v>613410</v>
      </c>
    </row>
    <row r="18" spans="1:86">
      <c r="A18" s="30">
        <v>43966</v>
      </c>
      <c r="B18" s="32">
        <v>411792</v>
      </c>
      <c r="C18" s="1">
        <f t="shared" si="12"/>
        <v>9574487</v>
      </c>
      <c r="D18" s="91">
        <v>4558.68</v>
      </c>
      <c r="E18" s="93">
        <f t="shared" si="23"/>
        <v>123956.12</v>
      </c>
      <c r="F18" s="240">
        <f t="shared" si="43"/>
        <v>43450</v>
      </c>
      <c r="G18" s="240"/>
      <c r="H18" s="280"/>
      <c r="I18" s="240">
        <f>10000+17000</f>
        <v>27000</v>
      </c>
      <c r="J18" s="240">
        <f t="shared" si="75"/>
        <v>16450</v>
      </c>
      <c r="K18" s="280">
        <f t="shared" si="76"/>
        <v>39.947352061234795</v>
      </c>
      <c r="L18" s="240">
        <f t="shared" si="24"/>
        <v>214840</v>
      </c>
      <c r="M18" s="280">
        <f t="shared" si="46"/>
        <v>22.438800115348215</v>
      </c>
      <c r="N18" s="280">
        <f t="shared" si="47"/>
        <v>2.7474960346942838</v>
      </c>
      <c r="O18" s="1089"/>
      <c r="P18" s="1084"/>
      <c r="Q18" s="35">
        <f t="shared" si="48"/>
        <v>33195</v>
      </c>
      <c r="R18" s="35"/>
      <c r="S18" s="35">
        <v>33195</v>
      </c>
      <c r="T18" s="35"/>
      <c r="U18" s="36"/>
      <c r="V18" s="74">
        <f t="shared" si="55"/>
        <v>22083</v>
      </c>
      <c r="W18" s="36">
        <f t="shared" si="56"/>
        <v>2.3064421101621422</v>
      </c>
      <c r="X18" s="1136"/>
      <c r="Y18" s="49">
        <f t="shared" si="32"/>
        <v>276</v>
      </c>
      <c r="Z18" s="50">
        <v>500</v>
      </c>
      <c r="AA18" s="50">
        <f>650+80</f>
        <v>730</v>
      </c>
      <c r="AB18" s="50">
        <f t="shared" si="57"/>
        <v>46</v>
      </c>
      <c r="AC18" s="51">
        <f t="shared" si="58"/>
        <v>0.11170688114387846</v>
      </c>
      <c r="AD18" s="50">
        <f t="shared" si="59"/>
        <v>4163</v>
      </c>
      <c r="AE18" s="51">
        <f t="shared" si="1"/>
        <v>0.43480136324797347</v>
      </c>
      <c r="AF18" s="1047"/>
      <c r="AG18" s="40">
        <f t="shared" si="36"/>
        <v>325</v>
      </c>
      <c r="AH18" s="41"/>
      <c r="AI18" s="41">
        <v>192</v>
      </c>
      <c r="AJ18" s="41">
        <f t="shared" si="60"/>
        <v>133</v>
      </c>
      <c r="AK18" s="42">
        <f t="shared" si="61"/>
        <v>0.32297859113338773</v>
      </c>
      <c r="AL18" s="41">
        <f t="shared" si="62"/>
        <v>1691</v>
      </c>
      <c r="AM18" s="42">
        <f t="shared" si="63"/>
        <v>0.17661520664240288</v>
      </c>
      <c r="AN18" s="1058"/>
      <c r="AO18" s="67">
        <v>3.7</v>
      </c>
      <c r="AP18" s="67">
        <v>24</v>
      </c>
      <c r="AQ18" s="68">
        <f t="shared" ref="AQ18:AQ28" si="77">AO18*AP18*0.49705</f>
        <v>44.138040000000004</v>
      </c>
      <c r="AR18" s="68">
        <f t="shared" si="64"/>
        <v>9.682197478217379</v>
      </c>
      <c r="AS18" s="69">
        <f t="shared" si="65"/>
        <v>1053.34836</v>
      </c>
      <c r="AT18" s="140">
        <f t="shared" si="66"/>
        <v>8.497751946414585</v>
      </c>
      <c r="AU18" s="1073"/>
      <c r="AV18" s="71">
        <v>1.9</v>
      </c>
      <c r="AW18" s="71">
        <v>12</v>
      </c>
      <c r="AX18" s="72">
        <f t="shared" ref="AX18:AX25" si="78">AV18*AW18*0.51673</f>
        <v>11.781443999999999</v>
      </c>
      <c r="AY18" s="72">
        <f t="shared" si="74"/>
        <v>2.5843981152438862</v>
      </c>
      <c r="AZ18" s="73">
        <f t="shared" si="67"/>
        <v>340.42172400000004</v>
      </c>
      <c r="BA18" s="192">
        <f t="shared" si="68"/>
        <v>2.7463083226548237</v>
      </c>
      <c r="BB18" s="1075"/>
      <c r="BC18" s="56">
        <f t="shared" si="38"/>
        <v>43890</v>
      </c>
      <c r="BD18" s="56"/>
      <c r="BE18" s="56">
        <v>43890</v>
      </c>
      <c r="BF18" s="57"/>
      <c r="BG18" s="58">
        <f t="shared" si="69"/>
        <v>7045</v>
      </c>
      <c r="BH18" s="58">
        <f t="shared" si="70"/>
        <v>56.83462825393373</v>
      </c>
      <c r="BI18" s="1133"/>
      <c r="BJ18" s="63">
        <f t="shared" si="39"/>
        <v>1100</v>
      </c>
      <c r="BK18" s="64"/>
      <c r="BL18" s="64">
        <v>924</v>
      </c>
      <c r="BM18" s="64">
        <f t="shared" si="49"/>
        <v>176</v>
      </c>
      <c r="BN18" s="65">
        <f t="shared" si="50"/>
        <v>0.42740024089831757</v>
      </c>
      <c r="BO18" s="64">
        <f t="shared" si="51"/>
        <v>1564</v>
      </c>
      <c r="BP18" s="65">
        <f t="shared" si="52"/>
        <v>0.16335078840255357</v>
      </c>
      <c r="BQ18" s="1071"/>
      <c r="BR18" s="77">
        <f t="shared" si="40"/>
        <v>19160</v>
      </c>
      <c r="BS18" s="35"/>
      <c r="BT18" s="35">
        <v>17312</v>
      </c>
      <c r="BU18" s="74">
        <f t="shared" si="71"/>
        <v>1848</v>
      </c>
      <c r="BV18" s="74">
        <f t="shared" si="53"/>
        <v>63624</v>
      </c>
      <c r="BW18" s="74">
        <f t="shared" si="54"/>
        <v>513.27840852069266</v>
      </c>
      <c r="BX18" s="1098"/>
      <c r="BY18" s="295">
        <v>800</v>
      </c>
      <c r="BZ18" s="296"/>
      <c r="CA18" s="296">
        <v>800</v>
      </c>
      <c r="CB18" s="296"/>
      <c r="CC18" s="297"/>
      <c r="CD18" s="296">
        <f t="shared" si="72"/>
        <v>2950</v>
      </c>
      <c r="CE18" s="297">
        <f t="shared" si="73"/>
        <v>0.30811050242169635</v>
      </c>
      <c r="CF18" s="1061"/>
      <c r="CH18">
        <f t="shared" si="29"/>
        <v>637790</v>
      </c>
    </row>
    <row r="19" spans="1:86">
      <c r="A19" s="30">
        <v>43967</v>
      </c>
      <c r="B19" s="32">
        <v>532621</v>
      </c>
      <c r="C19" s="1">
        <f t="shared" si="12"/>
        <v>10107108</v>
      </c>
      <c r="D19" s="91">
        <v>6034.72</v>
      </c>
      <c r="E19" s="93">
        <f t="shared" si="23"/>
        <v>129990.84</v>
      </c>
      <c r="F19" s="240">
        <f t="shared" si="43"/>
        <v>27000</v>
      </c>
      <c r="G19" s="240">
        <v>19120</v>
      </c>
      <c r="H19" s="280">
        <v>22.09</v>
      </c>
      <c r="I19" s="240">
        <f>16000+17000</f>
        <v>33000</v>
      </c>
      <c r="J19" s="240">
        <f t="shared" si="75"/>
        <v>13120</v>
      </c>
      <c r="K19" s="280">
        <f t="shared" si="76"/>
        <v>24.632900317486541</v>
      </c>
      <c r="L19" s="240">
        <f t="shared" si="24"/>
        <v>227960</v>
      </c>
      <c r="M19" s="280">
        <f t="shared" si="46"/>
        <v>22.554424074621544</v>
      </c>
      <c r="N19" s="280">
        <f t="shared" si="47"/>
        <v>2.7616534926682434</v>
      </c>
      <c r="O19" s="1089"/>
      <c r="P19" s="1084"/>
      <c r="Q19" s="35">
        <f t="shared" si="48"/>
        <v>33195</v>
      </c>
      <c r="R19" s="35"/>
      <c r="S19" s="35">
        <v>33195</v>
      </c>
      <c r="T19" s="35"/>
      <c r="U19" s="36"/>
      <c r="V19" s="74">
        <f t="shared" si="55"/>
        <v>22083</v>
      </c>
      <c r="W19" s="36">
        <f t="shared" si="56"/>
        <v>2.1848979945598681</v>
      </c>
      <c r="X19" s="1136"/>
      <c r="Y19" s="49">
        <f t="shared" si="32"/>
        <v>730</v>
      </c>
      <c r="Z19" s="50"/>
      <c r="AA19" s="50">
        <f>159+85</f>
        <v>244</v>
      </c>
      <c r="AB19" s="50">
        <f t="shared" si="57"/>
        <v>486</v>
      </c>
      <c r="AC19" s="51">
        <f t="shared" si="58"/>
        <v>0.91246871602884605</v>
      </c>
      <c r="AD19" s="50">
        <f t="shared" si="59"/>
        <v>4649</v>
      </c>
      <c r="AE19" s="51">
        <f t="shared" si="1"/>
        <v>0.45997331778783801</v>
      </c>
      <c r="AF19" s="1047"/>
      <c r="AG19" s="40">
        <f t="shared" si="36"/>
        <v>192</v>
      </c>
      <c r="AH19" s="41">
        <v>500</v>
      </c>
      <c r="AI19" s="41">
        <v>548</v>
      </c>
      <c r="AJ19" s="41">
        <f t="shared" si="60"/>
        <v>144</v>
      </c>
      <c r="AK19" s="42">
        <f t="shared" si="61"/>
        <v>0.27036110104558403</v>
      </c>
      <c r="AL19" s="41">
        <f t="shared" si="62"/>
        <v>1835</v>
      </c>
      <c r="AM19" s="42">
        <f t="shared" si="63"/>
        <v>0.1815553964596005</v>
      </c>
      <c r="AN19" s="1058"/>
      <c r="AO19" s="67">
        <v>3.4</v>
      </c>
      <c r="AP19" s="67">
        <v>24</v>
      </c>
      <c r="AQ19" s="68">
        <f t="shared" si="77"/>
        <v>40.559279999999994</v>
      </c>
      <c r="AR19" s="68">
        <f t="shared" si="64"/>
        <v>6.7209878834477808</v>
      </c>
      <c r="AS19" s="69">
        <f t="shared" si="65"/>
        <v>1093.9076399999999</v>
      </c>
      <c r="AT19" s="140">
        <f t="shared" si="66"/>
        <v>8.4152671065130438</v>
      </c>
      <c r="AU19" s="1073"/>
      <c r="AV19" s="71">
        <v>2.5</v>
      </c>
      <c r="AW19" s="71">
        <v>12</v>
      </c>
      <c r="AX19" s="72">
        <f t="shared" si="78"/>
        <v>15.501900000000001</v>
      </c>
      <c r="AY19" s="72">
        <f t="shared" si="74"/>
        <v>2.5687852957552297</v>
      </c>
      <c r="AZ19" s="73">
        <f t="shared" si="67"/>
        <v>355.92362400000002</v>
      </c>
      <c r="BA19" s="192">
        <f t="shared" si="68"/>
        <v>2.7380669591795854</v>
      </c>
      <c r="BB19" s="1075"/>
      <c r="BC19" s="56">
        <f t="shared" si="38"/>
        <v>43890</v>
      </c>
      <c r="BD19" s="56"/>
      <c r="BE19" s="56">
        <v>43890</v>
      </c>
      <c r="BF19" s="57"/>
      <c r="BG19" s="58">
        <f t="shared" si="69"/>
        <v>7045</v>
      </c>
      <c r="BH19" s="58">
        <f t="shared" si="70"/>
        <v>54.196126434754945</v>
      </c>
      <c r="BI19" s="1133"/>
      <c r="BJ19" s="63">
        <f t="shared" si="39"/>
        <v>924</v>
      </c>
      <c r="BK19" s="64"/>
      <c r="BL19" s="64">
        <v>780</v>
      </c>
      <c r="BM19" s="64">
        <f t="shared" si="49"/>
        <v>144</v>
      </c>
      <c r="BN19" s="65">
        <f t="shared" si="50"/>
        <v>0.27036110104558403</v>
      </c>
      <c r="BO19" s="64">
        <f t="shared" si="51"/>
        <v>1708</v>
      </c>
      <c r="BP19" s="65">
        <f t="shared" si="52"/>
        <v>0.16898998209972627</v>
      </c>
      <c r="BQ19" s="1071"/>
      <c r="BR19" s="77">
        <f t="shared" si="40"/>
        <v>17312</v>
      </c>
      <c r="BS19" s="35"/>
      <c r="BT19" s="35">
        <v>15463</v>
      </c>
      <c r="BU19" s="74">
        <f t="shared" si="71"/>
        <v>1849</v>
      </c>
      <c r="BV19" s="74">
        <f t="shared" si="53"/>
        <v>65473</v>
      </c>
      <c r="BW19" s="74">
        <f t="shared" si="54"/>
        <v>503.67395117994471</v>
      </c>
      <c r="BX19" s="1098"/>
      <c r="BY19" s="295">
        <v>800</v>
      </c>
      <c r="BZ19" s="296"/>
      <c r="CA19" s="296">
        <v>800</v>
      </c>
      <c r="CB19" s="296"/>
      <c r="CC19" s="297"/>
      <c r="CD19" s="296">
        <f t="shared" si="72"/>
        <v>2950</v>
      </c>
      <c r="CE19" s="297">
        <f t="shared" si="73"/>
        <v>0.29187379812306347</v>
      </c>
      <c r="CF19" s="1061"/>
      <c r="CH19">
        <f t="shared" si="29"/>
        <v>0</v>
      </c>
    </row>
    <row r="20" spans="1:86">
      <c r="A20" s="30">
        <v>43968</v>
      </c>
      <c r="B20" s="32">
        <v>562639</v>
      </c>
      <c r="C20" s="1">
        <f t="shared" si="12"/>
        <v>10669747</v>
      </c>
      <c r="D20" s="91">
        <v>6219.16</v>
      </c>
      <c r="E20" s="93">
        <f t="shared" si="23"/>
        <v>136210</v>
      </c>
      <c r="F20" s="240">
        <f t="shared" si="43"/>
        <v>33000</v>
      </c>
      <c r="G20" s="240"/>
      <c r="H20" s="280"/>
      <c r="I20" s="240">
        <f>4000+17000</f>
        <v>21000</v>
      </c>
      <c r="J20" s="240">
        <f t="shared" si="75"/>
        <v>12000</v>
      </c>
      <c r="K20" s="280">
        <f t="shared" si="76"/>
        <v>21.328062932004357</v>
      </c>
      <c r="L20" s="240">
        <f t="shared" si="24"/>
        <v>239960</v>
      </c>
      <c r="M20" s="280">
        <f t="shared" si="46"/>
        <v>22.489755380329076</v>
      </c>
      <c r="N20" s="280">
        <f t="shared" si="47"/>
        <v>2.7537352002362039</v>
      </c>
      <c r="O20" s="1089"/>
      <c r="P20" s="1084"/>
      <c r="Q20" s="35">
        <f t="shared" si="48"/>
        <v>33195</v>
      </c>
      <c r="R20" s="35"/>
      <c r="S20" s="35">
        <v>32926</v>
      </c>
      <c r="T20" s="35">
        <f>Q20+R20-S20</f>
        <v>269</v>
      </c>
      <c r="U20" s="36">
        <f>1000*T20/B20</f>
        <v>0.47810407739243105</v>
      </c>
      <c r="V20" s="74">
        <f t="shared" si="55"/>
        <v>22352</v>
      </c>
      <c r="W20" s="36">
        <f t="shared" si="56"/>
        <v>2.0948950335935801</v>
      </c>
      <c r="X20" s="1136"/>
      <c r="Y20" s="49">
        <f t="shared" si="32"/>
        <v>244</v>
      </c>
      <c r="Z20" s="50"/>
      <c r="AA20" s="50">
        <f>85+112</f>
        <v>197</v>
      </c>
      <c r="AB20" s="50">
        <f t="shared" si="57"/>
        <v>47</v>
      </c>
      <c r="AC20" s="51">
        <f t="shared" si="58"/>
        <v>8.3534913150350401E-2</v>
      </c>
      <c r="AD20" s="50">
        <f t="shared" si="59"/>
        <v>4696</v>
      </c>
      <c r="AE20" s="51">
        <f t="shared" si="1"/>
        <v>0.44012290075856531</v>
      </c>
      <c r="AF20" s="1047"/>
      <c r="AG20" s="40">
        <f t="shared" si="36"/>
        <v>548</v>
      </c>
      <c r="AH20" s="41"/>
      <c r="AI20" s="41">
        <v>342</v>
      </c>
      <c r="AJ20" s="41">
        <f t="shared" si="60"/>
        <v>206</v>
      </c>
      <c r="AK20" s="42">
        <f t="shared" si="61"/>
        <v>0.36613174699940815</v>
      </c>
      <c r="AL20" s="41">
        <f t="shared" si="62"/>
        <v>2041</v>
      </c>
      <c r="AM20" s="42">
        <f t="shared" si="63"/>
        <v>0.19128850946512602</v>
      </c>
      <c r="AN20" s="1058"/>
      <c r="AO20" s="67">
        <v>4.0999999999999996</v>
      </c>
      <c r="AP20" s="67">
        <v>24</v>
      </c>
      <c r="AQ20" s="68">
        <f t="shared" si="77"/>
        <v>48.909719999999993</v>
      </c>
      <c r="AR20" s="68">
        <f t="shared" si="64"/>
        <v>7.8643611034287577</v>
      </c>
      <c r="AS20" s="69">
        <f t="shared" si="65"/>
        <v>1142.81736</v>
      </c>
      <c r="AT20" s="140">
        <f t="shared" si="66"/>
        <v>8.3901135012113652</v>
      </c>
      <c r="AU20" s="1073"/>
      <c r="AV20" s="71">
        <v>3.6</v>
      </c>
      <c r="AW20" s="71">
        <v>12</v>
      </c>
      <c r="AX20" s="72">
        <f t="shared" si="78"/>
        <v>22.322736000000003</v>
      </c>
      <c r="AY20" s="72">
        <f t="shared" si="74"/>
        <v>3.5893490439223306</v>
      </c>
      <c r="AZ20" s="73">
        <f t="shared" si="67"/>
        <v>378.24636000000004</v>
      </c>
      <c r="BA20" s="192">
        <f t="shared" si="68"/>
        <v>2.7769353204610532</v>
      </c>
      <c r="BB20" s="1075"/>
      <c r="BC20" s="56">
        <f t="shared" si="38"/>
        <v>43890</v>
      </c>
      <c r="BD20" s="56"/>
      <c r="BE20" s="56">
        <v>43890</v>
      </c>
      <c r="BF20" s="57"/>
      <c r="BG20" s="58">
        <f t="shared" si="69"/>
        <v>7045</v>
      </c>
      <c r="BH20" s="58">
        <f t="shared" si="70"/>
        <v>51.721606343146611</v>
      </c>
      <c r="BI20" s="1133"/>
      <c r="BJ20" s="63">
        <f t="shared" si="39"/>
        <v>780</v>
      </c>
      <c r="BK20" s="64"/>
      <c r="BL20" s="64">
        <v>648</v>
      </c>
      <c r="BM20" s="64">
        <f t="shared" si="49"/>
        <v>132</v>
      </c>
      <c r="BN20" s="65">
        <f t="shared" si="50"/>
        <v>0.23460869225204795</v>
      </c>
      <c r="BO20" s="64">
        <f t="shared" si="51"/>
        <v>1840</v>
      </c>
      <c r="BP20" s="65">
        <f t="shared" si="52"/>
        <v>0.17245019961579219</v>
      </c>
      <c r="BQ20" s="1071"/>
      <c r="BR20" s="77">
        <f t="shared" si="40"/>
        <v>15463</v>
      </c>
      <c r="BS20" s="35">
        <v>30040</v>
      </c>
      <c r="BT20" s="35">
        <v>40416</v>
      </c>
      <c r="BU20" s="74">
        <f t="shared" si="71"/>
        <v>5087</v>
      </c>
      <c r="BV20" s="74">
        <f t="shared" si="53"/>
        <v>70560</v>
      </c>
      <c r="BW20" s="74">
        <f t="shared" si="54"/>
        <v>518.02363996769691</v>
      </c>
      <c r="BX20" s="1098"/>
      <c r="BY20" s="295">
        <v>800</v>
      </c>
      <c r="BZ20" s="296"/>
      <c r="CA20" s="296">
        <v>800</v>
      </c>
      <c r="CB20" s="296"/>
      <c r="CC20" s="297"/>
      <c r="CD20" s="296">
        <f t="shared" si="72"/>
        <v>2950</v>
      </c>
      <c r="CE20" s="297">
        <f t="shared" si="73"/>
        <v>0.2764826569927103</v>
      </c>
      <c r="CF20" s="1061"/>
      <c r="CH20">
        <f t="shared" si="29"/>
        <v>0</v>
      </c>
    </row>
    <row r="21" spans="1:86">
      <c r="A21" s="30">
        <v>43969</v>
      </c>
      <c r="B21" s="32">
        <v>548475</v>
      </c>
      <c r="C21" s="1">
        <f t="shared" si="12"/>
        <v>11218222</v>
      </c>
      <c r="D21" s="91">
        <v>5908.7</v>
      </c>
      <c r="E21" s="93">
        <f t="shared" si="23"/>
        <v>142118.70000000001</v>
      </c>
      <c r="F21" s="240">
        <f t="shared" si="43"/>
        <v>21000</v>
      </c>
      <c r="G21" s="240">
        <v>32500</v>
      </c>
      <c r="H21" s="280">
        <v>19.21</v>
      </c>
      <c r="I21" s="240">
        <f>22000+17000</f>
        <v>39000</v>
      </c>
      <c r="J21" s="240">
        <f t="shared" si="75"/>
        <v>14500</v>
      </c>
      <c r="K21" s="280">
        <f t="shared" si="76"/>
        <v>26.436938784812433</v>
      </c>
      <c r="L21" s="240">
        <f t="shared" si="24"/>
        <v>254460</v>
      </c>
      <c r="M21" s="280">
        <f t="shared" si="46"/>
        <v>22.682738851129884</v>
      </c>
      <c r="N21" s="280">
        <f t="shared" si="47"/>
        <v>2.7773648648377476</v>
      </c>
      <c r="O21" s="1089"/>
      <c r="P21" s="1084"/>
      <c r="Q21" s="35">
        <f t="shared" si="48"/>
        <v>32926</v>
      </c>
      <c r="R21" s="35"/>
      <c r="S21" s="35">
        <v>32387</v>
      </c>
      <c r="T21" s="35">
        <f>Q21+R21-S21</f>
        <v>539</v>
      </c>
      <c r="U21" s="36">
        <f>1000*T21/B21</f>
        <v>0.98272482793199323</v>
      </c>
      <c r="V21" s="74">
        <f t="shared" si="55"/>
        <v>22891</v>
      </c>
      <c r="W21" s="36">
        <f t="shared" si="56"/>
        <v>2.0405194334717214</v>
      </c>
      <c r="X21" s="1136"/>
      <c r="Y21" s="49">
        <f t="shared" si="32"/>
        <v>197</v>
      </c>
      <c r="Z21" s="50">
        <v>350</v>
      </c>
      <c r="AA21" s="50">
        <f>357+30</f>
        <v>387</v>
      </c>
      <c r="AB21" s="50">
        <f t="shared" si="57"/>
        <v>160</v>
      </c>
      <c r="AC21" s="51">
        <f t="shared" si="58"/>
        <v>0.2917179452117234</v>
      </c>
      <c r="AD21" s="50">
        <f t="shared" si="59"/>
        <v>4856</v>
      </c>
      <c r="AE21" s="51">
        <f t="shared" si="1"/>
        <v>0.43286716914676854</v>
      </c>
      <c r="AF21" s="1047"/>
      <c r="AG21" s="40">
        <f t="shared" si="36"/>
        <v>342</v>
      </c>
      <c r="AH21" s="41"/>
      <c r="AI21" s="41">
        <v>256</v>
      </c>
      <c r="AJ21" s="41">
        <f t="shared" si="60"/>
        <v>86</v>
      </c>
      <c r="AK21" s="42">
        <f t="shared" si="61"/>
        <v>0.15679839555130134</v>
      </c>
      <c r="AL21" s="41">
        <f t="shared" si="62"/>
        <v>2127</v>
      </c>
      <c r="AM21" s="42">
        <f t="shared" si="63"/>
        <v>0.18960223821564592</v>
      </c>
      <c r="AN21" s="1058"/>
      <c r="AO21" s="67">
        <v>4.0999999999999996</v>
      </c>
      <c r="AP21" s="67">
        <v>24</v>
      </c>
      <c r="AQ21" s="68">
        <f t="shared" si="77"/>
        <v>48.909719999999993</v>
      </c>
      <c r="AR21" s="68">
        <f t="shared" si="64"/>
        <v>8.277577132025657</v>
      </c>
      <c r="AS21" s="69">
        <f t="shared" si="65"/>
        <v>1191.7270800000001</v>
      </c>
      <c r="AT21" s="140">
        <f t="shared" si="66"/>
        <v>8.3854347105623681</v>
      </c>
      <c r="AU21" s="1073"/>
      <c r="AV21" s="71">
        <v>2.4</v>
      </c>
      <c r="AW21" s="71">
        <v>12</v>
      </c>
      <c r="AX21" s="72">
        <f t="shared" si="78"/>
        <v>14.881824</v>
      </c>
      <c r="AY21" s="72">
        <f t="shared" si="74"/>
        <v>2.518629140081575</v>
      </c>
      <c r="AZ21" s="73">
        <f t="shared" si="67"/>
        <v>393.12818400000003</v>
      </c>
      <c r="BA21" s="192">
        <f t="shared" si="68"/>
        <v>2.7661960319085384</v>
      </c>
      <c r="BB21" s="1075"/>
      <c r="BC21" s="56">
        <f t="shared" si="38"/>
        <v>43890</v>
      </c>
      <c r="BD21" s="56"/>
      <c r="BE21" s="56">
        <v>43890</v>
      </c>
      <c r="BF21" s="57"/>
      <c r="BG21" s="58">
        <f t="shared" si="69"/>
        <v>7045</v>
      </c>
      <c r="BH21" s="58">
        <f t="shared" si="70"/>
        <v>49.571238689912022</v>
      </c>
      <c r="BI21" s="1133"/>
      <c r="BJ21" s="63">
        <f t="shared" si="39"/>
        <v>648</v>
      </c>
      <c r="BK21" s="64"/>
      <c r="BL21" s="64">
        <v>504</v>
      </c>
      <c r="BM21" s="64">
        <f t="shared" si="49"/>
        <v>144</v>
      </c>
      <c r="BN21" s="65">
        <f t="shared" si="50"/>
        <v>0.26254615069055109</v>
      </c>
      <c r="BO21" s="64">
        <f t="shared" si="51"/>
        <v>1984</v>
      </c>
      <c r="BP21" s="65">
        <f t="shared" si="52"/>
        <v>0.17685512017858088</v>
      </c>
      <c r="BQ21" s="1071"/>
      <c r="BR21" s="77">
        <f t="shared" si="40"/>
        <v>40416</v>
      </c>
      <c r="BS21" s="35"/>
      <c r="BT21" s="35">
        <v>37644</v>
      </c>
      <c r="BU21" s="74">
        <f t="shared" si="71"/>
        <v>2772</v>
      </c>
      <c r="BV21" s="74">
        <f t="shared" si="53"/>
        <v>73332</v>
      </c>
      <c r="BW21" s="74">
        <f t="shared" si="54"/>
        <v>515.99121016446111</v>
      </c>
      <c r="BX21" s="1098"/>
      <c r="BY21" s="295">
        <v>800</v>
      </c>
      <c r="BZ21" s="296"/>
      <c r="CA21" s="296">
        <v>800</v>
      </c>
      <c r="CB21" s="296"/>
      <c r="CC21" s="297"/>
      <c r="CD21" s="296">
        <f t="shared" si="72"/>
        <v>2950</v>
      </c>
      <c r="CE21" s="297">
        <f t="shared" si="73"/>
        <v>0.26296502244295039</v>
      </c>
      <c r="CF21" s="1061"/>
      <c r="CH21">
        <f t="shared" si="29"/>
        <v>422360.8</v>
      </c>
    </row>
    <row r="22" spans="1:86">
      <c r="A22" s="30">
        <v>43970</v>
      </c>
      <c r="B22" s="32">
        <v>501771</v>
      </c>
      <c r="C22" s="1">
        <f t="shared" si="12"/>
        <v>11719993</v>
      </c>
      <c r="D22" s="91">
        <v>5643.42</v>
      </c>
      <c r="E22" s="93">
        <f t="shared" si="23"/>
        <v>147762.12000000002</v>
      </c>
      <c r="F22" s="240">
        <f t="shared" si="43"/>
        <v>39000</v>
      </c>
      <c r="G22" s="240"/>
      <c r="H22" s="280"/>
      <c r="I22" s="240">
        <f>12000+17000</f>
        <v>29000</v>
      </c>
      <c r="J22" s="240">
        <f t="shared" si="75"/>
        <v>10000</v>
      </c>
      <c r="K22" s="280">
        <f t="shared" si="76"/>
        <v>19.929410029674891</v>
      </c>
      <c r="L22" s="240">
        <f t="shared" si="24"/>
        <v>264460</v>
      </c>
      <c r="M22" s="280">
        <f t="shared" si="46"/>
        <v>22.56485989368765</v>
      </c>
      <c r="N22" s="280">
        <f t="shared" si="47"/>
        <v>2.7629312959088588</v>
      </c>
      <c r="O22" s="1089"/>
      <c r="P22" s="1084"/>
      <c r="Q22" s="35">
        <f t="shared" si="48"/>
        <v>32387</v>
      </c>
      <c r="R22" s="35"/>
      <c r="S22" s="35">
        <v>32387</v>
      </c>
      <c r="T22" s="35"/>
      <c r="U22" s="36"/>
      <c r="V22" s="74">
        <f t="shared" si="55"/>
        <v>22891</v>
      </c>
      <c r="W22" s="36">
        <f t="shared" si="56"/>
        <v>1.9531581631490735</v>
      </c>
      <c r="X22" s="1136"/>
      <c r="Y22" s="49">
        <f t="shared" si="32"/>
        <v>387</v>
      </c>
      <c r="Z22" s="50">
        <v>500</v>
      </c>
      <c r="AA22" s="50">
        <f>725+70</f>
        <v>795</v>
      </c>
      <c r="AB22" s="50">
        <f t="shared" si="57"/>
        <v>92</v>
      </c>
      <c r="AC22" s="51">
        <f t="shared" si="58"/>
        <v>0.18335057227300899</v>
      </c>
      <c r="AD22" s="50">
        <f t="shared" si="59"/>
        <v>4948</v>
      </c>
      <c r="AE22" s="51">
        <f t="shared" si="1"/>
        <v>0.42218455249930609</v>
      </c>
      <c r="AF22" s="1047"/>
      <c r="AG22" s="40">
        <f t="shared" si="36"/>
        <v>256</v>
      </c>
      <c r="AH22" s="41"/>
      <c r="AI22" s="41">
        <v>177</v>
      </c>
      <c r="AJ22" s="41">
        <f t="shared" si="60"/>
        <v>79</v>
      </c>
      <c r="AK22" s="42">
        <f t="shared" si="61"/>
        <v>0.15744233923443166</v>
      </c>
      <c r="AL22" s="41">
        <f t="shared" si="62"/>
        <v>2206</v>
      </c>
      <c r="AM22" s="42">
        <f t="shared" si="63"/>
        <v>0.18822536839399137</v>
      </c>
      <c r="AN22" s="1058"/>
      <c r="AO22" s="67">
        <v>4.0999999999999996</v>
      </c>
      <c r="AP22" s="67">
        <v>24</v>
      </c>
      <c r="AQ22" s="68">
        <f t="shared" si="77"/>
        <v>48.909719999999993</v>
      </c>
      <c r="AR22" s="68">
        <f t="shared" si="64"/>
        <v>8.6666808424678639</v>
      </c>
      <c r="AS22" s="69">
        <f t="shared" si="65"/>
        <v>1240.6368000000002</v>
      </c>
      <c r="AT22" s="140">
        <f t="shared" si="66"/>
        <v>8.3961762324471252</v>
      </c>
      <c r="AU22" s="1073"/>
      <c r="AV22" s="71">
        <v>2.1</v>
      </c>
      <c r="AW22" s="71">
        <v>12</v>
      </c>
      <c r="AX22" s="72">
        <f t="shared" si="78"/>
        <v>13.021596000000002</v>
      </c>
      <c r="AY22" s="72">
        <f t="shared" si="74"/>
        <v>2.3073944523002017</v>
      </c>
      <c r="AZ22" s="73">
        <f t="shared" si="67"/>
        <v>406.14978000000002</v>
      </c>
      <c r="BA22" s="192">
        <f t="shared" si="68"/>
        <v>2.7486732052842768</v>
      </c>
      <c r="BB22" s="1075"/>
      <c r="BC22" s="56">
        <f t="shared" si="38"/>
        <v>43890</v>
      </c>
      <c r="BD22" s="56"/>
      <c r="BE22" s="56">
        <v>43890</v>
      </c>
      <c r="BF22" s="57"/>
      <c r="BG22" s="58">
        <f t="shared" si="69"/>
        <v>7045</v>
      </c>
      <c r="BH22" s="58">
        <f t="shared" si="70"/>
        <v>47.677984046249463</v>
      </c>
      <c r="BI22" s="1133"/>
      <c r="BJ22" s="63">
        <f t="shared" si="39"/>
        <v>504</v>
      </c>
      <c r="BK22" s="64">
        <v>1100</v>
      </c>
      <c r="BL22" s="64">
        <v>1470</v>
      </c>
      <c r="BM22" s="64">
        <f t="shared" si="49"/>
        <v>134</v>
      </c>
      <c r="BN22" s="65">
        <f t="shared" si="50"/>
        <v>0.26705409439764355</v>
      </c>
      <c r="BO22" s="64">
        <f t="shared" si="51"/>
        <v>2118</v>
      </c>
      <c r="BP22" s="65">
        <f t="shared" si="52"/>
        <v>0.18071683148616216</v>
      </c>
      <c r="BQ22" s="1071"/>
      <c r="BR22" s="77">
        <f t="shared" si="40"/>
        <v>37644</v>
      </c>
      <c r="BS22" s="35"/>
      <c r="BT22" s="35">
        <v>36823</v>
      </c>
      <c r="BU22" s="74">
        <f t="shared" si="71"/>
        <v>821</v>
      </c>
      <c r="BV22" s="74">
        <f t="shared" si="53"/>
        <v>74153</v>
      </c>
      <c r="BW22" s="74">
        <f t="shared" si="54"/>
        <v>501.8403904870882</v>
      </c>
      <c r="BX22" s="1098"/>
      <c r="BY22" s="295">
        <v>800</v>
      </c>
      <c r="BZ22" s="296"/>
      <c r="CA22" s="296">
        <v>800</v>
      </c>
      <c r="CB22" s="296"/>
      <c r="CC22" s="297"/>
      <c r="CD22" s="296">
        <f t="shared" si="72"/>
        <v>2950</v>
      </c>
      <c r="CE22" s="297">
        <f t="shared" si="73"/>
        <v>0.2517066349783656</v>
      </c>
      <c r="CF22" s="1061"/>
      <c r="CH22">
        <f t="shared" si="29"/>
        <v>0</v>
      </c>
    </row>
    <row r="23" spans="1:86">
      <c r="A23" s="30">
        <v>43971</v>
      </c>
      <c r="B23" s="32">
        <v>490041</v>
      </c>
      <c r="C23" s="1">
        <f t="shared" si="12"/>
        <v>12210034</v>
      </c>
      <c r="D23" s="91">
        <v>5446.78</v>
      </c>
      <c r="E23" s="93">
        <f t="shared" si="23"/>
        <v>153208.90000000002</v>
      </c>
      <c r="F23" s="240">
        <f t="shared" si="43"/>
        <v>29000</v>
      </c>
      <c r="G23" s="240">
        <v>32500</v>
      </c>
      <c r="H23" s="280">
        <v>20.57</v>
      </c>
      <c r="I23" s="240">
        <f>32000+17000</f>
        <v>49000</v>
      </c>
      <c r="J23" s="240">
        <f t="shared" si="75"/>
        <v>12500</v>
      </c>
      <c r="K23" s="280">
        <f t="shared" si="76"/>
        <v>25.508069732940712</v>
      </c>
      <c r="L23" s="240">
        <f t="shared" si="24"/>
        <v>276960</v>
      </c>
      <c r="M23" s="280">
        <f t="shared" si="46"/>
        <v>22.682983519947609</v>
      </c>
      <c r="N23" s="280">
        <f t="shared" si="47"/>
        <v>2.7773948230620311</v>
      </c>
      <c r="O23" s="1089"/>
      <c r="P23" s="1084"/>
      <c r="Q23" s="35">
        <f t="shared" si="48"/>
        <v>32387</v>
      </c>
      <c r="R23" s="35"/>
      <c r="S23" s="35">
        <v>32387</v>
      </c>
      <c r="T23" s="35"/>
      <c r="U23" s="36"/>
      <c r="V23" s="74">
        <f t="shared" si="55"/>
        <v>22891</v>
      </c>
      <c r="W23" s="36">
        <f t="shared" si="56"/>
        <v>1.8747695542862535</v>
      </c>
      <c r="X23" s="1136"/>
      <c r="Y23" s="49">
        <f t="shared" si="32"/>
        <v>795</v>
      </c>
      <c r="Z23" s="50"/>
      <c r="AA23" s="50">
        <f>510+50</f>
        <v>560</v>
      </c>
      <c r="AB23" s="50">
        <f t="shared" si="57"/>
        <v>235</v>
      </c>
      <c r="AC23" s="51">
        <f t="shared" si="58"/>
        <v>0.47955171097928539</v>
      </c>
      <c r="AD23" s="50">
        <f t="shared" si="59"/>
        <v>5183</v>
      </c>
      <c r="AE23" s="51">
        <f t="shared" si="1"/>
        <v>0.42448694246060248</v>
      </c>
      <c r="AF23" s="1047"/>
      <c r="AG23" s="40">
        <f t="shared" si="36"/>
        <v>177</v>
      </c>
      <c r="AH23" s="41"/>
      <c r="AI23" s="41">
        <v>107</v>
      </c>
      <c r="AJ23" s="41">
        <f t="shared" si="60"/>
        <v>70</v>
      </c>
      <c r="AK23" s="42">
        <f t="shared" si="61"/>
        <v>0.14284519050446801</v>
      </c>
      <c r="AL23" s="41">
        <f t="shared" si="62"/>
        <v>2276</v>
      </c>
      <c r="AM23" s="42">
        <f t="shared" si="63"/>
        <v>0.18640406734330142</v>
      </c>
      <c r="AN23" s="1058"/>
      <c r="AO23" s="67">
        <v>4.0999999999999996</v>
      </c>
      <c r="AP23" s="67">
        <v>24</v>
      </c>
      <c r="AQ23" s="68">
        <f t="shared" si="77"/>
        <v>48.909719999999993</v>
      </c>
      <c r="AR23" s="68">
        <f t="shared" si="64"/>
        <v>8.9795659086653021</v>
      </c>
      <c r="AS23" s="69">
        <f t="shared" si="65"/>
        <v>1289.5465200000003</v>
      </c>
      <c r="AT23" s="140">
        <f t="shared" si="66"/>
        <v>8.4169165107248993</v>
      </c>
      <c r="AU23" s="1073"/>
      <c r="AV23" s="71">
        <v>2.1</v>
      </c>
      <c r="AW23" s="71">
        <v>12</v>
      </c>
      <c r="AX23" s="72">
        <f t="shared" si="78"/>
        <v>13.021596000000002</v>
      </c>
      <c r="AY23" s="72">
        <f t="shared" si="74"/>
        <v>2.3906961544251839</v>
      </c>
      <c r="AZ23" s="73">
        <f t="shared" si="67"/>
        <v>419.17137600000001</v>
      </c>
      <c r="BA23" s="192">
        <f t="shared" si="68"/>
        <v>2.7359466453972319</v>
      </c>
      <c r="BB23" s="1075"/>
      <c r="BC23" s="56">
        <f t="shared" si="38"/>
        <v>43890</v>
      </c>
      <c r="BD23" s="56"/>
      <c r="BE23" s="56">
        <v>41359</v>
      </c>
      <c r="BF23" s="57">
        <f>BC23-BE23+BD23</f>
        <v>2531</v>
      </c>
      <c r="BG23" s="58">
        <f t="shared" si="69"/>
        <v>9576</v>
      </c>
      <c r="BH23" s="58">
        <f t="shared" si="70"/>
        <v>62.502896372208134</v>
      </c>
      <c r="BI23" s="1133"/>
      <c r="BJ23" s="63">
        <f t="shared" si="39"/>
        <v>1470</v>
      </c>
      <c r="BK23" s="64"/>
      <c r="BL23" s="64">
        <v>1336</v>
      </c>
      <c r="BM23" s="64">
        <f t="shared" si="49"/>
        <v>134</v>
      </c>
      <c r="BN23" s="65">
        <f t="shared" si="50"/>
        <v>0.27344650753712446</v>
      </c>
      <c r="BO23" s="64">
        <f t="shared" si="51"/>
        <v>2252</v>
      </c>
      <c r="BP23" s="65">
        <f t="shared" si="52"/>
        <v>0.18443847085110493</v>
      </c>
      <c r="BQ23" s="1071"/>
      <c r="BR23" s="77">
        <f t="shared" si="40"/>
        <v>36823</v>
      </c>
      <c r="BS23" s="35"/>
      <c r="BT23" s="35">
        <v>36823</v>
      </c>
      <c r="BU23" s="74">
        <f t="shared" si="71"/>
        <v>0</v>
      </c>
      <c r="BV23" s="74">
        <f t="shared" si="53"/>
        <v>74153</v>
      </c>
      <c r="BW23" s="74">
        <f t="shared" si="54"/>
        <v>483.9992976909304</v>
      </c>
      <c r="BX23" s="1098"/>
      <c r="BY23" s="295">
        <v>800</v>
      </c>
      <c r="BZ23" s="296"/>
      <c r="CA23" s="296">
        <v>800</v>
      </c>
      <c r="CB23" s="296"/>
      <c r="CC23" s="297"/>
      <c r="CD23" s="296">
        <f t="shared" si="72"/>
        <v>2950</v>
      </c>
      <c r="CE23" s="297">
        <f t="shared" si="73"/>
        <v>0.24160456883248646</v>
      </c>
      <c r="CF23" s="1061"/>
      <c r="CH23">
        <f t="shared" si="29"/>
        <v>624325</v>
      </c>
    </row>
    <row r="24" spans="1:86">
      <c r="A24" s="30">
        <v>43972</v>
      </c>
      <c r="B24" s="32">
        <v>386118</v>
      </c>
      <c r="C24" s="1">
        <f t="shared" si="12"/>
        <v>12596152</v>
      </c>
      <c r="D24" s="91">
        <v>4282.0600000000004</v>
      </c>
      <c r="E24" s="93">
        <f t="shared" si="23"/>
        <v>157490.96000000002</v>
      </c>
      <c r="F24" s="240">
        <f t="shared" si="43"/>
        <v>49000</v>
      </c>
      <c r="G24" s="240"/>
      <c r="H24" s="280"/>
      <c r="I24" s="240">
        <f>25200+16200</f>
        <v>41400</v>
      </c>
      <c r="J24" s="240">
        <f t="shared" si="75"/>
        <v>7600</v>
      </c>
      <c r="K24" s="280">
        <f t="shared" si="76"/>
        <v>19.683102056884167</v>
      </c>
      <c r="L24" s="240">
        <f t="shared" si="24"/>
        <v>284560</v>
      </c>
      <c r="M24" s="280">
        <f t="shared" si="46"/>
        <v>22.59102621181453</v>
      </c>
      <c r="N24" s="280">
        <f t="shared" si="47"/>
        <v>2.766135204091408</v>
      </c>
      <c r="O24" s="1089"/>
      <c r="P24" s="1084"/>
      <c r="Q24" s="35">
        <f t="shared" si="48"/>
        <v>32387</v>
      </c>
      <c r="R24" s="35"/>
      <c r="S24" s="35">
        <v>32387</v>
      </c>
      <c r="T24" s="35"/>
      <c r="U24" s="36"/>
      <c r="V24" s="74">
        <f t="shared" si="55"/>
        <v>22891</v>
      </c>
      <c r="W24" s="36">
        <f t="shared" si="56"/>
        <v>1.8173010297112959</v>
      </c>
      <c r="X24" s="1136"/>
      <c r="Y24" s="49">
        <f t="shared" si="32"/>
        <v>560</v>
      </c>
      <c r="Z24" s="50"/>
      <c r="AA24" s="50">
        <f>424+25</f>
        <v>449</v>
      </c>
      <c r="AB24" s="50">
        <f t="shared" si="57"/>
        <v>111</v>
      </c>
      <c r="AC24" s="51">
        <f t="shared" si="58"/>
        <v>0.28747688530449239</v>
      </c>
      <c r="AD24" s="50">
        <f t="shared" si="59"/>
        <v>5294</v>
      </c>
      <c r="AE24" s="51">
        <f t="shared" si="1"/>
        <v>0.42028708450009178</v>
      </c>
      <c r="AF24" s="1047"/>
      <c r="AG24" s="40">
        <f t="shared" si="36"/>
        <v>107</v>
      </c>
      <c r="AH24" s="41">
        <v>500</v>
      </c>
      <c r="AI24" s="41">
        <v>567</v>
      </c>
      <c r="AJ24" s="41">
        <f t="shared" si="60"/>
        <v>40</v>
      </c>
      <c r="AK24" s="42">
        <f t="shared" si="61"/>
        <v>0.10359527398360087</v>
      </c>
      <c r="AL24" s="41">
        <f t="shared" si="62"/>
        <v>2316</v>
      </c>
      <c r="AM24" s="42">
        <f t="shared" si="63"/>
        <v>0.18386567580321356</v>
      </c>
      <c r="AN24" s="1058"/>
      <c r="AO24" s="67">
        <v>3.6</v>
      </c>
      <c r="AP24" s="67">
        <v>24</v>
      </c>
      <c r="AQ24" s="68">
        <f t="shared" si="77"/>
        <v>42.945120000000003</v>
      </c>
      <c r="AR24" s="68">
        <f t="shared" si="64"/>
        <v>10.029079461754389</v>
      </c>
      <c r="AS24" s="69">
        <f t="shared" si="65"/>
        <v>1332.4916400000004</v>
      </c>
      <c r="AT24" s="140">
        <f t="shared" si="66"/>
        <v>8.4607500011429231</v>
      </c>
      <c r="AU24" s="1073"/>
      <c r="AV24" s="71">
        <v>1.7</v>
      </c>
      <c r="AW24" s="71">
        <v>12</v>
      </c>
      <c r="AX24" s="72">
        <f t="shared" si="78"/>
        <v>10.541292</v>
      </c>
      <c r="AY24" s="72">
        <f t="shared" si="74"/>
        <v>2.4617338383861971</v>
      </c>
      <c r="AZ24" s="73">
        <f t="shared" si="67"/>
        <v>429.71266800000001</v>
      </c>
      <c r="BA24" s="192">
        <f t="shared" si="68"/>
        <v>2.7284910067219093</v>
      </c>
      <c r="BB24" s="1075"/>
      <c r="BC24" s="56">
        <f t="shared" si="38"/>
        <v>41359</v>
      </c>
      <c r="BD24" s="56"/>
      <c r="BE24" s="56">
        <v>41359</v>
      </c>
      <c r="BF24" s="57"/>
      <c r="BG24" s="58">
        <f t="shared" si="69"/>
        <v>9576</v>
      </c>
      <c r="BH24" s="58">
        <f t="shared" si="70"/>
        <v>60.803489927294869</v>
      </c>
      <c r="BI24" s="1133"/>
      <c r="BJ24" s="63">
        <f t="shared" si="39"/>
        <v>1336</v>
      </c>
      <c r="BK24" s="64"/>
      <c r="BL24" s="64">
        <v>1200</v>
      </c>
      <c r="BM24" s="64">
        <f t="shared" si="49"/>
        <v>136</v>
      </c>
      <c r="BN24" s="65">
        <f t="shared" si="50"/>
        <v>0.35222393154424297</v>
      </c>
      <c r="BO24" s="64">
        <f t="shared" si="51"/>
        <v>2388</v>
      </c>
      <c r="BP24" s="65">
        <f t="shared" si="52"/>
        <v>0.18958170717533418</v>
      </c>
      <c r="BQ24" s="1071"/>
      <c r="BR24" s="77">
        <f t="shared" si="40"/>
        <v>36823</v>
      </c>
      <c r="BS24" s="35"/>
      <c r="BT24" s="35">
        <v>36823</v>
      </c>
      <c r="BU24" s="74">
        <f t="shared" si="71"/>
        <v>0</v>
      </c>
      <c r="BV24" s="74">
        <f t="shared" si="53"/>
        <v>74153</v>
      </c>
      <c r="BW24" s="74">
        <f t="shared" si="54"/>
        <v>470.83972311807605</v>
      </c>
      <c r="BX24" s="1098"/>
      <c r="BY24" s="295">
        <v>800</v>
      </c>
      <c r="BZ24" s="296"/>
      <c r="CA24" s="296">
        <v>800</v>
      </c>
      <c r="CB24" s="296"/>
      <c r="CC24" s="297"/>
      <c r="CD24" s="296">
        <f t="shared" si="72"/>
        <v>2950</v>
      </c>
      <c r="CE24" s="297">
        <f t="shared" si="73"/>
        <v>0.23419850760772021</v>
      </c>
      <c r="CF24" s="1061"/>
      <c r="CH24">
        <f t="shared" si="29"/>
        <v>0</v>
      </c>
    </row>
    <row r="25" spans="1:86">
      <c r="A25" s="30">
        <v>43973</v>
      </c>
      <c r="B25" s="32">
        <v>428303</v>
      </c>
      <c r="C25" s="1">
        <f t="shared" si="12"/>
        <v>13024455</v>
      </c>
      <c r="D25" s="91">
        <v>3744.18</v>
      </c>
      <c r="E25" s="93">
        <f t="shared" si="23"/>
        <v>161235.14000000001</v>
      </c>
      <c r="F25" s="240">
        <f t="shared" si="43"/>
        <v>41400</v>
      </c>
      <c r="G25" s="240"/>
      <c r="H25" s="280"/>
      <c r="I25" s="240">
        <f>14800+800+15000</f>
        <v>30600</v>
      </c>
      <c r="J25" s="240">
        <f t="shared" si="75"/>
        <v>10800</v>
      </c>
      <c r="K25" s="280">
        <f t="shared" si="76"/>
        <v>25.215793491990482</v>
      </c>
      <c r="L25" s="240">
        <f t="shared" si="24"/>
        <v>295360</v>
      </c>
      <c r="M25" s="280">
        <f t="shared" si="46"/>
        <v>22.677340433822376</v>
      </c>
      <c r="N25" s="280">
        <f t="shared" si="47"/>
        <v>2.7767038611267756</v>
      </c>
      <c r="O25" s="1089"/>
      <c r="P25" s="1084"/>
      <c r="Q25" s="35">
        <f t="shared" si="48"/>
        <v>32387</v>
      </c>
      <c r="R25" s="35"/>
      <c r="S25" s="35">
        <v>32387</v>
      </c>
      <c r="T25" s="35"/>
      <c r="U25" s="36"/>
      <c r="V25" s="74">
        <f t="shared" si="55"/>
        <v>22891</v>
      </c>
      <c r="W25" s="36">
        <f t="shared" si="56"/>
        <v>1.7575399508079226</v>
      </c>
      <c r="X25" s="1136"/>
      <c r="Y25" s="49">
        <f t="shared" si="32"/>
        <v>449</v>
      </c>
      <c r="Z25" s="50"/>
      <c r="AA25" s="50">
        <f>246+45</f>
        <v>291</v>
      </c>
      <c r="AB25" s="50">
        <f t="shared" si="57"/>
        <v>158</v>
      </c>
      <c r="AC25" s="51">
        <f t="shared" si="58"/>
        <v>0.36889771960504597</v>
      </c>
      <c r="AD25" s="50">
        <f t="shared" si="59"/>
        <v>5452</v>
      </c>
      <c r="AE25" s="51">
        <f t="shared" si="1"/>
        <v>0.41859716970882849</v>
      </c>
      <c r="AF25" s="1047"/>
      <c r="AG25" s="40">
        <f t="shared" si="36"/>
        <v>567</v>
      </c>
      <c r="AH25" s="41"/>
      <c r="AI25" s="41">
        <v>528</v>
      </c>
      <c r="AJ25" s="41">
        <f t="shared" si="60"/>
        <v>39</v>
      </c>
      <c r="AK25" s="42">
        <f t="shared" si="61"/>
        <v>9.1057032054410084E-2</v>
      </c>
      <c r="AL25" s="41">
        <f t="shared" si="62"/>
        <v>2355</v>
      </c>
      <c r="AM25" s="42">
        <f t="shared" si="63"/>
        <v>0.18081370775207101</v>
      </c>
      <c r="AN25" s="1058"/>
      <c r="AO25" s="67">
        <v>3.3</v>
      </c>
      <c r="AP25" s="67">
        <v>24</v>
      </c>
      <c r="AQ25" s="68">
        <f t="shared" si="77"/>
        <v>39.366359999999993</v>
      </c>
      <c r="AR25" s="68">
        <f t="shared" si="64"/>
        <v>10.514013749338973</v>
      </c>
      <c r="AS25" s="69">
        <f t="shared" si="65"/>
        <v>1371.8580000000004</v>
      </c>
      <c r="AT25" s="140">
        <f t="shared" si="66"/>
        <v>8.5084306063802249</v>
      </c>
      <c r="AU25" s="1073"/>
      <c r="AV25" s="71">
        <v>1.4</v>
      </c>
      <c r="AW25" s="71">
        <v>12</v>
      </c>
      <c r="AX25" s="72">
        <f t="shared" si="78"/>
        <v>8.6810639999999992</v>
      </c>
      <c r="AY25" s="72">
        <f t="shared" si="74"/>
        <v>2.3185487877185387</v>
      </c>
      <c r="AZ25" s="73">
        <f t="shared" si="67"/>
        <v>438.393732</v>
      </c>
      <c r="BA25" s="192">
        <f t="shared" si="68"/>
        <v>2.7189713855180702</v>
      </c>
      <c r="BB25" s="1075"/>
      <c r="BC25" s="56">
        <f t="shared" si="38"/>
        <v>41359</v>
      </c>
      <c r="BD25" s="56"/>
      <c r="BE25" s="56">
        <v>41359</v>
      </c>
      <c r="BF25" s="57"/>
      <c r="BG25" s="58">
        <f t="shared" si="69"/>
        <v>9576</v>
      </c>
      <c r="BH25" s="58">
        <f t="shared" si="70"/>
        <v>59.391519739431487</v>
      </c>
      <c r="BI25" s="1133"/>
      <c r="BJ25" s="63">
        <f t="shared" si="39"/>
        <v>1200</v>
      </c>
      <c r="BK25" s="64"/>
      <c r="BL25" s="64">
        <v>1140</v>
      </c>
      <c r="BM25" s="64">
        <f t="shared" si="49"/>
        <v>60</v>
      </c>
      <c r="BN25" s="65">
        <f t="shared" si="50"/>
        <v>0.14008774162216936</v>
      </c>
      <c r="BO25" s="64">
        <f t="shared" si="51"/>
        <v>2448</v>
      </c>
      <c r="BP25" s="65">
        <f t="shared" si="52"/>
        <v>0.18795412168877701</v>
      </c>
      <c r="BQ25" s="1071"/>
      <c r="BR25" s="77">
        <f t="shared" si="40"/>
        <v>36823</v>
      </c>
      <c r="BS25" s="35"/>
      <c r="BT25" s="35">
        <v>36823</v>
      </c>
      <c r="BU25" s="74">
        <f t="shared" si="71"/>
        <v>0</v>
      </c>
      <c r="BV25" s="74">
        <f t="shared" si="53"/>
        <v>74153</v>
      </c>
      <c r="BW25" s="74">
        <f t="shared" si="54"/>
        <v>459.9059485419865</v>
      </c>
      <c r="BX25" s="1098"/>
      <c r="BY25" s="295">
        <v>800</v>
      </c>
      <c r="BZ25" s="296"/>
      <c r="CA25" s="296">
        <v>800</v>
      </c>
      <c r="CB25" s="296"/>
      <c r="CC25" s="297"/>
      <c r="CD25" s="296">
        <f t="shared" si="72"/>
        <v>2950</v>
      </c>
      <c r="CE25" s="297">
        <f t="shared" si="73"/>
        <v>0.22649700121809319</v>
      </c>
      <c r="CF25" s="1061"/>
      <c r="CH25">
        <f t="shared" si="29"/>
        <v>668525</v>
      </c>
    </row>
    <row r="26" spans="1:86">
      <c r="A26" s="30">
        <v>43974</v>
      </c>
      <c r="B26" s="32">
        <v>76644</v>
      </c>
      <c r="C26" s="1">
        <f t="shared" si="12"/>
        <v>13101099</v>
      </c>
      <c r="D26" s="91">
        <v>0</v>
      </c>
      <c r="E26" s="93">
        <f t="shared" si="23"/>
        <v>161235.14000000001</v>
      </c>
      <c r="F26" s="240">
        <f t="shared" si="43"/>
        <v>30600</v>
      </c>
      <c r="G26" s="240"/>
      <c r="H26" s="280"/>
      <c r="I26" s="240">
        <f>14800+800+15000</f>
        <v>30600</v>
      </c>
      <c r="J26" s="240"/>
      <c r="K26" s="280"/>
      <c r="L26" s="240">
        <f t="shared" si="24"/>
        <v>295360</v>
      </c>
      <c r="M26" s="280">
        <f t="shared" si="46"/>
        <v>22.544673542273056</v>
      </c>
      <c r="N26" s="280">
        <f t="shared" si="47"/>
        <v>2.7604595986620617</v>
      </c>
      <c r="O26" s="1089"/>
      <c r="P26" s="1084"/>
      <c r="Q26" s="35">
        <f t="shared" si="48"/>
        <v>32387</v>
      </c>
      <c r="R26" s="35"/>
      <c r="S26" s="35">
        <v>32387</v>
      </c>
      <c r="T26" s="35"/>
      <c r="U26" s="36"/>
      <c r="V26" s="74">
        <f t="shared" si="55"/>
        <v>22891</v>
      </c>
      <c r="W26" s="36">
        <f t="shared" si="56"/>
        <v>1.7472579972107682</v>
      </c>
      <c r="X26" s="1136"/>
      <c r="Y26" s="49">
        <f t="shared" si="32"/>
        <v>291</v>
      </c>
      <c r="Z26" s="50"/>
      <c r="AA26" s="50">
        <f>246+45</f>
        <v>291</v>
      </c>
      <c r="AB26" s="50"/>
      <c r="AC26" s="51"/>
      <c r="AD26" s="50">
        <f t="shared" si="59"/>
        <v>5452</v>
      </c>
      <c r="AE26" s="51">
        <f t="shared" si="1"/>
        <v>0.41614829412402732</v>
      </c>
      <c r="AF26" s="1047"/>
      <c r="AG26" s="40">
        <f t="shared" si="36"/>
        <v>528</v>
      </c>
      <c r="AH26" s="41"/>
      <c r="AI26" s="41">
        <v>528</v>
      </c>
      <c r="AJ26" s="41">
        <f t="shared" si="60"/>
        <v>0</v>
      </c>
      <c r="AK26" s="42">
        <f t="shared" si="61"/>
        <v>0</v>
      </c>
      <c r="AL26" s="41">
        <f t="shared" si="62"/>
        <v>2355</v>
      </c>
      <c r="AM26" s="42">
        <f t="shared" si="63"/>
        <v>0.17975591208035296</v>
      </c>
      <c r="AN26" s="1058"/>
      <c r="AO26" s="67">
        <v>0.2</v>
      </c>
      <c r="AP26" s="67">
        <v>24</v>
      </c>
      <c r="AQ26" s="68">
        <f t="shared" si="77"/>
        <v>2.3858400000000004</v>
      </c>
      <c r="AR26" s="68"/>
      <c r="AS26" s="69">
        <f t="shared" si="65"/>
        <v>1374.2438400000003</v>
      </c>
      <c r="AT26" s="140">
        <f t="shared" si="66"/>
        <v>8.5232278770000143</v>
      </c>
      <c r="AU26" s="1073"/>
      <c r="AV26" s="71">
        <v>0</v>
      </c>
      <c r="AW26" s="71">
        <v>12</v>
      </c>
      <c r="AX26" s="72">
        <f t="shared" ref="AX26:AX60" si="79">AV26*AW26*0.51673</f>
        <v>0</v>
      </c>
      <c r="AY26" s="72"/>
      <c r="AZ26" s="73">
        <f t="shared" si="67"/>
        <v>438.393732</v>
      </c>
      <c r="BA26" s="192">
        <f t="shared" si="68"/>
        <v>2.7189713855180702</v>
      </c>
      <c r="BB26" s="1075"/>
      <c r="BC26" s="56">
        <f t="shared" si="38"/>
        <v>41359</v>
      </c>
      <c r="BD26" s="56"/>
      <c r="BE26" s="56">
        <v>41359</v>
      </c>
      <c r="BF26" s="57"/>
      <c r="BG26" s="58">
        <f t="shared" si="69"/>
        <v>9576</v>
      </c>
      <c r="BH26" s="58">
        <f t="shared" si="70"/>
        <v>59.391519739431487</v>
      </c>
      <c r="BI26" s="1133"/>
      <c r="BJ26" s="63">
        <f t="shared" si="39"/>
        <v>1140</v>
      </c>
      <c r="BK26" s="64"/>
      <c r="BL26" s="64">
        <v>1140</v>
      </c>
      <c r="BM26" s="64"/>
      <c r="BN26" s="65"/>
      <c r="BO26" s="64">
        <f t="shared" si="51"/>
        <v>2448</v>
      </c>
      <c r="BP26" s="65">
        <f t="shared" si="52"/>
        <v>0.18685455319435415</v>
      </c>
      <c r="BQ26" s="1071"/>
      <c r="BR26" s="77">
        <f t="shared" si="40"/>
        <v>36823</v>
      </c>
      <c r="BS26" s="35">
        <v>32380</v>
      </c>
      <c r="BT26" s="35">
        <f>55203+14000</f>
        <v>69203</v>
      </c>
      <c r="BU26" s="74">
        <f t="shared" si="71"/>
        <v>0</v>
      </c>
      <c r="BV26" s="74">
        <f t="shared" si="53"/>
        <v>74153</v>
      </c>
      <c r="BW26" s="74">
        <f t="shared" si="54"/>
        <v>459.9059485419865</v>
      </c>
      <c r="BX26" s="1098"/>
      <c r="BY26" s="295">
        <v>800</v>
      </c>
      <c r="BZ26" s="296"/>
      <c r="CA26" s="296">
        <v>800</v>
      </c>
      <c r="CB26" s="296"/>
      <c r="CC26" s="297"/>
      <c r="CD26" s="296">
        <f t="shared" si="72"/>
        <v>2950</v>
      </c>
      <c r="CE26" s="297">
        <f t="shared" si="73"/>
        <v>0.22517194931509182</v>
      </c>
      <c r="CF26" s="1061"/>
      <c r="CH26">
        <f t="shared" si="29"/>
        <v>0</v>
      </c>
    </row>
    <row r="27" spans="1:86">
      <c r="A27" s="30">
        <v>43975</v>
      </c>
      <c r="B27" s="32">
        <v>0</v>
      </c>
      <c r="C27" s="1">
        <f t="shared" si="12"/>
        <v>13101099</v>
      </c>
      <c r="D27" s="91">
        <v>0</v>
      </c>
      <c r="E27" s="93">
        <f t="shared" si="23"/>
        <v>161235.14000000001</v>
      </c>
      <c r="F27" s="240">
        <f t="shared" si="43"/>
        <v>30600</v>
      </c>
      <c r="G27" s="240"/>
      <c r="H27" s="280"/>
      <c r="I27" s="240">
        <f>14800+800+15000</f>
        <v>30600</v>
      </c>
      <c r="J27" s="240"/>
      <c r="K27" s="280"/>
      <c r="L27" s="240">
        <f t="shared" si="24"/>
        <v>295360</v>
      </c>
      <c r="M27" s="280">
        <f t="shared" si="46"/>
        <v>22.544673542273056</v>
      </c>
      <c r="N27" s="280">
        <f t="shared" si="47"/>
        <v>2.7604595986620617</v>
      </c>
      <c r="O27" s="1089"/>
      <c r="P27" s="1084"/>
      <c r="Q27" s="35">
        <f t="shared" si="48"/>
        <v>32387</v>
      </c>
      <c r="R27" s="35"/>
      <c r="S27" s="35">
        <v>32387</v>
      </c>
      <c r="T27" s="35"/>
      <c r="U27" s="36"/>
      <c r="V27" s="74">
        <f t="shared" si="55"/>
        <v>22891</v>
      </c>
      <c r="W27" s="36">
        <f t="shared" si="56"/>
        <v>1.7472579972107682</v>
      </c>
      <c r="X27" s="1136"/>
      <c r="Y27" s="49">
        <f t="shared" si="32"/>
        <v>291</v>
      </c>
      <c r="Z27" s="50"/>
      <c r="AA27" s="50">
        <f>246+45</f>
        <v>291</v>
      </c>
      <c r="AB27" s="50"/>
      <c r="AC27" s="51"/>
      <c r="AD27" s="50">
        <f t="shared" si="59"/>
        <v>5452</v>
      </c>
      <c r="AE27" s="51">
        <f t="shared" si="1"/>
        <v>0.41614829412402732</v>
      </c>
      <c r="AF27" s="1047"/>
      <c r="AG27" s="40">
        <f t="shared" si="36"/>
        <v>528</v>
      </c>
      <c r="AH27" s="41"/>
      <c r="AI27" s="41">
        <v>509</v>
      </c>
      <c r="AJ27" s="41">
        <f t="shared" si="60"/>
        <v>19</v>
      </c>
      <c r="AK27" s="42"/>
      <c r="AL27" s="41">
        <f t="shared" si="62"/>
        <v>2374</v>
      </c>
      <c r="AM27" s="42">
        <f t="shared" si="63"/>
        <v>0.18120617209289083</v>
      </c>
      <c r="AN27" s="1058"/>
      <c r="AO27" s="67">
        <v>0</v>
      </c>
      <c r="AP27" s="67">
        <v>24</v>
      </c>
      <c r="AQ27" s="68">
        <f t="shared" si="77"/>
        <v>0</v>
      </c>
      <c r="AR27" s="68"/>
      <c r="AS27" s="69">
        <f t="shared" si="65"/>
        <v>1374.2438400000003</v>
      </c>
      <c r="AT27" s="140">
        <f t="shared" si="66"/>
        <v>8.5232278770000143</v>
      </c>
      <c r="AU27" s="1073"/>
      <c r="AV27" s="71">
        <v>0</v>
      </c>
      <c r="AW27" s="71">
        <v>12</v>
      </c>
      <c r="AX27" s="72">
        <f t="shared" si="79"/>
        <v>0</v>
      </c>
      <c r="AY27" s="72"/>
      <c r="AZ27" s="73">
        <f t="shared" si="67"/>
        <v>438.393732</v>
      </c>
      <c r="BA27" s="192">
        <f t="shared" si="68"/>
        <v>2.7189713855180702</v>
      </c>
      <c r="BB27" s="1075"/>
      <c r="BC27" s="56">
        <f t="shared" si="38"/>
        <v>41359</v>
      </c>
      <c r="BD27" s="56"/>
      <c r="BE27" s="56">
        <v>41359</v>
      </c>
      <c r="BF27" s="57"/>
      <c r="BG27" s="58">
        <f t="shared" si="69"/>
        <v>9576</v>
      </c>
      <c r="BH27" s="58">
        <f t="shared" si="70"/>
        <v>59.391519739431487</v>
      </c>
      <c r="BI27" s="1133"/>
      <c r="BJ27" s="63">
        <f t="shared" si="39"/>
        <v>1140</v>
      </c>
      <c r="BK27" s="64"/>
      <c r="BL27" s="64">
        <v>1140</v>
      </c>
      <c r="BM27" s="64"/>
      <c r="BN27" s="65"/>
      <c r="BO27" s="64">
        <f t="shared" si="51"/>
        <v>2448</v>
      </c>
      <c r="BP27" s="65">
        <f t="shared" si="52"/>
        <v>0.18685455319435415</v>
      </c>
      <c r="BQ27" s="1071"/>
      <c r="BR27" s="77">
        <f t="shared" si="40"/>
        <v>69203</v>
      </c>
      <c r="BS27" s="35"/>
      <c r="BT27" s="35">
        <f>55203+14000</f>
        <v>69203</v>
      </c>
      <c r="BU27" s="74">
        <f t="shared" si="71"/>
        <v>0</v>
      </c>
      <c r="BV27" s="74">
        <f t="shared" si="53"/>
        <v>74153</v>
      </c>
      <c r="BW27" s="74">
        <f t="shared" si="54"/>
        <v>459.9059485419865</v>
      </c>
      <c r="BX27" s="1098"/>
      <c r="BY27" s="295">
        <v>800</v>
      </c>
      <c r="BZ27" s="296"/>
      <c r="CA27" s="296">
        <v>800</v>
      </c>
      <c r="CB27" s="296"/>
      <c r="CC27" s="297"/>
      <c r="CD27" s="296">
        <f t="shared" si="72"/>
        <v>2950</v>
      </c>
      <c r="CE27" s="297">
        <f t="shared" si="73"/>
        <v>0.22517194931509182</v>
      </c>
      <c r="CF27" s="1061"/>
      <c r="CH27">
        <f t="shared" si="29"/>
        <v>0</v>
      </c>
    </row>
    <row r="28" spans="1:86">
      <c r="A28" s="30">
        <v>43976</v>
      </c>
      <c r="B28" s="32">
        <v>103122</v>
      </c>
      <c r="C28" s="1">
        <f t="shared" si="12"/>
        <v>13204221</v>
      </c>
      <c r="D28" s="91">
        <v>1851.54</v>
      </c>
      <c r="E28" s="93">
        <f t="shared" si="23"/>
        <v>163086.68000000002</v>
      </c>
      <c r="F28" s="240">
        <f t="shared" si="43"/>
        <v>30600</v>
      </c>
      <c r="G28" s="240"/>
      <c r="H28" s="280"/>
      <c r="I28" s="240">
        <f>14800+800+15000</f>
        <v>30600</v>
      </c>
      <c r="J28" s="240"/>
      <c r="K28" s="280"/>
      <c r="L28" s="240">
        <f t="shared" si="24"/>
        <v>295360</v>
      </c>
      <c r="M28" s="280">
        <f t="shared" si="46"/>
        <v>22.368604706025444</v>
      </c>
      <c r="N28" s="280">
        <f t="shared" si="47"/>
        <v>2.7389010292672271</v>
      </c>
      <c r="O28" s="1089"/>
      <c r="P28" s="1084"/>
      <c r="Q28" s="35">
        <f t="shared" si="48"/>
        <v>32387</v>
      </c>
      <c r="R28" s="35"/>
      <c r="S28" s="35">
        <v>32387</v>
      </c>
      <c r="T28" s="35"/>
      <c r="U28" s="36"/>
      <c r="V28" s="74">
        <f t="shared" si="55"/>
        <v>22891</v>
      </c>
      <c r="W28" s="36">
        <f t="shared" si="56"/>
        <v>1.7336123047319489</v>
      </c>
      <c r="X28" s="1136"/>
      <c r="Y28" s="49">
        <f t="shared" si="32"/>
        <v>291</v>
      </c>
      <c r="Z28" s="50"/>
      <c r="AA28" s="50">
        <f>196+95</f>
        <v>291</v>
      </c>
      <c r="AB28" s="50"/>
      <c r="AC28" s="51"/>
      <c r="AD28" s="50">
        <f t="shared" si="59"/>
        <v>5452</v>
      </c>
      <c r="AE28" s="51">
        <f t="shared" si="1"/>
        <v>0.41289826942460295</v>
      </c>
      <c r="AF28" s="1047"/>
      <c r="AG28" s="40">
        <f t="shared" si="36"/>
        <v>509</v>
      </c>
      <c r="AH28" s="41"/>
      <c r="AI28" s="41">
        <v>509</v>
      </c>
      <c r="AJ28" s="41">
        <f t="shared" si="60"/>
        <v>0</v>
      </c>
      <c r="AK28" s="42">
        <f t="shared" ref="AK28:AK36" si="80">AJ28*1000/B28</f>
        <v>0</v>
      </c>
      <c r="AL28" s="41">
        <f t="shared" si="62"/>
        <v>2374</v>
      </c>
      <c r="AM28" s="42">
        <f t="shared" si="63"/>
        <v>0.17979099259244449</v>
      </c>
      <c r="AN28" s="1058"/>
      <c r="AO28" s="67">
        <v>1.3</v>
      </c>
      <c r="AP28" s="67">
        <v>24</v>
      </c>
      <c r="AQ28" s="68">
        <f t="shared" si="77"/>
        <v>15.507960000000001</v>
      </c>
      <c r="AR28" s="68">
        <f t="shared" ref="AR28:AR36" si="81">AQ28*1000/D28</f>
        <v>8.3757088693736037</v>
      </c>
      <c r="AS28" s="69">
        <f t="shared" si="65"/>
        <v>1389.7518000000002</v>
      </c>
      <c r="AT28" s="140">
        <f t="shared" si="66"/>
        <v>8.5215530783997817</v>
      </c>
      <c r="AU28" s="1073"/>
      <c r="AV28" s="71">
        <v>0.8</v>
      </c>
      <c r="AW28" s="71">
        <v>12</v>
      </c>
      <c r="AX28" s="72">
        <f t="shared" si="79"/>
        <v>4.9606080000000006</v>
      </c>
      <c r="AY28" s="72">
        <f t="shared" ref="AY28:AY36" si="82">AX28*1000/D28</f>
        <v>2.6791794938267608</v>
      </c>
      <c r="AZ28" s="73">
        <f t="shared" si="67"/>
        <v>443.35433999999998</v>
      </c>
      <c r="BA28" s="192">
        <f t="shared" si="68"/>
        <v>2.7185196240428704</v>
      </c>
      <c r="BB28" s="1075"/>
      <c r="BC28" s="56">
        <f t="shared" si="38"/>
        <v>41359</v>
      </c>
      <c r="BD28" s="56"/>
      <c r="BE28" s="56">
        <v>35919</v>
      </c>
      <c r="BF28" s="357">
        <f>BC28-BE28+BD28</f>
        <v>5440</v>
      </c>
      <c r="BG28" s="58">
        <f t="shared" si="69"/>
        <v>15016</v>
      </c>
      <c r="BH28" s="58">
        <f t="shared" si="70"/>
        <v>92.073736493992016</v>
      </c>
      <c r="BI28" s="1133"/>
      <c r="BJ28" s="63">
        <f t="shared" si="39"/>
        <v>1140</v>
      </c>
      <c r="BK28" s="64"/>
      <c r="BL28" s="64">
        <v>1140</v>
      </c>
      <c r="BM28" s="64"/>
      <c r="BN28" s="65"/>
      <c r="BO28" s="64">
        <f t="shared" si="51"/>
        <v>2448</v>
      </c>
      <c r="BP28" s="65">
        <f t="shared" si="52"/>
        <v>0.18539526110627805</v>
      </c>
      <c r="BQ28" s="1071"/>
      <c r="BR28" s="77">
        <f t="shared" si="40"/>
        <v>69203</v>
      </c>
      <c r="BS28" s="35"/>
      <c r="BT28" s="35">
        <f>51506+14000</f>
        <v>65506</v>
      </c>
      <c r="BU28" s="74">
        <f t="shared" si="71"/>
        <v>3697</v>
      </c>
      <c r="BV28" s="74">
        <f t="shared" si="53"/>
        <v>77850</v>
      </c>
      <c r="BW28" s="74">
        <f t="shared" si="54"/>
        <v>477.35351532080972</v>
      </c>
      <c r="BX28" s="1098"/>
      <c r="BY28" s="295">
        <v>800</v>
      </c>
      <c r="BZ28" s="296"/>
      <c r="CA28" s="296">
        <v>800</v>
      </c>
      <c r="CB28" s="296"/>
      <c r="CC28" s="297"/>
      <c r="CD28" s="296">
        <f t="shared" si="72"/>
        <v>2950</v>
      </c>
      <c r="CE28" s="297">
        <f t="shared" si="73"/>
        <v>0.22341340697039228</v>
      </c>
      <c r="CF28" s="1061"/>
      <c r="CH28">
        <f t="shared" si="29"/>
        <v>0</v>
      </c>
    </row>
    <row r="29" spans="1:86">
      <c r="A29" s="30">
        <v>43977</v>
      </c>
      <c r="B29" s="32">
        <v>248346</v>
      </c>
      <c r="C29" s="1">
        <f t="shared" si="12"/>
        <v>13452567</v>
      </c>
      <c r="D29" s="91">
        <v>4288.62</v>
      </c>
      <c r="E29" s="93">
        <f t="shared" si="23"/>
        <v>167375.30000000002</v>
      </c>
      <c r="F29" s="240">
        <f t="shared" si="43"/>
        <v>30600</v>
      </c>
      <c r="G29" s="240"/>
      <c r="H29" s="280"/>
      <c r="I29" s="240">
        <f>8000+16700</f>
        <v>24700</v>
      </c>
      <c r="J29" s="240">
        <f>F29+G29-I29</f>
        <v>5900</v>
      </c>
      <c r="K29" s="280">
        <f>J29*1000/B29</f>
        <v>23.757177486249024</v>
      </c>
      <c r="L29" s="240">
        <f t="shared" si="24"/>
        <v>301260</v>
      </c>
      <c r="M29" s="280">
        <f t="shared" si="46"/>
        <v>22.394238958259788</v>
      </c>
      <c r="N29" s="280">
        <f t="shared" si="47"/>
        <v>2.7420397891832726</v>
      </c>
      <c r="O29" s="1089"/>
      <c r="P29" s="1084"/>
      <c r="Q29" s="35">
        <f t="shared" si="48"/>
        <v>32387</v>
      </c>
      <c r="R29" s="35"/>
      <c r="S29" s="35">
        <v>32118</v>
      </c>
      <c r="T29" s="35">
        <f>Q29+R29-S29</f>
        <v>269</v>
      </c>
      <c r="U29" s="36">
        <f>1000*T29/B29</f>
        <v>1.0831662277628793</v>
      </c>
      <c r="V29" s="74">
        <f t="shared" si="55"/>
        <v>23160</v>
      </c>
      <c r="W29" s="36">
        <f t="shared" si="56"/>
        <v>1.7216045086413618</v>
      </c>
      <c r="X29" s="1136"/>
      <c r="Y29" s="49">
        <f t="shared" si="32"/>
        <v>291</v>
      </c>
      <c r="Z29" s="50"/>
      <c r="AA29" s="50">
        <f>96+30</f>
        <v>126</v>
      </c>
      <c r="AB29" s="50">
        <f t="shared" ref="AB29:AB36" si="83">Y29+Z29-AA29</f>
        <v>165</v>
      </c>
      <c r="AC29" s="51">
        <f t="shared" ref="AC29:AC36" si="84">AB29*1000/B29</f>
        <v>0.6643956415645913</v>
      </c>
      <c r="AD29" s="50">
        <f t="shared" si="59"/>
        <v>5617</v>
      </c>
      <c r="AE29" s="51">
        <f t="shared" si="1"/>
        <v>0.41754112802411614</v>
      </c>
      <c r="AF29" s="1047"/>
      <c r="AG29" s="40">
        <f t="shared" si="36"/>
        <v>509</v>
      </c>
      <c r="AH29" s="41"/>
      <c r="AI29" s="41">
        <v>471</v>
      </c>
      <c r="AJ29" s="41">
        <f t="shared" si="60"/>
        <v>38</v>
      </c>
      <c r="AK29" s="42">
        <f t="shared" si="80"/>
        <v>0.15301232957245134</v>
      </c>
      <c r="AL29" s="41">
        <f t="shared" si="62"/>
        <v>2412</v>
      </c>
      <c r="AM29" s="42">
        <f t="shared" si="63"/>
        <v>0.17929663535591386</v>
      </c>
      <c r="AN29" s="1058"/>
      <c r="AO29" s="67">
        <v>3.8</v>
      </c>
      <c r="AP29" s="67">
        <v>24</v>
      </c>
      <c r="AQ29" s="68">
        <f>AO29*AP29*0.49705</f>
        <v>45.33095999999999</v>
      </c>
      <c r="AR29" s="68">
        <f t="shared" si="81"/>
        <v>10.570057501014311</v>
      </c>
      <c r="AS29" s="69">
        <f t="shared" si="65"/>
        <v>1435.0827600000002</v>
      </c>
      <c r="AT29" s="140">
        <f t="shared" si="66"/>
        <v>8.5740414505605074</v>
      </c>
      <c r="AU29" s="1073"/>
      <c r="AV29" s="71">
        <v>1.9</v>
      </c>
      <c r="AW29" s="71">
        <v>12</v>
      </c>
      <c r="AX29" s="72">
        <f t="shared" si="79"/>
        <v>11.781443999999999</v>
      </c>
      <c r="AY29" s="72">
        <f t="shared" si="82"/>
        <v>2.7471410383759811</v>
      </c>
      <c r="AZ29" s="73">
        <f t="shared" si="67"/>
        <v>455.135784</v>
      </c>
      <c r="BA29" s="192">
        <f t="shared" si="68"/>
        <v>2.7192529841619399</v>
      </c>
      <c r="BB29" s="1075"/>
      <c r="BC29" s="56">
        <f t="shared" si="38"/>
        <v>35919</v>
      </c>
      <c r="BD29" s="56"/>
      <c r="BE29" s="56">
        <v>35919</v>
      </c>
      <c r="BF29" s="57"/>
      <c r="BG29" s="58">
        <f t="shared" si="69"/>
        <v>15016</v>
      </c>
      <c r="BH29" s="58">
        <f t="shared" si="70"/>
        <v>89.714551669212838</v>
      </c>
      <c r="BI29" s="1133"/>
      <c r="BJ29" s="63">
        <f t="shared" si="39"/>
        <v>1140</v>
      </c>
      <c r="BK29" s="64"/>
      <c r="BL29" s="64">
        <v>972</v>
      </c>
      <c r="BM29" s="64">
        <f t="shared" ref="BM29:BM36" si="85">BJ29+BK29-BL29</f>
        <v>168</v>
      </c>
      <c r="BN29" s="65">
        <f t="shared" ref="BN29:BN36" si="86">BM29*1000/B29</f>
        <v>0.67647556232031114</v>
      </c>
      <c r="BO29" s="64">
        <f t="shared" si="51"/>
        <v>2616</v>
      </c>
      <c r="BP29" s="65">
        <f t="shared" si="52"/>
        <v>0.1944610274009414</v>
      </c>
      <c r="BQ29" s="1071"/>
      <c r="BR29" s="77">
        <f t="shared" si="40"/>
        <v>65506</v>
      </c>
      <c r="BS29" s="35"/>
      <c r="BT29" s="35">
        <f>48734+14000</f>
        <v>62734</v>
      </c>
      <c r="BU29" s="74">
        <f t="shared" si="71"/>
        <v>2772</v>
      </c>
      <c r="BV29" s="74">
        <f t="shared" si="53"/>
        <v>80622</v>
      </c>
      <c r="BW29" s="74">
        <f t="shared" si="54"/>
        <v>481.68397607054322</v>
      </c>
      <c r="BX29" s="1098"/>
      <c r="BY29" s="295">
        <v>800</v>
      </c>
      <c r="BZ29" s="296"/>
      <c r="CA29" s="296">
        <v>800</v>
      </c>
      <c r="CB29" s="296"/>
      <c r="CC29" s="297"/>
      <c r="CD29" s="296">
        <f t="shared" si="72"/>
        <v>2950</v>
      </c>
      <c r="CE29" s="297">
        <f t="shared" si="73"/>
        <v>0.21928900261191786</v>
      </c>
      <c r="CF29" s="1061"/>
      <c r="CH29">
        <f t="shared" si="29"/>
        <v>0</v>
      </c>
    </row>
    <row r="30" spans="1:86">
      <c r="A30" s="30">
        <v>43978</v>
      </c>
      <c r="B30" s="32">
        <v>430102</v>
      </c>
      <c r="C30" s="1">
        <f t="shared" si="12"/>
        <v>13882669</v>
      </c>
      <c r="D30" s="91">
        <v>4868.8</v>
      </c>
      <c r="E30" s="93">
        <f t="shared" si="23"/>
        <v>172244.1</v>
      </c>
      <c r="F30" s="240">
        <f t="shared" si="43"/>
        <v>24700</v>
      </c>
      <c r="G30" s="240"/>
      <c r="H30" s="280"/>
      <c r="I30" s="240">
        <f>2000+16600</f>
        <v>18600</v>
      </c>
      <c r="J30" s="240">
        <f>F30+G30-I30</f>
        <v>6100</v>
      </c>
      <c r="K30" s="280">
        <f>J30*1000/B30</f>
        <v>14.182682247466881</v>
      </c>
      <c r="L30" s="240">
        <f t="shared" si="24"/>
        <v>307360</v>
      </c>
      <c r="M30" s="280">
        <f t="shared" si="46"/>
        <v>22.13983492655483</v>
      </c>
      <c r="N30" s="280">
        <f t="shared" si="47"/>
        <v>2.7108895465354266</v>
      </c>
      <c r="O30" s="1089"/>
      <c r="P30" s="1084"/>
      <c r="Q30" s="35">
        <f t="shared" si="48"/>
        <v>32118</v>
      </c>
      <c r="R30" s="35"/>
      <c r="S30" s="35">
        <v>30771</v>
      </c>
      <c r="T30" s="35">
        <f>Q30+R30-S30</f>
        <v>1347</v>
      </c>
      <c r="U30" s="36">
        <f>1000*T30/B30</f>
        <v>3.1318152438258831</v>
      </c>
      <c r="V30" s="74">
        <f t="shared" si="55"/>
        <v>24507</v>
      </c>
      <c r="W30" s="36">
        <f t="shared" si="56"/>
        <v>1.76529455539133</v>
      </c>
      <c r="X30" s="1136"/>
      <c r="Y30" s="49">
        <f t="shared" si="32"/>
        <v>126</v>
      </c>
      <c r="Z30" s="50">
        <v>900</v>
      </c>
      <c r="AA30" s="50">
        <f>779+85</f>
        <v>864</v>
      </c>
      <c r="AB30" s="50">
        <f t="shared" si="83"/>
        <v>162</v>
      </c>
      <c r="AC30" s="51">
        <f t="shared" si="84"/>
        <v>0.37665484001469418</v>
      </c>
      <c r="AD30" s="50">
        <f t="shared" si="59"/>
        <v>5779</v>
      </c>
      <c r="AE30" s="51">
        <f t="shared" si="1"/>
        <v>0.41627442100650819</v>
      </c>
      <c r="AF30" s="1047"/>
      <c r="AG30" s="40">
        <f t="shared" si="36"/>
        <v>471</v>
      </c>
      <c r="AH30" s="41"/>
      <c r="AI30" s="41">
        <v>433</v>
      </c>
      <c r="AJ30" s="41">
        <f t="shared" si="60"/>
        <v>38</v>
      </c>
      <c r="AK30" s="42">
        <f t="shared" si="80"/>
        <v>8.8351135312088755E-2</v>
      </c>
      <c r="AL30" s="41">
        <f t="shared" si="62"/>
        <v>2450</v>
      </c>
      <c r="AM30" s="42">
        <f t="shared" si="63"/>
        <v>0.17647903295828776</v>
      </c>
      <c r="AN30" s="1058"/>
      <c r="AO30" s="67">
        <v>3.8</v>
      </c>
      <c r="AP30" s="67">
        <v>24</v>
      </c>
      <c r="AQ30" s="68">
        <f>AO30*AP30*0.49705</f>
        <v>45.33095999999999</v>
      </c>
      <c r="AR30" s="68">
        <f t="shared" si="81"/>
        <v>9.3104995070653942</v>
      </c>
      <c r="AS30" s="69">
        <f t="shared" si="65"/>
        <v>1480.4137200000002</v>
      </c>
      <c r="AT30" s="140">
        <f t="shared" si="66"/>
        <v>8.5948588079359478</v>
      </c>
      <c r="AU30" s="1073"/>
      <c r="AV30" s="216">
        <v>2</v>
      </c>
      <c r="AW30" s="71">
        <v>12</v>
      </c>
      <c r="AX30" s="72">
        <f t="shared" si="79"/>
        <v>12.401520000000001</v>
      </c>
      <c r="AY30" s="72">
        <f t="shared" si="82"/>
        <v>2.547140979296747</v>
      </c>
      <c r="AZ30" s="73">
        <f t="shared" si="67"/>
        <v>467.53730400000001</v>
      </c>
      <c r="BA30" s="192">
        <f t="shared" si="68"/>
        <v>2.7143879180767292</v>
      </c>
      <c r="BB30" s="1075"/>
      <c r="BC30" s="56">
        <f t="shared" si="38"/>
        <v>35919</v>
      </c>
      <c r="BD30" s="56"/>
      <c r="BE30" s="56">
        <v>35919</v>
      </c>
      <c r="BF30" s="57"/>
      <c r="BG30" s="58">
        <f t="shared" si="69"/>
        <v>15016</v>
      </c>
      <c r="BH30" s="58">
        <f t="shared" si="70"/>
        <v>87.178602924570413</v>
      </c>
      <c r="BI30" s="1133"/>
      <c r="BJ30" s="63">
        <f t="shared" si="39"/>
        <v>972</v>
      </c>
      <c r="BK30" s="64"/>
      <c r="BL30" s="64">
        <v>828</v>
      </c>
      <c r="BM30" s="64">
        <f t="shared" si="85"/>
        <v>144</v>
      </c>
      <c r="BN30" s="65">
        <f t="shared" si="86"/>
        <v>0.33480430223528374</v>
      </c>
      <c r="BO30" s="64">
        <f t="shared" si="51"/>
        <v>2760</v>
      </c>
      <c r="BP30" s="65">
        <f t="shared" si="52"/>
        <v>0.19880903304688746</v>
      </c>
      <c r="BQ30" s="1071"/>
      <c r="BR30" s="77">
        <f t="shared" si="40"/>
        <v>62734</v>
      </c>
      <c r="BS30" s="35"/>
      <c r="BT30" s="35">
        <f>45037+14000</f>
        <v>59037</v>
      </c>
      <c r="BU30" s="74">
        <f t="shared" si="71"/>
        <v>3697</v>
      </c>
      <c r="BV30" s="74">
        <f t="shared" si="53"/>
        <v>84319</v>
      </c>
      <c r="BW30" s="74">
        <f t="shared" si="54"/>
        <v>489.53200719211861</v>
      </c>
      <c r="BX30" s="1098"/>
      <c r="BY30" s="295">
        <v>800</v>
      </c>
      <c r="BZ30" s="296"/>
      <c r="CA30" s="296">
        <v>800</v>
      </c>
      <c r="CB30" s="296"/>
      <c r="CC30" s="297"/>
      <c r="CD30" s="296">
        <f t="shared" si="72"/>
        <v>2950</v>
      </c>
      <c r="CE30" s="297">
        <f t="shared" si="73"/>
        <v>0.21249516213344855</v>
      </c>
      <c r="CF30" s="1061"/>
      <c r="CH30">
        <f t="shared" si="29"/>
        <v>0</v>
      </c>
    </row>
    <row r="31" spans="1:86">
      <c r="A31" s="30">
        <v>43979</v>
      </c>
      <c r="B31" s="32">
        <v>501963</v>
      </c>
      <c r="C31" s="1">
        <f t="shared" si="12"/>
        <v>14384632</v>
      </c>
      <c r="D31" s="91">
        <v>5571.1</v>
      </c>
      <c r="E31" s="93">
        <f t="shared" si="23"/>
        <v>177815.2</v>
      </c>
      <c r="F31" s="240">
        <f t="shared" si="43"/>
        <v>18600</v>
      </c>
      <c r="G31" s="240"/>
      <c r="H31" s="280"/>
      <c r="I31" s="240">
        <f>2000+16600</f>
        <v>18600</v>
      </c>
      <c r="J31" s="240"/>
      <c r="K31" s="280"/>
      <c r="L31" s="240">
        <f t="shared" si="24"/>
        <v>307360</v>
      </c>
      <c r="M31" s="280">
        <f t="shared" si="46"/>
        <v>21.367248046387282</v>
      </c>
      <c r="N31" s="280">
        <f t="shared" si="47"/>
        <v>2.6162909325807862</v>
      </c>
      <c r="O31" s="1089"/>
      <c r="P31" s="1084"/>
      <c r="Q31" s="35">
        <f t="shared" si="48"/>
        <v>30771</v>
      </c>
      <c r="R31" s="35"/>
      <c r="S31" s="35">
        <v>28350</v>
      </c>
      <c r="T31" s="35">
        <f>Q31+R31-S31</f>
        <v>2421</v>
      </c>
      <c r="U31" s="36">
        <f>1000*T31/B31</f>
        <v>4.8230646481912016</v>
      </c>
      <c r="V31" s="74">
        <f t="shared" si="55"/>
        <v>26928</v>
      </c>
      <c r="W31" s="36">
        <f t="shared" si="56"/>
        <v>1.8719978376923372</v>
      </c>
      <c r="X31" s="1136"/>
      <c r="Y31" s="49">
        <f t="shared" si="32"/>
        <v>864</v>
      </c>
      <c r="Z31" s="50"/>
      <c r="AA31" s="50">
        <f>743+60</f>
        <v>803</v>
      </c>
      <c r="AB31" s="50">
        <f t="shared" si="83"/>
        <v>61</v>
      </c>
      <c r="AC31" s="51">
        <f t="shared" si="84"/>
        <v>0.12152290109031941</v>
      </c>
      <c r="AD31" s="50">
        <f t="shared" si="59"/>
        <v>5840</v>
      </c>
      <c r="AE31" s="51">
        <f t="shared" si="1"/>
        <v>0.40598883586316287</v>
      </c>
      <c r="AF31" s="1047"/>
      <c r="AG31" s="40">
        <f t="shared" si="36"/>
        <v>433</v>
      </c>
      <c r="AH31" s="41"/>
      <c r="AI31" s="41">
        <v>360</v>
      </c>
      <c r="AJ31" s="41">
        <f t="shared" si="60"/>
        <v>73</v>
      </c>
      <c r="AK31" s="42">
        <f t="shared" si="80"/>
        <v>0.14542904556710357</v>
      </c>
      <c r="AL31" s="41">
        <f t="shared" si="62"/>
        <v>2523</v>
      </c>
      <c r="AM31" s="42">
        <f t="shared" si="63"/>
        <v>0.17539551932923972</v>
      </c>
      <c r="AN31" s="1058"/>
      <c r="AO31" s="67">
        <v>6.3</v>
      </c>
      <c r="AP31" s="67">
        <v>24</v>
      </c>
      <c r="AQ31" s="68">
        <f t="shared" ref="AQ31:AQ41" si="87">AO31*AP31*0.49705</f>
        <v>75.153959999999998</v>
      </c>
      <c r="AR31" s="68">
        <f t="shared" si="81"/>
        <v>13.489967869900017</v>
      </c>
      <c r="AS31" s="69">
        <f t="shared" si="65"/>
        <v>1555.5676800000003</v>
      </c>
      <c r="AT31" s="140">
        <f t="shared" si="66"/>
        <v>8.7482266982800141</v>
      </c>
      <c r="AU31" s="1073"/>
      <c r="AV31" s="71">
        <v>3.1</v>
      </c>
      <c r="AW31" s="71">
        <v>12</v>
      </c>
      <c r="AX31" s="72">
        <f t="shared" si="79"/>
        <v>19.222356000000001</v>
      </c>
      <c r="AY31" s="72">
        <f t="shared" si="82"/>
        <v>3.4503699448941858</v>
      </c>
      <c r="AZ31" s="73">
        <f t="shared" si="67"/>
        <v>486.75966</v>
      </c>
      <c r="BA31" s="192">
        <f t="shared" si="68"/>
        <v>2.7374468549370352</v>
      </c>
      <c r="BB31" s="1075"/>
      <c r="BC31" s="56">
        <f t="shared" si="38"/>
        <v>35919</v>
      </c>
      <c r="BD31" s="59"/>
      <c r="BE31" s="56">
        <v>35049</v>
      </c>
      <c r="BF31" s="57">
        <f>BC31-BE31+BD31</f>
        <v>870</v>
      </c>
      <c r="BG31" s="58">
        <f t="shared" si="69"/>
        <v>15886</v>
      </c>
      <c r="BH31" s="58">
        <f t="shared" si="70"/>
        <v>89.339943941800243</v>
      </c>
      <c r="BI31" s="1133"/>
      <c r="BJ31" s="63">
        <f t="shared" si="39"/>
        <v>828</v>
      </c>
      <c r="BK31" s="64"/>
      <c r="BL31" s="64">
        <v>684</v>
      </c>
      <c r="BM31" s="64">
        <f t="shared" si="85"/>
        <v>144</v>
      </c>
      <c r="BN31" s="65">
        <f t="shared" si="86"/>
        <v>0.28687373372140973</v>
      </c>
      <c r="BO31" s="64">
        <f t="shared" si="51"/>
        <v>2904</v>
      </c>
      <c r="BP31" s="65">
        <f t="shared" si="52"/>
        <v>0.2018821197511344</v>
      </c>
      <c r="BQ31" s="1071"/>
      <c r="BR31" s="77">
        <f t="shared" si="40"/>
        <v>59037</v>
      </c>
      <c r="BS31" s="35"/>
      <c r="BT31" s="35">
        <f>41340+14000</f>
        <v>55340</v>
      </c>
      <c r="BU31" s="74">
        <f t="shared" ref="BU31:BU44" si="88">BR31+BS31-BT31</f>
        <v>3697</v>
      </c>
      <c r="BV31" s="74">
        <f t="shared" si="53"/>
        <v>88016</v>
      </c>
      <c r="BW31" s="74">
        <f t="shared" ref="BW31:BW94" si="89">BV31*1000/E31</f>
        <v>494.98580548794473</v>
      </c>
      <c r="BX31" s="1098"/>
      <c r="BY31" s="295">
        <v>800</v>
      </c>
      <c r="BZ31" s="296"/>
      <c r="CA31" s="296">
        <v>800</v>
      </c>
      <c r="CB31" s="296"/>
      <c r="CC31" s="297"/>
      <c r="CD31" s="296">
        <f t="shared" si="72"/>
        <v>2950</v>
      </c>
      <c r="CE31" s="297">
        <f t="shared" si="73"/>
        <v>0.20507997701991959</v>
      </c>
      <c r="CF31" s="1061"/>
      <c r="CH31">
        <f t="shared" si="29"/>
        <v>0</v>
      </c>
    </row>
    <row r="32" spans="1:86">
      <c r="A32" s="30">
        <v>43980</v>
      </c>
      <c r="B32" s="32">
        <v>455565</v>
      </c>
      <c r="C32" s="1">
        <f t="shared" si="12"/>
        <v>14840197</v>
      </c>
      <c r="D32" s="29">
        <v>6363.02</v>
      </c>
      <c r="E32" s="93">
        <f t="shared" si="23"/>
        <v>184178.22</v>
      </c>
      <c r="F32" s="240">
        <f t="shared" si="43"/>
        <v>18600</v>
      </c>
      <c r="G32" s="240">
        <v>33600</v>
      </c>
      <c r="H32" s="280">
        <v>24.74</v>
      </c>
      <c r="I32" s="240">
        <f>26000+16600</f>
        <v>42600</v>
      </c>
      <c r="J32" s="240">
        <f>F32+G32-I32</f>
        <v>9600</v>
      </c>
      <c r="K32" s="280">
        <f>J32*1000/B32</f>
        <v>21.072733857956603</v>
      </c>
      <c r="L32" s="240">
        <f t="shared" si="24"/>
        <v>316960</v>
      </c>
      <c r="M32" s="280">
        <f t="shared" si="46"/>
        <v>21.358207037278547</v>
      </c>
      <c r="N32" s="280">
        <f t="shared" si="47"/>
        <v>2.6151839154253151</v>
      </c>
      <c r="O32" s="1089"/>
      <c r="P32" s="1084"/>
      <c r="Q32" s="35">
        <f t="shared" si="48"/>
        <v>28350</v>
      </c>
      <c r="R32" s="35"/>
      <c r="S32" s="35">
        <v>27545</v>
      </c>
      <c r="T32" s="35">
        <f>Q32+R32-S32</f>
        <v>805</v>
      </c>
      <c r="U32" s="36">
        <f>1000*T32/B32</f>
        <v>1.7670365370474026</v>
      </c>
      <c r="V32" s="74">
        <f t="shared" si="55"/>
        <v>27733</v>
      </c>
      <c r="W32" s="36">
        <f t="shared" si="56"/>
        <v>1.8687757312116544</v>
      </c>
      <c r="X32" s="1136"/>
      <c r="Y32" s="49">
        <f t="shared" si="32"/>
        <v>803</v>
      </c>
      <c r="Z32" s="50"/>
      <c r="AA32" s="50">
        <f>528+30</f>
        <v>558</v>
      </c>
      <c r="AB32" s="50">
        <f t="shared" si="83"/>
        <v>245</v>
      </c>
      <c r="AC32" s="51">
        <f t="shared" si="84"/>
        <v>0.5377937286666008</v>
      </c>
      <c r="AD32" s="50">
        <f t="shared" si="59"/>
        <v>6085</v>
      </c>
      <c r="AE32" s="51">
        <f t="shared" si="1"/>
        <v>0.41003498808000999</v>
      </c>
      <c r="AF32" s="1047"/>
      <c r="AG32" s="40">
        <f t="shared" si="36"/>
        <v>360</v>
      </c>
      <c r="AH32" s="44">
        <v>500</v>
      </c>
      <c r="AI32" s="41">
        <v>805</v>
      </c>
      <c r="AJ32" s="41">
        <f t="shared" si="60"/>
        <v>55</v>
      </c>
      <c r="AK32" s="42">
        <f t="shared" si="80"/>
        <v>0.12072920439454304</v>
      </c>
      <c r="AL32" s="41">
        <f t="shared" si="62"/>
        <v>2578</v>
      </c>
      <c r="AM32" s="42">
        <f t="shared" si="63"/>
        <v>0.17371737046347835</v>
      </c>
      <c r="AN32" s="1058"/>
      <c r="AO32" s="67">
        <v>4.2</v>
      </c>
      <c r="AP32" s="67">
        <v>24</v>
      </c>
      <c r="AQ32" s="68">
        <f t="shared" si="87"/>
        <v>50.102640000000008</v>
      </c>
      <c r="AR32" s="68">
        <f t="shared" si="81"/>
        <v>7.8740346564995871</v>
      </c>
      <c r="AS32" s="69">
        <f t="shared" si="65"/>
        <v>1605.6703200000004</v>
      </c>
      <c r="AT32" s="140">
        <f t="shared" si="66"/>
        <v>8.718024965166892</v>
      </c>
      <c r="AU32" s="1073"/>
      <c r="AV32" s="71">
        <v>3.1</v>
      </c>
      <c r="AW32" s="71">
        <v>12</v>
      </c>
      <c r="AX32" s="72">
        <f t="shared" si="79"/>
        <v>19.222356000000001</v>
      </c>
      <c r="AY32" s="72">
        <f t="shared" si="82"/>
        <v>3.0209485433017651</v>
      </c>
      <c r="AZ32" s="73">
        <f t="shared" si="67"/>
        <v>505.98201599999999</v>
      </c>
      <c r="BA32" s="192">
        <f t="shared" si="68"/>
        <v>2.747241318761795</v>
      </c>
      <c r="BB32" s="1075"/>
      <c r="BC32" s="56">
        <f t="shared" si="38"/>
        <v>35049</v>
      </c>
      <c r="BD32" s="59"/>
      <c r="BE32" s="56">
        <v>35049</v>
      </c>
      <c r="BF32" s="57"/>
      <c r="BG32" s="58">
        <f t="shared" si="69"/>
        <v>15886</v>
      </c>
      <c r="BH32" s="58">
        <f t="shared" si="70"/>
        <v>86.253412591347669</v>
      </c>
      <c r="BI32" s="1133"/>
      <c r="BJ32" s="63">
        <f t="shared" si="39"/>
        <v>684</v>
      </c>
      <c r="BK32" s="64"/>
      <c r="BL32" s="64">
        <v>570</v>
      </c>
      <c r="BM32" s="64">
        <f t="shared" si="85"/>
        <v>114</v>
      </c>
      <c r="BN32" s="65">
        <f t="shared" si="86"/>
        <v>0.25023871456323465</v>
      </c>
      <c r="BO32" s="64">
        <f t="shared" si="51"/>
        <v>3018</v>
      </c>
      <c r="BP32" s="65">
        <f t="shared" si="52"/>
        <v>0.20336657255964999</v>
      </c>
      <c r="BQ32" s="1071"/>
      <c r="BR32" s="77">
        <f t="shared" si="40"/>
        <v>55340</v>
      </c>
      <c r="BS32" s="35"/>
      <c r="BT32" s="35">
        <f>38568+14000</f>
        <v>52568</v>
      </c>
      <c r="BU32" s="74">
        <f t="shared" si="88"/>
        <v>2772</v>
      </c>
      <c r="BV32" s="74">
        <f t="shared" si="53"/>
        <v>90788</v>
      </c>
      <c r="BW32" s="74">
        <f t="shared" si="89"/>
        <v>492.93559249296686</v>
      </c>
      <c r="BX32" s="1098"/>
      <c r="BY32" s="295">
        <v>800</v>
      </c>
      <c r="BZ32" s="296"/>
      <c r="CA32" s="296">
        <v>800</v>
      </c>
      <c r="CB32" s="296"/>
      <c r="CC32" s="297"/>
      <c r="CD32" s="296">
        <f t="shared" si="72"/>
        <v>2950</v>
      </c>
      <c r="CE32" s="297">
        <f t="shared" si="73"/>
        <v>0.19878442314478709</v>
      </c>
      <c r="CF32" s="1061"/>
      <c r="CH32">
        <f t="shared" si="29"/>
        <v>0</v>
      </c>
    </row>
    <row r="33" spans="1:86">
      <c r="A33" s="30">
        <v>43981</v>
      </c>
      <c r="B33" s="32">
        <v>490749</v>
      </c>
      <c r="C33" s="1">
        <f t="shared" si="12"/>
        <v>15330946</v>
      </c>
      <c r="D33" s="29">
        <v>5368.44</v>
      </c>
      <c r="E33" s="93">
        <f t="shared" si="23"/>
        <v>189546.66</v>
      </c>
      <c r="F33" s="240">
        <f t="shared" si="43"/>
        <v>42600</v>
      </c>
      <c r="G33" s="240"/>
      <c r="H33" s="280"/>
      <c r="I33" s="240">
        <f>14200+16600</f>
        <v>30800</v>
      </c>
      <c r="J33" s="240">
        <f>F33+G33-I33</f>
        <v>11800</v>
      </c>
      <c r="K33" s="280">
        <f>J33*1000/B33</f>
        <v>24.04487833902871</v>
      </c>
      <c r="L33" s="240">
        <f t="shared" si="24"/>
        <v>328760</v>
      </c>
      <c r="M33" s="280">
        <f t="shared" si="46"/>
        <v>21.444208335219496</v>
      </c>
      <c r="N33" s="280">
        <f t="shared" si="47"/>
        <v>2.6257142567919058</v>
      </c>
      <c r="O33" s="1089"/>
      <c r="P33" s="1084"/>
      <c r="Q33" s="35">
        <f t="shared" si="48"/>
        <v>27545</v>
      </c>
      <c r="R33" s="35"/>
      <c r="S33" s="35">
        <v>27545</v>
      </c>
      <c r="T33" s="35"/>
      <c r="U33" s="36"/>
      <c r="V33" s="74">
        <f t="shared" si="55"/>
        <v>27733</v>
      </c>
      <c r="W33" s="36">
        <f t="shared" si="56"/>
        <v>1.8089555595590774</v>
      </c>
      <c r="X33" s="1136"/>
      <c r="Y33" s="49">
        <f t="shared" si="32"/>
        <v>558</v>
      </c>
      <c r="Z33" s="50"/>
      <c r="AA33" s="50">
        <f>292+60</f>
        <v>352</v>
      </c>
      <c r="AB33" s="50">
        <f t="shared" si="83"/>
        <v>206</v>
      </c>
      <c r="AC33" s="51">
        <f t="shared" si="84"/>
        <v>0.41976652015592492</v>
      </c>
      <c r="AD33" s="50">
        <f t="shared" si="59"/>
        <v>6291</v>
      </c>
      <c r="AE33" s="51">
        <f t="shared" si="1"/>
        <v>0.41034649786125399</v>
      </c>
      <c r="AF33" s="1047"/>
      <c r="AG33" s="40">
        <f t="shared" si="36"/>
        <v>805</v>
      </c>
      <c r="AH33" s="44"/>
      <c r="AI33" s="41">
        <v>745</v>
      </c>
      <c r="AJ33" s="41">
        <f t="shared" si="60"/>
        <v>60</v>
      </c>
      <c r="AK33" s="42">
        <f t="shared" si="80"/>
        <v>0.12226209324929851</v>
      </c>
      <c r="AL33" s="41">
        <f t="shared" si="62"/>
        <v>2638</v>
      </c>
      <c r="AM33" s="42">
        <f t="shared" si="63"/>
        <v>0.17207026885359847</v>
      </c>
      <c r="AN33" s="1058"/>
      <c r="AO33" s="67">
        <v>3.8</v>
      </c>
      <c r="AP33" s="67">
        <v>24</v>
      </c>
      <c r="AQ33" s="68">
        <f t="shared" si="87"/>
        <v>45.33095999999999</v>
      </c>
      <c r="AR33" s="68">
        <f t="shared" si="81"/>
        <v>8.443972550685114</v>
      </c>
      <c r="AS33" s="69">
        <f t="shared" si="65"/>
        <v>1651.0012800000004</v>
      </c>
      <c r="AT33" s="140">
        <f t="shared" si="66"/>
        <v>8.7102631088303024</v>
      </c>
      <c r="AU33" s="1073"/>
      <c r="AV33" s="71">
        <v>2.9</v>
      </c>
      <c r="AW33" s="71">
        <v>12</v>
      </c>
      <c r="AX33" s="72">
        <f t="shared" si="79"/>
        <v>17.982203999999999</v>
      </c>
      <c r="AY33" s="72">
        <f t="shared" si="82"/>
        <v>3.3496144131256007</v>
      </c>
      <c r="AZ33" s="73">
        <f t="shared" si="67"/>
        <v>523.96421999999995</v>
      </c>
      <c r="BA33" s="192">
        <f t="shared" si="68"/>
        <v>2.7643020457337522</v>
      </c>
      <c r="BB33" s="1075"/>
      <c r="BC33" s="56">
        <f t="shared" si="38"/>
        <v>35049</v>
      </c>
      <c r="BD33" s="59"/>
      <c r="BE33" s="56">
        <v>35049</v>
      </c>
      <c r="BF33" s="57"/>
      <c r="BG33" s="58">
        <f t="shared" si="69"/>
        <v>15886</v>
      </c>
      <c r="BH33" s="58">
        <f t="shared" si="70"/>
        <v>83.810498164409751</v>
      </c>
      <c r="BI33" s="1133"/>
      <c r="BJ33" s="63">
        <f t="shared" si="39"/>
        <v>570</v>
      </c>
      <c r="BK33" s="64"/>
      <c r="BL33" s="64">
        <v>420</v>
      </c>
      <c r="BM33" s="64">
        <f t="shared" si="85"/>
        <v>150</v>
      </c>
      <c r="BN33" s="65">
        <f t="shared" si="86"/>
        <v>0.30565523312324633</v>
      </c>
      <c r="BO33" s="64">
        <f t="shared" si="51"/>
        <v>3168</v>
      </c>
      <c r="BP33" s="65">
        <f t="shared" si="52"/>
        <v>0.20664086873699769</v>
      </c>
      <c r="BQ33" s="1071"/>
      <c r="BR33" s="77">
        <f t="shared" si="40"/>
        <v>52568</v>
      </c>
      <c r="BS33" s="315"/>
      <c r="BT33" s="35">
        <f>35795+14000</f>
        <v>49795</v>
      </c>
      <c r="BU33" s="74">
        <f t="shared" si="88"/>
        <v>2773</v>
      </c>
      <c r="BV33" s="74">
        <f t="shared" si="53"/>
        <v>93561</v>
      </c>
      <c r="BW33" s="74">
        <f t="shared" si="89"/>
        <v>493.60405506485841</v>
      </c>
      <c r="BX33" s="1098"/>
      <c r="BY33" s="295">
        <v>800</v>
      </c>
      <c r="BZ33" s="296"/>
      <c r="CA33" s="296">
        <v>800</v>
      </c>
      <c r="CB33" s="296"/>
      <c r="CC33" s="297"/>
      <c r="CD33" s="296">
        <f t="shared" si="72"/>
        <v>2950</v>
      </c>
      <c r="CE33" s="297">
        <f t="shared" si="73"/>
        <v>0.19242126350193914</v>
      </c>
      <c r="CF33" s="1061"/>
      <c r="CH33">
        <f t="shared" si="29"/>
        <v>0</v>
      </c>
    </row>
    <row r="34" spans="1:86" ht="15.75" thickBot="1">
      <c r="A34" s="30">
        <v>43982</v>
      </c>
      <c r="B34" s="109">
        <v>509040</v>
      </c>
      <c r="C34" s="78">
        <f t="shared" si="12"/>
        <v>15839986</v>
      </c>
      <c r="D34" s="92">
        <v>6350.02</v>
      </c>
      <c r="E34" s="94">
        <f t="shared" si="23"/>
        <v>195896.68</v>
      </c>
      <c r="F34" s="245">
        <f t="shared" si="43"/>
        <v>30800</v>
      </c>
      <c r="G34" s="231">
        <v>33600</v>
      </c>
      <c r="H34" s="230">
        <v>21.32</v>
      </c>
      <c r="I34" s="231">
        <f>30000+16600</f>
        <v>46600</v>
      </c>
      <c r="J34" s="231">
        <f>F34+G34-I34</f>
        <v>17800</v>
      </c>
      <c r="K34" s="230">
        <f>J34*1000/B34</f>
        <v>34.967782492534965</v>
      </c>
      <c r="L34" s="231">
        <f t="shared" si="24"/>
        <v>346560</v>
      </c>
      <c r="M34" s="230">
        <f t="shared" si="46"/>
        <v>21.87880721611749</v>
      </c>
      <c r="N34" s="230">
        <f t="shared" si="47"/>
        <v>2.6789282742889053</v>
      </c>
      <c r="O34" s="1090"/>
      <c r="P34" s="1085"/>
      <c r="Q34" s="76">
        <f>S33</f>
        <v>27545</v>
      </c>
      <c r="R34" s="76"/>
      <c r="S34" s="76">
        <v>27545</v>
      </c>
      <c r="T34" s="76"/>
      <c r="U34" s="80"/>
      <c r="V34" s="81">
        <f t="shared" si="55"/>
        <v>27733</v>
      </c>
      <c r="W34" s="80">
        <f t="shared" si="56"/>
        <v>1.7508222545146188</v>
      </c>
      <c r="X34" s="1137"/>
      <c r="Y34" s="83">
        <f>AA33</f>
        <v>352</v>
      </c>
      <c r="Z34" s="82">
        <v>900</v>
      </c>
      <c r="AA34" s="82">
        <f>761+40</f>
        <v>801</v>
      </c>
      <c r="AB34" s="82">
        <f t="shared" si="83"/>
        <v>451</v>
      </c>
      <c r="AC34" s="84">
        <f t="shared" si="84"/>
        <v>0.88598145528838601</v>
      </c>
      <c r="AD34" s="82">
        <f t="shared" si="59"/>
        <v>6742</v>
      </c>
      <c r="AE34" s="84">
        <f t="shared" si="1"/>
        <v>0.42563168932093753</v>
      </c>
      <c r="AF34" s="1048"/>
      <c r="AG34" s="95">
        <f>AI33</f>
        <v>745</v>
      </c>
      <c r="AH34" s="45"/>
      <c r="AI34" s="96">
        <v>646</v>
      </c>
      <c r="AJ34" s="96">
        <f t="shared" si="60"/>
        <v>99</v>
      </c>
      <c r="AK34" s="97">
        <f t="shared" si="80"/>
        <v>0.19448373408769448</v>
      </c>
      <c r="AL34" s="96">
        <f t="shared" si="62"/>
        <v>2737</v>
      </c>
      <c r="AM34" s="97">
        <f t="shared" si="63"/>
        <v>0.17279055675933047</v>
      </c>
      <c r="AN34" s="1059"/>
      <c r="AO34" s="310">
        <v>3.2</v>
      </c>
      <c r="AP34" s="101">
        <v>24</v>
      </c>
      <c r="AQ34" s="111">
        <f t="shared" si="87"/>
        <v>38.173440000000006</v>
      </c>
      <c r="AR34" s="111">
        <f t="shared" si="81"/>
        <v>6.0115464203262361</v>
      </c>
      <c r="AS34" s="112">
        <f t="shared" si="65"/>
        <v>1689.1747200000004</v>
      </c>
      <c r="AT34" s="181">
        <f t="shared" si="66"/>
        <v>8.622783806239088</v>
      </c>
      <c r="AU34" s="1074"/>
      <c r="AV34" s="104">
        <v>3.1</v>
      </c>
      <c r="AW34" s="104">
        <v>12</v>
      </c>
      <c r="AX34" s="105">
        <f t="shared" si="79"/>
        <v>19.222356000000001</v>
      </c>
      <c r="AY34" s="105">
        <f t="shared" si="82"/>
        <v>3.0271331428877386</v>
      </c>
      <c r="AZ34" s="106">
        <f t="shared" si="67"/>
        <v>543.18657599999995</v>
      </c>
      <c r="BA34" s="193">
        <f t="shared" si="68"/>
        <v>2.7728217548148342</v>
      </c>
      <c r="BB34" s="1076"/>
      <c r="BC34" s="88">
        <f>BE33</f>
        <v>35049</v>
      </c>
      <c r="BD34" s="100"/>
      <c r="BE34" s="88">
        <v>35049</v>
      </c>
      <c r="BF34" s="358"/>
      <c r="BG34" s="89">
        <f t="shared" si="69"/>
        <v>15886</v>
      </c>
      <c r="BH34" s="89">
        <f t="shared" si="70"/>
        <v>81.093768408938843</v>
      </c>
      <c r="BI34" s="1134"/>
      <c r="BJ34" s="85">
        <f>BL33</f>
        <v>420</v>
      </c>
      <c r="BK34" s="85"/>
      <c r="BL34" s="85">
        <v>300</v>
      </c>
      <c r="BM34" s="85">
        <f t="shared" si="85"/>
        <v>120</v>
      </c>
      <c r="BN34" s="86">
        <f t="shared" si="86"/>
        <v>0.23573785950023574</v>
      </c>
      <c r="BO34" s="85">
        <f t="shared" si="51"/>
        <v>3288</v>
      </c>
      <c r="BP34" s="86">
        <f t="shared" si="52"/>
        <v>0.20757594103934182</v>
      </c>
      <c r="BQ34" s="1072"/>
      <c r="BR34" s="79">
        <f>BT33</f>
        <v>49795</v>
      </c>
      <c r="BS34" s="76"/>
      <c r="BT34" s="76">
        <f>35795+14000</f>
        <v>49795</v>
      </c>
      <c r="BU34" s="81">
        <f t="shared" si="88"/>
        <v>0</v>
      </c>
      <c r="BV34" s="81">
        <f t="shared" si="53"/>
        <v>93561</v>
      </c>
      <c r="BW34" s="81">
        <f t="shared" si="89"/>
        <v>477.60380625133615</v>
      </c>
      <c r="BX34" s="1099"/>
      <c r="BY34" s="305">
        <v>800</v>
      </c>
      <c r="BZ34" s="299"/>
      <c r="CA34" s="299">
        <v>800</v>
      </c>
      <c r="CB34" s="299"/>
      <c r="CC34" s="300"/>
      <c r="CD34" s="299">
        <f t="shared" si="72"/>
        <v>2950</v>
      </c>
      <c r="CE34" s="300">
        <f t="shared" si="73"/>
        <v>0.18623753834125864</v>
      </c>
      <c r="CF34" s="1062"/>
      <c r="CH34">
        <f t="shared" si="29"/>
        <v>831264</v>
      </c>
    </row>
    <row r="35" spans="1:86">
      <c r="A35" s="30">
        <v>43983</v>
      </c>
      <c r="B35" s="32">
        <v>494302</v>
      </c>
      <c r="C35" s="206">
        <f t="shared" si="12"/>
        <v>16334288</v>
      </c>
      <c r="D35" s="29">
        <v>6120.28</v>
      </c>
      <c r="E35" s="205">
        <f t="shared" si="23"/>
        <v>202016.96</v>
      </c>
      <c r="F35" s="240">
        <f>I34</f>
        <v>46600</v>
      </c>
      <c r="G35" s="240"/>
      <c r="H35" s="280"/>
      <c r="I35" s="240">
        <f>16000+16600</f>
        <v>32600</v>
      </c>
      <c r="J35" s="240">
        <f>F35+G35-I35</f>
        <v>14000</v>
      </c>
      <c r="K35" s="280">
        <f>J35*1000/B35</f>
        <v>28.322766244117968</v>
      </c>
      <c r="L35" s="240">
        <f t="shared" si="24"/>
        <v>360560</v>
      </c>
      <c r="M35" s="280">
        <f t="shared" si="46"/>
        <v>22.073811849038048</v>
      </c>
      <c r="N35" s="280">
        <f t="shared" si="47"/>
        <v>2.7028054180284129</v>
      </c>
      <c r="O35" s="1052">
        <f>1000*SUM(J35:J64)/SUM(B35:B64)</f>
        <v>40.498202140025683</v>
      </c>
      <c r="P35" s="1083">
        <f>O35/8.167</f>
        <v>4.9587611289366578</v>
      </c>
      <c r="Q35" s="35">
        <f>S34</f>
        <v>27545</v>
      </c>
      <c r="R35" s="35"/>
      <c r="S35" s="35">
        <v>27545</v>
      </c>
      <c r="T35" s="35"/>
      <c r="U35" s="36"/>
      <c r="V35" s="74">
        <f t="shared" si="55"/>
        <v>27733</v>
      </c>
      <c r="W35" s="36">
        <f t="shared" si="56"/>
        <v>1.6978395385216669</v>
      </c>
      <c r="X35" s="1135">
        <f>1000*SUM(T35:T64)/SUM(B35:B64)</f>
        <v>0.91141729768166713</v>
      </c>
      <c r="Y35" s="49">
        <f>AA34</f>
        <v>801</v>
      </c>
      <c r="Z35" s="50"/>
      <c r="AA35" s="50">
        <f>546+120</f>
        <v>666</v>
      </c>
      <c r="AB35" s="50">
        <f t="shared" si="83"/>
        <v>135</v>
      </c>
      <c r="AC35" s="51">
        <f t="shared" si="84"/>
        <v>0.27311238878256611</v>
      </c>
      <c r="AD35" s="50">
        <f t="shared" si="59"/>
        <v>6877</v>
      </c>
      <c r="AE35" s="51">
        <f t="shared" si="1"/>
        <v>0.42101620835876041</v>
      </c>
      <c r="AF35" s="1046">
        <f>1000*SUM(AB35:AB64)/SUM(B35:B64)</f>
        <v>0.36447756443563922</v>
      </c>
      <c r="AG35" s="40">
        <f>AI34</f>
        <v>646</v>
      </c>
      <c r="AH35" s="44"/>
      <c r="AI35" s="41">
        <v>567</v>
      </c>
      <c r="AJ35" s="41">
        <f t="shared" si="60"/>
        <v>79</v>
      </c>
      <c r="AK35" s="42">
        <f t="shared" si="80"/>
        <v>0.15982132380609426</v>
      </c>
      <c r="AL35" s="41">
        <f t="shared" si="62"/>
        <v>2816</v>
      </c>
      <c r="AM35" s="42">
        <f t="shared" si="63"/>
        <v>0.17239808677305066</v>
      </c>
      <c r="AN35" s="1057">
        <f>1000*SUM(AJ35:AJ64)/SUM(B35:B64)</f>
        <v>0.17513508857412427</v>
      </c>
      <c r="AO35" s="67">
        <v>3.8</v>
      </c>
      <c r="AP35" s="67">
        <v>24</v>
      </c>
      <c r="AQ35" s="68">
        <f t="shared" si="87"/>
        <v>45.33095999999999</v>
      </c>
      <c r="AR35" s="68">
        <f t="shared" si="81"/>
        <v>7.4066807400968573</v>
      </c>
      <c r="AS35" s="69">
        <f t="shared" si="65"/>
        <v>1734.5056800000004</v>
      </c>
      <c r="AT35" s="140">
        <f t="shared" si="66"/>
        <v>8.5859409031796172</v>
      </c>
      <c r="AU35" s="1064">
        <f>1000*SUM(AQ35:AQ64)/SUM(D35:D64)</f>
        <v>9.66394812797523</v>
      </c>
      <c r="AV35" s="70">
        <v>2.8</v>
      </c>
      <c r="AW35" s="71">
        <v>12</v>
      </c>
      <c r="AX35" s="72">
        <f t="shared" si="79"/>
        <v>17.362127999999998</v>
      </c>
      <c r="AY35" s="72">
        <f t="shared" si="82"/>
        <v>2.836819230492722</v>
      </c>
      <c r="AZ35" s="73">
        <f t="shared" si="67"/>
        <v>560.54870399999993</v>
      </c>
      <c r="BA35" s="192">
        <f t="shared" si="68"/>
        <v>2.7747606141583359</v>
      </c>
      <c r="BB35" s="1065">
        <f>1000*SUM(AX35:AX64)/SUM(D35:D64)</f>
        <v>3.4881254681237119</v>
      </c>
      <c r="BC35" s="90">
        <f>BE34</f>
        <v>35049</v>
      </c>
      <c r="BD35" s="59"/>
      <c r="BE35" s="56">
        <v>35049</v>
      </c>
      <c r="BF35" s="56"/>
      <c r="BG35" s="58">
        <f t="shared" si="69"/>
        <v>15886</v>
      </c>
      <c r="BH35" s="58">
        <f t="shared" si="70"/>
        <v>78.636961965965639</v>
      </c>
      <c r="BI35" s="1132">
        <f>1000*SUM(BF35:BF64)/SUM(D35:D64)</f>
        <v>15.5205535690222</v>
      </c>
      <c r="BJ35" s="64">
        <f>BL34</f>
        <v>300</v>
      </c>
      <c r="BK35" s="64">
        <v>1100</v>
      </c>
      <c r="BL35" s="64">
        <v>1130</v>
      </c>
      <c r="BM35" s="64">
        <f t="shared" si="85"/>
        <v>270</v>
      </c>
      <c r="BN35" s="65">
        <f t="shared" si="86"/>
        <v>0.54622477756513221</v>
      </c>
      <c r="BO35" s="64">
        <f t="shared" si="51"/>
        <v>3558</v>
      </c>
      <c r="BP35" s="65">
        <f t="shared" si="52"/>
        <v>0.21782400310316558</v>
      </c>
      <c r="BQ35" s="1067">
        <f>1000*SUM(BM35:BM64)/SUM(B35:B64)</f>
        <v>0.33275666829083611</v>
      </c>
      <c r="BR35" s="77">
        <f>BT34</f>
        <v>49795</v>
      </c>
      <c r="BS35" s="35"/>
      <c r="BT35" s="35">
        <f>35795+14000</f>
        <v>49795</v>
      </c>
      <c r="BU35" s="74">
        <f t="shared" si="88"/>
        <v>0</v>
      </c>
      <c r="BV35" s="120">
        <f t="shared" ref="BV35:BV94" si="90">BV34+BU35</f>
        <v>93561</v>
      </c>
      <c r="BW35" s="120">
        <f t="shared" si="89"/>
        <v>463.13438238056847</v>
      </c>
      <c r="BX35" s="1063">
        <f>1000*SUM(BU35:BU64)/SUM(D35:D64)</f>
        <v>379.18412500430912</v>
      </c>
      <c r="BY35" s="296">
        <v>800</v>
      </c>
      <c r="BZ35" s="296"/>
      <c r="CA35" s="296">
        <v>800</v>
      </c>
      <c r="CB35" s="296"/>
      <c r="CC35" s="297"/>
      <c r="CD35" s="296">
        <f t="shared" si="72"/>
        <v>2950</v>
      </c>
      <c r="CE35" s="297">
        <f t="shared" si="73"/>
        <v>0.18060168891352962</v>
      </c>
      <c r="CF35" s="1060">
        <f>1000*SUM(CB35:CB64)/SUM(B35:B64)</f>
        <v>0.19211246960937101</v>
      </c>
      <c r="CH35">
        <f t="shared" si="29"/>
        <v>0</v>
      </c>
    </row>
    <row r="36" spans="1:86">
      <c r="A36" s="30">
        <v>43984</v>
      </c>
      <c r="B36" s="32">
        <v>361496</v>
      </c>
      <c r="C36" s="1">
        <f t="shared" si="12"/>
        <v>16695784</v>
      </c>
      <c r="D36" s="29">
        <v>2077.2800000000002</v>
      </c>
      <c r="E36" s="93">
        <f t="shared" si="23"/>
        <v>204094.24</v>
      </c>
      <c r="F36" s="240">
        <f>I35</f>
        <v>32600</v>
      </c>
      <c r="G36" s="240"/>
      <c r="H36" s="280"/>
      <c r="I36" s="240">
        <f>12000+16600</f>
        <v>28600</v>
      </c>
      <c r="J36" s="240">
        <f>F36+G36-I36</f>
        <v>4000</v>
      </c>
      <c r="K36" s="280">
        <f>J36*1000/B36</f>
        <v>11.065129351362117</v>
      </c>
      <c r="L36" s="240">
        <f t="shared" si="24"/>
        <v>364560</v>
      </c>
      <c r="M36" s="280">
        <f t="shared" si="46"/>
        <v>21.835452590905586</v>
      </c>
      <c r="N36" s="280">
        <f t="shared" si="47"/>
        <v>2.6736197613451189</v>
      </c>
      <c r="O36" s="1089"/>
      <c r="P36" s="1084"/>
      <c r="Q36" s="35">
        <f>S35</f>
        <v>27545</v>
      </c>
      <c r="R36" s="35"/>
      <c r="S36" s="35">
        <v>27545</v>
      </c>
      <c r="T36" s="35"/>
      <c r="U36" s="36"/>
      <c r="V36" s="74">
        <f t="shared" si="55"/>
        <v>27733</v>
      </c>
      <c r="W36" s="36">
        <f t="shared" si="56"/>
        <v>1.661078030238053</v>
      </c>
      <c r="X36" s="1136"/>
      <c r="Y36" s="49">
        <f>AA35</f>
        <v>666</v>
      </c>
      <c r="Z36" s="50"/>
      <c r="AA36" s="50">
        <f t="shared" ref="AA36:AA41" si="91">528+110</f>
        <v>638</v>
      </c>
      <c r="AB36" s="50">
        <f t="shared" si="83"/>
        <v>28</v>
      </c>
      <c r="AC36" s="51">
        <f t="shared" si="84"/>
        <v>7.7455905459534818E-2</v>
      </c>
      <c r="AD36" s="50">
        <f t="shared" si="59"/>
        <v>6905</v>
      </c>
      <c r="AE36" s="51">
        <f t="shared" si="1"/>
        <v>0.41357746362794345</v>
      </c>
      <c r="AF36" s="1047"/>
      <c r="AG36" s="40">
        <f>AI35</f>
        <v>567</v>
      </c>
      <c r="AH36" s="44"/>
      <c r="AI36" s="41">
        <v>509</v>
      </c>
      <c r="AJ36" s="41">
        <f t="shared" si="60"/>
        <v>58</v>
      </c>
      <c r="AK36" s="42">
        <f t="shared" si="80"/>
        <v>0.16044437559475069</v>
      </c>
      <c r="AL36" s="41">
        <f t="shared" si="62"/>
        <v>2874</v>
      </c>
      <c r="AM36" s="42">
        <f t="shared" si="63"/>
        <v>0.172139265817047</v>
      </c>
      <c r="AN36" s="1058"/>
      <c r="AO36" s="67">
        <v>2.5</v>
      </c>
      <c r="AP36" s="67">
        <v>24</v>
      </c>
      <c r="AQ36" s="68">
        <f t="shared" si="87"/>
        <v>29.823</v>
      </c>
      <c r="AR36" s="68">
        <f t="shared" si="81"/>
        <v>14.356754987291071</v>
      </c>
      <c r="AS36" s="69">
        <f t="shared" si="65"/>
        <v>1764.3286800000005</v>
      </c>
      <c r="AT36" s="140">
        <f t="shared" si="66"/>
        <v>8.6446764984646336</v>
      </c>
      <c r="AU36" s="1073"/>
      <c r="AV36" s="70">
        <v>1.1000000000000001</v>
      </c>
      <c r="AW36" s="71">
        <v>12</v>
      </c>
      <c r="AX36" s="72">
        <f t="shared" si="79"/>
        <v>6.8208360000000008</v>
      </c>
      <c r="AY36" s="72">
        <f t="shared" si="82"/>
        <v>3.2835419394592931</v>
      </c>
      <c r="AZ36" s="73">
        <f t="shared" si="67"/>
        <v>567.36953999999992</v>
      </c>
      <c r="BA36" s="192">
        <f t="shared" si="68"/>
        <v>2.7799390124875645</v>
      </c>
      <c r="BB36" s="1075"/>
      <c r="BC36" s="90">
        <f>BE35</f>
        <v>35049</v>
      </c>
      <c r="BD36" s="59"/>
      <c r="BE36" s="56">
        <v>35049</v>
      </c>
      <c r="BF36" s="56"/>
      <c r="BG36" s="58">
        <f t="shared" si="69"/>
        <v>15886</v>
      </c>
      <c r="BH36" s="58">
        <f t="shared" si="70"/>
        <v>77.836591566719378</v>
      </c>
      <c r="BI36" s="1133"/>
      <c r="BJ36" s="64">
        <f>BL35</f>
        <v>1130</v>
      </c>
      <c r="BK36" s="64"/>
      <c r="BL36" s="64">
        <v>1048</v>
      </c>
      <c r="BM36" s="64">
        <f t="shared" si="85"/>
        <v>82</v>
      </c>
      <c r="BN36" s="65">
        <f t="shared" si="86"/>
        <v>0.2268351517029234</v>
      </c>
      <c r="BO36" s="64">
        <f t="shared" si="51"/>
        <v>3640</v>
      </c>
      <c r="BP36" s="65">
        <f t="shared" si="52"/>
        <v>0.21801911189076237</v>
      </c>
      <c r="BQ36" s="1071"/>
      <c r="BR36" s="77">
        <f>BT35</f>
        <v>49795</v>
      </c>
      <c r="BS36" s="35"/>
      <c r="BT36" s="35">
        <f t="shared" ref="BT36:BT42" si="92">45961+2000</f>
        <v>47961</v>
      </c>
      <c r="BU36" s="74">
        <f t="shared" si="88"/>
        <v>1834</v>
      </c>
      <c r="BV36" s="74">
        <f t="shared" si="90"/>
        <v>95395</v>
      </c>
      <c r="BW36" s="74">
        <f t="shared" si="89"/>
        <v>467.40662548830386</v>
      </c>
      <c r="BX36" s="1098"/>
      <c r="BY36" s="296">
        <v>800</v>
      </c>
      <c r="BZ36" s="296"/>
      <c r="CA36" s="296">
        <v>800</v>
      </c>
      <c r="CB36" s="296"/>
      <c r="CC36" s="297"/>
      <c r="CD36" s="296">
        <f t="shared" si="72"/>
        <v>2950</v>
      </c>
      <c r="CE36" s="297">
        <f t="shared" si="73"/>
        <v>0.1766913132081728</v>
      </c>
      <c r="CF36" s="1061"/>
      <c r="CH36">
        <f t="shared" si="29"/>
        <v>716352</v>
      </c>
    </row>
    <row r="37" spans="1:86">
      <c r="A37" s="30">
        <v>43985</v>
      </c>
      <c r="B37" s="32">
        <v>0</v>
      </c>
      <c r="C37" s="1">
        <f t="shared" si="12"/>
        <v>16695784</v>
      </c>
      <c r="D37" s="29">
        <v>0</v>
      </c>
      <c r="E37" s="93">
        <f t="shared" si="23"/>
        <v>204094.24</v>
      </c>
      <c r="F37" s="240">
        <f>I36</f>
        <v>28600</v>
      </c>
      <c r="G37" s="240"/>
      <c r="H37" s="280"/>
      <c r="I37" s="240">
        <f>12000+16600</f>
        <v>28600</v>
      </c>
      <c r="J37" s="240"/>
      <c r="K37" s="280"/>
      <c r="L37" s="240">
        <f t="shared" ref="L37:L42" si="93">L36+J37</f>
        <v>364560</v>
      </c>
      <c r="M37" s="280">
        <f t="shared" ref="M37:M42" si="94">L37*1000/C37</f>
        <v>21.835452590905586</v>
      </c>
      <c r="N37" s="280">
        <f t="shared" ref="N37:N42" si="95">M37/8.167</f>
        <v>2.6736197613451189</v>
      </c>
      <c r="O37" s="1089"/>
      <c r="P37" s="1084"/>
      <c r="Q37" s="35">
        <f t="shared" ref="Q37:Q62" si="96">S36</f>
        <v>27545</v>
      </c>
      <c r="R37" s="35"/>
      <c r="S37" s="35">
        <v>27545</v>
      </c>
      <c r="T37" s="35"/>
      <c r="U37" s="36"/>
      <c r="V37" s="74">
        <f t="shared" ref="V37:V42" si="97">V36+T37</f>
        <v>27733</v>
      </c>
      <c r="W37" s="36">
        <f t="shared" ref="W37:W42" si="98">1000*V37/C37</f>
        <v>1.661078030238053</v>
      </c>
      <c r="X37" s="1136"/>
      <c r="Y37" s="49">
        <f t="shared" ref="Y37:Y62" si="99">AA36</f>
        <v>638</v>
      </c>
      <c r="Z37" s="50"/>
      <c r="AA37" s="50">
        <f t="shared" si="91"/>
        <v>638</v>
      </c>
      <c r="AB37" s="50"/>
      <c r="AC37" s="51"/>
      <c r="AD37" s="50">
        <f t="shared" ref="AD37:AD42" si="100">AD36+AB37</f>
        <v>6905</v>
      </c>
      <c r="AE37" s="51">
        <f t="shared" ref="AE37:AE42" si="101">AD37*1000/C37</f>
        <v>0.41357746362794345</v>
      </c>
      <c r="AF37" s="1047"/>
      <c r="AG37" s="40">
        <f t="shared" ref="AG37:AG62" si="102">AI36</f>
        <v>509</v>
      </c>
      <c r="AH37" s="44"/>
      <c r="AI37" s="41">
        <v>509</v>
      </c>
      <c r="AJ37" s="41">
        <f t="shared" ref="AJ37:AJ42" si="103">AG37+AH37-AI37</f>
        <v>0</v>
      </c>
      <c r="AK37" s="42"/>
      <c r="AL37" s="41">
        <f t="shared" ref="AL37:AL42" si="104">AL36+AJ37</f>
        <v>2874</v>
      </c>
      <c r="AM37" s="42">
        <f t="shared" ref="AM37:AM42" si="105">AL37*1000/C37</f>
        <v>0.172139265817047</v>
      </c>
      <c r="AN37" s="1058"/>
      <c r="AO37" s="67">
        <v>0</v>
      </c>
      <c r="AP37" s="67">
        <v>24</v>
      </c>
      <c r="AQ37" s="68">
        <f t="shared" si="87"/>
        <v>0</v>
      </c>
      <c r="AR37" s="68"/>
      <c r="AS37" s="69">
        <f t="shared" si="65"/>
        <v>1764.3286800000005</v>
      </c>
      <c r="AT37" s="140">
        <f t="shared" si="66"/>
        <v>8.6446764984646336</v>
      </c>
      <c r="AU37" s="1073"/>
      <c r="AV37" s="70">
        <v>0</v>
      </c>
      <c r="AW37" s="71">
        <v>12</v>
      </c>
      <c r="AX37" s="72">
        <f t="shared" si="79"/>
        <v>0</v>
      </c>
      <c r="AY37" s="72"/>
      <c r="AZ37" s="73">
        <f t="shared" ref="AZ37:AZ42" si="106">AZ36+AX37</f>
        <v>567.36953999999992</v>
      </c>
      <c r="BA37" s="192">
        <f t="shared" ref="BA37:BA42" si="107">AZ37*1000/E37</f>
        <v>2.7799390124875645</v>
      </c>
      <c r="BB37" s="1075"/>
      <c r="BC37" s="90">
        <f t="shared" ref="BC37:BC63" si="108">BE36</f>
        <v>35049</v>
      </c>
      <c r="BD37" s="59"/>
      <c r="BE37" s="56">
        <v>35049</v>
      </c>
      <c r="BF37" s="56"/>
      <c r="BG37" s="58">
        <f t="shared" ref="BG37:BG42" si="109">BG36+BF37</f>
        <v>15886</v>
      </c>
      <c r="BH37" s="58">
        <f t="shared" ref="BH37:BH42" si="110">BG37*1000/E37</f>
        <v>77.836591566719378</v>
      </c>
      <c r="BI37" s="1133"/>
      <c r="BJ37" s="64">
        <f t="shared" ref="BJ37:BJ63" si="111">BL36</f>
        <v>1048</v>
      </c>
      <c r="BK37" s="64"/>
      <c r="BL37" s="64">
        <v>1048</v>
      </c>
      <c r="BM37" s="64"/>
      <c r="BN37" s="65"/>
      <c r="BO37" s="64">
        <f t="shared" ref="BO37:BO42" si="112">BO36+BM37</f>
        <v>3640</v>
      </c>
      <c r="BP37" s="65">
        <f t="shared" ref="BP37:BP42" si="113">BO37*1000/C37</f>
        <v>0.21801911189076237</v>
      </c>
      <c r="BQ37" s="1071"/>
      <c r="BR37" s="77">
        <f t="shared" ref="BR37:BR63" si="114">BT36</f>
        <v>47961</v>
      </c>
      <c r="BS37" s="35"/>
      <c r="BT37" s="35">
        <f t="shared" si="92"/>
        <v>47961</v>
      </c>
      <c r="BU37" s="74">
        <f t="shared" si="88"/>
        <v>0</v>
      </c>
      <c r="BV37" s="74">
        <f t="shared" si="90"/>
        <v>95395</v>
      </c>
      <c r="BW37" s="74">
        <f t="shared" si="89"/>
        <v>467.40662548830386</v>
      </c>
      <c r="BX37" s="1098"/>
      <c r="BY37" s="296">
        <v>800</v>
      </c>
      <c r="BZ37" s="296"/>
      <c r="CA37" s="296">
        <v>800</v>
      </c>
      <c r="CB37" s="296"/>
      <c r="CC37" s="297"/>
      <c r="CD37" s="296">
        <f t="shared" ref="CD37:CD42" si="115">CD36+CB37</f>
        <v>2950</v>
      </c>
      <c r="CE37" s="297">
        <f t="shared" ref="CE37:CE42" si="116">CD37*1000/C37</f>
        <v>0.1766913132081728</v>
      </c>
      <c r="CF37" s="1061"/>
      <c r="CH37">
        <f t="shared" si="29"/>
        <v>0</v>
      </c>
    </row>
    <row r="38" spans="1:86">
      <c r="A38" s="30">
        <v>43986</v>
      </c>
      <c r="B38" s="32">
        <v>0</v>
      </c>
      <c r="C38" s="1">
        <f t="shared" si="12"/>
        <v>16695784</v>
      </c>
      <c r="D38" s="29">
        <v>0</v>
      </c>
      <c r="E38" s="93">
        <f t="shared" si="23"/>
        <v>204094.24</v>
      </c>
      <c r="F38" s="240">
        <f>I37</f>
        <v>28600</v>
      </c>
      <c r="G38" s="240">
        <v>32400</v>
      </c>
      <c r="H38" s="280">
        <v>19.21</v>
      </c>
      <c r="I38" s="240">
        <f>38000+16600</f>
        <v>54600</v>
      </c>
      <c r="J38" s="240">
        <f>F38+G38-I38</f>
        <v>6400</v>
      </c>
      <c r="K38" s="280"/>
      <c r="L38" s="240">
        <f t="shared" si="93"/>
        <v>370960</v>
      </c>
      <c r="M38" s="280">
        <f t="shared" si="94"/>
        <v>22.218782897526705</v>
      </c>
      <c r="N38" s="280">
        <f t="shared" si="95"/>
        <v>2.720556250462435</v>
      </c>
      <c r="O38" s="1089"/>
      <c r="P38" s="1084"/>
      <c r="Q38" s="35">
        <f t="shared" si="96"/>
        <v>27545</v>
      </c>
      <c r="R38" s="35"/>
      <c r="S38" s="35">
        <v>27545</v>
      </c>
      <c r="T38" s="35"/>
      <c r="U38" s="36"/>
      <c r="V38" s="74">
        <f t="shared" si="97"/>
        <v>27733</v>
      </c>
      <c r="W38" s="36">
        <f t="shared" si="98"/>
        <v>1.661078030238053</v>
      </c>
      <c r="X38" s="1136"/>
      <c r="Y38" s="49">
        <f t="shared" si="99"/>
        <v>638</v>
      </c>
      <c r="Z38" s="50"/>
      <c r="AA38" s="50">
        <f t="shared" si="91"/>
        <v>638</v>
      </c>
      <c r="AB38" s="50"/>
      <c r="AC38" s="51"/>
      <c r="AD38" s="50">
        <f t="shared" si="100"/>
        <v>6905</v>
      </c>
      <c r="AE38" s="51">
        <f t="shared" si="101"/>
        <v>0.41357746362794345</v>
      </c>
      <c r="AF38" s="1047"/>
      <c r="AG38" s="40">
        <f t="shared" si="102"/>
        <v>509</v>
      </c>
      <c r="AH38" s="44"/>
      <c r="AI38" s="41">
        <v>509</v>
      </c>
      <c r="AJ38" s="41">
        <f t="shared" si="103"/>
        <v>0</v>
      </c>
      <c r="AK38" s="42"/>
      <c r="AL38" s="41">
        <f t="shared" si="104"/>
        <v>2874</v>
      </c>
      <c r="AM38" s="42">
        <f t="shared" si="105"/>
        <v>0.172139265817047</v>
      </c>
      <c r="AN38" s="1058"/>
      <c r="AO38" s="67">
        <v>0</v>
      </c>
      <c r="AP38" s="67">
        <v>24</v>
      </c>
      <c r="AQ38" s="68">
        <f t="shared" si="87"/>
        <v>0</v>
      </c>
      <c r="AR38" s="68"/>
      <c r="AS38" s="69">
        <f t="shared" si="65"/>
        <v>1764.3286800000005</v>
      </c>
      <c r="AT38" s="140">
        <f t="shared" si="66"/>
        <v>8.6446764984646336</v>
      </c>
      <c r="AU38" s="1073"/>
      <c r="AV38" s="70">
        <v>0</v>
      </c>
      <c r="AW38" s="71">
        <v>12</v>
      </c>
      <c r="AX38" s="72">
        <f t="shared" si="79"/>
        <v>0</v>
      </c>
      <c r="AY38" s="72"/>
      <c r="AZ38" s="73">
        <f t="shared" si="106"/>
        <v>567.36953999999992</v>
      </c>
      <c r="BA38" s="192">
        <f t="shared" si="107"/>
        <v>2.7799390124875645</v>
      </c>
      <c r="BB38" s="1075"/>
      <c r="BC38" s="90">
        <f t="shared" si="108"/>
        <v>35049</v>
      </c>
      <c r="BD38" s="59"/>
      <c r="BE38" s="56">
        <v>35049</v>
      </c>
      <c r="BF38" s="56"/>
      <c r="BG38" s="58">
        <f t="shared" si="109"/>
        <v>15886</v>
      </c>
      <c r="BH38" s="58">
        <f t="shared" si="110"/>
        <v>77.836591566719378</v>
      </c>
      <c r="BI38" s="1133"/>
      <c r="BJ38" s="64">
        <f t="shared" si="111"/>
        <v>1048</v>
      </c>
      <c r="BK38" s="64"/>
      <c r="BL38" s="64">
        <v>1048</v>
      </c>
      <c r="BM38" s="64"/>
      <c r="BN38" s="65"/>
      <c r="BO38" s="64">
        <f t="shared" si="112"/>
        <v>3640</v>
      </c>
      <c r="BP38" s="65">
        <f t="shared" si="113"/>
        <v>0.21801911189076237</v>
      </c>
      <c r="BQ38" s="1071"/>
      <c r="BR38" s="77">
        <f t="shared" si="114"/>
        <v>47961</v>
      </c>
      <c r="BS38" s="35"/>
      <c r="BT38" s="35">
        <f t="shared" si="92"/>
        <v>47961</v>
      </c>
      <c r="BU38" s="74">
        <f t="shared" si="88"/>
        <v>0</v>
      </c>
      <c r="BV38" s="74">
        <f t="shared" si="90"/>
        <v>95395</v>
      </c>
      <c r="BW38" s="74">
        <f t="shared" si="89"/>
        <v>467.40662548830386</v>
      </c>
      <c r="BX38" s="1098"/>
      <c r="BY38" s="296">
        <v>800</v>
      </c>
      <c r="BZ38" s="296"/>
      <c r="CA38" s="296">
        <v>800</v>
      </c>
      <c r="CB38" s="296"/>
      <c r="CC38" s="297"/>
      <c r="CD38" s="296">
        <f t="shared" si="115"/>
        <v>2950</v>
      </c>
      <c r="CE38" s="297">
        <f t="shared" si="116"/>
        <v>0.1766913132081728</v>
      </c>
      <c r="CF38" s="1061"/>
      <c r="CH38">
        <f t="shared" si="29"/>
        <v>0</v>
      </c>
    </row>
    <row r="39" spans="1:86">
      <c r="A39" s="30">
        <v>43987</v>
      </c>
      <c r="B39" s="32">
        <v>0</v>
      </c>
      <c r="C39" s="1">
        <f t="shared" si="12"/>
        <v>16695784</v>
      </c>
      <c r="D39" s="29">
        <v>0</v>
      </c>
      <c r="E39" s="93">
        <f t="shared" si="23"/>
        <v>204094.24</v>
      </c>
      <c r="F39" s="240">
        <f t="shared" ref="F39:F63" si="117">I38</f>
        <v>54600</v>
      </c>
      <c r="G39" s="240"/>
      <c r="H39" s="280"/>
      <c r="I39" s="240">
        <f>38000+16600</f>
        <v>54600</v>
      </c>
      <c r="J39" s="240"/>
      <c r="K39" s="280"/>
      <c r="L39" s="240">
        <f t="shared" si="93"/>
        <v>370960</v>
      </c>
      <c r="M39" s="280">
        <f t="shared" si="94"/>
        <v>22.218782897526705</v>
      </c>
      <c r="N39" s="280">
        <f t="shared" si="95"/>
        <v>2.720556250462435</v>
      </c>
      <c r="O39" s="1089"/>
      <c r="P39" s="1084"/>
      <c r="Q39" s="35">
        <f t="shared" si="96"/>
        <v>27545</v>
      </c>
      <c r="R39" s="35"/>
      <c r="S39" s="35">
        <v>27545</v>
      </c>
      <c r="T39" s="35"/>
      <c r="U39" s="36"/>
      <c r="V39" s="74">
        <f t="shared" si="97"/>
        <v>27733</v>
      </c>
      <c r="W39" s="36">
        <f t="shared" si="98"/>
        <v>1.661078030238053</v>
      </c>
      <c r="X39" s="1136"/>
      <c r="Y39" s="49">
        <f t="shared" si="99"/>
        <v>638</v>
      </c>
      <c r="Z39" s="50"/>
      <c r="AA39" s="50">
        <f t="shared" si="91"/>
        <v>638</v>
      </c>
      <c r="AB39" s="50"/>
      <c r="AC39" s="51"/>
      <c r="AD39" s="50">
        <f t="shared" si="100"/>
        <v>6905</v>
      </c>
      <c r="AE39" s="51">
        <f t="shared" si="101"/>
        <v>0.41357746362794345</v>
      </c>
      <c r="AF39" s="1047"/>
      <c r="AG39" s="40">
        <f t="shared" si="102"/>
        <v>509</v>
      </c>
      <c r="AH39" s="44"/>
      <c r="AI39" s="41">
        <v>509</v>
      </c>
      <c r="AJ39" s="41">
        <f t="shared" si="103"/>
        <v>0</v>
      </c>
      <c r="AK39" s="42"/>
      <c r="AL39" s="41">
        <f t="shared" si="104"/>
        <v>2874</v>
      </c>
      <c r="AM39" s="42">
        <f t="shared" si="105"/>
        <v>0.172139265817047</v>
      </c>
      <c r="AN39" s="1058"/>
      <c r="AO39" s="67">
        <v>0</v>
      </c>
      <c r="AP39" s="67">
        <v>24</v>
      </c>
      <c r="AQ39" s="68">
        <f t="shared" si="87"/>
        <v>0</v>
      </c>
      <c r="AR39" s="68"/>
      <c r="AS39" s="69">
        <f t="shared" si="65"/>
        <v>1764.3286800000005</v>
      </c>
      <c r="AT39" s="140">
        <f t="shared" si="66"/>
        <v>8.6446764984646336</v>
      </c>
      <c r="AU39" s="1073"/>
      <c r="AV39" s="70">
        <v>0</v>
      </c>
      <c r="AW39" s="71">
        <v>12</v>
      </c>
      <c r="AX39" s="72">
        <f t="shared" si="79"/>
        <v>0</v>
      </c>
      <c r="AY39" s="72"/>
      <c r="AZ39" s="73">
        <f t="shared" si="106"/>
        <v>567.36953999999992</v>
      </c>
      <c r="BA39" s="192">
        <f t="shared" si="107"/>
        <v>2.7799390124875645</v>
      </c>
      <c r="BB39" s="1075"/>
      <c r="BC39" s="90">
        <f t="shared" si="108"/>
        <v>35049</v>
      </c>
      <c r="BD39" s="59"/>
      <c r="BE39" s="56">
        <v>35049</v>
      </c>
      <c r="BF39" s="56"/>
      <c r="BG39" s="58">
        <f t="shared" si="109"/>
        <v>15886</v>
      </c>
      <c r="BH39" s="58">
        <f t="shared" si="110"/>
        <v>77.836591566719378</v>
      </c>
      <c r="BI39" s="1133"/>
      <c r="BJ39" s="64">
        <f t="shared" si="111"/>
        <v>1048</v>
      </c>
      <c r="BK39" s="64"/>
      <c r="BL39" s="64">
        <v>1048</v>
      </c>
      <c r="BM39" s="64"/>
      <c r="BN39" s="65"/>
      <c r="BO39" s="64">
        <f t="shared" si="112"/>
        <v>3640</v>
      </c>
      <c r="BP39" s="65">
        <f t="shared" si="113"/>
        <v>0.21801911189076237</v>
      </c>
      <c r="BQ39" s="1071"/>
      <c r="BR39" s="77">
        <f t="shared" si="114"/>
        <v>47961</v>
      </c>
      <c r="BS39" s="35"/>
      <c r="BT39" s="35">
        <f t="shared" si="92"/>
        <v>47961</v>
      </c>
      <c r="BU39" s="74">
        <f t="shared" si="88"/>
        <v>0</v>
      </c>
      <c r="BV39" s="74">
        <f t="shared" si="90"/>
        <v>95395</v>
      </c>
      <c r="BW39" s="74">
        <f t="shared" si="89"/>
        <v>467.40662548830386</v>
      </c>
      <c r="BX39" s="1098"/>
      <c r="BY39" s="296">
        <v>800</v>
      </c>
      <c r="BZ39" s="296"/>
      <c r="CA39" s="296">
        <v>800</v>
      </c>
      <c r="CB39" s="296"/>
      <c r="CC39" s="297"/>
      <c r="CD39" s="296">
        <f t="shared" si="115"/>
        <v>2950</v>
      </c>
      <c r="CE39" s="297">
        <f t="shared" si="116"/>
        <v>0.1766913132081728</v>
      </c>
      <c r="CF39" s="1061"/>
      <c r="CH39">
        <f t="shared" si="29"/>
        <v>0</v>
      </c>
    </row>
    <row r="40" spans="1:86">
      <c r="A40" s="30">
        <v>43988</v>
      </c>
      <c r="B40" s="265">
        <v>0</v>
      </c>
      <c r="C40" s="1">
        <f t="shared" si="12"/>
        <v>16695784</v>
      </c>
      <c r="D40" s="91">
        <v>0</v>
      </c>
      <c r="E40" s="93">
        <f t="shared" si="23"/>
        <v>204094.24</v>
      </c>
      <c r="F40" s="240">
        <f t="shared" si="117"/>
        <v>54600</v>
      </c>
      <c r="G40" s="240"/>
      <c r="H40" s="280"/>
      <c r="I40" s="240">
        <f>38000+16600</f>
        <v>54600</v>
      </c>
      <c r="J40" s="240"/>
      <c r="K40" s="280"/>
      <c r="L40" s="240">
        <f t="shared" si="93"/>
        <v>370960</v>
      </c>
      <c r="M40" s="280">
        <f t="shared" si="94"/>
        <v>22.218782897526705</v>
      </c>
      <c r="N40" s="280">
        <f t="shared" si="95"/>
        <v>2.720556250462435</v>
      </c>
      <c r="O40" s="1089"/>
      <c r="P40" s="1084"/>
      <c r="Q40" s="35">
        <f t="shared" si="96"/>
        <v>27545</v>
      </c>
      <c r="R40" s="35"/>
      <c r="S40" s="35">
        <v>27545</v>
      </c>
      <c r="T40" s="35"/>
      <c r="U40" s="36"/>
      <c r="V40" s="74">
        <f t="shared" si="97"/>
        <v>27733</v>
      </c>
      <c r="W40" s="36">
        <f t="shared" si="98"/>
        <v>1.661078030238053</v>
      </c>
      <c r="X40" s="1136"/>
      <c r="Y40" s="49">
        <f t="shared" si="99"/>
        <v>638</v>
      </c>
      <c r="Z40" s="50"/>
      <c r="AA40" s="50">
        <f t="shared" si="91"/>
        <v>638</v>
      </c>
      <c r="AB40" s="50"/>
      <c r="AC40" s="51"/>
      <c r="AD40" s="50">
        <f t="shared" si="100"/>
        <v>6905</v>
      </c>
      <c r="AE40" s="51">
        <f t="shared" si="101"/>
        <v>0.41357746362794345</v>
      </c>
      <c r="AF40" s="1047"/>
      <c r="AG40" s="40">
        <f t="shared" si="102"/>
        <v>509</v>
      </c>
      <c r="AH40" s="44"/>
      <c r="AI40" s="41">
        <v>509</v>
      </c>
      <c r="AJ40" s="41">
        <f t="shared" si="103"/>
        <v>0</v>
      </c>
      <c r="AK40" s="42"/>
      <c r="AL40" s="41">
        <f t="shared" si="104"/>
        <v>2874</v>
      </c>
      <c r="AM40" s="42">
        <f t="shared" si="105"/>
        <v>0.172139265817047</v>
      </c>
      <c r="AN40" s="1058"/>
      <c r="AO40" s="67">
        <v>0</v>
      </c>
      <c r="AP40" s="67">
        <v>24</v>
      </c>
      <c r="AQ40" s="68">
        <f t="shared" si="87"/>
        <v>0</v>
      </c>
      <c r="AR40" s="68"/>
      <c r="AS40" s="69">
        <f t="shared" si="65"/>
        <v>1764.3286800000005</v>
      </c>
      <c r="AT40" s="140">
        <f t="shared" si="66"/>
        <v>8.6446764984646336</v>
      </c>
      <c r="AU40" s="1073"/>
      <c r="AV40" s="70">
        <v>0</v>
      </c>
      <c r="AW40" s="71">
        <v>12</v>
      </c>
      <c r="AX40" s="72">
        <f t="shared" si="79"/>
        <v>0</v>
      </c>
      <c r="AY40" s="72"/>
      <c r="AZ40" s="73">
        <f t="shared" si="106"/>
        <v>567.36953999999992</v>
      </c>
      <c r="BA40" s="192">
        <f t="shared" si="107"/>
        <v>2.7799390124875645</v>
      </c>
      <c r="BB40" s="1075"/>
      <c r="BC40" s="90">
        <f t="shared" si="108"/>
        <v>35049</v>
      </c>
      <c r="BD40" s="59"/>
      <c r="BE40" s="56">
        <v>35049</v>
      </c>
      <c r="BF40" s="56"/>
      <c r="BG40" s="58">
        <f t="shared" si="109"/>
        <v>15886</v>
      </c>
      <c r="BH40" s="58">
        <f t="shared" si="110"/>
        <v>77.836591566719378</v>
      </c>
      <c r="BI40" s="1133"/>
      <c r="BJ40" s="64">
        <f t="shared" si="111"/>
        <v>1048</v>
      </c>
      <c r="BK40" s="64"/>
      <c r="BL40" s="64">
        <v>1048</v>
      </c>
      <c r="BM40" s="64"/>
      <c r="BN40" s="65"/>
      <c r="BO40" s="64">
        <f t="shared" si="112"/>
        <v>3640</v>
      </c>
      <c r="BP40" s="65">
        <f t="shared" si="113"/>
        <v>0.21801911189076237</v>
      </c>
      <c r="BQ40" s="1071"/>
      <c r="BR40" s="77">
        <f t="shared" si="114"/>
        <v>47961</v>
      </c>
      <c r="BS40" s="35"/>
      <c r="BT40" s="35">
        <f t="shared" si="92"/>
        <v>47961</v>
      </c>
      <c r="BU40" s="74">
        <f t="shared" si="88"/>
        <v>0</v>
      </c>
      <c r="BV40" s="74">
        <f t="shared" si="90"/>
        <v>95395</v>
      </c>
      <c r="BW40" s="74">
        <f t="shared" si="89"/>
        <v>467.40662548830386</v>
      </c>
      <c r="BX40" s="1098"/>
      <c r="BY40" s="296">
        <v>800</v>
      </c>
      <c r="BZ40" s="296"/>
      <c r="CA40" s="296">
        <v>800</v>
      </c>
      <c r="CB40" s="296"/>
      <c r="CC40" s="297"/>
      <c r="CD40" s="296">
        <f t="shared" si="115"/>
        <v>2950</v>
      </c>
      <c r="CE40" s="297">
        <f t="shared" si="116"/>
        <v>0.1766913132081728</v>
      </c>
      <c r="CF40" s="1061"/>
      <c r="CH40">
        <f t="shared" si="29"/>
        <v>622404</v>
      </c>
    </row>
    <row r="41" spans="1:86">
      <c r="A41" s="30">
        <v>43989</v>
      </c>
      <c r="B41" s="265">
        <v>0</v>
      </c>
      <c r="C41" s="1">
        <f t="shared" si="12"/>
        <v>16695784</v>
      </c>
      <c r="D41" s="91">
        <v>0</v>
      </c>
      <c r="E41" s="93">
        <f t="shared" si="23"/>
        <v>204094.24</v>
      </c>
      <c r="F41" s="240">
        <f t="shared" si="117"/>
        <v>54600</v>
      </c>
      <c r="G41" s="240"/>
      <c r="H41" s="280"/>
      <c r="I41" s="240">
        <f>38000+16600</f>
        <v>54600</v>
      </c>
      <c r="J41" s="240"/>
      <c r="K41" s="280"/>
      <c r="L41" s="240">
        <f t="shared" si="93"/>
        <v>370960</v>
      </c>
      <c r="M41" s="280">
        <f t="shared" si="94"/>
        <v>22.218782897526705</v>
      </c>
      <c r="N41" s="280">
        <f t="shared" si="95"/>
        <v>2.720556250462435</v>
      </c>
      <c r="O41" s="1089"/>
      <c r="P41" s="1084"/>
      <c r="Q41" s="35">
        <f t="shared" si="96"/>
        <v>27545</v>
      </c>
      <c r="R41" s="35"/>
      <c r="S41" s="35">
        <v>27545</v>
      </c>
      <c r="T41" s="35"/>
      <c r="U41" s="36"/>
      <c r="V41" s="74">
        <f t="shared" si="97"/>
        <v>27733</v>
      </c>
      <c r="W41" s="36">
        <f t="shared" si="98"/>
        <v>1.661078030238053</v>
      </c>
      <c r="X41" s="1136"/>
      <c r="Y41" s="49">
        <f t="shared" si="99"/>
        <v>638</v>
      </c>
      <c r="Z41" s="50"/>
      <c r="AA41" s="50">
        <f t="shared" si="91"/>
        <v>638</v>
      </c>
      <c r="AB41" s="50"/>
      <c r="AC41" s="51"/>
      <c r="AD41" s="50">
        <f t="shared" si="100"/>
        <v>6905</v>
      </c>
      <c r="AE41" s="51">
        <f t="shared" si="101"/>
        <v>0.41357746362794345</v>
      </c>
      <c r="AF41" s="1047"/>
      <c r="AG41" s="40">
        <f t="shared" si="102"/>
        <v>509</v>
      </c>
      <c r="AH41" s="44"/>
      <c r="AI41" s="41">
        <v>509</v>
      </c>
      <c r="AJ41" s="41">
        <f t="shared" si="103"/>
        <v>0</v>
      </c>
      <c r="AK41" s="42"/>
      <c r="AL41" s="41">
        <f t="shared" si="104"/>
        <v>2874</v>
      </c>
      <c r="AM41" s="42">
        <f t="shared" si="105"/>
        <v>0.172139265817047</v>
      </c>
      <c r="AN41" s="1058"/>
      <c r="AO41" s="67">
        <v>0</v>
      </c>
      <c r="AP41" s="67">
        <v>24</v>
      </c>
      <c r="AQ41" s="68">
        <f t="shared" si="87"/>
        <v>0</v>
      </c>
      <c r="AR41" s="68"/>
      <c r="AS41" s="69">
        <f t="shared" si="65"/>
        <v>1764.3286800000005</v>
      </c>
      <c r="AT41" s="140">
        <f t="shared" si="66"/>
        <v>8.6446764984646336</v>
      </c>
      <c r="AU41" s="1073"/>
      <c r="AV41" s="70">
        <v>0</v>
      </c>
      <c r="AW41" s="71">
        <v>12</v>
      </c>
      <c r="AX41" s="72">
        <f t="shared" si="79"/>
        <v>0</v>
      </c>
      <c r="AY41" s="72"/>
      <c r="AZ41" s="73">
        <f t="shared" si="106"/>
        <v>567.36953999999992</v>
      </c>
      <c r="BA41" s="192">
        <f t="shared" si="107"/>
        <v>2.7799390124875645</v>
      </c>
      <c r="BB41" s="1075"/>
      <c r="BC41" s="90">
        <f t="shared" si="108"/>
        <v>35049</v>
      </c>
      <c r="BD41" s="59"/>
      <c r="BE41" s="56">
        <v>35049</v>
      </c>
      <c r="BF41" s="56"/>
      <c r="BG41" s="58">
        <f t="shared" si="109"/>
        <v>15886</v>
      </c>
      <c r="BH41" s="58">
        <f t="shared" si="110"/>
        <v>77.836591566719378</v>
      </c>
      <c r="BI41" s="1133"/>
      <c r="BJ41" s="64">
        <f t="shared" si="111"/>
        <v>1048</v>
      </c>
      <c r="BK41" s="64"/>
      <c r="BL41" s="64">
        <v>1048</v>
      </c>
      <c r="BM41" s="64"/>
      <c r="BN41" s="65"/>
      <c r="BO41" s="64">
        <f t="shared" si="112"/>
        <v>3640</v>
      </c>
      <c r="BP41" s="65">
        <f t="shared" si="113"/>
        <v>0.21801911189076237</v>
      </c>
      <c r="BQ41" s="1071"/>
      <c r="BR41" s="77">
        <f t="shared" si="114"/>
        <v>47961</v>
      </c>
      <c r="BS41" s="98"/>
      <c r="BT41" s="35">
        <f t="shared" si="92"/>
        <v>47961</v>
      </c>
      <c r="BU41" s="74">
        <f t="shared" si="88"/>
        <v>0</v>
      </c>
      <c r="BV41" s="74">
        <f t="shared" si="90"/>
        <v>95395</v>
      </c>
      <c r="BW41" s="74">
        <f t="shared" si="89"/>
        <v>467.40662548830386</v>
      </c>
      <c r="BX41" s="1098"/>
      <c r="BY41" s="296">
        <v>800</v>
      </c>
      <c r="BZ41" s="296"/>
      <c r="CA41" s="296">
        <v>800</v>
      </c>
      <c r="CB41" s="296"/>
      <c r="CC41" s="297"/>
      <c r="CD41" s="296">
        <f t="shared" si="115"/>
        <v>2950</v>
      </c>
      <c r="CE41" s="297">
        <f t="shared" si="116"/>
        <v>0.1766913132081728</v>
      </c>
      <c r="CF41" s="1061"/>
      <c r="CH41">
        <f t="shared" si="29"/>
        <v>0</v>
      </c>
    </row>
    <row r="42" spans="1:86">
      <c r="A42" s="30">
        <v>43990</v>
      </c>
      <c r="B42" s="265">
        <v>50416</v>
      </c>
      <c r="C42" s="1">
        <f t="shared" si="12"/>
        <v>16746200</v>
      </c>
      <c r="D42" s="91">
        <v>2655.8</v>
      </c>
      <c r="E42" s="93">
        <f t="shared" si="23"/>
        <v>206750.03999999998</v>
      </c>
      <c r="F42" s="240">
        <f t="shared" si="117"/>
        <v>54600</v>
      </c>
      <c r="G42" s="240"/>
      <c r="H42" s="280"/>
      <c r="I42" s="240">
        <f>38000+16600</f>
        <v>54600</v>
      </c>
      <c r="J42" s="240"/>
      <c r="K42" s="280"/>
      <c r="L42" s="240">
        <f t="shared" si="93"/>
        <v>370960</v>
      </c>
      <c r="M42" s="280">
        <f t="shared" si="94"/>
        <v>22.151891175311412</v>
      </c>
      <c r="N42" s="280">
        <f t="shared" si="95"/>
        <v>2.7123657616396981</v>
      </c>
      <c r="O42" s="1089"/>
      <c r="P42" s="1084"/>
      <c r="Q42" s="35">
        <f t="shared" si="96"/>
        <v>27545</v>
      </c>
      <c r="R42" s="35"/>
      <c r="S42" s="35">
        <v>27545</v>
      </c>
      <c r="T42" s="35"/>
      <c r="U42" s="36"/>
      <c r="V42" s="74">
        <f t="shared" si="97"/>
        <v>27733</v>
      </c>
      <c r="W42" s="36">
        <f t="shared" si="98"/>
        <v>1.6560771996034922</v>
      </c>
      <c r="X42" s="1136"/>
      <c r="Y42" s="49">
        <f t="shared" si="99"/>
        <v>638</v>
      </c>
      <c r="Z42" s="50"/>
      <c r="AA42" s="50">
        <f>528+85</f>
        <v>613</v>
      </c>
      <c r="AB42" s="50">
        <f t="shared" ref="AB42:AB60" si="118">Y42+Z42-AA42</f>
        <v>25</v>
      </c>
      <c r="AC42" s="51">
        <f t="shared" ref="AC42:AC60" si="119">AB42*1000/B42</f>
        <v>0.49587432561091715</v>
      </c>
      <c r="AD42" s="50">
        <f t="shared" si="100"/>
        <v>6930</v>
      </c>
      <c r="AE42" s="51">
        <f t="shared" si="101"/>
        <v>0.41382522602142574</v>
      </c>
      <c r="AF42" s="1047"/>
      <c r="AG42" s="40">
        <f t="shared" si="102"/>
        <v>509</v>
      </c>
      <c r="AH42" s="44"/>
      <c r="AI42" s="41">
        <v>509</v>
      </c>
      <c r="AJ42" s="41">
        <f t="shared" si="103"/>
        <v>0</v>
      </c>
      <c r="AK42" s="42">
        <f t="shared" ref="AK42:AK60" si="120">AJ42*1000/B42</f>
        <v>0</v>
      </c>
      <c r="AL42" s="41">
        <f t="shared" si="104"/>
        <v>2874</v>
      </c>
      <c r="AM42" s="42">
        <f t="shared" si="105"/>
        <v>0.17162102447122332</v>
      </c>
      <c r="AN42" s="1058"/>
      <c r="AO42" s="67">
        <v>2.5</v>
      </c>
      <c r="AP42" s="67">
        <v>24</v>
      </c>
      <c r="AQ42" s="68">
        <f>AO42*AP42*0.49705</f>
        <v>29.823</v>
      </c>
      <c r="AR42" s="68">
        <f>AQ42*1000/D42</f>
        <v>11.229384742827019</v>
      </c>
      <c r="AS42" s="69">
        <f t="shared" si="65"/>
        <v>1794.1516800000006</v>
      </c>
      <c r="AT42" s="140">
        <f t="shared" si="66"/>
        <v>8.6778782727200472</v>
      </c>
      <c r="AU42" s="1073"/>
      <c r="AV42" s="70">
        <v>2.2000000000000002</v>
      </c>
      <c r="AW42" s="71">
        <v>12</v>
      </c>
      <c r="AX42" s="72">
        <f t="shared" si="79"/>
        <v>13.641672000000002</v>
      </c>
      <c r="AY42" s="72">
        <f>AX42*1000/D42</f>
        <v>5.1365584757888403</v>
      </c>
      <c r="AZ42" s="73">
        <f t="shared" si="106"/>
        <v>581.01121199999989</v>
      </c>
      <c r="BA42" s="192">
        <f t="shared" si="107"/>
        <v>2.8102108807330821</v>
      </c>
      <c r="BB42" s="1075"/>
      <c r="BC42" s="90">
        <f t="shared" si="108"/>
        <v>35049</v>
      </c>
      <c r="BD42" s="59"/>
      <c r="BE42" s="56">
        <v>35049</v>
      </c>
      <c r="BF42" s="56"/>
      <c r="BG42" s="58">
        <f t="shared" si="109"/>
        <v>15886</v>
      </c>
      <c r="BH42" s="58">
        <f t="shared" si="110"/>
        <v>76.836744505587532</v>
      </c>
      <c r="BI42" s="1133"/>
      <c r="BJ42" s="64">
        <f t="shared" si="111"/>
        <v>1048</v>
      </c>
      <c r="BK42" s="64"/>
      <c r="BL42" s="64">
        <v>1048</v>
      </c>
      <c r="BM42" s="64"/>
      <c r="BN42" s="65"/>
      <c r="BO42" s="64">
        <f t="shared" si="112"/>
        <v>3640</v>
      </c>
      <c r="BP42" s="65">
        <f t="shared" si="113"/>
        <v>0.2173627449809509</v>
      </c>
      <c r="BQ42" s="1071"/>
      <c r="BR42" s="77">
        <f t="shared" si="114"/>
        <v>47961</v>
      </c>
      <c r="BS42" s="98"/>
      <c r="BT42" s="35">
        <f t="shared" si="92"/>
        <v>47961</v>
      </c>
      <c r="BU42" s="74">
        <f t="shared" si="88"/>
        <v>0</v>
      </c>
      <c r="BV42" s="74">
        <f t="shared" si="90"/>
        <v>95395</v>
      </c>
      <c r="BW42" s="74">
        <f t="shared" si="89"/>
        <v>461.40257094992586</v>
      </c>
      <c r="BX42" s="1098"/>
      <c r="BY42" s="296">
        <v>800</v>
      </c>
      <c r="BZ42" s="296"/>
      <c r="CA42" s="296">
        <v>800</v>
      </c>
      <c r="CB42" s="296"/>
      <c r="CC42" s="297"/>
      <c r="CD42" s="296">
        <f t="shared" si="115"/>
        <v>2950</v>
      </c>
      <c r="CE42" s="297">
        <f t="shared" si="116"/>
        <v>0.17615936749829811</v>
      </c>
      <c r="CF42" s="1061"/>
      <c r="CH42">
        <f t="shared" si="29"/>
        <v>0</v>
      </c>
    </row>
    <row r="43" spans="1:86">
      <c r="A43" s="30">
        <v>43991</v>
      </c>
      <c r="B43" s="265">
        <v>416225</v>
      </c>
      <c r="C43" s="1">
        <f t="shared" si="12"/>
        <v>17162425</v>
      </c>
      <c r="D43" s="91">
        <v>5131.82</v>
      </c>
      <c r="E43" s="93">
        <f t="shared" si="23"/>
        <v>211881.86</v>
      </c>
      <c r="F43" s="240">
        <f t="shared" si="117"/>
        <v>54600</v>
      </c>
      <c r="G43" s="240"/>
      <c r="H43" s="280"/>
      <c r="I43" s="240">
        <f>25200+16600</f>
        <v>41800</v>
      </c>
      <c r="J43" s="240">
        <f t="shared" ref="J43:J60" si="121">F43+G43-I43</f>
        <v>12800</v>
      </c>
      <c r="K43" s="280">
        <f t="shared" ref="K43:K61" si="122">J43*1000/B43</f>
        <v>30.752597753618836</v>
      </c>
      <c r="L43" s="240">
        <f t="shared" ref="L43:L66" si="123">L42+J43</f>
        <v>383760</v>
      </c>
      <c r="M43" s="280">
        <f t="shared" ref="M43:M66" si="124">L43*1000/C43</f>
        <v>22.36047644782133</v>
      </c>
      <c r="N43" s="280">
        <f t="shared" ref="N43:N66" si="125">M43/8.167</f>
        <v>2.7379057729669807</v>
      </c>
      <c r="O43" s="1089"/>
      <c r="P43" s="1084"/>
      <c r="Q43" s="35">
        <f t="shared" si="96"/>
        <v>27545</v>
      </c>
      <c r="R43" s="35"/>
      <c r="S43" s="35">
        <v>27545</v>
      </c>
      <c r="T43" s="35"/>
      <c r="U43" s="36"/>
      <c r="V43" s="74">
        <f t="shared" ref="V43:V66" si="126">V42+T43</f>
        <v>27733</v>
      </c>
      <c r="W43" s="36">
        <f t="shared" ref="W43:W66" si="127">1000*V43/C43</f>
        <v>1.6159138350204008</v>
      </c>
      <c r="X43" s="1136"/>
      <c r="Y43" s="49">
        <f t="shared" si="99"/>
        <v>613</v>
      </c>
      <c r="Z43" s="50"/>
      <c r="AA43" s="50">
        <f>493+80</f>
        <v>573</v>
      </c>
      <c r="AB43" s="50">
        <f t="shared" si="118"/>
        <v>40</v>
      </c>
      <c r="AC43" s="51">
        <f t="shared" si="119"/>
        <v>9.6101867980058861E-2</v>
      </c>
      <c r="AD43" s="50">
        <f t="shared" ref="AD43:AD66" si="128">AD42+AB43</f>
        <v>6970</v>
      </c>
      <c r="AE43" s="51">
        <f t="shared" ref="AE43:AE66" si="129">AD43*1000/C43</f>
        <v>0.40611976454376347</v>
      </c>
      <c r="AF43" s="1047"/>
      <c r="AG43" s="40">
        <f t="shared" si="102"/>
        <v>509</v>
      </c>
      <c r="AH43" s="44"/>
      <c r="AI43" s="41">
        <v>452</v>
      </c>
      <c r="AJ43" s="41">
        <f t="shared" ref="AJ43:AJ60" si="130">AG43+AH43-AI43</f>
        <v>57</v>
      </c>
      <c r="AK43" s="42">
        <f t="shared" si="120"/>
        <v>0.13694516187158387</v>
      </c>
      <c r="AL43" s="41">
        <f t="shared" ref="AL43:AL66" si="131">AL42+AJ43</f>
        <v>2931</v>
      </c>
      <c r="AM43" s="42">
        <f t="shared" ref="AM43:AM66" si="132">AL43*1000/C43</f>
        <v>0.17078006167543339</v>
      </c>
      <c r="AN43" s="1058"/>
      <c r="AO43" s="67">
        <v>4.0999999999999996</v>
      </c>
      <c r="AP43" s="67">
        <v>24</v>
      </c>
      <c r="AQ43" s="68">
        <f>AO43*AP43*0.49705</f>
        <v>48.909719999999993</v>
      </c>
      <c r="AR43" s="68">
        <f>AQ43*1000/D43</f>
        <v>9.5306772256236574</v>
      </c>
      <c r="AS43" s="69">
        <f t="shared" si="65"/>
        <v>1843.0614000000005</v>
      </c>
      <c r="AT43" s="140">
        <f t="shared" si="66"/>
        <v>8.6985332297913605</v>
      </c>
      <c r="AU43" s="1073"/>
      <c r="AV43" s="70">
        <v>2.5</v>
      </c>
      <c r="AW43" s="71">
        <v>12</v>
      </c>
      <c r="AX43" s="72">
        <f t="shared" si="79"/>
        <v>15.501900000000001</v>
      </c>
      <c r="AY43" s="72">
        <f>AX43*1000/D43</f>
        <v>3.020741179542541</v>
      </c>
      <c r="AZ43" s="73">
        <f>AZ42+AX43</f>
        <v>596.51311199999986</v>
      </c>
      <c r="BA43" s="192">
        <f>AZ43*1000/E43</f>
        <v>2.8153099656572764</v>
      </c>
      <c r="BB43" s="1075"/>
      <c r="BC43" s="90">
        <f t="shared" si="108"/>
        <v>35049</v>
      </c>
      <c r="BD43" s="59"/>
      <c r="BE43" s="56">
        <v>35049</v>
      </c>
      <c r="BF43" s="56"/>
      <c r="BG43" s="58">
        <f t="shared" ref="BG43:BG66" si="133">BG42+BF43</f>
        <v>15886</v>
      </c>
      <c r="BH43" s="58">
        <f t="shared" ref="BH43:BH66" si="134">BG43*1000/E43</f>
        <v>74.97574355822627</v>
      </c>
      <c r="BI43" s="1133"/>
      <c r="BJ43" s="64">
        <f t="shared" si="111"/>
        <v>1048</v>
      </c>
      <c r="BK43" s="64"/>
      <c r="BL43" s="64">
        <v>1048</v>
      </c>
      <c r="BM43" s="64"/>
      <c r="BN43" s="65"/>
      <c r="BO43" s="64">
        <f t="shared" ref="BO43:BO66" si="135">BO42+BM43</f>
        <v>3640</v>
      </c>
      <c r="BP43" s="65">
        <f t="shared" ref="BP43:BP66" si="136">BO43*1000/C43</f>
        <v>0.21209124001998553</v>
      </c>
      <c r="BQ43" s="1071"/>
      <c r="BR43" s="77">
        <f t="shared" si="114"/>
        <v>47961</v>
      </c>
      <c r="BS43" s="98"/>
      <c r="BT43" s="35">
        <v>43189</v>
      </c>
      <c r="BU43" s="74">
        <f t="shared" si="88"/>
        <v>4772</v>
      </c>
      <c r="BV43" s="74">
        <f t="shared" si="90"/>
        <v>100167</v>
      </c>
      <c r="BW43" s="74">
        <f t="shared" si="89"/>
        <v>472.74929529125336</v>
      </c>
      <c r="BX43" s="1098"/>
      <c r="BY43" s="296">
        <v>800</v>
      </c>
      <c r="BZ43" s="296"/>
      <c r="CA43" s="296">
        <v>800</v>
      </c>
      <c r="CB43" s="296"/>
      <c r="CC43" s="297"/>
      <c r="CD43" s="296">
        <f t="shared" ref="CD43:CD66" si="137">CD42+CB43</f>
        <v>2950</v>
      </c>
      <c r="CE43" s="297">
        <f t="shared" ref="CE43:CE66" si="138">CD43*1000/C43</f>
        <v>0.17188713133487837</v>
      </c>
      <c r="CF43" s="1061"/>
      <c r="CH43">
        <f t="shared" si="29"/>
        <v>0</v>
      </c>
    </row>
    <row r="44" spans="1:86">
      <c r="A44" s="30">
        <v>43992</v>
      </c>
      <c r="B44" s="32">
        <v>425239</v>
      </c>
      <c r="C44" s="1">
        <f t="shared" si="12"/>
        <v>17587664</v>
      </c>
      <c r="D44" s="29">
        <v>4373.4399999999996</v>
      </c>
      <c r="E44" s="93">
        <f t="shared" si="23"/>
        <v>216255.3</v>
      </c>
      <c r="F44" s="240">
        <f t="shared" si="117"/>
        <v>41800</v>
      </c>
      <c r="G44" s="240"/>
      <c r="H44" s="280"/>
      <c r="I44" s="240">
        <f>12000+16600</f>
        <v>28600</v>
      </c>
      <c r="J44" s="240">
        <f t="shared" si="121"/>
        <v>13200</v>
      </c>
      <c r="K44" s="280">
        <f t="shared" si="122"/>
        <v>31.041367325198301</v>
      </c>
      <c r="L44" s="240">
        <f t="shared" si="123"/>
        <v>396960</v>
      </c>
      <c r="M44" s="280">
        <f t="shared" si="124"/>
        <v>22.570365228719403</v>
      </c>
      <c r="N44" s="280">
        <f t="shared" si="125"/>
        <v>2.7636053910517209</v>
      </c>
      <c r="O44" s="1089"/>
      <c r="P44" s="1084"/>
      <c r="Q44" s="35">
        <f t="shared" si="96"/>
        <v>27545</v>
      </c>
      <c r="R44" s="35"/>
      <c r="S44" s="35">
        <v>27545</v>
      </c>
      <c r="T44" s="35"/>
      <c r="U44" s="36"/>
      <c r="V44" s="74">
        <f t="shared" si="126"/>
        <v>27733</v>
      </c>
      <c r="W44" s="36">
        <f t="shared" si="127"/>
        <v>1.5768438605604473</v>
      </c>
      <c r="X44" s="1136"/>
      <c r="Y44" s="49">
        <f t="shared" si="99"/>
        <v>573</v>
      </c>
      <c r="Z44" s="50"/>
      <c r="AA44" s="50">
        <f>493+75</f>
        <v>568</v>
      </c>
      <c r="AB44" s="50">
        <f t="shared" si="118"/>
        <v>5</v>
      </c>
      <c r="AC44" s="51">
        <f t="shared" si="119"/>
        <v>1.1758093683787234E-2</v>
      </c>
      <c r="AD44" s="50">
        <f t="shared" si="128"/>
        <v>6975</v>
      </c>
      <c r="AE44" s="51">
        <f t="shared" si="129"/>
        <v>0.39658478806508923</v>
      </c>
      <c r="AF44" s="1047"/>
      <c r="AG44" s="40">
        <f t="shared" si="102"/>
        <v>452</v>
      </c>
      <c r="AH44" s="41"/>
      <c r="AI44" s="41">
        <v>378</v>
      </c>
      <c r="AJ44" s="41">
        <f t="shared" si="130"/>
        <v>74</v>
      </c>
      <c r="AK44" s="42">
        <f t="shared" si="120"/>
        <v>0.17401978652005107</v>
      </c>
      <c r="AL44" s="41">
        <f t="shared" si="131"/>
        <v>3005</v>
      </c>
      <c r="AM44" s="42">
        <f t="shared" si="132"/>
        <v>0.17085839256424276</v>
      </c>
      <c r="AN44" s="1058"/>
      <c r="AO44" s="67">
        <v>5.6</v>
      </c>
      <c r="AP44" s="67">
        <v>24</v>
      </c>
      <c r="AQ44" s="68">
        <f>AO44*AP44*0.49705</f>
        <v>66.803519999999992</v>
      </c>
      <c r="AR44" s="68">
        <f>AQ44*1000/D44</f>
        <v>15.274822565303284</v>
      </c>
      <c r="AS44" s="69">
        <f t="shared" si="65"/>
        <v>1909.8649200000004</v>
      </c>
      <c r="AT44" s="140">
        <f t="shared" si="66"/>
        <v>8.8315288457670196</v>
      </c>
      <c r="AU44" s="1073"/>
      <c r="AV44" s="70">
        <v>3.2</v>
      </c>
      <c r="AW44" s="71">
        <v>12</v>
      </c>
      <c r="AX44" s="72">
        <f t="shared" si="79"/>
        <v>19.842432000000002</v>
      </c>
      <c r="AY44" s="72">
        <f>AX44*1000/D44</f>
        <v>4.5370308041267293</v>
      </c>
      <c r="AZ44" s="73">
        <f>AZ43+AX44</f>
        <v>616.3555439999999</v>
      </c>
      <c r="BA44" s="192">
        <f>AZ44*1000/E44</f>
        <v>2.8501291945214748</v>
      </c>
      <c r="BB44" s="1075"/>
      <c r="BC44" s="90">
        <f t="shared" si="108"/>
        <v>35049</v>
      </c>
      <c r="BD44" s="59"/>
      <c r="BE44" s="56">
        <v>35049</v>
      </c>
      <c r="BF44" s="56"/>
      <c r="BG44" s="58">
        <f t="shared" si="133"/>
        <v>15886</v>
      </c>
      <c r="BH44" s="58">
        <f t="shared" si="134"/>
        <v>73.459471282322326</v>
      </c>
      <c r="BI44" s="1133"/>
      <c r="BJ44" s="64">
        <f t="shared" si="111"/>
        <v>1048</v>
      </c>
      <c r="BK44" s="64"/>
      <c r="BL44" s="64">
        <v>1008</v>
      </c>
      <c r="BM44" s="64">
        <f t="shared" ref="BM44:BM59" si="139">BJ44+BK44-BL44</f>
        <v>40</v>
      </c>
      <c r="BN44" s="65">
        <f t="shared" ref="BN44:BN59" si="140">BM44*1000/B44</f>
        <v>9.4064749470297873E-2</v>
      </c>
      <c r="BO44" s="64">
        <f t="shared" si="135"/>
        <v>3680</v>
      </c>
      <c r="BP44" s="65">
        <f t="shared" si="136"/>
        <v>0.20923756560279977</v>
      </c>
      <c r="BQ44" s="1071"/>
      <c r="BR44" s="77">
        <f t="shared" si="114"/>
        <v>43189</v>
      </c>
      <c r="BS44" s="98"/>
      <c r="BT44" s="35">
        <v>39492</v>
      </c>
      <c r="BU44" s="74">
        <f t="shared" si="88"/>
        <v>3697</v>
      </c>
      <c r="BV44" s="74">
        <f t="shared" si="90"/>
        <v>103864</v>
      </c>
      <c r="BW44" s="74">
        <f t="shared" si="89"/>
        <v>480.28418263043727</v>
      </c>
      <c r="BX44" s="1098"/>
      <c r="BY44" s="296">
        <v>800</v>
      </c>
      <c r="BZ44" s="296"/>
      <c r="CA44" s="296">
        <v>800</v>
      </c>
      <c r="CB44" s="296"/>
      <c r="CC44" s="297"/>
      <c r="CD44" s="296">
        <f t="shared" si="137"/>
        <v>2950</v>
      </c>
      <c r="CE44" s="297">
        <f t="shared" si="138"/>
        <v>0.16773120068702699</v>
      </c>
      <c r="CF44" s="1061"/>
      <c r="CH44">
        <f t="shared" si="29"/>
        <v>0</v>
      </c>
    </row>
    <row r="45" spans="1:86">
      <c r="A45" s="30">
        <v>43993</v>
      </c>
      <c r="B45" s="32">
        <v>386391</v>
      </c>
      <c r="C45" s="1">
        <f t="shared" si="12"/>
        <v>17974055</v>
      </c>
      <c r="D45" s="29">
        <v>5286.91</v>
      </c>
      <c r="E45" s="93">
        <f t="shared" si="23"/>
        <v>221542.21</v>
      </c>
      <c r="F45" s="240">
        <f t="shared" si="117"/>
        <v>28600</v>
      </c>
      <c r="G45" s="240">
        <v>22000</v>
      </c>
      <c r="H45" s="280">
        <v>10.199999999999999</v>
      </c>
      <c r="I45" s="240">
        <f>12000+16600</f>
        <v>28600</v>
      </c>
      <c r="J45" s="240">
        <f t="shared" si="121"/>
        <v>22000</v>
      </c>
      <c r="K45" s="280">
        <f t="shared" si="122"/>
        <v>56.937143981096867</v>
      </c>
      <c r="L45" s="240">
        <f t="shared" si="123"/>
        <v>418960</v>
      </c>
      <c r="M45" s="280">
        <f t="shared" si="124"/>
        <v>23.309153109857515</v>
      </c>
      <c r="N45" s="280">
        <f t="shared" si="125"/>
        <v>2.8540655209816967</v>
      </c>
      <c r="O45" s="1089"/>
      <c r="P45" s="1084"/>
      <c r="Q45" s="35">
        <f t="shared" si="96"/>
        <v>27545</v>
      </c>
      <c r="R45" s="35"/>
      <c r="S45" s="35">
        <v>27545</v>
      </c>
      <c r="T45" s="35"/>
      <c r="U45" s="36"/>
      <c r="V45" s="74">
        <f t="shared" si="126"/>
        <v>27733</v>
      </c>
      <c r="W45" s="36">
        <f t="shared" si="127"/>
        <v>1.5429462077422151</v>
      </c>
      <c r="X45" s="1136"/>
      <c r="Y45" s="49">
        <f t="shared" si="99"/>
        <v>568</v>
      </c>
      <c r="Z45" s="50"/>
      <c r="AA45" s="50">
        <f>493+62</f>
        <v>555</v>
      </c>
      <c r="AB45" s="50">
        <f t="shared" si="118"/>
        <v>13</v>
      </c>
      <c r="AC45" s="51">
        <f t="shared" si="119"/>
        <v>3.3644675988829968E-2</v>
      </c>
      <c r="AD45" s="50">
        <f t="shared" si="128"/>
        <v>6988</v>
      </c>
      <c r="AE45" s="51">
        <f t="shared" si="129"/>
        <v>0.38878260915525181</v>
      </c>
      <c r="AF45" s="1047"/>
      <c r="AG45" s="40">
        <f t="shared" si="102"/>
        <v>378</v>
      </c>
      <c r="AH45" s="41"/>
      <c r="AI45" s="41">
        <v>307</v>
      </c>
      <c r="AJ45" s="41">
        <f t="shared" si="130"/>
        <v>71</v>
      </c>
      <c r="AK45" s="42">
        <f t="shared" si="120"/>
        <v>0.18375169193899443</v>
      </c>
      <c r="AL45" s="41">
        <f t="shared" si="131"/>
        <v>3076</v>
      </c>
      <c r="AM45" s="42">
        <f t="shared" si="132"/>
        <v>0.1711355617861412</v>
      </c>
      <c r="AN45" s="1058"/>
      <c r="AO45" s="311">
        <v>4.2</v>
      </c>
      <c r="AP45" s="67">
        <v>24</v>
      </c>
      <c r="AQ45" s="68">
        <f t="shared" ref="AQ45:AQ52" si="141">AO45*AP45*0.49705</f>
        <v>50.102640000000008</v>
      </c>
      <c r="AR45" s="68">
        <f t="shared" ref="AR45:AR52" si="142">AQ45*1000/D45</f>
        <v>9.4767340469196579</v>
      </c>
      <c r="AS45" s="69">
        <f t="shared" ref="AS45:AS50" si="143">AS44+AQ45</f>
        <v>1959.9675600000005</v>
      </c>
      <c r="AT45" s="140">
        <f t="shared" ref="AT45:AT50" si="144">AS45*1000/E45</f>
        <v>8.8469261004483108</v>
      </c>
      <c r="AU45" s="1073"/>
      <c r="AV45" s="70">
        <v>2.8</v>
      </c>
      <c r="AW45" s="71">
        <v>12</v>
      </c>
      <c r="AX45" s="72">
        <f t="shared" si="79"/>
        <v>17.362127999999998</v>
      </c>
      <c r="AY45" s="72">
        <f t="shared" ref="AY45:AY60" si="145">AX45*1000/D45</f>
        <v>3.2839840284778816</v>
      </c>
      <c r="AZ45" s="73">
        <f t="shared" ref="AZ45:AZ50" si="146">AZ44+AX45</f>
        <v>633.71767199999988</v>
      </c>
      <c r="BA45" s="192">
        <f t="shared" ref="BA45:BA50" si="147">AZ45*1000/E45</f>
        <v>2.8604827585677688</v>
      </c>
      <c r="BB45" s="1075"/>
      <c r="BC45" s="90">
        <f t="shared" si="108"/>
        <v>35049</v>
      </c>
      <c r="BD45" s="59"/>
      <c r="BE45" s="56">
        <v>35049</v>
      </c>
      <c r="BF45" s="56"/>
      <c r="BG45" s="58">
        <f t="shared" si="133"/>
        <v>15886</v>
      </c>
      <c r="BH45" s="58">
        <f t="shared" si="134"/>
        <v>71.706425606208413</v>
      </c>
      <c r="BI45" s="1133"/>
      <c r="BJ45" s="64">
        <f t="shared" si="111"/>
        <v>1008</v>
      </c>
      <c r="BK45" s="64"/>
      <c r="BL45" s="64">
        <v>888</v>
      </c>
      <c r="BM45" s="64">
        <f t="shared" si="139"/>
        <v>120</v>
      </c>
      <c r="BN45" s="65">
        <f t="shared" si="140"/>
        <v>0.31056623989689203</v>
      </c>
      <c r="BO45" s="64">
        <f t="shared" si="135"/>
        <v>3800</v>
      </c>
      <c r="BP45" s="65">
        <f t="shared" si="136"/>
        <v>0.21141584355895204</v>
      </c>
      <c r="BQ45" s="1071"/>
      <c r="BR45" s="77">
        <f t="shared" si="114"/>
        <v>39492</v>
      </c>
      <c r="BS45" s="98"/>
      <c r="BT45" s="35">
        <v>37644</v>
      </c>
      <c r="BU45" s="74">
        <f t="shared" ref="BU45:BU59" si="148">BR45+BS45-BT45</f>
        <v>1848</v>
      </c>
      <c r="BV45" s="74">
        <f t="shared" si="90"/>
        <v>105712</v>
      </c>
      <c r="BW45" s="74">
        <f t="shared" si="89"/>
        <v>477.16414853855616</v>
      </c>
      <c r="BX45" s="1098"/>
      <c r="BY45" s="296">
        <v>800</v>
      </c>
      <c r="BZ45" s="296"/>
      <c r="CA45" s="296">
        <v>800</v>
      </c>
      <c r="CB45" s="296"/>
      <c r="CC45" s="297"/>
      <c r="CD45" s="296">
        <f t="shared" si="137"/>
        <v>2950</v>
      </c>
      <c r="CE45" s="297">
        <f t="shared" si="138"/>
        <v>0.16412545749971277</v>
      </c>
      <c r="CF45" s="1061"/>
      <c r="CH45">
        <f t="shared" si="29"/>
        <v>0</v>
      </c>
    </row>
    <row r="46" spans="1:86">
      <c r="A46" s="30">
        <v>43994</v>
      </c>
      <c r="B46" s="32">
        <v>551222</v>
      </c>
      <c r="C46" s="1">
        <f t="shared" si="12"/>
        <v>18525277</v>
      </c>
      <c r="D46" s="29">
        <v>6980</v>
      </c>
      <c r="E46" s="93">
        <f t="shared" si="23"/>
        <v>228522.21</v>
      </c>
      <c r="F46" s="240">
        <f t="shared" si="117"/>
        <v>28600</v>
      </c>
      <c r="G46" s="240"/>
      <c r="H46" s="280"/>
      <c r="I46" s="240">
        <v>16600</v>
      </c>
      <c r="J46" s="240">
        <f t="shared" si="121"/>
        <v>12000</v>
      </c>
      <c r="K46" s="280">
        <f t="shared" si="122"/>
        <v>21.769813251285328</v>
      </c>
      <c r="L46" s="240">
        <f t="shared" si="123"/>
        <v>430960</v>
      </c>
      <c r="M46" s="280">
        <f t="shared" si="124"/>
        <v>23.263349854363852</v>
      </c>
      <c r="N46" s="280">
        <f t="shared" si="125"/>
        <v>2.8484571879960638</v>
      </c>
      <c r="O46" s="1089"/>
      <c r="P46" s="1084"/>
      <c r="Q46" s="35">
        <f t="shared" si="96"/>
        <v>27545</v>
      </c>
      <c r="R46" s="35"/>
      <c r="S46" s="35">
        <v>25673</v>
      </c>
      <c r="T46" s="35">
        <f>Q46+R46-S46</f>
        <v>1872</v>
      </c>
      <c r="U46" s="36">
        <f>1000*T46/B46</f>
        <v>3.396090867200511</v>
      </c>
      <c r="V46" s="74">
        <f t="shared" si="126"/>
        <v>29605</v>
      </c>
      <c r="W46" s="36">
        <f t="shared" si="127"/>
        <v>1.5980867654502549</v>
      </c>
      <c r="X46" s="1136"/>
      <c r="Y46" s="49">
        <f t="shared" si="99"/>
        <v>555</v>
      </c>
      <c r="Z46" s="50"/>
      <c r="AA46" s="50">
        <f>458+75</f>
        <v>533</v>
      </c>
      <c r="AB46" s="50">
        <f t="shared" si="118"/>
        <v>22</v>
      </c>
      <c r="AC46" s="51">
        <f t="shared" si="119"/>
        <v>3.9911324294023096E-2</v>
      </c>
      <c r="AD46" s="50">
        <f t="shared" si="128"/>
        <v>7010</v>
      </c>
      <c r="AE46" s="51">
        <f t="shared" si="129"/>
        <v>0.37840189919967188</v>
      </c>
      <c r="AF46" s="1047"/>
      <c r="AG46" s="40">
        <f t="shared" si="102"/>
        <v>307</v>
      </c>
      <c r="AH46" s="41"/>
      <c r="AI46" s="41">
        <v>273</v>
      </c>
      <c r="AJ46" s="41">
        <f t="shared" si="130"/>
        <v>34</v>
      </c>
      <c r="AK46" s="42">
        <f t="shared" si="120"/>
        <v>6.168113754530842E-2</v>
      </c>
      <c r="AL46" s="41">
        <f t="shared" si="131"/>
        <v>3110</v>
      </c>
      <c r="AM46" s="42">
        <f t="shared" si="132"/>
        <v>0.16787873131397713</v>
      </c>
      <c r="AN46" s="1058"/>
      <c r="AO46" s="67">
        <v>5.9</v>
      </c>
      <c r="AP46" s="67">
        <v>24</v>
      </c>
      <c r="AQ46" s="68">
        <f t="shared" si="141"/>
        <v>70.382280000000009</v>
      </c>
      <c r="AR46" s="68">
        <f t="shared" si="142"/>
        <v>10.083421203438398</v>
      </c>
      <c r="AS46" s="69">
        <f t="shared" si="143"/>
        <v>2030.3498400000005</v>
      </c>
      <c r="AT46" s="140">
        <f t="shared" si="144"/>
        <v>8.8846937022007655</v>
      </c>
      <c r="AU46" s="1073"/>
      <c r="AV46" s="70">
        <v>3.9</v>
      </c>
      <c r="AW46" s="71">
        <v>12</v>
      </c>
      <c r="AX46" s="72">
        <f t="shared" si="79"/>
        <v>24.182963999999998</v>
      </c>
      <c r="AY46" s="72">
        <f t="shared" si="145"/>
        <v>3.4646080229226359</v>
      </c>
      <c r="AZ46" s="73">
        <f t="shared" si="146"/>
        <v>657.90063599999985</v>
      </c>
      <c r="BA46" s="192">
        <f t="shared" si="147"/>
        <v>2.8789352072168382</v>
      </c>
      <c r="BB46" s="1075"/>
      <c r="BC46" s="90">
        <f t="shared" si="108"/>
        <v>35049</v>
      </c>
      <c r="BD46" s="59"/>
      <c r="BE46" s="56">
        <v>35049</v>
      </c>
      <c r="BF46" s="56"/>
      <c r="BG46" s="58">
        <f t="shared" si="133"/>
        <v>15886</v>
      </c>
      <c r="BH46" s="58">
        <f t="shared" si="134"/>
        <v>69.516219014335633</v>
      </c>
      <c r="BI46" s="1133"/>
      <c r="BJ46" s="64">
        <f t="shared" si="111"/>
        <v>888</v>
      </c>
      <c r="BK46" s="64"/>
      <c r="BL46" s="64">
        <v>780</v>
      </c>
      <c r="BM46" s="64">
        <f t="shared" si="139"/>
        <v>108</v>
      </c>
      <c r="BN46" s="65">
        <f t="shared" si="140"/>
        <v>0.19592831926156792</v>
      </c>
      <c r="BO46" s="64">
        <f t="shared" si="135"/>
        <v>3908</v>
      </c>
      <c r="BP46" s="65">
        <f t="shared" si="136"/>
        <v>0.21095501028135774</v>
      </c>
      <c r="BQ46" s="1071"/>
      <c r="BR46" s="77">
        <f t="shared" si="114"/>
        <v>37644</v>
      </c>
      <c r="BS46" s="98"/>
      <c r="BT46" s="35">
        <f>34871+2000</f>
        <v>36871</v>
      </c>
      <c r="BU46" s="74">
        <f t="shared" si="148"/>
        <v>773</v>
      </c>
      <c r="BV46" s="74">
        <f t="shared" si="90"/>
        <v>106485</v>
      </c>
      <c r="BW46" s="74">
        <f t="shared" si="89"/>
        <v>465.97221337917222</v>
      </c>
      <c r="BX46" s="1098"/>
      <c r="BY46" s="296">
        <v>800</v>
      </c>
      <c r="BZ46" s="296"/>
      <c r="CA46" s="296">
        <v>700</v>
      </c>
      <c r="CB46" s="296">
        <f t="shared" ref="CB46:CB56" si="149">BY46+BZ46-CA46</f>
        <v>100</v>
      </c>
      <c r="CC46" s="297">
        <f t="shared" ref="CC46:CC56" si="150">CB46*1000/B46</f>
        <v>0.18141511042737771</v>
      </c>
      <c r="CD46" s="296">
        <f t="shared" si="137"/>
        <v>3050</v>
      </c>
      <c r="CE46" s="297">
        <f t="shared" si="138"/>
        <v>0.16463991334650488</v>
      </c>
      <c r="CF46" s="1061"/>
      <c r="CH46">
        <f t="shared" si="29"/>
        <v>0</v>
      </c>
    </row>
    <row r="47" spans="1:86">
      <c r="A47" s="30">
        <v>43995</v>
      </c>
      <c r="B47" s="32">
        <v>574829</v>
      </c>
      <c r="C47" s="1">
        <f t="shared" si="12"/>
        <v>19100106</v>
      </c>
      <c r="D47" s="29">
        <v>6831.28</v>
      </c>
      <c r="E47" s="93">
        <f t="shared" si="23"/>
        <v>235353.49</v>
      </c>
      <c r="F47" s="240">
        <f t="shared" si="117"/>
        <v>16600</v>
      </c>
      <c r="G47" s="240">
        <v>32220</v>
      </c>
      <c r="H47" s="280">
        <v>13.66</v>
      </c>
      <c r="I47" s="240">
        <f>4800+16600</f>
        <v>21400</v>
      </c>
      <c r="J47" s="240">
        <f t="shared" si="121"/>
        <v>27420</v>
      </c>
      <c r="K47" s="280">
        <f t="shared" si="122"/>
        <v>47.701142426704287</v>
      </c>
      <c r="L47" s="240">
        <f t="shared" si="123"/>
        <v>458380</v>
      </c>
      <c r="M47" s="280">
        <f t="shared" si="124"/>
        <v>23.998819692414273</v>
      </c>
      <c r="N47" s="280">
        <f t="shared" si="125"/>
        <v>2.9385110435183388</v>
      </c>
      <c r="O47" s="1089"/>
      <c r="P47" s="1084"/>
      <c r="Q47" s="35">
        <f t="shared" si="96"/>
        <v>25673</v>
      </c>
      <c r="R47" s="35"/>
      <c r="S47" s="35">
        <v>24874</v>
      </c>
      <c r="T47" s="35">
        <f>Q47+R47-S47</f>
        <v>799</v>
      </c>
      <c r="U47" s="36">
        <f>1000*T47/B47</f>
        <v>1.3899785849356938</v>
      </c>
      <c r="V47" s="74">
        <f t="shared" si="126"/>
        <v>30404</v>
      </c>
      <c r="W47" s="36">
        <f t="shared" si="127"/>
        <v>1.5918236265285648</v>
      </c>
      <c r="X47" s="1136"/>
      <c r="Y47" s="49">
        <f t="shared" si="99"/>
        <v>533</v>
      </c>
      <c r="Z47" s="50"/>
      <c r="AA47" s="50">
        <f>357+50</f>
        <v>407</v>
      </c>
      <c r="AB47" s="50">
        <f t="shared" si="118"/>
        <v>126</v>
      </c>
      <c r="AC47" s="51">
        <f t="shared" si="119"/>
        <v>0.21919562165443984</v>
      </c>
      <c r="AD47" s="50">
        <f t="shared" si="128"/>
        <v>7136</v>
      </c>
      <c r="AE47" s="51">
        <f t="shared" si="129"/>
        <v>0.37361049200459934</v>
      </c>
      <c r="AF47" s="1047"/>
      <c r="AG47" s="40">
        <f t="shared" si="102"/>
        <v>273</v>
      </c>
      <c r="AH47" s="41"/>
      <c r="AI47" s="41">
        <v>224</v>
      </c>
      <c r="AJ47" s="41">
        <f t="shared" si="130"/>
        <v>49</v>
      </c>
      <c r="AK47" s="42">
        <f t="shared" si="120"/>
        <v>8.5242741754504386E-2</v>
      </c>
      <c r="AL47" s="41">
        <f t="shared" si="131"/>
        <v>3159</v>
      </c>
      <c r="AM47" s="42">
        <f t="shared" si="132"/>
        <v>0.1653917522761392</v>
      </c>
      <c r="AN47" s="1058"/>
      <c r="AO47" s="67">
        <v>4.7</v>
      </c>
      <c r="AP47" s="67">
        <v>24</v>
      </c>
      <c r="AQ47" s="68">
        <f t="shared" si="141"/>
        <v>56.067240000000005</v>
      </c>
      <c r="AR47" s="68">
        <f t="shared" si="142"/>
        <v>8.2074281832980063</v>
      </c>
      <c r="AS47" s="69">
        <f t="shared" si="143"/>
        <v>2086.4170800000006</v>
      </c>
      <c r="AT47" s="140">
        <f t="shared" si="144"/>
        <v>8.8650356533909935</v>
      </c>
      <c r="AU47" s="1073"/>
      <c r="AV47" s="70">
        <v>3.9</v>
      </c>
      <c r="AW47" s="71">
        <v>12</v>
      </c>
      <c r="AX47" s="72">
        <f t="shared" si="79"/>
        <v>24.182963999999998</v>
      </c>
      <c r="AY47" s="72">
        <f t="shared" si="145"/>
        <v>3.5400340785328668</v>
      </c>
      <c r="AZ47" s="73">
        <f t="shared" si="146"/>
        <v>682.08359999999982</v>
      </c>
      <c r="BA47" s="192">
        <f t="shared" si="147"/>
        <v>2.8981240091234675</v>
      </c>
      <c r="BB47" s="1075"/>
      <c r="BC47" s="90">
        <f t="shared" si="108"/>
        <v>35049</v>
      </c>
      <c r="BD47" s="312"/>
      <c r="BE47" s="56">
        <v>35049</v>
      </c>
      <c r="BF47" s="56"/>
      <c r="BG47" s="58">
        <f t="shared" si="133"/>
        <v>15886</v>
      </c>
      <c r="BH47" s="58">
        <f t="shared" si="134"/>
        <v>67.49846794283782</v>
      </c>
      <c r="BI47" s="1133"/>
      <c r="BJ47" s="64">
        <f t="shared" si="111"/>
        <v>780</v>
      </c>
      <c r="BK47" s="64">
        <v>1100</v>
      </c>
      <c r="BL47" s="66">
        <v>1636</v>
      </c>
      <c r="BM47" s="64">
        <f t="shared" si="139"/>
        <v>244</v>
      </c>
      <c r="BN47" s="65">
        <f t="shared" si="140"/>
        <v>0.42447406098161367</v>
      </c>
      <c r="BO47" s="64">
        <f t="shared" si="135"/>
        <v>4152</v>
      </c>
      <c r="BP47" s="65">
        <f t="shared" si="136"/>
        <v>0.21738099254527699</v>
      </c>
      <c r="BQ47" s="1071"/>
      <c r="BR47" s="77">
        <f t="shared" si="114"/>
        <v>36871</v>
      </c>
      <c r="BS47" s="98"/>
      <c r="BT47" s="35">
        <f>31174+2000</f>
        <v>33174</v>
      </c>
      <c r="BU47" s="74">
        <f t="shared" si="148"/>
        <v>3697</v>
      </c>
      <c r="BV47" s="74">
        <f t="shared" si="90"/>
        <v>110182</v>
      </c>
      <c r="BW47" s="74">
        <f t="shared" si="89"/>
        <v>468.15536918530506</v>
      </c>
      <c r="BX47" s="1098"/>
      <c r="BY47" s="296">
        <f>CA46</f>
        <v>700</v>
      </c>
      <c r="BZ47" s="296"/>
      <c r="CA47" s="298">
        <v>540</v>
      </c>
      <c r="CB47" s="296">
        <f t="shared" si="149"/>
        <v>160</v>
      </c>
      <c r="CC47" s="297">
        <f t="shared" si="150"/>
        <v>0.27834364654532046</v>
      </c>
      <c r="CD47" s="296">
        <f t="shared" si="137"/>
        <v>3210</v>
      </c>
      <c r="CE47" s="297">
        <f t="shared" si="138"/>
        <v>0.16806189452561154</v>
      </c>
      <c r="CF47" s="1061"/>
      <c r="CH47">
        <f t="shared" si="29"/>
        <v>224399.99999999997</v>
      </c>
    </row>
    <row r="48" spans="1:86">
      <c r="A48" s="30">
        <v>43996</v>
      </c>
      <c r="B48" s="32">
        <v>610889</v>
      </c>
      <c r="C48" s="1">
        <f t="shared" si="12"/>
        <v>19710995</v>
      </c>
      <c r="D48" s="29">
        <v>7179.88</v>
      </c>
      <c r="E48" s="93">
        <f t="shared" si="23"/>
        <v>242533.37</v>
      </c>
      <c r="F48" s="240">
        <f t="shared" si="117"/>
        <v>21400</v>
      </c>
      <c r="G48" s="240">
        <v>32200</v>
      </c>
      <c r="H48" s="280">
        <v>13.18</v>
      </c>
      <c r="I48" s="240">
        <f>6000+16600</f>
        <v>22600</v>
      </c>
      <c r="J48" s="240">
        <f t="shared" si="121"/>
        <v>31000</v>
      </c>
      <c r="K48" s="280">
        <f t="shared" si="122"/>
        <v>50.745716488592855</v>
      </c>
      <c r="L48" s="240">
        <f t="shared" si="123"/>
        <v>489380</v>
      </c>
      <c r="M48" s="280">
        <f t="shared" si="124"/>
        <v>24.827767446544428</v>
      </c>
      <c r="N48" s="280">
        <f t="shared" si="125"/>
        <v>3.0400107073031015</v>
      </c>
      <c r="O48" s="1089"/>
      <c r="P48" s="1084"/>
      <c r="Q48" s="35">
        <f t="shared" si="96"/>
        <v>24874</v>
      </c>
      <c r="R48" s="35"/>
      <c r="S48" s="35">
        <v>24874</v>
      </c>
      <c r="T48" s="35"/>
      <c r="U48" s="36"/>
      <c r="V48" s="74">
        <f t="shared" si="126"/>
        <v>30404</v>
      </c>
      <c r="W48" s="36">
        <f t="shared" si="127"/>
        <v>1.5424893568285112</v>
      </c>
      <c r="X48" s="1136"/>
      <c r="Y48" s="49">
        <f t="shared" si="99"/>
        <v>407</v>
      </c>
      <c r="Z48" s="50"/>
      <c r="AA48" s="50">
        <f>44+25</f>
        <v>69</v>
      </c>
      <c r="AB48" s="50">
        <f t="shared" si="118"/>
        <v>338</v>
      </c>
      <c r="AC48" s="51">
        <f t="shared" si="119"/>
        <v>0.55329200558530278</v>
      </c>
      <c r="AD48" s="50">
        <f t="shared" si="128"/>
        <v>7474</v>
      </c>
      <c r="AE48" s="51">
        <f t="shared" si="129"/>
        <v>0.3791792347367548</v>
      </c>
      <c r="AF48" s="1047"/>
      <c r="AG48" s="40">
        <f t="shared" si="102"/>
        <v>224</v>
      </c>
      <c r="AH48" s="41"/>
      <c r="AI48" s="41">
        <v>177</v>
      </c>
      <c r="AJ48" s="41">
        <f t="shared" si="130"/>
        <v>47</v>
      </c>
      <c r="AK48" s="42">
        <f t="shared" si="120"/>
        <v>7.6937054031092397E-2</v>
      </c>
      <c r="AL48" s="41">
        <f t="shared" si="131"/>
        <v>3206</v>
      </c>
      <c r="AM48" s="42">
        <f t="shared" si="132"/>
        <v>0.162650338047369</v>
      </c>
      <c r="AN48" s="1058"/>
      <c r="AO48" s="67">
        <v>5.7</v>
      </c>
      <c r="AP48" s="67">
        <v>24</v>
      </c>
      <c r="AQ48" s="68">
        <f t="shared" si="141"/>
        <v>67.996440000000007</v>
      </c>
      <c r="AR48" s="68">
        <f t="shared" si="142"/>
        <v>9.4704145473183399</v>
      </c>
      <c r="AS48" s="69">
        <f t="shared" si="143"/>
        <v>2154.4135200000005</v>
      </c>
      <c r="AT48" s="140">
        <f t="shared" si="144"/>
        <v>8.8829570957596502</v>
      </c>
      <c r="AU48" s="1073"/>
      <c r="AV48" s="70">
        <v>3.9</v>
      </c>
      <c r="AW48" s="71">
        <v>12</v>
      </c>
      <c r="AX48" s="72">
        <f t="shared" si="79"/>
        <v>24.182963999999998</v>
      </c>
      <c r="AY48" s="72">
        <f t="shared" si="145"/>
        <v>3.3681571279742837</v>
      </c>
      <c r="AZ48" s="73">
        <f t="shared" si="146"/>
        <v>706.26656399999979</v>
      </c>
      <c r="BA48" s="192">
        <f t="shared" si="147"/>
        <v>2.9120387186307592</v>
      </c>
      <c r="BB48" s="1075"/>
      <c r="BC48" s="90">
        <f t="shared" si="108"/>
        <v>35049</v>
      </c>
      <c r="BD48" s="59"/>
      <c r="BE48" s="56">
        <v>35049</v>
      </c>
      <c r="BF48" s="56"/>
      <c r="BG48" s="58">
        <f t="shared" si="133"/>
        <v>15886</v>
      </c>
      <c r="BH48" s="58">
        <f t="shared" si="134"/>
        <v>65.500264973846697</v>
      </c>
      <c r="BI48" s="1133"/>
      <c r="BJ48" s="64">
        <f t="shared" si="111"/>
        <v>1636</v>
      </c>
      <c r="BK48" s="64"/>
      <c r="BL48" s="66">
        <v>1456</v>
      </c>
      <c r="BM48" s="64">
        <f t="shared" si="139"/>
        <v>180</v>
      </c>
      <c r="BN48" s="65">
        <f t="shared" si="140"/>
        <v>0.2946525473531198</v>
      </c>
      <c r="BO48" s="64">
        <f t="shared" si="135"/>
        <v>4332</v>
      </c>
      <c r="BP48" s="65">
        <f t="shared" si="136"/>
        <v>0.21977581547760527</v>
      </c>
      <c r="BQ48" s="1071"/>
      <c r="BR48" s="77">
        <f t="shared" si="114"/>
        <v>33174</v>
      </c>
      <c r="BS48" s="98"/>
      <c r="BT48" s="35">
        <f>28402+2000</f>
        <v>30402</v>
      </c>
      <c r="BU48" s="74">
        <f t="shared" si="148"/>
        <v>2772</v>
      </c>
      <c r="BV48" s="74">
        <f t="shared" si="90"/>
        <v>112954</v>
      </c>
      <c r="BW48" s="74">
        <f t="shared" si="89"/>
        <v>465.72560303763561</v>
      </c>
      <c r="BX48" s="1098"/>
      <c r="BY48" s="298">
        <f>CA47</f>
        <v>540</v>
      </c>
      <c r="BZ48" s="296"/>
      <c r="CA48" s="298">
        <v>400</v>
      </c>
      <c r="CB48" s="296">
        <f t="shared" si="149"/>
        <v>140</v>
      </c>
      <c r="CC48" s="297">
        <f t="shared" si="150"/>
        <v>0.22917420349687095</v>
      </c>
      <c r="CD48" s="296">
        <f t="shared" si="137"/>
        <v>3350</v>
      </c>
      <c r="CE48" s="297">
        <f t="shared" si="138"/>
        <v>0.1699559053208628</v>
      </c>
      <c r="CF48" s="1061"/>
      <c r="CH48">
        <f t="shared" si="29"/>
        <v>0</v>
      </c>
    </row>
    <row r="49" spans="1:86">
      <c r="A49" s="30">
        <v>43997</v>
      </c>
      <c r="B49" s="32">
        <v>603293</v>
      </c>
      <c r="C49" s="1">
        <f t="shared" si="12"/>
        <v>20314288</v>
      </c>
      <c r="D49" s="29">
        <v>6998.5</v>
      </c>
      <c r="E49" s="93">
        <f t="shared" si="23"/>
        <v>249531.87</v>
      </c>
      <c r="F49" s="240">
        <f t="shared" si="117"/>
        <v>22600</v>
      </c>
      <c r="G49" s="240">
        <v>31500</v>
      </c>
      <c r="H49" s="280">
        <v>11.73</v>
      </c>
      <c r="I49" s="240">
        <f>14000+16600</f>
        <v>30600</v>
      </c>
      <c r="J49" s="240">
        <f t="shared" si="121"/>
        <v>23500</v>
      </c>
      <c r="K49" s="280">
        <f t="shared" si="122"/>
        <v>38.952880275421727</v>
      </c>
      <c r="L49" s="240">
        <f t="shared" si="123"/>
        <v>512880</v>
      </c>
      <c r="M49" s="280">
        <f t="shared" si="124"/>
        <v>25.247254543206239</v>
      </c>
      <c r="N49" s="280">
        <f t="shared" si="125"/>
        <v>3.0913743777649367</v>
      </c>
      <c r="O49" s="1089"/>
      <c r="P49" s="1084"/>
      <c r="Q49" s="35">
        <f t="shared" si="96"/>
        <v>24874</v>
      </c>
      <c r="R49" s="35"/>
      <c r="S49" s="35">
        <v>24078</v>
      </c>
      <c r="T49" s="35">
        <f>Q49+R49-S49</f>
        <v>796</v>
      </c>
      <c r="U49" s="36">
        <f>1000*T49/B49</f>
        <v>1.319425221244072</v>
      </c>
      <c r="V49" s="74">
        <f t="shared" si="126"/>
        <v>31200</v>
      </c>
      <c r="W49" s="36">
        <f t="shared" si="127"/>
        <v>1.5358648060911611</v>
      </c>
      <c r="X49" s="1136"/>
      <c r="Y49" s="49">
        <f t="shared" si="99"/>
        <v>69</v>
      </c>
      <c r="Z49" s="50">
        <v>900</v>
      </c>
      <c r="AA49" s="50">
        <f>635+60</f>
        <v>695</v>
      </c>
      <c r="AB49" s="50">
        <f t="shared" si="118"/>
        <v>274</v>
      </c>
      <c r="AC49" s="51">
        <f t="shared" si="119"/>
        <v>0.45417400831768312</v>
      </c>
      <c r="AD49" s="50">
        <f t="shared" si="128"/>
        <v>7748</v>
      </c>
      <c r="AE49" s="51">
        <f t="shared" si="129"/>
        <v>0.38140642684597165</v>
      </c>
      <c r="AF49" s="1047"/>
      <c r="AG49" s="40">
        <f t="shared" si="102"/>
        <v>177</v>
      </c>
      <c r="AH49" s="41">
        <v>1000</v>
      </c>
      <c r="AI49" s="41">
        <v>1062</v>
      </c>
      <c r="AJ49" s="41">
        <f t="shared" si="130"/>
        <v>115</v>
      </c>
      <c r="AK49" s="42">
        <f t="shared" si="120"/>
        <v>0.19062047794355313</v>
      </c>
      <c r="AL49" s="41">
        <f t="shared" si="131"/>
        <v>3321</v>
      </c>
      <c r="AM49" s="42">
        <f t="shared" si="132"/>
        <v>0.16348099426374185</v>
      </c>
      <c r="AN49" s="1058"/>
      <c r="AO49" s="311">
        <v>5.6</v>
      </c>
      <c r="AP49" s="67">
        <v>24</v>
      </c>
      <c r="AQ49" s="68">
        <f t="shared" si="141"/>
        <v>66.803519999999992</v>
      </c>
      <c r="AR49" s="68">
        <f t="shared" si="142"/>
        <v>9.5454054440237179</v>
      </c>
      <c r="AS49" s="69">
        <f t="shared" si="143"/>
        <v>2221.2170400000005</v>
      </c>
      <c r="AT49" s="140">
        <f t="shared" si="144"/>
        <v>8.9015364650615592</v>
      </c>
      <c r="AU49" s="1073"/>
      <c r="AV49" s="70">
        <v>3.6</v>
      </c>
      <c r="AW49" s="71">
        <v>12</v>
      </c>
      <c r="AX49" s="72">
        <f t="shared" si="79"/>
        <v>22.322736000000003</v>
      </c>
      <c r="AY49" s="72">
        <f t="shared" si="145"/>
        <v>3.1896457812388368</v>
      </c>
      <c r="AZ49" s="73">
        <f t="shared" si="146"/>
        <v>728.58929999999975</v>
      </c>
      <c r="BA49" s="192">
        <f t="shared" si="147"/>
        <v>2.9198246300161967</v>
      </c>
      <c r="BB49" s="1075"/>
      <c r="BC49" s="90">
        <f t="shared" si="108"/>
        <v>35049</v>
      </c>
      <c r="BD49" s="59"/>
      <c r="BE49" s="56">
        <v>35049</v>
      </c>
      <c r="BF49" s="56"/>
      <c r="BG49" s="58">
        <f t="shared" si="133"/>
        <v>15886</v>
      </c>
      <c r="BH49" s="58">
        <f t="shared" si="134"/>
        <v>63.663210635178586</v>
      </c>
      <c r="BI49" s="1133"/>
      <c r="BJ49" s="64">
        <f t="shared" si="111"/>
        <v>1456</v>
      </c>
      <c r="BK49" s="64"/>
      <c r="BL49" s="66">
        <v>1330</v>
      </c>
      <c r="BM49" s="64">
        <f t="shared" si="139"/>
        <v>126</v>
      </c>
      <c r="BN49" s="65">
        <f t="shared" si="140"/>
        <v>0.20885374105119733</v>
      </c>
      <c r="BO49" s="64">
        <f t="shared" si="135"/>
        <v>4458</v>
      </c>
      <c r="BP49" s="65">
        <f t="shared" si="136"/>
        <v>0.21945145210110242</v>
      </c>
      <c r="BQ49" s="1071"/>
      <c r="BR49" s="77">
        <f t="shared" si="114"/>
        <v>30402</v>
      </c>
      <c r="BS49" s="98"/>
      <c r="BT49" s="35">
        <f>26556+2000</f>
        <v>28556</v>
      </c>
      <c r="BU49" s="74">
        <f t="shared" si="148"/>
        <v>1846</v>
      </c>
      <c r="BV49" s="74">
        <f t="shared" si="90"/>
        <v>114800</v>
      </c>
      <c r="BW49" s="74">
        <f t="shared" si="89"/>
        <v>460.0614743118785</v>
      </c>
      <c r="BX49" s="1098"/>
      <c r="BY49" s="298">
        <f t="shared" ref="BY49:BY63" si="151">CA48</f>
        <v>400</v>
      </c>
      <c r="BZ49" s="296"/>
      <c r="CA49" s="298">
        <v>240</v>
      </c>
      <c r="CB49" s="296">
        <f t="shared" si="149"/>
        <v>160</v>
      </c>
      <c r="CC49" s="297">
        <f t="shared" si="150"/>
        <v>0.26521109974755219</v>
      </c>
      <c r="CD49" s="296">
        <f t="shared" si="137"/>
        <v>3510</v>
      </c>
      <c r="CE49" s="297">
        <f t="shared" si="138"/>
        <v>0.17278479068525562</v>
      </c>
      <c r="CF49" s="1061"/>
      <c r="CH49">
        <f t="shared" si="29"/>
        <v>440125.2</v>
      </c>
    </row>
    <row r="50" spans="1:86">
      <c r="A50" s="30">
        <v>43998</v>
      </c>
      <c r="B50" s="32">
        <v>623952</v>
      </c>
      <c r="C50" s="1">
        <f t="shared" si="12"/>
        <v>20938240</v>
      </c>
      <c r="D50" s="29">
        <v>7021.66</v>
      </c>
      <c r="E50" s="93">
        <f t="shared" si="23"/>
        <v>256553.53</v>
      </c>
      <c r="F50" s="240">
        <f t="shared" si="117"/>
        <v>30600</v>
      </c>
      <c r="G50" s="240">
        <v>32410</v>
      </c>
      <c r="H50" s="280">
        <v>16.170000000000002</v>
      </c>
      <c r="I50" s="240">
        <f>2000+16600</f>
        <v>18600</v>
      </c>
      <c r="J50" s="240">
        <f t="shared" si="121"/>
        <v>44410</v>
      </c>
      <c r="K50" s="280">
        <f t="shared" si="122"/>
        <v>71.175346821550377</v>
      </c>
      <c r="L50" s="240">
        <f t="shared" si="123"/>
        <v>557290</v>
      </c>
      <c r="M50" s="280">
        <f t="shared" si="124"/>
        <v>26.61589512776623</v>
      </c>
      <c r="N50" s="280">
        <f t="shared" si="125"/>
        <v>3.2589561806986937</v>
      </c>
      <c r="O50" s="1089"/>
      <c r="P50" s="1084"/>
      <c r="Q50" s="35">
        <f t="shared" si="96"/>
        <v>24078</v>
      </c>
      <c r="R50" s="35"/>
      <c r="S50" s="35">
        <v>24078</v>
      </c>
      <c r="T50" s="35"/>
      <c r="U50" s="36"/>
      <c r="V50" s="74">
        <f t="shared" si="126"/>
        <v>31200</v>
      </c>
      <c r="W50" s="36">
        <f t="shared" si="127"/>
        <v>1.4900965888250397</v>
      </c>
      <c r="X50" s="1136"/>
      <c r="Y50" s="49">
        <f t="shared" si="99"/>
        <v>695</v>
      </c>
      <c r="Z50" s="50"/>
      <c r="AA50" s="50">
        <f>441+120</f>
        <v>561</v>
      </c>
      <c r="AB50" s="50">
        <f t="shared" si="118"/>
        <v>134</v>
      </c>
      <c r="AC50" s="51">
        <f t="shared" si="119"/>
        <v>0.21476010975203222</v>
      </c>
      <c r="AD50" s="50">
        <f t="shared" si="128"/>
        <v>7882</v>
      </c>
      <c r="AE50" s="51">
        <f t="shared" si="129"/>
        <v>0.37644042670253086</v>
      </c>
      <c r="AF50" s="1047"/>
      <c r="AG50" s="40">
        <f t="shared" si="102"/>
        <v>1062</v>
      </c>
      <c r="AH50" s="41"/>
      <c r="AI50" s="41">
        <v>925</v>
      </c>
      <c r="AJ50" s="41">
        <f t="shared" si="130"/>
        <v>137</v>
      </c>
      <c r="AK50" s="42">
        <f t="shared" si="120"/>
        <v>0.2195681719106598</v>
      </c>
      <c r="AL50" s="41">
        <f t="shared" si="131"/>
        <v>3458</v>
      </c>
      <c r="AM50" s="42">
        <f t="shared" si="132"/>
        <v>0.16515237192810858</v>
      </c>
      <c r="AN50" s="1058"/>
      <c r="AO50" s="311">
        <v>5.2</v>
      </c>
      <c r="AP50" s="67">
        <v>24</v>
      </c>
      <c r="AQ50" s="68">
        <f t="shared" si="141"/>
        <v>62.031840000000003</v>
      </c>
      <c r="AR50" s="68">
        <f t="shared" si="142"/>
        <v>8.8343554088349485</v>
      </c>
      <c r="AS50" s="69">
        <f t="shared" si="143"/>
        <v>2283.2488800000006</v>
      </c>
      <c r="AT50" s="140">
        <f t="shared" si="144"/>
        <v>8.8996977745735961</v>
      </c>
      <c r="AU50" s="1073"/>
      <c r="AV50" s="70">
        <v>3.7</v>
      </c>
      <c r="AW50" s="71">
        <v>12</v>
      </c>
      <c r="AX50" s="72">
        <f t="shared" si="79"/>
        <v>22.942812000000004</v>
      </c>
      <c r="AY50" s="72">
        <f t="shared" si="145"/>
        <v>3.2674341964720601</v>
      </c>
      <c r="AZ50" s="73">
        <f t="shared" si="146"/>
        <v>751.53211199999976</v>
      </c>
      <c r="BA50" s="192">
        <f t="shared" si="147"/>
        <v>2.9293384191595404</v>
      </c>
      <c r="BB50" s="1075"/>
      <c r="BC50" s="90">
        <f t="shared" si="108"/>
        <v>35049</v>
      </c>
      <c r="BD50" s="59"/>
      <c r="BE50" s="56">
        <v>35049</v>
      </c>
      <c r="BF50" s="56"/>
      <c r="BG50" s="58">
        <f t="shared" si="133"/>
        <v>15886</v>
      </c>
      <c r="BH50" s="58">
        <f t="shared" si="134"/>
        <v>61.920800699955286</v>
      </c>
      <c r="BI50" s="1133"/>
      <c r="BJ50" s="64">
        <f t="shared" si="111"/>
        <v>1330</v>
      </c>
      <c r="BK50" s="64"/>
      <c r="BL50" s="64">
        <v>1192</v>
      </c>
      <c r="BM50" s="64">
        <f t="shared" si="139"/>
        <v>138</v>
      </c>
      <c r="BN50" s="65">
        <f t="shared" si="140"/>
        <v>0.221170859296869</v>
      </c>
      <c r="BO50" s="64">
        <f t="shared" si="135"/>
        <v>4596</v>
      </c>
      <c r="BP50" s="65">
        <f t="shared" si="136"/>
        <v>0.21950268981538085</v>
      </c>
      <c r="BQ50" s="1071"/>
      <c r="BR50" s="77">
        <f t="shared" si="114"/>
        <v>28556</v>
      </c>
      <c r="BS50" s="35"/>
      <c r="BT50" s="35">
        <f>24705+2000</f>
        <v>26705</v>
      </c>
      <c r="BU50" s="74">
        <f t="shared" si="148"/>
        <v>1851</v>
      </c>
      <c r="BV50" s="74">
        <f t="shared" si="90"/>
        <v>116651</v>
      </c>
      <c r="BW50" s="74">
        <f t="shared" si="89"/>
        <v>454.68483711761832</v>
      </c>
      <c r="BX50" s="1098"/>
      <c r="BY50" s="298">
        <f t="shared" si="151"/>
        <v>240</v>
      </c>
      <c r="BZ50" s="296"/>
      <c r="CA50" s="296">
        <v>40</v>
      </c>
      <c r="CB50" s="296">
        <f t="shared" si="149"/>
        <v>200</v>
      </c>
      <c r="CC50" s="297">
        <f t="shared" si="150"/>
        <v>0.32053747724183912</v>
      </c>
      <c r="CD50" s="296">
        <f t="shared" si="137"/>
        <v>3710</v>
      </c>
      <c r="CE50" s="297">
        <f t="shared" si="138"/>
        <v>0.17718776745323389</v>
      </c>
      <c r="CF50" s="1061"/>
      <c r="CH50">
        <f t="shared" si="29"/>
        <v>424396</v>
      </c>
    </row>
    <row r="51" spans="1:86">
      <c r="A51" s="30">
        <v>43999</v>
      </c>
      <c r="B51" s="32">
        <v>637009</v>
      </c>
      <c r="C51" s="1">
        <f t="shared" si="12"/>
        <v>21575249</v>
      </c>
      <c r="D51" s="91">
        <v>7212</v>
      </c>
      <c r="E51" s="93">
        <f t="shared" si="23"/>
        <v>263765.53000000003</v>
      </c>
      <c r="F51" s="240">
        <f t="shared" si="117"/>
        <v>18600</v>
      </c>
      <c r="G51" s="240">
        <v>33340</v>
      </c>
      <c r="H51" s="280">
        <v>16.37</v>
      </c>
      <c r="I51" s="240">
        <f>8000+16600</f>
        <v>24600</v>
      </c>
      <c r="J51" s="240">
        <f t="shared" si="121"/>
        <v>27340</v>
      </c>
      <c r="K51" s="280">
        <f t="shared" si="122"/>
        <v>42.919330810082748</v>
      </c>
      <c r="L51" s="240">
        <f t="shared" si="123"/>
        <v>584630</v>
      </c>
      <c r="M51" s="280">
        <f t="shared" si="124"/>
        <v>27.09725389496084</v>
      </c>
      <c r="N51" s="280">
        <f t="shared" si="125"/>
        <v>3.3178956648660267</v>
      </c>
      <c r="O51" s="1089"/>
      <c r="P51" s="1084"/>
      <c r="Q51" s="35">
        <f t="shared" si="96"/>
        <v>24078</v>
      </c>
      <c r="R51" s="35"/>
      <c r="S51" s="35">
        <v>23813</v>
      </c>
      <c r="T51" s="35">
        <f t="shared" ref="T51:T57" si="152">Q51+R51-S51</f>
        <v>265</v>
      </c>
      <c r="U51" s="36">
        <f t="shared" ref="U51:U57" si="153">1000*T51/B51</f>
        <v>0.41600668122428414</v>
      </c>
      <c r="V51" s="74">
        <f t="shared" si="126"/>
        <v>31465</v>
      </c>
      <c r="W51" s="36">
        <f t="shared" si="127"/>
        <v>1.4583840955902756</v>
      </c>
      <c r="X51" s="1136"/>
      <c r="Y51" s="49">
        <f t="shared" si="99"/>
        <v>561</v>
      </c>
      <c r="Z51" s="50"/>
      <c r="AA51" s="50">
        <f>133+70</f>
        <v>203</v>
      </c>
      <c r="AB51" s="50">
        <f t="shared" si="118"/>
        <v>358</v>
      </c>
      <c r="AC51" s="51">
        <f t="shared" si="119"/>
        <v>0.56200147878601403</v>
      </c>
      <c r="AD51" s="50">
        <f t="shared" si="128"/>
        <v>8240</v>
      </c>
      <c r="AE51" s="51">
        <f t="shared" si="129"/>
        <v>0.38191911481531454</v>
      </c>
      <c r="AF51" s="1047"/>
      <c r="AG51" s="40">
        <f t="shared" si="102"/>
        <v>925</v>
      </c>
      <c r="AH51" s="41"/>
      <c r="AI51" s="41">
        <v>845</v>
      </c>
      <c r="AJ51" s="41">
        <f t="shared" si="130"/>
        <v>80</v>
      </c>
      <c r="AK51" s="42">
        <f t="shared" si="120"/>
        <v>0.12558692263374616</v>
      </c>
      <c r="AL51" s="41">
        <f t="shared" si="131"/>
        <v>3538</v>
      </c>
      <c r="AM51" s="42">
        <f t="shared" si="132"/>
        <v>0.16398420245346879</v>
      </c>
      <c r="AN51" s="1058"/>
      <c r="AO51" s="311">
        <v>5.4</v>
      </c>
      <c r="AP51" s="67">
        <v>24</v>
      </c>
      <c r="AQ51" s="68">
        <f t="shared" si="141"/>
        <v>64.417680000000004</v>
      </c>
      <c r="AR51" s="68">
        <f t="shared" si="142"/>
        <v>8.9320133111480882</v>
      </c>
      <c r="AS51" s="69">
        <f>AS50+AQ51</f>
        <v>2347.6665600000006</v>
      </c>
      <c r="AT51" s="140">
        <f>AS51*1000/E51</f>
        <v>8.9005813610292446</v>
      </c>
      <c r="AU51" s="1073"/>
      <c r="AV51" s="70">
        <v>2.7</v>
      </c>
      <c r="AW51" s="71">
        <v>12</v>
      </c>
      <c r="AX51" s="72">
        <f t="shared" si="79"/>
        <v>16.742052000000005</v>
      </c>
      <c r="AY51" s="72">
        <f t="shared" si="145"/>
        <v>2.3214159733777042</v>
      </c>
      <c r="AZ51" s="73">
        <f>AZ50+AX51</f>
        <v>768.27416399999981</v>
      </c>
      <c r="BA51" s="192">
        <f>AZ51*1000/E51</f>
        <v>2.9127163204380788</v>
      </c>
      <c r="BB51" s="1075"/>
      <c r="BC51" s="90">
        <f t="shared" si="108"/>
        <v>35049</v>
      </c>
      <c r="BD51" s="59"/>
      <c r="BE51" s="56">
        <v>35049</v>
      </c>
      <c r="BF51" s="56"/>
      <c r="BG51" s="58">
        <f t="shared" si="133"/>
        <v>15886</v>
      </c>
      <c r="BH51" s="58">
        <f t="shared" si="134"/>
        <v>60.227733320574522</v>
      </c>
      <c r="BI51" s="1133"/>
      <c r="BJ51" s="64">
        <f t="shared" si="111"/>
        <v>1192</v>
      </c>
      <c r="BK51" s="64"/>
      <c r="BL51" s="64">
        <v>1056</v>
      </c>
      <c r="BM51" s="64">
        <f t="shared" si="139"/>
        <v>136</v>
      </c>
      <c r="BN51" s="65">
        <f t="shared" si="140"/>
        <v>0.21349776847736845</v>
      </c>
      <c r="BO51" s="64">
        <f t="shared" si="135"/>
        <v>4732</v>
      </c>
      <c r="BP51" s="65">
        <f t="shared" si="136"/>
        <v>0.21932539457597916</v>
      </c>
      <c r="BQ51" s="1071"/>
      <c r="BR51" s="77">
        <f t="shared" si="114"/>
        <v>26705</v>
      </c>
      <c r="BS51" s="98"/>
      <c r="BT51" s="35">
        <f>23781+2000</f>
        <v>25781</v>
      </c>
      <c r="BU51" s="74">
        <f t="shared" si="148"/>
        <v>924</v>
      </c>
      <c r="BV51" s="74">
        <f t="shared" si="90"/>
        <v>117575</v>
      </c>
      <c r="BW51" s="74">
        <f t="shared" si="89"/>
        <v>445.75574374710749</v>
      </c>
      <c r="BX51" s="1098"/>
      <c r="BY51" s="298">
        <f t="shared" si="151"/>
        <v>40</v>
      </c>
      <c r="BZ51" s="296">
        <v>1250</v>
      </c>
      <c r="CA51" s="296">
        <v>937</v>
      </c>
      <c r="CB51" s="296">
        <f t="shared" si="149"/>
        <v>353</v>
      </c>
      <c r="CC51" s="297">
        <f t="shared" si="150"/>
        <v>0.55415229612140493</v>
      </c>
      <c r="CD51" s="296">
        <f t="shared" si="137"/>
        <v>4063</v>
      </c>
      <c r="CE51" s="297">
        <f t="shared" si="138"/>
        <v>0.18831764120080374</v>
      </c>
      <c r="CF51" s="1061"/>
      <c r="CH51">
        <f t="shared" si="29"/>
        <v>369495</v>
      </c>
    </row>
    <row r="52" spans="1:86">
      <c r="A52" s="30">
        <v>44000</v>
      </c>
      <c r="B52" s="32">
        <v>635729</v>
      </c>
      <c r="C52" s="1">
        <f t="shared" si="12"/>
        <v>22210978</v>
      </c>
      <c r="D52" s="29">
        <v>7282.66</v>
      </c>
      <c r="E52" s="93">
        <f t="shared" si="23"/>
        <v>271048.19</v>
      </c>
      <c r="F52" s="240">
        <f t="shared" si="117"/>
        <v>24600</v>
      </c>
      <c r="G52" s="240">
        <v>31720</v>
      </c>
      <c r="H52" s="280">
        <v>14.22</v>
      </c>
      <c r="I52" s="240">
        <f>13400+16600</f>
        <v>30000</v>
      </c>
      <c r="J52" s="240">
        <f t="shared" si="121"/>
        <v>26320</v>
      </c>
      <c r="K52" s="280">
        <f t="shared" si="122"/>
        <v>41.401288913986932</v>
      </c>
      <c r="L52" s="240">
        <f t="shared" si="123"/>
        <v>610950</v>
      </c>
      <c r="M52" s="280">
        <f t="shared" si="124"/>
        <v>27.506668098991408</v>
      </c>
      <c r="N52" s="280">
        <f t="shared" si="125"/>
        <v>3.3680259702450606</v>
      </c>
      <c r="O52" s="1089"/>
      <c r="P52" s="1084"/>
      <c r="Q52" s="35">
        <f t="shared" si="96"/>
        <v>23813</v>
      </c>
      <c r="R52" s="35"/>
      <c r="S52" s="35">
        <v>23549</v>
      </c>
      <c r="T52" s="35">
        <f t="shared" si="152"/>
        <v>264</v>
      </c>
      <c r="U52" s="36">
        <f t="shared" si="153"/>
        <v>0.41527128697920024</v>
      </c>
      <c r="V52" s="74">
        <f t="shared" si="126"/>
        <v>31729</v>
      </c>
      <c r="W52" s="36">
        <f t="shared" si="127"/>
        <v>1.4285278207920427</v>
      </c>
      <c r="X52" s="1136"/>
      <c r="Y52" s="49">
        <f t="shared" si="99"/>
        <v>203</v>
      </c>
      <c r="Z52" s="50">
        <v>900</v>
      </c>
      <c r="AA52" s="50">
        <f>441+40</f>
        <v>481</v>
      </c>
      <c r="AB52" s="50">
        <f t="shared" si="118"/>
        <v>622</v>
      </c>
      <c r="AC52" s="51">
        <f t="shared" si="119"/>
        <v>0.9784043200797824</v>
      </c>
      <c r="AD52" s="50">
        <f t="shared" si="128"/>
        <v>8862</v>
      </c>
      <c r="AE52" s="51">
        <f t="shared" si="129"/>
        <v>0.39899188590434875</v>
      </c>
      <c r="AF52" s="1047"/>
      <c r="AG52" s="40">
        <f t="shared" si="102"/>
        <v>845</v>
      </c>
      <c r="AH52" s="41"/>
      <c r="AI52" s="41">
        <v>705</v>
      </c>
      <c r="AJ52" s="41">
        <f t="shared" si="130"/>
        <v>140</v>
      </c>
      <c r="AK52" s="42">
        <f t="shared" si="120"/>
        <v>0.22021962188290922</v>
      </c>
      <c r="AL52" s="41">
        <f t="shared" si="131"/>
        <v>3678</v>
      </c>
      <c r="AM52" s="42">
        <f t="shared" si="132"/>
        <v>0.16559378880119552</v>
      </c>
      <c r="AN52" s="1058"/>
      <c r="AO52" s="67">
        <v>5.4</v>
      </c>
      <c r="AP52" s="67">
        <v>24</v>
      </c>
      <c r="AQ52" s="68">
        <f t="shared" si="141"/>
        <v>64.417680000000004</v>
      </c>
      <c r="AR52" s="68">
        <f t="shared" si="142"/>
        <v>8.8453504626056976</v>
      </c>
      <c r="AS52" s="69">
        <f>AS51+AQ52</f>
        <v>2412.0842400000006</v>
      </c>
      <c r="AT52" s="140">
        <f>AS52*1000/E52</f>
        <v>8.8990973892871246</v>
      </c>
      <c r="AU52" s="1073"/>
      <c r="AV52" s="70">
        <v>3.8</v>
      </c>
      <c r="AW52" s="71">
        <v>12</v>
      </c>
      <c r="AX52" s="72">
        <f t="shared" si="79"/>
        <v>23.562887999999997</v>
      </c>
      <c r="AY52" s="72">
        <f t="shared" si="145"/>
        <v>3.2354782455860907</v>
      </c>
      <c r="AZ52" s="73">
        <f>AZ51+AX52</f>
        <v>791.83705199999986</v>
      </c>
      <c r="BA52" s="192">
        <f>AZ52*1000/E52</f>
        <v>2.9213884512565826</v>
      </c>
      <c r="BB52" s="1075"/>
      <c r="BC52" s="90">
        <f t="shared" si="108"/>
        <v>35049</v>
      </c>
      <c r="BD52" s="59"/>
      <c r="BE52" s="56">
        <v>35049</v>
      </c>
      <c r="BF52" s="56"/>
      <c r="BG52" s="58">
        <f t="shared" si="133"/>
        <v>15886</v>
      </c>
      <c r="BH52" s="58">
        <f t="shared" si="134"/>
        <v>58.6095040885534</v>
      </c>
      <c r="BI52" s="1133"/>
      <c r="BJ52" s="64">
        <f t="shared" si="111"/>
        <v>1056</v>
      </c>
      <c r="BK52" s="64"/>
      <c r="BL52" s="64">
        <v>998</v>
      </c>
      <c r="BM52" s="64">
        <f t="shared" si="139"/>
        <v>58</v>
      </c>
      <c r="BN52" s="65">
        <f t="shared" si="140"/>
        <v>9.123384335149097E-2</v>
      </c>
      <c r="BO52" s="64">
        <f t="shared" si="135"/>
        <v>4790</v>
      </c>
      <c r="BP52" s="65">
        <f t="shared" si="136"/>
        <v>0.21565912135881635</v>
      </c>
      <c r="BQ52" s="1071"/>
      <c r="BR52" s="77">
        <f t="shared" si="114"/>
        <v>25781</v>
      </c>
      <c r="BS52" s="35"/>
      <c r="BT52" s="35">
        <f>21008+2000</f>
        <v>23008</v>
      </c>
      <c r="BU52" s="74">
        <f t="shared" si="148"/>
        <v>2773</v>
      </c>
      <c r="BV52" s="74">
        <f t="shared" si="90"/>
        <v>120348</v>
      </c>
      <c r="BW52" s="74">
        <f t="shared" si="89"/>
        <v>444.00960581954081</v>
      </c>
      <c r="BX52" s="1098"/>
      <c r="BY52" s="298">
        <f t="shared" si="151"/>
        <v>937</v>
      </c>
      <c r="BZ52" s="296"/>
      <c r="CA52" s="296">
        <v>750</v>
      </c>
      <c r="CB52" s="296">
        <f t="shared" si="149"/>
        <v>187</v>
      </c>
      <c r="CC52" s="297">
        <f t="shared" si="150"/>
        <v>0.29415049494360018</v>
      </c>
      <c r="CD52" s="296">
        <f t="shared" si="137"/>
        <v>4250</v>
      </c>
      <c r="CE52" s="297">
        <f t="shared" si="138"/>
        <v>0.1913468195772379</v>
      </c>
      <c r="CF52" s="1061"/>
      <c r="CH52">
        <f t="shared" si="29"/>
        <v>524069.70000000007</v>
      </c>
    </row>
    <row r="53" spans="1:86">
      <c r="A53" s="30">
        <v>44001</v>
      </c>
      <c r="B53" s="32">
        <v>641203</v>
      </c>
      <c r="C53" s="1">
        <f t="shared" si="12"/>
        <v>22852181</v>
      </c>
      <c r="D53" s="29">
        <v>7042</v>
      </c>
      <c r="E53" s="93">
        <f t="shared" si="23"/>
        <v>278090.19</v>
      </c>
      <c r="F53" s="240">
        <f t="shared" si="117"/>
        <v>30000</v>
      </c>
      <c r="G53" s="240">
        <v>31500</v>
      </c>
      <c r="H53" s="280">
        <v>9.5299999999999994</v>
      </c>
      <c r="I53" s="240">
        <f>12000+16600</f>
        <v>28600</v>
      </c>
      <c r="J53" s="240">
        <f t="shared" si="121"/>
        <v>32900</v>
      </c>
      <c r="K53" s="280">
        <f t="shared" si="122"/>
        <v>51.309803603538974</v>
      </c>
      <c r="L53" s="240">
        <f t="shared" si="123"/>
        <v>643850</v>
      </c>
      <c r="M53" s="280">
        <f t="shared" si="124"/>
        <v>28.174553667328297</v>
      </c>
      <c r="N53" s="280">
        <f t="shared" si="125"/>
        <v>3.4498045386712746</v>
      </c>
      <c r="O53" s="1089"/>
      <c r="P53" s="1084"/>
      <c r="Q53" s="35">
        <f t="shared" si="96"/>
        <v>23549</v>
      </c>
      <c r="R53" s="35"/>
      <c r="S53" s="35">
        <v>23285</v>
      </c>
      <c r="T53" s="35">
        <f t="shared" si="152"/>
        <v>264</v>
      </c>
      <c r="U53" s="36">
        <f t="shared" si="153"/>
        <v>0.41172608362718205</v>
      </c>
      <c r="V53" s="74">
        <f t="shared" si="126"/>
        <v>31993</v>
      </c>
      <c r="W53" s="36">
        <f t="shared" si="127"/>
        <v>1.3999976632427338</v>
      </c>
      <c r="X53" s="1136"/>
      <c r="Y53" s="49">
        <f t="shared" si="99"/>
        <v>481</v>
      </c>
      <c r="Z53" s="50">
        <v>900</v>
      </c>
      <c r="AA53" s="50">
        <f>868+50</f>
        <v>918</v>
      </c>
      <c r="AB53" s="50">
        <f t="shared" si="118"/>
        <v>463</v>
      </c>
      <c r="AC53" s="51">
        <f t="shared" si="119"/>
        <v>0.72208021484615637</v>
      </c>
      <c r="AD53" s="50">
        <f t="shared" si="128"/>
        <v>9325</v>
      </c>
      <c r="AE53" s="51">
        <f t="shared" si="129"/>
        <v>0.40805733159561441</v>
      </c>
      <c r="AF53" s="1047"/>
      <c r="AG53" s="40">
        <f t="shared" si="102"/>
        <v>705</v>
      </c>
      <c r="AH53" s="41"/>
      <c r="AI53" s="41">
        <v>548</v>
      </c>
      <c r="AJ53" s="41">
        <f t="shared" si="130"/>
        <v>157</v>
      </c>
      <c r="AK53" s="42">
        <f t="shared" si="120"/>
        <v>0.24485225427828627</v>
      </c>
      <c r="AL53" s="41">
        <f t="shared" si="131"/>
        <v>3835</v>
      </c>
      <c r="AM53" s="42">
        <f t="shared" si="132"/>
        <v>0.16781768007176207</v>
      </c>
      <c r="AN53" s="1058"/>
      <c r="AO53" s="67">
        <v>5</v>
      </c>
      <c r="AP53" s="67">
        <v>24</v>
      </c>
      <c r="AQ53" s="68">
        <f t="shared" ref="AQ53:AQ58" si="154">AO53*AP53*0.49705</f>
        <v>59.646000000000001</v>
      </c>
      <c r="AR53" s="68">
        <f t="shared" ref="AR53:AR58" si="155">AQ53*1000/D53</f>
        <v>8.470036921329168</v>
      </c>
      <c r="AS53" s="69">
        <f t="shared" ref="AS53:AS58" si="156">AS52+AQ53</f>
        <v>2471.7302400000008</v>
      </c>
      <c r="AT53" s="140">
        <f t="shared" ref="AT53:AT58" si="157">AS53*1000/E53</f>
        <v>8.8882324112188229</v>
      </c>
      <c r="AU53" s="1073"/>
      <c r="AV53" s="70">
        <v>3.8</v>
      </c>
      <c r="AW53" s="71">
        <v>12</v>
      </c>
      <c r="AX53" s="72">
        <f t="shared" si="79"/>
        <v>23.562887999999997</v>
      </c>
      <c r="AY53" s="72">
        <f t="shared" si="145"/>
        <v>3.3460505538199374</v>
      </c>
      <c r="AZ53" s="73">
        <f t="shared" ref="AZ53:AZ59" si="158">AZ52+AX53</f>
        <v>815.3999399999999</v>
      </c>
      <c r="BA53" s="192">
        <f t="shared" ref="BA53:BA59" si="159">AZ53*1000/E53</f>
        <v>2.9321420507497944</v>
      </c>
      <c r="BB53" s="1075"/>
      <c r="BC53" s="90">
        <f t="shared" si="108"/>
        <v>35049</v>
      </c>
      <c r="BD53" s="59"/>
      <c r="BE53" s="56">
        <v>35049</v>
      </c>
      <c r="BF53" s="56"/>
      <c r="BG53" s="58">
        <f t="shared" si="133"/>
        <v>15886</v>
      </c>
      <c r="BH53" s="58">
        <f t="shared" si="134"/>
        <v>57.125352030576842</v>
      </c>
      <c r="BI53" s="1133"/>
      <c r="BJ53" s="64">
        <f t="shared" si="111"/>
        <v>998</v>
      </c>
      <c r="BK53" s="64"/>
      <c r="BL53" s="64">
        <v>900</v>
      </c>
      <c r="BM53" s="64">
        <f t="shared" si="139"/>
        <v>98</v>
      </c>
      <c r="BN53" s="65">
        <f t="shared" si="140"/>
        <v>0.15283771286160544</v>
      </c>
      <c r="BO53" s="64">
        <f t="shared" si="135"/>
        <v>4888</v>
      </c>
      <c r="BP53" s="65">
        <f t="shared" si="136"/>
        <v>0.21389643290502555</v>
      </c>
      <c r="BQ53" s="1071"/>
      <c r="BR53" s="77">
        <f t="shared" si="114"/>
        <v>23008</v>
      </c>
      <c r="BS53" s="35">
        <v>38460</v>
      </c>
      <c r="BT53" s="35">
        <f>44113+7000+10000</f>
        <v>61113</v>
      </c>
      <c r="BU53" s="74">
        <f t="shared" si="148"/>
        <v>355</v>
      </c>
      <c r="BV53" s="74">
        <f t="shared" si="90"/>
        <v>120703</v>
      </c>
      <c r="BW53" s="74">
        <f t="shared" si="89"/>
        <v>434.04263918838706</v>
      </c>
      <c r="BX53" s="1098"/>
      <c r="BY53" s="298">
        <f t="shared" si="151"/>
        <v>750</v>
      </c>
      <c r="BZ53" s="296"/>
      <c r="CA53" s="296">
        <v>500</v>
      </c>
      <c r="CB53" s="296">
        <f t="shared" si="149"/>
        <v>250</v>
      </c>
      <c r="CC53" s="297">
        <f t="shared" si="150"/>
        <v>0.38989212464695266</v>
      </c>
      <c r="CD53" s="296">
        <f t="shared" si="137"/>
        <v>4500</v>
      </c>
      <c r="CE53" s="297">
        <f t="shared" si="138"/>
        <v>0.19691774715069865</v>
      </c>
      <c r="CF53" s="1061"/>
      <c r="CH53">
        <f t="shared" si="29"/>
        <v>545775.80000000005</v>
      </c>
    </row>
    <row r="54" spans="1:86">
      <c r="A54" s="30">
        <v>44002</v>
      </c>
      <c r="B54" s="32">
        <v>645345</v>
      </c>
      <c r="C54" s="1">
        <f t="shared" si="12"/>
        <v>23497526</v>
      </c>
      <c r="D54" s="29">
        <v>7459.6</v>
      </c>
      <c r="E54" s="93">
        <f t="shared" si="23"/>
        <v>285549.78999999998</v>
      </c>
      <c r="F54" s="240">
        <f t="shared" si="117"/>
        <v>28600</v>
      </c>
      <c r="G54" s="240">
        <v>17040</v>
      </c>
      <c r="H54" s="280">
        <v>8.86</v>
      </c>
      <c r="I54" s="240">
        <v>16600</v>
      </c>
      <c r="J54" s="240">
        <f t="shared" si="121"/>
        <v>29040</v>
      </c>
      <c r="K54" s="280">
        <f t="shared" si="122"/>
        <v>44.999186481649353</v>
      </c>
      <c r="L54" s="240">
        <f t="shared" si="123"/>
        <v>672890</v>
      </c>
      <c r="M54" s="280">
        <f t="shared" si="124"/>
        <v>28.636631788384872</v>
      </c>
      <c r="N54" s="280">
        <f t="shared" si="125"/>
        <v>3.5063832237522803</v>
      </c>
      <c r="O54" s="1089"/>
      <c r="P54" s="1084"/>
      <c r="Q54" s="35">
        <f t="shared" si="96"/>
        <v>23285</v>
      </c>
      <c r="R54" s="35"/>
      <c r="S54" s="35">
        <v>21710</v>
      </c>
      <c r="T54" s="35">
        <f t="shared" si="152"/>
        <v>1575</v>
      </c>
      <c r="U54" s="36">
        <f t="shared" si="153"/>
        <v>2.4405550519489574</v>
      </c>
      <c r="V54" s="74">
        <f t="shared" si="126"/>
        <v>33568</v>
      </c>
      <c r="W54" s="36">
        <f t="shared" si="127"/>
        <v>1.4285759275253063</v>
      </c>
      <c r="X54" s="1136"/>
      <c r="Y54" s="49">
        <f t="shared" si="99"/>
        <v>918</v>
      </c>
      <c r="Z54" s="50"/>
      <c r="AA54" s="50">
        <f>761+25</f>
        <v>786</v>
      </c>
      <c r="AB54" s="50">
        <f t="shared" si="118"/>
        <v>132</v>
      </c>
      <c r="AC54" s="51">
        <f t="shared" si="119"/>
        <v>0.20454175673476976</v>
      </c>
      <c r="AD54" s="50">
        <f t="shared" si="128"/>
        <v>9457</v>
      </c>
      <c r="AE54" s="51">
        <f t="shared" si="129"/>
        <v>0.40246790236555119</v>
      </c>
      <c r="AF54" s="1047"/>
      <c r="AG54" s="40">
        <f t="shared" si="102"/>
        <v>548</v>
      </c>
      <c r="AH54" s="41"/>
      <c r="AI54" s="41">
        <v>452</v>
      </c>
      <c r="AJ54" s="41">
        <f t="shared" si="130"/>
        <v>96</v>
      </c>
      <c r="AK54" s="42">
        <f t="shared" si="120"/>
        <v>0.14875764126165075</v>
      </c>
      <c r="AL54" s="41">
        <f t="shared" si="131"/>
        <v>3931</v>
      </c>
      <c r="AM54" s="42">
        <f t="shared" si="132"/>
        <v>0.16729420790937735</v>
      </c>
      <c r="AN54" s="1058"/>
      <c r="AO54" s="67">
        <v>5.6</v>
      </c>
      <c r="AP54" s="67">
        <v>24</v>
      </c>
      <c r="AQ54" s="68">
        <f t="shared" si="154"/>
        <v>66.803519999999992</v>
      </c>
      <c r="AR54" s="68">
        <f t="shared" si="155"/>
        <v>8.9553756233578188</v>
      </c>
      <c r="AS54" s="69">
        <f t="shared" si="156"/>
        <v>2538.5337600000007</v>
      </c>
      <c r="AT54" s="140">
        <f t="shared" si="157"/>
        <v>8.88998643634093</v>
      </c>
      <c r="AU54" s="1073"/>
      <c r="AV54" s="70">
        <v>3.9</v>
      </c>
      <c r="AW54" s="71">
        <v>12</v>
      </c>
      <c r="AX54" s="72">
        <f t="shared" si="79"/>
        <v>24.182963999999998</v>
      </c>
      <c r="AY54" s="72">
        <f t="shared" si="145"/>
        <v>3.2418580084723039</v>
      </c>
      <c r="AZ54" s="73">
        <f t="shared" si="158"/>
        <v>839.58290399999987</v>
      </c>
      <c r="BA54" s="192">
        <f t="shared" si="159"/>
        <v>2.9402329590226626</v>
      </c>
      <c r="BB54" s="1075"/>
      <c r="BC54" s="90">
        <f t="shared" si="108"/>
        <v>35049</v>
      </c>
      <c r="BD54" s="59"/>
      <c r="BE54" s="56">
        <v>35049</v>
      </c>
      <c r="BF54" s="56"/>
      <c r="BG54" s="58">
        <f t="shared" si="133"/>
        <v>15886</v>
      </c>
      <c r="BH54" s="58">
        <f t="shared" si="134"/>
        <v>55.633029882459383</v>
      </c>
      <c r="BI54" s="1133"/>
      <c r="BJ54" s="64">
        <f t="shared" si="111"/>
        <v>900</v>
      </c>
      <c r="BK54" s="64"/>
      <c r="BL54" s="64">
        <v>614</v>
      </c>
      <c r="BM54" s="64">
        <f t="shared" si="139"/>
        <v>286</v>
      </c>
      <c r="BN54" s="65">
        <f t="shared" si="140"/>
        <v>0.44317380625866787</v>
      </c>
      <c r="BO54" s="64">
        <f t="shared" si="135"/>
        <v>5174</v>
      </c>
      <c r="BP54" s="65">
        <f t="shared" si="136"/>
        <v>0.22019339397688081</v>
      </c>
      <c r="BQ54" s="1071"/>
      <c r="BR54" s="77">
        <f t="shared" si="114"/>
        <v>61113</v>
      </c>
      <c r="BS54" s="35"/>
      <c r="BT54" s="35">
        <f>35795+7000+10000</f>
        <v>52795</v>
      </c>
      <c r="BU54" s="74">
        <f t="shared" si="148"/>
        <v>8318</v>
      </c>
      <c r="BV54" s="74">
        <f t="shared" si="90"/>
        <v>129021</v>
      </c>
      <c r="BW54" s="74">
        <f t="shared" si="89"/>
        <v>451.83363643867506</v>
      </c>
      <c r="BX54" s="1098"/>
      <c r="BY54" s="298">
        <f t="shared" si="151"/>
        <v>500</v>
      </c>
      <c r="BZ54" s="296"/>
      <c r="CA54" s="296">
        <v>306</v>
      </c>
      <c r="CB54" s="296">
        <f t="shared" si="149"/>
        <v>194</v>
      </c>
      <c r="CC54" s="297">
        <f t="shared" si="150"/>
        <v>0.30061440004958589</v>
      </c>
      <c r="CD54" s="296">
        <f t="shared" si="137"/>
        <v>4694</v>
      </c>
      <c r="CE54" s="297">
        <f t="shared" si="138"/>
        <v>0.1997657115051176</v>
      </c>
      <c r="CF54" s="1061"/>
      <c r="CH54">
        <f t="shared" si="29"/>
        <v>451058.4</v>
      </c>
    </row>
    <row r="55" spans="1:86">
      <c r="A55" s="30">
        <v>44003</v>
      </c>
      <c r="B55" s="32">
        <v>649281</v>
      </c>
      <c r="C55" s="1">
        <f t="shared" si="12"/>
        <v>24146807</v>
      </c>
      <c r="D55" s="29">
        <v>7168.48</v>
      </c>
      <c r="E55" s="93">
        <f t="shared" si="23"/>
        <v>292718.26999999996</v>
      </c>
      <c r="F55" s="240">
        <f t="shared" si="117"/>
        <v>16600</v>
      </c>
      <c r="G55" s="240">
        <v>32000</v>
      </c>
      <c r="H55" s="280">
        <v>17.04</v>
      </c>
      <c r="I55" s="240">
        <f>10000+16600</f>
        <v>26600</v>
      </c>
      <c r="J55" s="240">
        <f t="shared" si="121"/>
        <v>22000</v>
      </c>
      <c r="K55" s="280">
        <f t="shared" si="122"/>
        <v>33.883634358621308</v>
      </c>
      <c r="L55" s="240">
        <f t="shared" si="123"/>
        <v>694890</v>
      </c>
      <c r="M55" s="280">
        <f t="shared" si="124"/>
        <v>28.777717898685321</v>
      </c>
      <c r="N55" s="280">
        <f t="shared" si="125"/>
        <v>3.523658368885187</v>
      </c>
      <c r="O55" s="1089"/>
      <c r="P55" s="1084"/>
      <c r="Q55" s="35">
        <f t="shared" si="96"/>
        <v>21710</v>
      </c>
      <c r="R55" s="35"/>
      <c r="S55" s="35">
        <v>20928</v>
      </c>
      <c r="T55" s="35">
        <f t="shared" si="152"/>
        <v>782</v>
      </c>
      <c r="U55" s="36">
        <f t="shared" si="153"/>
        <v>1.2044091849291756</v>
      </c>
      <c r="V55" s="74">
        <f t="shared" si="126"/>
        <v>34350</v>
      </c>
      <c r="W55" s="36">
        <f t="shared" si="127"/>
        <v>1.422548331131317</v>
      </c>
      <c r="X55" s="1136"/>
      <c r="Y55" s="49">
        <f t="shared" si="99"/>
        <v>786</v>
      </c>
      <c r="Z55" s="50"/>
      <c r="AA55" s="50">
        <f>424+55</f>
        <v>479</v>
      </c>
      <c r="AB55" s="50">
        <f t="shared" si="118"/>
        <v>307</v>
      </c>
      <c r="AC55" s="51">
        <f t="shared" si="119"/>
        <v>0.47283071582257913</v>
      </c>
      <c r="AD55" s="50">
        <f t="shared" si="128"/>
        <v>9764</v>
      </c>
      <c r="AE55" s="51">
        <f t="shared" si="129"/>
        <v>0.40435988079086399</v>
      </c>
      <c r="AF55" s="1047"/>
      <c r="AG55" s="40">
        <f t="shared" si="102"/>
        <v>452</v>
      </c>
      <c r="AH55" s="41"/>
      <c r="AI55" s="41">
        <v>307</v>
      </c>
      <c r="AJ55" s="41">
        <f t="shared" si="130"/>
        <v>145</v>
      </c>
      <c r="AK55" s="42">
        <f t="shared" si="120"/>
        <v>0.22332395372727679</v>
      </c>
      <c r="AL55" s="41">
        <f t="shared" si="131"/>
        <v>4076</v>
      </c>
      <c r="AM55" s="42">
        <f t="shared" si="132"/>
        <v>0.16880078595898829</v>
      </c>
      <c r="AN55" s="1058"/>
      <c r="AO55" s="67">
        <v>5.3</v>
      </c>
      <c r="AP55" s="67">
        <v>24</v>
      </c>
      <c r="AQ55" s="68">
        <f t="shared" si="154"/>
        <v>63.224759999999996</v>
      </c>
      <c r="AR55" s="68">
        <f t="shared" si="155"/>
        <v>8.8198279133093767</v>
      </c>
      <c r="AS55" s="69">
        <f t="shared" si="156"/>
        <v>2601.7585200000008</v>
      </c>
      <c r="AT55" s="140">
        <f t="shared" si="157"/>
        <v>8.8882682997545768</v>
      </c>
      <c r="AU55" s="1073"/>
      <c r="AV55" s="70">
        <v>3.9</v>
      </c>
      <c r="AW55" s="71">
        <v>12</v>
      </c>
      <c r="AX55" s="72">
        <f t="shared" si="79"/>
        <v>24.182963999999998</v>
      </c>
      <c r="AY55" s="72">
        <f t="shared" si="145"/>
        <v>3.3735134924000625</v>
      </c>
      <c r="AZ55" s="73">
        <f t="shared" si="158"/>
        <v>863.76586799999984</v>
      </c>
      <c r="BA55" s="192">
        <f t="shared" si="159"/>
        <v>2.9508437174078677</v>
      </c>
      <c r="BB55" s="1075"/>
      <c r="BC55" s="90">
        <f t="shared" si="108"/>
        <v>35049</v>
      </c>
      <c r="BD55" s="59"/>
      <c r="BE55" s="56">
        <v>35049</v>
      </c>
      <c r="BF55" s="56"/>
      <c r="BG55" s="58">
        <f t="shared" si="133"/>
        <v>15886</v>
      </c>
      <c r="BH55" s="58">
        <f t="shared" si="134"/>
        <v>54.270613173547389</v>
      </c>
      <c r="BI55" s="1133"/>
      <c r="BJ55" s="64">
        <f t="shared" si="111"/>
        <v>614</v>
      </c>
      <c r="BK55" s="64"/>
      <c r="BL55" s="64">
        <v>276</v>
      </c>
      <c r="BM55" s="64">
        <f t="shared" si="139"/>
        <v>338</v>
      </c>
      <c r="BN55" s="65">
        <f t="shared" si="140"/>
        <v>0.52057583696427279</v>
      </c>
      <c r="BO55" s="64">
        <f t="shared" si="135"/>
        <v>5512</v>
      </c>
      <c r="BP55" s="65">
        <f t="shared" si="136"/>
        <v>0.22827034646858277</v>
      </c>
      <c r="BQ55" s="1071"/>
      <c r="BR55" s="77">
        <f t="shared" si="114"/>
        <v>52795</v>
      </c>
      <c r="BS55" s="35"/>
      <c r="BT55" s="35">
        <f>33023+7000+10000</f>
        <v>50023</v>
      </c>
      <c r="BU55" s="74">
        <f t="shared" si="148"/>
        <v>2772</v>
      </c>
      <c r="BV55" s="74">
        <f t="shared" si="90"/>
        <v>131793</v>
      </c>
      <c r="BW55" s="74">
        <f t="shared" si="89"/>
        <v>450.23838108909302</v>
      </c>
      <c r="BX55" s="1098"/>
      <c r="BY55" s="298">
        <f t="shared" si="151"/>
        <v>306</v>
      </c>
      <c r="BZ55" s="296"/>
      <c r="CA55" s="296">
        <v>162</v>
      </c>
      <c r="CB55" s="296">
        <f t="shared" si="149"/>
        <v>144</v>
      </c>
      <c r="CC55" s="297">
        <f t="shared" si="150"/>
        <v>0.22178378852915764</v>
      </c>
      <c r="CD55" s="296">
        <f t="shared" si="137"/>
        <v>4838</v>
      </c>
      <c r="CE55" s="297">
        <f t="shared" si="138"/>
        <v>0.20035775330460875</v>
      </c>
      <c r="CF55" s="1061"/>
      <c r="CH55">
        <f t="shared" si="29"/>
        <v>300195</v>
      </c>
    </row>
    <row r="56" spans="1:86">
      <c r="A56" s="30">
        <v>44004</v>
      </c>
      <c r="B56" s="32">
        <v>650345</v>
      </c>
      <c r="C56" s="1">
        <f t="shared" si="12"/>
        <v>24797152</v>
      </c>
      <c r="D56" s="91">
        <v>7405.37</v>
      </c>
      <c r="E56" s="93">
        <f t="shared" si="23"/>
        <v>300123.63999999996</v>
      </c>
      <c r="F56" s="240">
        <f t="shared" si="117"/>
        <v>26600</v>
      </c>
      <c r="G56" s="240"/>
      <c r="H56" s="280"/>
      <c r="I56" s="240">
        <v>16600</v>
      </c>
      <c r="J56" s="240">
        <f t="shared" si="121"/>
        <v>10000</v>
      </c>
      <c r="K56" s="280">
        <f t="shared" si="122"/>
        <v>15.376454035934772</v>
      </c>
      <c r="L56" s="240">
        <f t="shared" si="123"/>
        <v>704890</v>
      </c>
      <c r="M56" s="280">
        <f t="shared" si="124"/>
        <v>28.426248304644016</v>
      </c>
      <c r="N56" s="280">
        <f t="shared" si="125"/>
        <v>3.4806230322816232</v>
      </c>
      <c r="O56" s="1089"/>
      <c r="P56" s="1084"/>
      <c r="Q56" s="35">
        <f t="shared" si="96"/>
        <v>20928</v>
      </c>
      <c r="R56" s="35"/>
      <c r="S56" s="35">
        <v>18866</v>
      </c>
      <c r="T56" s="35">
        <f t="shared" si="152"/>
        <v>2062</v>
      </c>
      <c r="U56" s="36">
        <f t="shared" si="153"/>
        <v>3.1706248222097502</v>
      </c>
      <c r="V56" s="74">
        <f t="shared" si="126"/>
        <v>36412</v>
      </c>
      <c r="W56" s="36">
        <f t="shared" si="127"/>
        <v>1.4683944349738227</v>
      </c>
      <c r="X56" s="1136"/>
      <c r="Y56" s="49">
        <f t="shared" si="99"/>
        <v>479</v>
      </c>
      <c r="Z56" s="50"/>
      <c r="AA56" s="50">
        <f>187+48</f>
        <v>235</v>
      </c>
      <c r="AB56" s="50">
        <f t="shared" si="118"/>
        <v>244</v>
      </c>
      <c r="AC56" s="51">
        <f t="shared" si="119"/>
        <v>0.37518547847680844</v>
      </c>
      <c r="AD56" s="50">
        <f t="shared" si="128"/>
        <v>10008</v>
      </c>
      <c r="AE56" s="51">
        <f t="shared" si="129"/>
        <v>0.40359473539541962</v>
      </c>
      <c r="AF56" s="1047"/>
      <c r="AG56" s="40">
        <f t="shared" si="102"/>
        <v>307</v>
      </c>
      <c r="AH56" s="41"/>
      <c r="AI56" s="41">
        <v>148</v>
      </c>
      <c r="AJ56" s="41">
        <f t="shared" si="130"/>
        <v>159</v>
      </c>
      <c r="AK56" s="42">
        <f t="shared" si="120"/>
        <v>0.24448561917136288</v>
      </c>
      <c r="AL56" s="41">
        <f t="shared" si="131"/>
        <v>4235</v>
      </c>
      <c r="AM56" s="42">
        <f t="shared" si="132"/>
        <v>0.17078574184648301</v>
      </c>
      <c r="AN56" s="1058"/>
      <c r="AO56" s="67">
        <v>6.1</v>
      </c>
      <c r="AP56" s="67">
        <v>24</v>
      </c>
      <c r="AQ56" s="68">
        <f t="shared" si="154"/>
        <v>72.768119999999982</v>
      </c>
      <c r="AR56" s="68">
        <f t="shared" si="155"/>
        <v>9.8263989510314786</v>
      </c>
      <c r="AS56" s="69">
        <f t="shared" si="156"/>
        <v>2674.526640000001</v>
      </c>
      <c r="AT56" s="140">
        <f t="shared" si="157"/>
        <v>8.9114161083745405</v>
      </c>
      <c r="AU56" s="1073"/>
      <c r="AV56" s="70">
        <v>3.9</v>
      </c>
      <c r="AW56" s="71">
        <v>12</v>
      </c>
      <c r="AX56" s="72">
        <f t="shared" si="79"/>
        <v>24.182963999999998</v>
      </c>
      <c r="AY56" s="72">
        <f t="shared" si="145"/>
        <v>3.2655983428241937</v>
      </c>
      <c r="AZ56" s="73">
        <f t="shared" si="158"/>
        <v>887.94883199999981</v>
      </c>
      <c r="BA56" s="192">
        <f t="shared" si="159"/>
        <v>2.9586100981582124</v>
      </c>
      <c r="BB56" s="1075"/>
      <c r="BC56" s="90">
        <f t="shared" si="108"/>
        <v>35049</v>
      </c>
      <c r="BD56" s="59"/>
      <c r="BE56" s="56">
        <v>35049</v>
      </c>
      <c r="BF56" s="56"/>
      <c r="BG56" s="58">
        <f t="shared" si="133"/>
        <v>15886</v>
      </c>
      <c r="BH56" s="58">
        <f t="shared" si="134"/>
        <v>52.931518490179592</v>
      </c>
      <c r="BI56" s="1133"/>
      <c r="BJ56" s="64">
        <f t="shared" si="111"/>
        <v>276</v>
      </c>
      <c r="BK56" s="64">
        <v>1100</v>
      </c>
      <c r="BL56" s="64">
        <v>1092</v>
      </c>
      <c r="BM56" s="64">
        <f t="shared" si="139"/>
        <v>284</v>
      </c>
      <c r="BN56" s="65">
        <f t="shared" si="140"/>
        <v>0.43669129462054757</v>
      </c>
      <c r="BO56" s="64">
        <f t="shared" si="135"/>
        <v>5796</v>
      </c>
      <c r="BP56" s="65">
        <f t="shared" si="136"/>
        <v>0.23373651941964949</v>
      </c>
      <c r="BQ56" s="1071"/>
      <c r="BR56" s="77">
        <f t="shared" si="114"/>
        <v>50023</v>
      </c>
      <c r="BS56" s="35"/>
      <c r="BT56" s="35">
        <f>30250+7000+10000</f>
        <v>47250</v>
      </c>
      <c r="BU56" s="74">
        <f t="shared" si="148"/>
        <v>2773</v>
      </c>
      <c r="BV56" s="74">
        <f t="shared" si="90"/>
        <v>134566</v>
      </c>
      <c r="BW56" s="74">
        <f t="shared" si="89"/>
        <v>448.36854571002812</v>
      </c>
      <c r="BX56" s="1098"/>
      <c r="BY56" s="298">
        <f t="shared" si="151"/>
        <v>162</v>
      </c>
      <c r="BZ56" s="296">
        <v>1250</v>
      </c>
      <c r="CA56" s="296">
        <v>1150</v>
      </c>
      <c r="CB56" s="296">
        <f t="shared" si="149"/>
        <v>262</v>
      </c>
      <c r="CC56" s="297">
        <f t="shared" si="150"/>
        <v>0.40286309574149104</v>
      </c>
      <c r="CD56" s="296">
        <f t="shared" si="137"/>
        <v>5100</v>
      </c>
      <c r="CE56" s="297">
        <f t="shared" si="138"/>
        <v>0.20566878002764188</v>
      </c>
      <c r="CF56" s="1061"/>
      <c r="CH56">
        <f t="shared" si="29"/>
        <v>150974.39999999999</v>
      </c>
    </row>
    <row r="57" spans="1:86">
      <c r="A57" s="30">
        <v>44005</v>
      </c>
      <c r="B57" s="32">
        <v>635613</v>
      </c>
      <c r="C57" s="1">
        <f t="shared" si="12"/>
        <v>25432765</v>
      </c>
      <c r="D57" s="91">
        <v>7148.2</v>
      </c>
      <c r="E57" s="93">
        <f t="shared" si="23"/>
        <v>307271.83999999997</v>
      </c>
      <c r="F57" s="240">
        <f t="shared" si="117"/>
        <v>16600</v>
      </c>
      <c r="G57" s="240">
        <v>32200</v>
      </c>
      <c r="H57" s="280">
        <v>18.14</v>
      </c>
      <c r="I57" s="240">
        <f>9000+16600</f>
        <v>25600</v>
      </c>
      <c r="J57" s="240">
        <f t="shared" si="121"/>
        <v>23200</v>
      </c>
      <c r="K57" s="280">
        <f t="shared" si="122"/>
        <v>36.500197447188775</v>
      </c>
      <c r="L57" s="240">
        <f t="shared" si="123"/>
        <v>728090</v>
      </c>
      <c r="M57" s="280">
        <f t="shared" si="124"/>
        <v>28.628031596249954</v>
      </c>
      <c r="N57" s="280">
        <f t="shared" si="125"/>
        <v>3.5053301819823623</v>
      </c>
      <c r="O57" s="1089"/>
      <c r="P57" s="1084"/>
      <c r="Q57" s="35">
        <f t="shared" si="96"/>
        <v>18866</v>
      </c>
      <c r="R57" s="35"/>
      <c r="S57" s="35">
        <v>17345</v>
      </c>
      <c r="T57" s="35">
        <f t="shared" si="152"/>
        <v>1521</v>
      </c>
      <c r="U57" s="36">
        <f t="shared" si="153"/>
        <v>2.3929655309126781</v>
      </c>
      <c r="V57" s="74">
        <f t="shared" si="126"/>
        <v>37933</v>
      </c>
      <c r="W57" s="36">
        <f t="shared" si="127"/>
        <v>1.4915012189984063</v>
      </c>
      <c r="X57" s="1136"/>
      <c r="Y57" s="49">
        <f t="shared" si="99"/>
        <v>235</v>
      </c>
      <c r="Z57" s="50">
        <v>900</v>
      </c>
      <c r="AA57" s="50">
        <f>707+50</f>
        <v>757</v>
      </c>
      <c r="AB57" s="50">
        <f t="shared" si="118"/>
        <v>378</v>
      </c>
      <c r="AC57" s="51">
        <f t="shared" si="119"/>
        <v>0.59470149288954133</v>
      </c>
      <c r="AD57" s="50">
        <f t="shared" si="128"/>
        <v>10386</v>
      </c>
      <c r="AE57" s="51">
        <f t="shared" si="129"/>
        <v>0.4083708554693129</v>
      </c>
      <c r="AF57" s="1047"/>
      <c r="AG57" s="40">
        <f t="shared" si="102"/>
        <v>148</v>
      </c>
      <c r="AH57" s="41">
        <v>1000</v>
      </c>
      <c r="AI57" s="41">
        <v>1023</v>
      </c>
      <c r="AJ57" s="41">
        <f t="shared" si="130"/>
        <v>125</v>
      </c>
      <c r="AK57" s="42">
        <f t="shared" si="120"/>
        <v>0.19666054659045676</v>
      </c>
      <c r="AL57" s="41">
        <f t="shared" si="131"/>
        <v>4360</v>
      </c>
      <c r="AM57" s="42">
        <f t="shared" si="132"/>
        <v>0.17143240225748163</v>
      </c>
      <c r="AN57" s="1058"/>
      <c r="AO57" s="67">
        <v>5.7</v>
      </c>
      <c r="AP57" s="67">
        <v>24</v>
      </c>
      <c r="AQ57" s="68">
        <f t="shared" si="154"/>
        <v>67.996440000000007</v>
      </c>
      <c r="AR57" s="68">
        <f t="shared" si="155"/>
        <v>9.5123863350214037</v>
      </c>
      <c r="AS57" s="69">
        <f t="shared" si="156"/>
        <v>2742.5230800000008</v>
      </c>
      <c r="AT57" s="140">
        <f t="shared" si="157"/>
        <v>8.9253967431574637</v>
      </c>
      <c r="AU57" s="1073"/>
      <c r="AV57" s="70">
        <v>3.9</v>
      </c>
      <c r="AW57" s="71">
        <v>12</v>
      </c>
      <c r="AX57" s="72">
        <f t="shared" si="79"/>
        <v>24.182963999999998</v>
      </c>
      <c r="AY57" s="72">
        <f t="shared" si="145"/>
        <v>3.3830844128591813</v>
      </c>
      <c r="AZ57" s="73">
        <f t="shared" si="158"/>
        <v>912.13179599999978</v>
      </c>
      <c r="BA57" s="192">
        <f t="shared" si="159"/>
        <v>2.9684848308911089</v>
      </c>
      <c r="BB57" s="1075"/>
      <c r="BC57" s="90">
        <f t="shared" si="108"/>
        <v>35049</v>
      </c>
      <c r="BD57" s="59"/>
      <c r="BE57" s="56">
        <v>35049</v>
      </c>
      <c r="BF57" s="56"/>
      <c r="BG57" s="58">
        <f t="shared" si="133"/>
        <v>15886</v>
      </c>
      <c r="BH57" s="58">
        <f t="shared" si="134"/>
        <v>51.700149288005051</v>
      </c>
      <c r="BI57" s="1133"/>
      <c r="BJ57" s="64">
        <f t="shared" si="111"/>
        <v>1092</v>
      </c>
      <c r="BK57" s="64"/>
      <c r="BL57" s="64">
        <v>822</v>
      </c>
      <c r="BM57" s="64">
        <f t="shared" si="139"/>
        <v>270</v>
      </c>
      <c r="BN57" s="65">
        <f t="shared" si="140"/>
        <v>0.42478678063538661</v>
      </c>
      <c r="BO57" s="64">
        <f t="shared" si="135"/>
        <v>6066</v>
      </c>
      <c r="BP57" s="65">
        <f t="shared" si="136"/>
        <v>0.23851122754446871</v>
      </c>
      <c r="BQ57" s="1071"/>
      <c r="BR57" s="77">
        <f t="shared" si="114"/>
        <v>47250</v>
      </c>
      <c r="BS57" s="35"/>
      <c r="BT57" s="35">
        <f>27478+7000+10000</f>
        <v>44478</v>
      </c>
      <c r="BU57" s="74">
        <f t="shared" si="148"/>
        <v>2772</v>
      </c>
      <c r="BV57" s="74">
        <f t="shared" si="90"/>
        <v>137338</v>
      </c>
      <c r="BW57" s="74">
        <f t="shared" si="89"/>
        <v>446.95927879365718</v>
      </c>
      <c r="BX57" s="1098"/>
      <c r="BY57" s="298">
        <f t="shared" si="151"/>
        <v>1150</v>
      </c>
      <c r="BZ57" s="296"/>
      <c r="CA57" s="296">
        <v>1150</v>
      </c>
      <c r="CB57" s="296"/>
      <c r="CC57" s="297"/>
      <c r="CD57" s="296">
        <f t="shared" si="137"/>
        <v>5100</v>
      </c>
      <c r="CE57" s="297">
        <f t="shared" si="138"/>
        <v>0.20052872741127439</v>
      </c>
      <c r="CF57" s="1061"/>
      <c r="CH57">
        <f t="shared" si="29"/>
        <v>545280</v>
      </c>
    </row>
    <row r="58" spans="1:86">
      <c r="A58" s="30">
        <v>44006</v>
      </c>
      <c r="B58" s="32">
        <v>622409</v>
      </c>
      <c r="C58" s="1">
        <f t="shared" si="12"/>
        <v>26055174</v>
      </c>
      <c r="D58" s="91">
        <v>6572.54</v>
      </c>
      <c r="E58" s="93">
        <f t="shared" si="23"/>
        <v>313844.37999999995</v>
      </c>
      <c r="F58" s="240">
        <f t="shared" si="117"/>
        <v>25600</v>
      </c>
      <c r="G58" s="240">
        <v>18800</v>
      </c>
      <c r="H58" s="280">
        <v>17.62</v>
      </c>
      <c r="I58" s="240">
        <f>15600+15750</f>
        <v>31350</v>
      </c>
      <c r="J58" s="240">
        <f t="shared" si="121"/>
        <v>13050</v>
      </c>
      <c r="K58" s="280">
        <f t="shared" si="122"/>
        <v>20.966920465481699</v>
      </c>
      <c r="L58" s="240">
        <f t="shared" si="123"/>
        <v>741140</v>
      </c>
      <c r="M58" s="280">
        <f t="shared" si="124"/>
        <v>28.445022090430101</v>
      </c>
      <c r="N58" s="280">
        <f t="shared" si="125"/>
        <v>3.4829217693682013</v>
      </c>
      <c r="O58" s="1089"/>
      <c r="P58" s="1084"/>
      <c r="Q58" s="35">
        <f t="shared" si="96"/>
        <v>17345</v>
      </c>
      <c r="R58" s="35"/>
      <c r="S58" s="35">
        <v>17345</v>
      </c>
      <c r="T58" s="35"/>
      <c r="U58" s="36"/>
      <c r="V58" s="74">
        <f t="shared" si="126"/>
        <v>37933</v>
      </c>
      <c r="W58" s="36">
        <f t="shared" si="127"/>
        <v>1.4558720659474391</v>
      </c>
      <c r="X58" s="1136"/>
      <c r="Y58" s="49">
        <f t="shared" si="99"/>
        <v>757</v>
      </c>
      <c r="Z58" s="50"/>
      <c r="AA58" s="50">
        <f>510+35</f>
        <v>545</v>
      </c>
      <c r="AB58" s="50">
        <f t="shared" si="118"/>
        <v>212</v>
      </c>
      <c r="AC58" s="51">
        <f t="shared" si="119"/>
        <v>0.3406120412783234</v>
      </c>
      <c r="AD58" s="50">
        <f t="shared" si="128"/>
        <v>10598</v>
      </c>
      <c r="AE58" s="51">
        <f t="shared" si="129"/>
        <v>0.40675222510507891</v>
      </c>
      <c r="AF58" s="1047"/>
      <c r="AG58" s="40">
        <f t="shared" si="102"/>
        <v>1023</v>
      </c>
      <c r="AH58" s="41"/>
      <c r="AI58" s="41">
        <v>885</v>
      </c>
      <c r="AJ58" s="41">
        <f t="shared" si="130"/>
        <v>138</v>
      </c>
      <c r="AK58" s="42">
        <f t="shared" si="120"/>
        <v>0.22171915894532374</v>
      </c>
      <c r="AL58" s="41">
        <f t="shared" si="131"/>
        <v>4498</v>
      </c>
      <c r="AM58" s="42">
        <f t="shared" si="132"/>
        <v>0.17263365809800388</v>
      </c>
      <c r="AN58" s="1058"/>
      <c r="AO58" s="67">
        <v>5.5</v>
      </c>
      <c r="AP58" s="67">
        <v>24</v>
      </c>
      <c r="AQ58" s="68">
        <f t="shared" si="154"/>
        <v>65.610600000000005</v>
      </c>
      <c r="AR58" s="68">
        <f t="shared" si="155"/>
        <v>9.9825333889181369</v>
      </c>
      <c r="AS58" s="69">
        <f t="shared" si="156"/>
        <v>2808.1336800000008</v>
      </c>
      <c r="AT58" s="140">
        <f t="shared" si="157"/>
        <v>8.9475353358247194</v>
      </c>
      <c r="AU58" s="1073"/>
      <c r="AV58" s="70">
        <v>3.9</v>
      </c>
      <c r="AW58" s="71">
        <v>12</v>
      </c>
      <c r="AX58" s="72">
        <f t="shared" si="79"/>
        <v>24.182963999999998</v>
      </c>
      <c r="AY58" s="72">
        <f t="shared" si="145"/>
        <v>3.679393963368804</v>
      </c>
      <c r="AZ58" s="73">
        <f t="shared" si="158"/>
        <v>936.31475999999975</v>
      </c>
      <c r="BA58" s="192">
        <f t="shared" si="159"/>
        <v>2.9833727148467655</v>
      </c>
      <c r="BB58" s="1075"/>
      <c r="BC58" s="90">
        <f t="shared" si="108"/>
        <v>35049</v>
      </c>
      <c r="BD58" s="59"/>
      <c r="BE58" s="56">
        <v>33068</v>
      </c>
      <c r="BF58" s="56">
        <f>BC58-BE58+BD58</f>
        <v>1981</v>
      </c>
      <c r="BG58" s="58">
        <f t="shared" si="133"/>
        <v>17867</v>
      </c>
      <c r="BH58" s="58">
        <f t="shared" si="134"/>
        <v>56.929488429902754</v>
      </c>
      <c r="BI58" s="1133"/>
      <c r="BJ58" s="64">
        <f t="shared" si="111"/>
        <v>822</v>
      </c>
      <c r="BK58" s="64"/>
      <c r="BL58" s="64">
        <v>420</v>
      </c>
      <c r="BM58" s="64">
        <f t="shared" si="139"/>
        <v>402</v>
      </c>
      <c r="BN58" s="65">
        <f t="shared" si="140"/>
        <v>0.64587754997116043</v>
      </c>
      <c r="BO58" s="64">
        <f t="shared" si="135"/>
        <v>6468</v>
      </c>
      <c r="BP58" s="65">
        <f t="shared" si="136"/>
        <v>0.24824244121340353</v>
      </c>
      <c r="BQ58" s="1071"/>
      <c r="BR58" s="77">
        <f t="shared" si="114"/>
        <v>44478</v>
      </c>
      <c r="BS58" s="35"/>
      <c r="BT58" s="99">
        <f>24705+7000+10000</f>
        <v>41705</v>
      </c>
      <c r="BU58" s="74">
        <f t="shared" si="148"/>
        <v>2773</v>
      </c>
      <c r="BV58" s="74">
        <f t="shared" si="90"/>
        <v>140111</v>
      </c>
      <c r="BW58" s="74">
        <f t="shared" si="89"/>
        <v>446.43463107416494</v>
      </c>
      <c r="BX58" s="1098"/>
      <c r="BY58" s="298">
        <f t="shared" si="151"/>
        <v>1150</v>
      </c>
      <c r="BZ58" s="296"/>
      <c r="CA58" s="296">
        <v>1150</v>
      </c>
      <c r="CB58" s="296"/>
      <c r="CC58" s="297"/>
      <c r="CD58" s="296">
        <f t="shared" si="137"/>
        <v>5100</v>
      </c>
      <c r="CE58" s="297">
        <f t="shared" si="138"/>
        <v>0.19573847405509553</v>
      </c>
      <c r="CF58" s="1061"/>
      <c r="CH58">
        <f t="shared" si="29"/>
        <v>0</v>
      </c>
    </row>
    <row r="59" spans="1:86">
      <c r="A59" s="30">
        <v>44007</v>
      </c>
      <c r="B59" s="32">
        <v>593537</v>
      </c>
      <c r="C59" s="1">
        <f t="shared" si="12"/>
        <v>26648711</v>
      </c>
      <c r="D59" s="91">
        <v>6539.52</v>
      </c>
      <c r="E59" s="93">
        <f t="shared" si="23"/>
        <v>320383.89999999997</v>
      </c>
      <c r="F59" s="240">
        <f t="shared" si="117"/>
        <v>31350</v>
      </c>
      <c r="G59" s="240">
        <v>32700</v>
      </c>
      <c r="H59" s="280">
        <v>19.03</v>
      </c>
      <c r="I59" s="240">
        <f>18800+15380</f>
        <v>34180</v>
      </c>
      <c r="J59" s="240">
        <f t="shared" si="121"/>
        <v>29870</v>
      </c>
      <c r="K59" s="280">
        <f t="shared" si="122"/>
        <v>50.32542200401997</v>
      </c>
      <c r="L59" s="240">
        <f t="shared" si="123"/>
        <v>771010</v>
      </c>
      <c r="M59" s="280">
        <f t="shared" si="124"/>
        <v>28.932356240420035</v>
      </c>
      <c r="N59" s="280">
        <f t="shared" si="125"/>
        <v>3.542592903198241</v>
      </c>
      <c r="O59" s="1089"/>
      <c r="P59" s="1084"/>
      <c r="Q59" s="35">
        <f t="shared" si="96"/>
        <v>17345</v>
      </c>
      <c r="R59" s="35"/>
      <c r="S59" s="35">
        <v>17345</v>
      </c>
      <c r="T59" s="35"/>
      <c r="U59" s="36"/>
      <c r="V59" s="74">
        <f t="shared" si="126"/>
        <v>37933</v>
      </c>
      <c r="W59" s="36">
        <f t="shared" si="127"/>
        <v>1.4234459595437843</v>
      </c>
      <c r="X59" s="1136"/>
      <c r="Y59" s="49">
        <f t="shared" si="99"/>
        <v>545</v>
      </c>
      <c r="Z59" s="50"/>
      <c r="AA59" s="50">
        <f>308+87</f>
        <v>395</v>
      </c>
      <c r="AB59" s="50">
        <f t="shared" si="118"/>
        <v>150</v>
      </c>
      <c r="AC59" s="51">
        <f t="shared" si="119"/>
        <v>0.25272223972557734</v>
      </c>
      <c r="AD59" s="50">
        <f t="shared" si="128"/>
        <v>10748</v>
      </c>
      <c r="AE59" s="51">
        <f t="shared" si="129"/>
        <v>0.40332157153867593</v>
      </c>
      <c r="AF59" s="1047"/>
      <c r="AG59" s="40">
        <f t="shared" si="102"/>
        <v>885</v>
      </c>
      <c r="AH59" s="41"/>
      <c r="AI59" s="41">
        <v>745</v>
      </c>
      <c r="AJ59" s="41">
        <f t="shared" si="130"/>
        <v>140</v>
      </c>
      <c r="AK59" s="42">
        <f t="shared" si="120"/>
        <v>0.23587409041053886</v>
      </c>
      <c r="AL59" s="41">
        <f t="shared" si="131"/>
        <v>4638</v>
      </c>
      <c r="AM59" s="42">
        <f t="shared" si="132"/>
        <v>0.17404218913252503</v>
      </c>
      <c r="AN59" s="1058"/>
      <c r="AO59" s="67">
        <v>6.7</v>
      </c>
      <c r="AP59" s="67">
        <v>24</v>
      </c>
      <c r="AQ59" s="68">
        <f>AO59*AP59*0.49705</f>
        <v>79.925640000000001</v>
      </c>
      <c r="AR59" s="68">
        <f>AQ59*1000/D59</f>
        <v>12.221942894891367</v>
      </c>
      <c r="AS59" s="69">
        <f t="shared" ref="AS59:AS66" si="160">AS58+AQ59</f>
        <v>2888.0593200000008</v>
      </c>
      <c r="AT59" s="140">
        <f t="shared" ref="AT59:AT66" si="161">AS59*1000/E59</f>
        <v>9.0143709468546991</v>
      </c>
      <c r="AU59" s="1073"/>
      <c r="AV59" s="70">
        <v>4.4000000000000004</v>
      </c>
      <c r="AW59" s="71">
        <v>12</v>
      </c>
      <c r="AX59" s="72">
        <f t="shared" si="79"/>
        <v>27.283344000000003</v>
      </c>
      <c r="AY59" s="72">
        <f t="shared" si="145"/>
        <v>4.1720713446858486</v>
      </c>
      <c r="AZ59" s="73">
        <f t="shared" si="158"/>
        <v>963.59810399999981</v>
      </c>
      <c r="BA59" s="192">
        <f t="shared" si="159"/>
        <v>3.0076358518639665</v>
      </c>
      <c r="BB59" s="1075"/>
      <c r="BC59" s="90">
        <f t="shared" si="108"/>
        <v>33068</v>
      </c>
      <c r="BD59" s="59"/>
      <c r="BE59" s="56">
        <v>33068</v>
      </c>
      <c r="BF59" s="56"/>
      <c r="BG59" s="58">
        <f t="shared" si="133"/>
        <v>17867</v>
      </c>
      <c r="BH59" s="58">
        <f t="shared" si="134"/>
        <v>55.767471461580939</v>
      </c>
      <c r="BI59" s="1133"/>
      <c r="BJ59" s="64">
        <f t="shared" si="111"/>
        <v>420</v>
      </c>
      <c r="BK59" s="64">
        <v>1100</v>
      </c>
      <c r="BL59" s="64">
        <v>976</v>
      </c>
      <c r="BM59" s="64">
        <f t="shared" si="139"/>
        <v>544</v>
      </c>
      <c r="BN59" s="65">
        <f t="shared" si="140"/>
        <v>0.9165393227380938</v>
      </c>
      <c r="BO59" s="64">
        <f t="shared" si="135"/>
        <v>7012</v>
      </c>
      <c r="BP59" s="65">
        <f t="shared" si="136"/>
        <v>0.26312717339311459</v>
      </c>
      <c r="BQ59" s="1071"/>
      <c r="BR59" s="77">
        <f t="shared" si="114"/>
        <v>41705</v>
      </c>
      <c r="BS59" s="35"/>
      <c r="BT59" s="99">
        <f>22857+7000+10000</f>
        <v>39857</v>
      </c>
      <c r="BU59" s="74">
        <f t="shared" si="148"/>
        <v>1848</v>
      </c>
      <c r="BV59" s="74">
        <f t="shared" si="90"/>
        <v>141959</v>
      </c>
      <c r="BW59" s="74">
        <f t="shared" si="89"/>
        <v>443.09030509960087</v>
      </c>
      <c r="BX59" s="1098"/>
      <c r="BY59" s="298">
        <f t="shared" si="151"/>
        <v>1150</v>
      </c>
      <c r="BZ59" s="296"/>
      <c r="CA59" s="296">
        <v>1150</v>
      </c>
      <c r="CB59" s="296"/>
      <c r="CC59" s="297"/>
      <c r="CD59" s="296">
        <f t="shared" si="137"/>
        <v>5100</v>
      </c>
      <c r="CE59" s="297">
        <f t="shared" si="138"/>
        <v>0.19137886256487227</v>
      </c>
      <c r="CF59" s="1061"/>
      <c r="CH59">
        <f t="shared" si="29"/>
        <v>584108</v>
      </c>
    </row>
    <row r="60" spans="1:86">
      <c r="A60" s="30">
        <v>44008</v>
      </c>
      <c r="B60" s="32">
        <v>336024</v>
      </c>
      <c r="C60" s="1">
        <f t="shared" si="12"/>
        <v>26984735</v>
      </c>
      <c r="D60" s="1">
        <v>3149.98</v>
      </c>
      <c r="E60" s="93">
        <f t="shared" si="23"/>
        <v>323533.87999999995</v>
      </c>
      <c r="F60" s="240">
        <f t="shared" si="117"/>
        <v>34180</v>
      </c>
      <c r="G60" s="240"/>
      <c r="H60" s="280"/>
      <c r="I60" s="240">
        <f>8800+15000</f>
        <v>23800</v>
      </c>
      <c r="J60" s="240">
        <f t="shared" si="121"/>
        <v>10380</v>
      </c>
      <c r="K60" s="280">
        <f t="shared" si="122"/>
        <v>30.890650667809442</v>
      </c>
      <c r="L60" s="240">
        <f t="shared" si="123"/>
        <v>781390</v>
      </c>
      <c r="M60" s="280">
        <f t="shared" si="124"/>
        <v>28.95674165412408</v>
      </c>
      <c r="N60" s="280">
        <f t="shared" si="125"/>
        <v>3.5455787503519138</v>
      </c>
      <c r="O60" s="1089"/>
      <c r="P60" s="1084"/>
      <c r="Q60" s="35">
        <f t="shared" si="96"/>
        <v>17345</v>
      </c>
      <c r="R60" s="35"/>
      <c r="S60" s="35">
        <v>17345</v>
      </c>
      <c r="T60" s="35"/>
      <c r="U60" s="36"/>
      <c r="V60" s="74">
        <f t="shared" si="126"/>
        <v>37933</v>
      </c>
      <c r="W60" s="36">
        <f t="shared" si="127"/>
        <v>1.4057206787467063</v>
      </c>
      <c r="X60" s="1136"/>
      <c r="Y60" s="49">
        <f t="shared" si="99"/>
        <v>395</v>
      </c>
      <c r="Z60" s="50"/>
      <c r="AA60" s="50">
        <f>242+80</f>
        <v>322</v>
      </c>
      <c r="AB60" s="50">
        <f t="shared" si="118"/>
        <v>73</v>
      </c>
      <c r="AC60" s="51">
        <f t="shared" si="119"/>
        <v>0.21724638716282171</v>
      </c>
      <c r="AD60" s="50">
        <f t="shared" si="128"/>
        <v>10821</v>
      </c>
      <c r="AE60" s="51">
        <f t="shared" si="129"/>
        <v>0.40100449383697856</v>
      </c>
      <c r="AF60" s="1047"/>
      <c r="AG60" s="40">
        <f t="shared" si="102"/>
        <v>745</v>
      </c>
      <c r="AH60" s="41"/>
      <c r="AI60" s="41">
        <v>686</v>
      </c>
      <c r="AJ60" s="41">
        <f t="shared" si="130"/>
        <v>59</v>
      </c>
      <c r="AK60" s="42">
        <f t="shared" si="120"/>
        <v>0.17558269647406138</v>
      </c>
      <c r="AL60" s="41">
        <f t="shared" si="131"/>
        <v>4697</v>
      </c>
      <c r="AM60" s="42">
        <f t="shared" si="132"/>
        <v>0.17406137210537737</v>
      </c>
      <c r="AN60" s="1058"/>
      <c r="AO60" s="67">
        <v>2.9</v>
      </c>
      <c r="AP60" s="67">
        <v>24</v>
      </c>
      <c r="AQ60" s="68">
        <f>AO60*AP60*0.49705</f>
        <v>34.594679999999997</v>
      </c>
      <c r="AR60" s="68">
        <f>AQ60*1000/D60</f>
        <v>10.982507825446511</v>
      </c>
      <c r="AS60" s="69">
        <f t="shared" si="160"/>
        <v>2922.6540000000009</v>
      </c>
      <c r="AT60" s="140">
        <f t="shared" si="161"/>
        <v>9.0335330568780048</v>
      </c>
      <c r="AU60" s="1073"/>
      <c r="AV60" s="319">
        <v>4</v>
      </c>
      <c r="AW60" s="71">
        <v>12</v>
      </c>
      <c r="AX60" s="72">
        <f t="shared" si="79"/>
        <v>24.803040000000003</v>
      </c>
      <c r="AY60" s="72">
        <f t="shared" si="145"/>
        <v>7.8740309462282312</v>
      </c>
      <c r="AZ60" s="73">
        <f t="shared" ref="AZ60:AZ66" si="162">AZ59+AX60</f>
        <v>988.40114399999982</v>
      </c>
      <c r="BA60" s="192">
        <f t="shared" ref="BA60:BA66" si="163">AZ60*1000/E60</f>
        <v>3.0550158889078327</v>
      </c>
      <c r="BB60" s="1075"/>
      <c r="BC60" s="90">
        <f t="shared" si="108"/>
        <v>33068</v>
      </c>
      <c r="BD60" s="59"/>
      <c r="BE60" s="56">
        <v>33068</v>
      </c>
      <c r="BF60" s="56"/>
      <c r="BG60" s="58">
        <f t="shared" si="133"/>
        <v>17867</v>
      </c>
      <c r="BH60" s="58">
        <f t="shared" si="134"/>
        <v>55.224510026585172</v>
      </c>
      <c r="BI60" s="1133"/>
      <c r="BJ60" s="64">
        <f t="shared" si="111"/>
        <v>976</v>
      </c>
      <c r="BK60" s="64"/>
      <c r="BL60" s="64">
        <v>976</v>
      </c>
      <c r="BM60" s="64"/>
      <c r="BN60" s="65"/>
      <c r="BO60" s="64">
        <f t="shared" si="135"/>
        <v>7012</v>
      </c>
      <c r="BP60" s="65">
        <f t="shared" si="136"/>
        <v>0.25985061554245392</v>
      </c>
      <c r="BQ60" s="1071"/>
      <c r="BR60" s="77">
        <f t="shared" si="114"/>
        <v>39857</v>
      </c>
      <c r="BS60" s="35"/>
      <c r="BT60" s="99">
        <f>32346+2000+10000-4489</f>
        <v>39857</v>
      </c>
      <c r="BU60" s="74"/>
      <c r="BV60" s="74">
        <f t="shared" si="90"/>
        <v>141959</v>
      </c>
      <c r="BW60" s="74">
        <f t="shared" si="89"/>
        <v>438.77630373672156</v>
      </c>
      <c r="BX60" s="1098"/>
      <c r="BY60" s="298">
        <f t="shared" si="151"/>
        <v>1150</v>
      </c>
      <c r="BZ60" s="296"/>
      <c r="CA60" s="296">
        <v>1150</v>
      </c>
      <c r="CB60" s="296"/>
      <c r="CC60" s="297"/>
      <c r="CD60" s="296">
        <f t="shared" si="137"/>
        <v>5100</v>
      </c>
      <c r="CE60" s="297">
        <f t="shared" si="138"/>
        <v>0.18899574148124856</v>
      </c>
      <c r="CF60" s="1061"/>
      <c r="CH60">
        <f t="shared" si="29"/>
        <v>331256</v>
      </c>
    </row>
    <row r="61" spans="1:86">
      <c r="A61" s="30">
        <v>44009</v>
      </c>
      <c r="B61" s="32">
        <v>46612</v>
      </c>
      <c r="C61" s="1">
        <f t="shared" si="12"/>
        <v>27031347</v>
      </c>
      <c r="D61" s="91">
        <v>0</v>
      </c>
      <c r="E61" s="93">
        <f t="shared" si="23"/>
        <v>323533.87999999995</v>
      </c>
      <c r="F61" s="240">
        <f t="shared" si="117"/>
        <v>23800</v>
      </c>
      <c r="G61" s="240">
        <v>18400</v>
      </c>
      <c r="H61" s="280">
        <v>15.82</v>
      </c>
      <c r="I61" s="240">
        <v>23800</v>
      </c>
      <c r="J61" s="240">
        <f t="shared" ref="J61:J72" si="164">F61+G61-I61</f>
        <v>18400</v>
      </c>
      <c r="K61" s="280">
        <f t="shared" si="122"/>
        <v>394.7481335278469</v>
      </c>
      <c r="L61" s="240">
        <f t="shared" si="123"/>
        <v>799790</v>
      </c>
      <c r="M61" s="280">
        <f t="shared" si="124"/>
        <v>29.587500763465467</v>
      </c>
      <c r="N61" s="280">
        <f t="shared" si="125"/>
        <v>3.6228114073056776</v>
      </c>
      <c r="O61" s="1089"/>
      <c r="P61" s="1084"/>
      <c r="Q61" s="35">
        <f t="shared" si="96"/>
        <v>17345</v>
      </c>
      <c r="R61" s="35"/>
      <c r="S61" s="35">
        <v>17345</v>
      </c>
      <c r="T61" s="35"/>
      <c r="U61" s="36"/>
      <c r="V61" s="74">
        <f t="shared" si="126"/>
        <v>37933</v>
      </c>
      <c r="W61" s="36">
        <f t="shared" si="127"/>
        <v>1.4032966984590149</v>
      </c>
      <c r="X61" s="1136"/>
      <c r="Y61" s="49">
        <f t="shared" si="99"/>
        <v>322</v>
      </c>
      <c r="Z61" s="50"/>
      <c r="AA61" s="50">
        <v>322</v>
      </c>
      <c r="AB61" s="50"/>
      <c r="AC61" s="51"/>
      <c r="AD61" s="50">
        <f t="shared" si="128"/>
        <v>10821</v>
      </c>
      <c r="AE61" s="51">
        <f t="shared" si="129"/>
        <v>0.40031301436809641</v>
      </c>
      <c r="AF61" s="1047"/>
      <c r="AG61" s="40">
        <f t="shared" si="102"/>
        <v>686</v>
      </c>
      <c r="AH61" s="41"/>
      <c r="AI61" s="41">
        <v>686</v>
      </c>
      <c r="AJ61" s="41"/>
      <c r="AK61" s="42"/>
      <c r="AL61" s="41">
        <f t="shared" si="131"/>
        <v>4697</v>
      </c>
      <c r="AM61" s="42">
        <f t="shared" si="132"/>
        <v>0.17376122617936871</v>
      </c>
      <c r="AN61" s="1058"/>
      <c r="AO61" s="67"/>
      <c r="AP61" s="67">
        <v>24</v>
      </c>
      <c r="AQ61" s="68"/>
      <c r="AR61" s="68"/>
      <c r="AS61" s="69">
        <f t="shared" si="160"/>
        <v>2922.6540000000009</v>
      </c>
      <c r="AT61" s="140">
        <f t="shared" si="161"/>
        <v>9.0335330568780048</v>
      </c>
      <c r="AU61" s="1073"/>
      <c r="AV61" s="70"/>
      <c r="AW61" s="71">
        <v>12</v>
      </c>
      <c r="AX61" s="72"/>
      <c r="AY61" s="72"/>
      <c r="AZ61" s="73">
        <f t="shared" si="162"/>
        <v>988.40114399999982</v>
      </c>
      <c r="BA61" s="192">
        <f t="shared" si="163"/>
        <v>3.0550158889078327</v>
      </c>
      <c r="BB61" s="1075"/>
      <c r="BC61" s="90">
        <f t="shared" si="108"/>
        <v>33068</v>
      </c>
      <c r="BD61" s="59"/>
      <c r="BE61" s="56">
        <v>33068</v>
      </c>
      <c r="BF61" s="56"/>
      <c r="BG61" s="58">
        <f t="shared" si="133"/>
        <v>17867</v>
      </c>
      <c r="BH61" s="58">
        <f t="shared" si="134"/>
        <v>55.224510026585172</v>
      </c>
      <c r="BI61" s="1133"/>
      <c r="BJ61" s="64">
        <f t="shared" si="111"/>
        <v>976</v>
      </c>
      <c r="BK61" s="64"/>
      <c r="BL61" s="64">
        <v>976</v>
      </c>
      <c r="BM61" s="64"/>
      <c r="BN61" s="65"/>
      <c r="BO61" s="64">
        <f t="shared" si="135"/>
        <v>7012</v>
      </c>
      <c r="BP61" s="65">
        <f t="shared" si="136"/>
        <v>0.25940253735783125</v>
      </c>
      <c r="BQ61" s="1071"/>
      <c r="BR61" s="77">
        <f t="shared" si="114"/>
        <v>39857</v>
      </c>
      <c r="BS61" s="35"/>
      <c r="BT61" s="99">
        <f>32346+2000+10000-4489</f>
        <v>39857</v>
      </c>
      <c r="BU61" s="74"/>
      <c r="BV61" s="74">
        <f t="shared" si="90"/>
        <v>141959</v>
      </c>
      <c r="BW61" s="74">
        <f t="shared" si="89"/>
        <v>438.77630373672156</v>
      </c>
      <c r="BX61" s="1098"/>
      <c r="BY61" s="298">
        <f t="shared" si="151"/>
        <v>1150</v>
      </c>
      <c r="BZ61" s="296"/>
      <c r="CA61" s="296">
        <v>1150</v>
      </c>
      <c r="CB61" s="296"/>
      <c r="CC61" s="297"/>
      <c r="CD61" s="296">
        <f t="shared" si="137"/>
        <v>5100</v>
      </c>
      <c r="CE61" s="297">
        <f t="shared" si="138"/>
        <v>0.18866984320093261</v>
      </c>
      <c r="CF61" s="1061"/>
      <c r="CH61">
        <f t="shared" si="29"/>
        <v>622281</v>
      </c>
    </row>
    <row r="62" spans="1:86">
      <c r="A62" s="30">
        <v>44010</v>
      </c>
      <c r="B62" s="32">
        <v>0</v>
      </c>
      <c r="C62" s="1">
        <f t="shared" si="12"/>
        <v>27031347</v>
      </c>
      <c r="D62" s="91">
        <v>0</v>
      </c>
      <c r="E62" s="93">
        <f t="shared" si="23"/>
        <v>323533.87999999995</v>
      </c>
      <c r="F62" s="240">
        <f t="shared" si="117"/>
        <v>23800</v>
      </c>
      <c r="G62" s="240"/>
      <c r="H62" s="280"/>
      <c r="I62" s="240">
        <v>23800</v>
      </c>
      <c r="J62" s="240"/>
      <c r="K62" s="280"/>
      <c r="L62" s="240">
        <f t="shared" si="123"/>
        <v>799790</v>
      </c>
      <c r="M62" s="280">
        <f t="shared" si="124"/>
        <v>29.587500763465467</v>
      </c>
      <c r="N62" s="280">
        <f t="shared" si="125"/>
        <v>3.6228114073056776</v>
      </c>
      <c r="O62" s="1089"/>
      <c r="P62" s="1084"/>
      <c r="Q62" s="35">
        <f t="shared" si="96"/>
        <v>17345</v>
      </c>
      <c r="R62" s="35"/>
      <c r="S62" s="35">
        <v>17345</v>
      </c>
      <c r="T62" s="35"/>
      <c r="U62" s="36"/>
      <c r="V62" s="74">
        <f t="shared" si="126"/>
        <v>37933</v>
      </c>
      <c r="W62" s="36">
        <f t="shared" si="127"/>
        <v>1.4032966984590149</v>
      </c>
      <c r="X62" s="1136"/>
      <c r="Y62" s="49">
        <f t="shared" si="99"/>
        <v>322</v>
      </c>
      <c r="Z62" s="50"/>
      <c r="AA62" s="50">
        <v>322</v>
      </c>
      <c r="AB62" s="50"/>
      <c r="AC62" s="51"/>
      <c r="AD62" s="50">
        <f t="shared" si="128"/>
        <v>10821</v>
      </c>
      <c r="AE62" s="51">
        <f t="shared" si="129"/>
        <v>0.40031301436809641</v>
      </c>
      <c r="AF62" s="1047"/>
      <c r="AG62" s="40">
        <f t="shared" si="102"/>
        <v>686</v>
      </c>
      <c r="AH62" s="41"/>
      <c r="AI62" s="41">
        <v>686</v>
      </c>
      <c r="AJ62" s="41"/>
      <c r="AK62" s="42"/>
      <c r="AL62" s="41">
        <f t="shared" si="131"/>
        <v>4697</v>
      </c>
      <c r="AM62" s="42">
        <f t="shared" si="132"/>
        <v>0.17376122617936871</v>
      </c>
      <c r="AN62" s="1058"/>
      <c r="AO62" s="67"/>
      <c r="AP62" s="67">
        <v>24</v>
      </c>
      <c r="AQ62" s="68"/>
      <c r="AR62" s="68"/>
      <c r="AS62" s="69">
        <f t="shared" si="160"/>
        <v>2922.6540000000009</v>
      </c>
      <c r="AT62" s="140">
        <f t="shared" si="161"/>
        <v>9.0335330568780048</v>
      </c>
      <c r="AU62" s="1073"/>
      <c r="AV62" s="70"/>
      <c r="AW62" s="71">
        <v>12</v>
      </c>
      <c r="AX62" s="72"/>
      <c r="AY62" s="72"/>
      <c r="AZ62" s="73">
        <f t="shared" si="162"/>
        <v>988.40114399999982</v>
      </c>
      <c r="BA62" s="192">
        <f t="shared" si="163"/>
        <v>3.0550158889078327</v>
      </c>
      <c r="BB62" s="1075"/>
      <c r="BC62" s="90">
        <f t="shared" si="108"/>
        <v>33068</v>
      </c>
      <c r="BD62" s="59"/>
      <c r="BE62" s="56">
        <v>33068</v>
      </c>
      <c r="BF62" s="56"/>
      <c r="BG62" s="58">
        <f t="shared" si="133"/>
        <v>17867</v>
      </c>
      <c r="BH62" s="58">
        <f t="shared" si="134"/>
        <v>55.224510026585172</v>
      </c>
      <c r="BI62" s="1133"/>
      <c r="BJ62" s="64">
        <f t="shared" si="111"/>
        <v>976</v>
      </c>
      <c r="BK62" s="64"/>
      <c r="BL62" s="64">
        <v>976</v>
      </c>
      <c r="BM62" s="64"/>
      <c r="BN62" s="65"/>
      <c r="BO62" s="64">
        <f t="shared" si="135"/>
        <v>7012</v>
      </c>
      <c r="BP62" s="65">
        <f t="shared" si="136"/>
        <v>0.25940253735783125</v>
      </c>
      <c r="BQ62" s="1071"/>
      <c r="BR62" s="77">
        <f t="shared" si="114"/>
        <v>39857</v>
      </c>
      <c r="BS62" s="35">
        <v>36480</v>
      </c>
      <c r="BT62" s="35">
        <f>55203+11000+10000+134</f>
        <v>76337</v>
      </c>
      <c r="BU62" s="74"/>
      <c r="BV62" s="74">
        <f t="shared" si="90"/>
        <v>141959</v>
      </c>
      <c r="BW62" s="74">
        <f t="shared" si="89"/>
        <v>438.77630373672156</v>
      </c>
      <c r="BX62" s="1098"/>
      <c r="BY62" s="298">
        <f t="shared" si="151"/>
        <v>1150</v>
      </c>
      <c r="BZ62" s="296"/>
      <c r="CA62" s="296">
        <v>1150</v>
      </c>
      <c r="CB62" s="296"/>
      <c r="CC62" s="297"/>
      <c r="CD62" s="296">
        <f t="shared" si="137"/>
        <v>5100</v>
      </c>
      <c r="CE62" s="297">
        <f t="shared" si="138"/>
        <v>0.18866984320093261</v>
      </c>
      <c r="CF62" s="1061"/>
      <c r="CH62">
        <f t="shared" si="29"/>
        <v>0</v>
      </c>
    </row>
    <row r="63" spans="1:86">
      <c r="A63" s="30">
        <v>44011</v>
      </c>
      <c r="B63" s="32">
        <v>0</v>
      </c>
      <c r="C63" s="1">
        <f t="shared" si="12"/>
        <v>27031347</v>
      </c>
      <c r="D63" s="91">
        <v>0</v>
      </c>
      <c r="E63" s="93">
        <f t="shared" si="23"/>
        <v>323533.87999999995</v>
      </c>
      <c r="F63" s="240">
        <f t="shared" si="117"/>
        <v>23800</v>
      </c>
      <c r="G63" s="240"/>
      <c r="H63" s="280"/>
      <c r="I63" s="240">
        <v>23800</v>
      </c>
      <c r="J63" s="240"/>
      <c r="K63" s="280"/>
      <c r="L63" s="240">
        <f t="shared" si="123"/>
        <v>799790</v>
      </c>
      <c r="M63" s="280">
        <f t="shared" si="124"/>
        <v>29.587500763465467</v>
      </c>
      <c r="N63" s="280">
        <f t="shared" si="125"/>
        <v>3.6228114073056776</v>
      </c>
      <c r="O63" s="1089"/>
      <c r="P63" s="1084"/>
      <c r="Q63" s="35">
        <f>S62</f>
        <v>17345</v>
      </c>
      <c r="R63" s="35"/>
      <c r="S63" s="35">
        <v>17345</v>
      </c>
      <c r="T63" s="35"/>
      <c r="U63" s="36"/>
      <c r="V63" s="74">
        <f t="shared" si="126"/>
        <v>37933</v>
      </c>
      <c r="W63" s="36">
        <f t="shared" si="127"/>
        <v>1.4032966984590149</v>
      </c>
      <c r="X63" s="1136"/>
      <c r="Y63" s="49">
        <f>AA62</f>
        <v>322</v>
      </c>
      <c r="Z63" s="50"/>
      <c r="AA63" s="50">
        <v>322</v>
      </c>
      <c r="AB63" s="50"/>
      <c r="AC63" s="51"/>
      <c r="AD63" s="50">
        <f t="shared" si="128"/>
        <v>10821</v>
      </c>
      <c r="AE63" s="51">
        <f t="shared" si="129"/>
        <v>0.40031301436809641</v>
      </c>
      <c r="AF63" s="1047"/>
      <c r="AG63" s="40">
        <f>AI62</f>
        <v>686</v>
      </c>
      <c r="AH63" s="41"/>
      <c r="AI63" s="41">
        <v>686</v>
      </c>
      <c r="AJ63" s="41"/>
      <c r="AK63" s="42"/>
      <c r="AL63" s="41">
        <f t="shared" si="131"/>
        <v>4697</v>
      </c>
      <c r="AM63" s="42">
        <f t="shared" si="132"/>
        <v>0.17376122617936871</v>
      </c>
      <c r="AN63" s="1058"/>
      <c r="AO63" s="67"/>
      <c r="AP63" s="67">
        <v>24</v>
      </c>
      <c r="AQ63" s="68"/>
      <c r="AR63" s="68"/>
      <c r="AS63" s="69">
        <f t="shared" si="160"/>
        <v>2922.6540000000009</v>
      </c>
      <c r="AT63" s="140">
        <f t="shared" si="161"/>
        <v>9.0335330568780048</v>
      </c>
      <c r="AU63" s="1073"/>
      <c r="AV63" s="70"/>
      <c r="AW63" s="71">
        <v>12</v>
      </c>
      <c r="AX63" s="72"/>
      <c r="AY63" s="72"/>
      <c r="AZ63" s="73">
        <f t="shared" si="162"/>
        <v>988.40114399999982</v>
      </c>
      <c r="BA63" s="192">
        <f t="shared" si="163"/>
        <v>3.0550158889078327</v>
      </c>
      <c r="BB63" s="1075"/>
      <c r="BC63" s="90">
        <f t="shared" si="108"/>
        <v>33068</v>
      </c>
      <c r="BD63" s="59"/>
      <c r="BE63" s="56">
        <v>33068</v>
      </c>
      <c r="BF63" s="56"/>
      <c r="BG63" s="58">
        <f t="shared" si="133"/>
        <v>17867</v>
      </c>
      <c r="BH63" s="58">
        <f t="shared" si="134"/>
        <v>55.224510026585172</v>
      </c>
      <c r="BI63" s="1133"/>
      <c r="BJ63" s="64">
        <f t="shared" si="111"/>
        <v>976</v>
      </c>
      <c r="BK63" s="64"/>
      <c r="BL63" s="64">
        <v>976</v>
      </c>
      <c r="BM63" s="64"/>
      <c r="BN63" s="65"/>
      <c r="BO63" s="64">
        <f t="shared" si="135"/>
        <v>7012</v>
      </c>
      <c r="BP63" s="65">
        <f t="shared" si="136"/>
        <v>0.25940253735783125</v>
      </c>
      <c r="BQ63" s="1071"/>
      <c r="BR63" s="77">
        <f t="shared" si="114"/>
        <v>76337</v>
      </c>
      <c r="BS63" s="35"/>
      <c r="BT63" s="35">
        <f>55203+11000+10000+134</f>
        <v>76337</v>
      </c>
      <c r="BU63" s="74"/>
      <c r="BV63" s="74">
        <f t="shared" si="90"/>
        <v>141959</v>
      </c>
      <c r="BW63" s="74">
        <f t="shared" si="89"/>
        <v>438.77630373672156</v>
      </c>
      <c r="BX63" s="1098"/>
      <c r="BY63" s="298">
        <f t="shared" si="151"/>
        <v>1150</v>
      </c>
      <c r="BZ63" s="296"/>
      <c r="CA63" s="296">
        <v>1150</v>
      </c>
      <c r="CB63" s="296"/>
      <c r="CC63" s="297"/>
      <c r="CD63" s="296">
        <f t="shared" si="137"/>
        <v>5100</v>
      </c>
      <c r="CE63" s="297">
        <f t="shared" si="138"/>
        <v>0.18866984320093261</v>
      </c>
      <c r="CF63" s="1061"/>
      <c r="CH63">
        <f t="shared" si="29"/>
        <v>291088</v>
      </c>
    </row>
    <row r="64" spans="1:86" ht="15.75" thickBot="1">
      <c r="A64" s="30">
        <v>44012</v>
      </c>
      <c r="B64" s="109">
        <v>0</v>
      </c>
      <c r="C64" s="78">
        <f>C63+B64</f>
        <v>27031347</v>
      </c>
      <c r="D64" s="110">
        <v>0</v>
      </c>
      <c r="E64" s="94">
        <f>E63+D64</f>
        <v>323533.87999999995</v>
      </c>
      <c r="F64" s="240">
        <f>I63</f>
        <v>23800</v>
      </c>
      <c r="G64" s="231"/>
      <c r="H64" s="230"/>
      <c r="I64" s="231">
        <v>23800</v>
      </c>
      <c r="J64" s="231"/>
      <c r="K64" s="230"/>
      <c r="L64" s="231">
        <f t="shared" si="123"/>
        <v>799790</v>
      </c>
      <c r="M64" s="230">
        <f t="shared" si="124"/>
        <v>29.587500763465467</v>
      </c>
      <c r="N64" s="230">
        <f t="shared" si="125"/>
        <v>3.6228114073056776</v>
      </c>
      <c r="O64" s="1090"/>
      <c r="P64" s="1085"/>
      <c r="Q64" s="35">
        <f>S63</f>
        <v>17345</v>
      </c>
      <c r="R64" s="76"/>
      <c r="S64" s="76">
        <v>17345</v>
      </c>
      <c r="T64" s="76"/>
      <c r="U64" s="80"/>
      <c r="V64" s="81">
        <f t="shared" si="126"/>
        <v>37933</v>
      </c>
      <c r="W64" s="80">
        <f t="shared" si="127"/>
        <v>1.4032966984590149</v>
      </c>
      <c r="X64" s="1137"/>
      <c r="Y64" s="49">
        <f>AA63</f>
        <v>322</v>
      </c>
      <c r="Z64" s="82"/>
      <c r="AA64" s="82">
        <v>322</v>
      </c>
      <c r="AB64" s="82"/>
      <c r="AC64" s="84"/>
      <c r="AD64" s="82">
        <f t="shared" si="128"/>
        <v>10821</v>
      </c>
      <c r="AE64" s="84">
        <f t="shared" si="129"/>
        <v>0.40031301436809641</v>
      </c>
      <c r="AF64" s="1048"/>
      <c r="AG64" s="40">
        <f>AI63</f>
        <v>686</v>
      </c>
      <c r="AH64" s="96"/>
      <c r="AI64" s="96">
        <v>686</v>
      </c>
      <c r="AJ64" s="41"/>
      <c r="AK64" s="42"/>
      <c r="AL64" s="96">
        <f t="shared" si="131"/>
        <v>4697</v>
      </c>
      <c r="AM64" s="97">
        <f t="shared" si="132"/>
        <v>0.17376122617936871</v>
      </c>
      <c r="AN64" s="1059"/>
      <c r="AO64" s="310"/>
      <c r="AP64" s="101">
        <v>24</v>
      </c>
      <c r="AQ64" s="111"/>
      <c r="AR64" s="111"/>
      <c r="AS64" s="69">
        <f t="shared" si="160"/>
        <v>2922.6540000000009</v>
      </c>
      <c r="AT64" s="140">
        <f t="shared" si="161"/>
        <v>9.0335330568780048</v>
      </c>
      <c r="AU64" s="1074"/>
      <c r="AV64" s="113"/>
      <c r="AW64" s="104">
        <v>12</v>
      </c>
      <c r="AX64" s="105"/>
      <c r="AY64" s="105"/>
      <c r="AZ64" s="73">
        <f t="shared" si="162"/>
        <v>988.40114399999982</v>
      </c>
      <c r="BA64" s="192">
        <f t="shared" si="163"/>
        <v>3.0550158889078327</v>
      </c>
      <c r="BB64" s="1076"/>
      <c r="BC64" s="90">
        <f>BE63</f>
        <v>33068</v>
      </c>
      <c r="BD64" s="100"/>
      <c r="BE64" s="88">
        <v>33068</v>
      </c>
      <c r="BF64" s="88"/>
      <c r="BG64" s="89">
        <f t="shared" si="133"/>
        <v>17867</v>
      </c>
      <c r="BH64" s="89">
        <f t="shared" si="134"/>
        <v>55.224510026585172</v>
      </c>
      <c r="BI64" s="1134"/>
      <c r="BJ64" s="207">
        <f>BL63</f>
        <v>976</v>
      </c>
      <c r="BK64" s="85"/>
      <c r="BL64" s="85">
        <v>976</v>
      </c>
      <c r="BM64" s="85"/>
      <c r="BN64" s="86"/>
      <c r="BO64" s="85">
        <f t="shared" si="135"/>
        <v>7012</v>
      </c>
      <c r="BP64" s="86">
        <f t="shared" si="136"/>
        <v>0.25940253735783125</v>
      </c>
      <c r="BQ64" s="1072"/>
      <c r="BR64" s="77">
        <f>BT63</f>
        <v>76337</v>
      </c>
      <c r="BS64" s="76"/>
      <c r="BT64" s="76">
        <v>76337</v>
      </c>
      <c r="BU64" s="35"/>
      <c r="BV64" s="74">
        <f t="shared" si="90"/>
        <v>141959</v>
      </c>
      <c r="BW64" s="74">
        <f t="shared" si="89"/>
        <v>438.77630373672156</v>
      </c>
      <c r="BX64" s="1099"/>
      <c r="BY64" s="296">
        <f>CA63</f>
        <v>1150</v>
      </c>
      <c r="BZ64" s="299"/>
      <c r="CA64" s="299">
        <v>1150</v>
      </c>
      <c r="CB64" s="299"/>
      <c r="CC64" s="300"/>
      <c r="CD64" s="299">
        <f t="shared" si="137"/>
        <v>5100</v>
      </c>
      <c r="CE64" s="300">
        <f t="shared" si="138"/>
        <v>0.18866984320093261</v>
      </c>
      <c r="CF64" s="1062"/>
      <c r="CH64">
        <f t="shared" si="29"/>
        <v>0</v>
      </c>
    </row>
    <row r="65" spans="1:86">
      <c r="A65" s="30">
        <v>44013</v>
      </c>
      <c r="B65" s="265">
        <v>0</v>
      </c>
      <c r="C65" s="217">
        <f>C64+B65</f>
        <v>27031347</v>
      </c>
      <c r="D65" s="91">
        <v>0</v>
      </c>
      <c r="E65" s="205">
        <f>E64+D65</f>
        <v>323533.87999999995</v>
      </c>
      <c r="F65" s="242">
        <f>I64</f>
        <v>23800</v>
      </c>
      <c r="G65" s="240"/>
      <c r="H65" s="280"/>
      <c r="I65" s="240">
        <v>23800</v>
      </c>
      <c r="J65" s="241"/>
      <c r="K65" s="313"/>
      <c r="L65" s="241">
        <f t="shared" si="123"/>
        <v>799790</v>
      </c>
      <c r="M65" s="313">
        <f t="shared" si="124"/>
        <v>29.587500763465467</v>
      </c>
      <c r="N65" s="313">
        <f t="shared" si="125"/>
        <v>3.6228114073056776</v>
      </c>
      <c r="O65" s="1052">
        <f>1000*SUM(J65:J95)/SUM(B65:B95)</f>
        <v>33.399877016829841</v>
      </c>
      <c r="P65" s="1083">
        <f>O65/8.167</f>
        <v>4.0896139361858506</v>
      </c>
      <c r="Q65" s="117">
        <f>S64</f>
        <v>17345</v>
      </c>
      <c r="R65" s="118"/>
      <c r="S65" s="35">
        <v>17345</v>
      </c>
      <c r="T65" s="35"/>
      <c r="U65" s="36"/>
      <c r="V65" s="74">
        <f t="shared" si="126"/>
        <v>37933</v>
      </c>
      <c r="W65" s="36">
        <f t="shared" si="127"/>
        <v>1.4032966984590149</v>
      </c>
      <c r="X65" s="1135">
        <f>1000*SUM(T65:T95)/SUM(B65:B95)</f>
        <v>1.1022970220305761</v>
      </c>
      <c r="Y65" s="121">
        <f>AA64</f>
        <v>322</v>
      </c>
      <c r="Z65" s="122"/>
      <c r="AA65" s="50">
        <v>322</v>
      </c>
      <c r="AB65" s="50"/>
      <c r="AC65" s="51"/>
      <c r="AD65" s="50">
        <f t="shared" si="128"/>
        <v>10821</v>
      </c>
      <c r="AE65" s="51">
        <f t="shared" si="129"/>
        <v>0.40031301436809641</v>
      </c>
      <c r="AF65" s="1046">
        <f>1000*SUM(AB65:AB95)/SUM(B65:B95)</f>
        <v>0.40391757886500834</v>
      </c>
      <c r="AG65" s="124">
        <f>AI64</f>
        <v>686</v>
      </c>
      <c r="AH65" s="125"/>
      <c r="AI65" s="41">
        <v>686</v>
      </c>
      <c r="AJ65" s="125"/>
      <c r="AK65" s="126"/>
      <c r="AL65" s="41">
        <f t="shared" si="131"/>
        <v>4697</v>
      </c>
      <c r="AM65" s="42">
        <f t="shared" si="132"/>
        <v>0.17376122617936871</v>
      </c>
      <c r="AN65" s="1057">
        <f>1000*SUM(AJ65:AJ95)/SUM(B65:B95)</f>
        <v>0.18789416331300904</v>
      </c>
      <c r="AO65" s="135"/>
      <c r="AP65" s="135">
        <v>24</v>
      </c>
      <c r="AQ65" s="102"/>
      <c r="AR65" s="102"/>
      <c r="AS65" s="103">
        <f t="shared" si="160"/>
        <v>2922.6540000000009</v>
      </c>
      <c r="AT65" s="136">
        <f t="shared" si="161"/>
        <v>9.0335330568780048</v>
      </c>
      <c r="AU65" s="1064">
        <f>1000*SUM(AQ65:AQ95)/SUM(D65:D95)</f>
        <v>10.719453449003996</v>
      </c>
      <c r="AV65" s="137"/>
      <c r="AW65" s="137">
        <v>12</v>
      </c>
      <c r="AX65" s="138"/>
      <c r="AY65" s="138"/>
      <c r="AZ65" s="139">
        <f t="shared" si="162"/>
        <v>988.40114399999982</v>
      </c>
      <c r="BA65" s="194">
        <f t="shared" si="163"/>
        <v>3.0550158889078327</v>
      </c>
      <c r="BB65" s="1065">
        <f>1000*SUM(AX65:AX95)/SUM(D65:D95)</f>
        <v>3.2119484117381063</v>
      </c>
      <c r="BC65" s="127">
        <f>BE64</f>
        <v>33068</v>
      </c>
      <c r="BD65" s="128"/>
      <c r="BE65" s="56">
        <v>33068</v>
      </c>
      <c r="BF65" s="56"/>
      <c r="BG65" s="58">
        <f t="shared" si="133"/>
        <v>17867</v>
      </c>
      <c r="BH65" s="58">
        <f t="shared" si="134"/>
        <v>55.224510026585172</v>
      </c>
      <c r="BI65" s="1132">
        <f>1000*SUM(BF65:BF95)/SUM(D65:D95)</f>
        <v>51.964746810884932</v>
      </c>
      <c r="BJ65" s="64">
        <f>BL64</f>
        <v>976</v>
      </c>
      <c r="BK65" s="64"/>
      <c r="BL65" s="64">
        <v>976</v>
      </c>
      <c r="BM65" s="64"/>
      <c r="BN65" s="65"/>
      <c r="BO65" s="64">
        <f t="shared" si="135"/>
        <v>7012</v>
      </c>
      <c r="BP65" s="65">
        <f t="shared" si="136"/>
        <v>0.25940253735783125</v>
      </c>
      <c r="BQ65" s="1067">
        <f>1000*SUM(BM65:BM95)/SUM(B65:B95)</f>
        <v>0.37203390897605015</v>
      </c>
      <c r="BR65" s="117">
        <f>BT64</f>
        <v>76337</v>
      </c>
      <c r="BS65" s="315"/>
      <c r="BT65" s="35">
        <v>76337</v>
      </c>
      <c r="BU65" s="118"/>
      <c r="BV65" s="120">
        <f t="shared" si="90"/>
        <v>141959</v>
      </c>
      <c r="BW65" s="120">
        <f t="shared" si="89"/>
        <v>438.77630373672156</v>
      </c>
      <c r="BX65" s="1063">
        <f>1000*SUM(BU65:BU95)/SUM(D65:D95)</f>
        <v>455.4775496548404</v>
      </c>
      <c r="BY65" s="301">
        <f>CA64</f>
        <v>1150</v>
      </c>
      <c r="BZ65" s="302"/>
      <c r="CA65" s="314">
        <v>1150</v>
      </c>
      <c r="CB65" s="302"/>
      <c r="CC65" s="304"/>
      <c r="CD65" s="296">
        <f t="shared" si="137"/>
        <v>5100</v>
      </c>
      <c r="CE65" s="297">
        <f t="shared" si="138"/>
        <v>0.18866984320093261</v>
      </c>
      <c r="CF65" s="1060">
        <f>1000*SUM(CB65:CB95)/SUM(B65:B95)</f>
        <v>0</v>
      </c>
      <c r="CH65">
        <f t="shared" si="29"/>
        <v>0</v>
      </c>
    </row>
    <row r="66" spans="1:86">
      <c r="A66" s="30">
        <v>44014</v>
      </c>
      <c r="B66" s="265">
        <v>104259</v>
      </c>
      <c r="C66" s="114">
        <f>C65+B66</f>
        <v>27135606</v>
      </c>
      <c r="D66" s="91">
        <v>4335.8599999999997</v>
      </c>
      <c r="E66" s="93">
        <f>E65+D66</f>
        <v>327869.73999999993</v>
      </c>
      <c r="F66" s="243">
        <f>I65</f>
        <v>23800</v>
      </c>
      <c r="G66" s="240"/>
      <c r="H66" s="280"/>
      <c r="I66" s="240">
        <v>23800</v>
      </c>
      <c r="J66" s="240"/>
      <c r="K66" s="280"/>
      <c r="L66" s="240">
        <f t="shared" si="123"/>
        <v>799790</v>
      </c>
      <c r="M66" s="280">
        <f t="shared" si="124"/>
        <v>29.473821222197877</v>
      </c>
      <c r="N66" s="280">
        <f t="shared" si="125"/>
        <v>3.6088920316147761</v>
      </c>
      <c r="O66" s="1089"/>
      <c r="P66" s="1084"/>
      <c r="Q66" s="77">
        <f>S65</f>
        <v>17345</v>
      </c>
      <c r="R66" s="35">
        <v>37350</v>
      </c>
      <c r="S66" s="35">
        <f>54387+308</f>
        <v>54695</v>
      </c>
      <c r="T66" s="35"/>
      <c r="U66" s="36"/>
      <c r="V66" s="74">
        <f t="shared" si="126"/>
        <v>37933</v>
      </c>
      <c r="W66" s="36">
        <f t="shared" si="127"/>
        <v>1.3979050255962591</v>
      </c>
      <c r="X66" s="1136"/>
      <c r="Y66" s="49">
        <f>AA65</f>
        <v>322</v>
      </c>
      <c r="Z66" s="50"/>
      <c r="AA66" s="50">
        <f>74+50</f>
        <v>124</v>
      </c>
      <c r="AB66" s="50">
        <f>Y66+Z66-AA66</f>
        <v>198</v>
      </c>
      <c r="AC66" s="51">
        <f>AB66*1000/B66</f>
        <v>1.8991166230253502</v>
      </c>
      <c r="AD66" s="50">
        <f t="shared" si="128"/>
        <v>11019</v>
      </c>
      <c r="AE66" s="51">
        <f t="shared" si="129"/>
        <v>0.40607163886444991</v>
      </c>
      <c r="AF66" s="1047"/>
      <c r="AG66" s="40">
        <f>AI65</f>
        <v>686</v>
      </c>
      <c r="AH66" s="41"/>
      <c r="AI66" s="41">
        <v>626</v>
      </c>
      <c r="AJ66" s="41">
        <f>AG66+AH66-AI66</f>
        <v>60</v>
      </c>
      <c r="AK66" s="42">
        <f>AJ66*1000/B66</f>
        <v>0.57548988576525772</v>
      </c>
      <c r="AL66" s="41">
        <f t="shared" si="131"/>
        <v>4757</v>
      </c>
      <c r="AM66" s="42">
        <f t="shared" si="132"/>
        <v>0.17530472693331411</v>
      </c>
      <c r="AN66" s="1058"/>
      <c r="AO66" s="311">
        <v>4</v>
      </c>
      <c r="AP66" s="67">
        <v>24</v>
      </c>
      <c r="AQ66" s="68">
        <f>AO66*AP66*0.49705</f>
        <v>47.716799999999999</v>
      </c>
      <c r="AR66" s="68">
        <f>AQ66*1000/D66</f>
        <v>11.005152380381285</v>
      </c>
      <c r="AS66" s="69">
        <f t="shared" si="160"/>
        <v>2970.3708000000011</v>
      </c>
      <c r="AT66" s="140">
        <f t="shared" si="161"/>
        <v>9.0596064156454386</v>
      </c>
      <c r="AU66" s="1073"/>
      <c r="AV66" s="71">
        <v>3</v>
      </c>
      <c r="AW66" s="71">
        <v>12</v>
      </c>
      <c r="AX66" s="72">
        <f>AV66*AW66*0.51673</f>
        <v>18.60228</v>
      </c>
      <c r="AY66" s="72">
        <f>AX66*1000/D66</f>
        <v>4.2903322524251246</v>
      </c>
      <c r="AZ66" s="73">
        <f t="shared" si="162"/>
        <v>1007.0034239999998</v>
      </c>
      <c r="BA66" s="192">
        <f t="shared" si="163"/>
        <v>3.0713521290497865</v>
      </c>
      <c r="BB66" s="1075"/>
      <c r="BC66" s="90">
        <f>BE65</f>
        <v>33068</v>
      </c>
      <c r="BD66" s="59"/>
      <c r="BE66" s="56">
        <v>28810</v>
      </c>
      <c r="BF66" s="359">
        <f>BC66-BE66+BD66</f>
        <v>4258</v>
      </c>
      <c r="BG66" s="58">
        <f t="shared" si="133"/>
        <v>22125</v>
      </c>
      <c r="BH66" s="58">
        <f t="shared" si="134"/>
        <v>67.481067328750754</v>
      </c>
      <c r="BI66" s="1133"/>
      <c r="BJ66" s="64">
        <f>BL65</f>
        <v>976</v>
      </c>
      <c r="BK66" s="64"/>
      <c r="BL66" s="64">
        <v>976</v>
      </c>
      <c r="BM66" s="64"/>
      <c r="BN66" s="65"/>
      <c r="BO66" s="64">
        <f t="shared" si="135"/>
        <v>7012</v>
      </c>
      <c r="BP66" s="65">
        <f t="shared" si="136"/>
        <v>0.25840587455463498</v>
      </c>
      <c r="BQ66" s="1071"/>
      <c r="BR66" s="77">
        <f>BT65</f>
        <v>76337</v>
      </c>
      <c r="BS66" s="35"/>
      <c r="BT66" s="35">
        <v>76337</v>
      </c>
      <c r="BU66" s="35"/>
      <c r="BV66" s="74">
        <f t="shared" si="90"/>
        <v>141959</v>
      </c>
      <c r="BW66" s="74">
        <f t="shared" si="89"/>
        <v>432.97377793998322</v>
      </c>
      <c r="BX66" s="1098"/>
      <c r="BY66" s="295">
        <f>CA65</f>
        <v>1150</v>
      </c>
      <c r="BZ66" s="296"/>
      <c r="CA66" s="296">
        <v>1150</v>
      </c>
      <c r="CB66" s="296"/>
      <c r="CC66" s="297"/>
      <c r="CD66" s="296">
        <f t="shared" si="137"/>
        <v>5100</v>
      </c>
      <c r="CE66" s="297">
        <f t="shared" si="138"/>
        <v>0.1879449458397944</v>
      </c>
      <c r="CF66" s="1061"/>
      <c r="CH66">
        <f t="shared" si="29"/>
        <v>0</v>
      </c>
    </row>
    <row r="67" spans="1:86">
      <c r="A67" s="30">
        <v>44015</v>
      </c>
      <c r="B67" s="265">
        <v>574968</v>
      </c>
      <c r="C67" s="114">
        <f t="shared" ref="C67:C130" si="165">C66+B67</f>
        <v>27710574</v>
      </c>
      <c r="D67" s="91">
        <v>5526.64</v>
      </c>
      <c r="E67" s="93">
        <f t="shared" ref="E67:E130" si="166">E66+D67</f>
        <v>333396.37999999995</v>
      </c>
      <c r="F67" s="243">
        <f t="shared" ref="F67:F95" si="167">I66</f>
        <v>23800</v>
      </c>
      <c r="G67" s="240">
        <v>27750</v>
      </c>
      <c r="H67" s="280">
        <v>19.11</v>
      </c>
      <c r="I67" s="240">
        <f>26400+14660</f>
        <v>41060</v>
      </c>
      <c r="J67" s="240">
        <f t="shared" si="164"/>
        <v>10490</v>
      </c>
      <c r="K67" s="280">
        <f t="shared" ref="K67:K72" si="168">J67*1000/B67</f>
        <v>18.244493606600717</v>
      </c>
      <c r="L67" s="240">
        <f t="shared" ref="L67:L72" si="169">L66+J67</f>
        <v>810280</v>
      </c>
      <c r="M67" s="280">
        <f t="shared" ref="M67:M72" si="170">L67*1000/C67</f>
        <v>29.240823376664807</v>
      </c>
      <c r="N67" s="280">
        <f t="shared" ref="N67:N72" si="171">M67/8.167</f>
        <v>3.5803628476386442</v>
      </c>
      <c r="O67" s="1089"/>
      <c r="P67" s="1084"/>
      <c r="Q67" s="77">
        <f t="shared" ref="Q67:Q95" si="172">S66</f>
        <v>54695</v>
      </c>
      <c r="R67" s="35"/>
      <c r="S67" s="35">
        <f t="shared" ref="S67:S73" si="173">54387+308</f>
        <v>54695</v>
      </c>
      <c r="T67" s="35"/>
      <c r="U67" s="36"/>
      <c r="V67" s="74">
        <f t="shared" ref="V67:V72" si="174">V66+T67</f>
        <v>37933</v>
      </c>
      <c r="W67" s="36">
        <f t="shared" ref="W67:W72" si="175">1000*V67/C67</f>
        <v>1.3688998286358125</v>
      </c>
      <c r="X67" s="1136"/>
      <c r="Y67" s="49">
        <f t="shared" ref="Y67:Y95" si="176">AA66</f>
        <v>124</v>
      </c>
      <c r="Z67" s="50">
        <v>900</v>
      </c>
      <c r="AA67" s="50">
        <f>797+75</f>
        <v>872</v>
      </c>
      <c r="AB67" s="50">
        <f>Y67+Z67-AA67+100</f>
        <v>252</v>
      </c>
      <c r="AC67" s="51">
        <f t="shared" ref="AC67:AC72" si="177">AB67*1000/B67</f>
        <v>0.43828526109279126</v>
      </c>
      <c r="AD67" s="50">
        <f t="shared" ref="AD67:AD72" si="178">AD66+AB67</f>
        <v>11271</v>
      </c>
      <c r="AE67" s="51">
        <f t="shared" ref="AE67:AE72" si="179">AD67*1000/C67</f>
        <v>0.40674004082340554</v>
      </c>
      <c r="AF67" s="1047"/>
      <c r="AG67" s="40">
        <f t="shared" ref="AG67:AG95" si="180">AI66</f>
        <v>626</v>
      </c>
      <c r="AH67" s="41"/>
      <c r="AI67" s="41">
        <v>509</v>
      </c>
      <c r="AJ67" s="41">
        <f t="shared" ref="AJ67:AJ72" si="181">AG67+AH67-AI67</f>
        <v>117</v>
      </c>
      <c r="AK67" s="42">
        <f t="shared" ref="AK67:AK72" si="182">AJ67*1000/B67</f>
        <v>0.20348958550736737</v>
      </c>
      <c r="AL67" s="41">
        <f t="shared" ref="AL67:AL72" si="183">AL66+AJ67</f>
        <v>4874</v>
      </c>
      <c r="AM67" s="42">
        <f t="shared" ref="AM67:AM72" si="184">AL67*1000/C67</f>
        <v>0.17588953588619277</v>
      </c>
      <c r="AN67" s="1058"/>
      <c r="AO67" s="67">
        <v>8.6</v>
      </c>
      <c r="AP67" s="67">
        <v>24</v>
      </c>
      <c r="AQ67" s="68">
        <f t="shared" ref="AQ67:AQ72" si="185">AO67*AP67*0.49705</f>
        <v>102.59111999999999</v>
      </c>
      <c r="AR67" s="68">
        <f t="shared" ref="AR67:AR72" si="186">AQ67*1000/D67</f>
        <v>18.563018398158736</v>
      </c>
      <c r="AS67" s="69">
        <f t="shared" ref="AS67:AS72" si="187">AS66+AQ67</f>
        <v>3072.9619200000011</v>
      </c>
      <c r="AT67" s="140">
        <f t="shared" ref="AT67:AT72" si="188">AS67*1000/E67</f>
        <v>9.2171424296808553</v>
      </c>
      <c r="AU67" s="1073"/>
      <c r="AV67" s="71">
        <v>3.5</v>
      </c>
      <c r="AW67" s="71">
        <v>12</v>
      </c>
      <c r="AX67" s="72">
        <f t="shared" ref="AX67:AX73" si="189">AV67*AW67*0.51673</f>
        <v>21.702660000000002</v>
      </c>
      <c r="AY67" s="72">
        <f t="shared" ref="AY67:AY73" si="190">AX67*1000/D67</f>
        <v>3.9269176208329108</v>
      </c>
      <c r="AZ67" s="73">
        <f t="shared" ref="AZ67:AZ73" si="191">AZ66+AX67</f>
        <v>1028.7060839999997</v>
      </c>
      <c r="BA67" s="192">
        <f t="shared" ref="BA67:BA73" si="192">AZ67*1000/E67</f>
        <v>3.0855346539755466</v>
      </c>
      <c r="BB67" s="1075"/>
      <c r="BC67" s="90">
        <f t="shared" ref="BC67:BC95" si="193">BE66</f>
        <v>28810</v>
      </c>
      <c r="BD67" s="59"/>
      <c r="BE67" s="56">
        <v>28810</v>
      </c>
      <c r="BF67" s="56"/>
      <c r="BG67" s="58">
        <f t="shared" ref="BG67:BG72" si="194">BG66+BF67</f>
        <v>22125</v>
      </c>
      <c r="BH67" s="58">
        <f t="shared" ref="BH67:BH72" si="195">BG67*1000/E67</f>
        <v>66.362448206546219</v>
      </c>
      <c r="BI67" s="1133"/>
      <c r="BJ67" s="64">
        <f t="shared" ref="BJ67:BJ95" si="196">BL66</f>
        <v>976</v>
      </c>
      <c r="BK67" s="64"/>
      <c r="BL67" s="64">
        <v>976</v>
      </c>
      <c r="BM67" s="64"/>
      <c r="BN67" s="65"/>
      <c r="BO67" s="64">
        <f t="shared" ref="BO67:BO72" si="197">BO66+BM67</f>
        <v>7012</v>
      </c>
      <c r="BP67" s="65">
        <f t="shared" ref="BP67:BP72" si="198">BO67*1000/C67</f>
        <v>0.2530441989400869</v>
      </c>
      <c r="BQ67" s="1071"/>
      <c r="BR67" s="77">
        <f t="shared" ref="BR67:BR95" si="199">BT66</f>
        <v>76337</v>
      </c>
      <c r="BS67" s="35"/>
      <c r="BT67" s="35">
        <f>42264+25000</f>
        <v>67264</v>
      </c>
      <c r="BU67" s="35">
        <f t="shared" ref="BU67:BU72" si="200">BR67+BS67-BT67</f>
        <v>9073</v>
      </c>
      <c r="BV67" s="74">
        <f t="shared" si="90"/>
        <v>151032</v>
      </c>
      <c r="BW67" s="74">
        <f t="shared" si="89"/>
        <v>453.01031762852381</v>
      </c>
      <c r="BX67" s="1098"/>
      <c r="BY67" s="295">
        <f t="shared" ref="BY67:BY79" si="201">CA66</f>
        <v>1150</v>
      </c>
      <c r="BZ67" s="296"/>
      <c r="CA67" s="296">
        <v>1150</v>
      </c>
      <c r="CB67" s="296"/>
      <c r="CC67" s="297"/>
      <c r="CD67" s="296">
        <f t="shared" ref="CD67:CD73" si="202">CD66+CB67</f>
        <v>5100</v>
      </c>
      <c r="CE67" s="297">
        <f t="shared" ref="CE67:CE73" si="203">CD67*1000/C67</f>
        <v>0.18404526734090748</v>
      </c>
      <c r="CF67" s="1061"/>
      <c r="CH67">
        <f t="shared" si="29"/>
        <v>0</v>
      </c>
    </row>
    <row r="68" spans="1:86">
      <c r="A68" s="30">
        <v>44016</v>
      </c>
      <c r="B68" s="265">
        <v>470751</v>
      </c>
      <c r="C68" s="114">
        <f t="shared" si="165"/>
        <v>28181325</v>
      </c>
      <c r="D68" s="91">
        <v>5560.6</v>
      </c>
      <c r="E68" s="93">
        <f t="shared" si="166"/>
        <v>338956.97999999992</v>
      </c>
      <c r="F68" s="243">
        <f t="shared" si="167"/>
        <v>41060</v>
      </c>
      <c r="G68" s="240"/>
      <c r="H68" s="280"/>
      <c r="I68" s="240">
        <f>18800+14330</f>
        <v>33130</v>
      </c>
      <c r="J68" s="240">
        <f t="shared" si="164"/>
        <v>7930</v>
      </c>
      <c r="K68" s="280">
        <f t="shared" si="168"/>
        <v>16.845423589116116</v>
      </c>
      <c r="L68" s="240">
        <f t="shared" si="169"/>
        <v>818210</v>
      </c>
      <c r="M68" s="280">
        <f t="shared" si="170"/>
        <v>29.033766155423848</v>
      </c>
      <c r="N68" s="280">
        <f t="shared" si="171"/>
        <v>3.5550099369932471</v>
      </c>
      <c r="O68" s="1089"/>
      <c r="P68" s="1084"/>
      <c r="Q68" s="77">
        <f t="shared" si="172"/>
        <v>54695</v>
      </c>
      <c r="R68" s="35"/>
      <c r="S68" s="35">
        <f t="shared" si="173"/>
        <v>54695</v>
      </c>
      <c r="T68" s="35"/>
      <c r="U68" s="36"/>
      <c r="V68" s="74">
        <f t="shared" si="174"/>
        <v>37933</v>
      </c>
      <c r="W68" s="36">
        <f t="shared" si="175"/>
        <v>1.3460332330009324</v>
      </c>
      <c r="X68" s="1136"/>
      <c r="Y68" s="49">
        <f t="shared" si="176"/>
        <v>872</v>
      </c>
      <c r="Z68" s="50"/>
      <c r="AA68" s="50">
        <v>9</v>
      </c>
      <c r="AB68" s="50">
        <f>Y68+Z68-AA68</f>
        <v>863</v>
      </c>
      <c r="AC68" s="51">
        <f t="shared" si="177"/>
        <v>1.8332409277940993</v>
      </c>
      <c r="AD68" s="50">
        <f t="shared" si="178"/>
        <v>12134</v>
      </c>
      <c r="AE68" s="51">
        <f t="shared" si="179"/>
        <v>0.430568825277023</v>
      </c>
      <c r="AF68" s="1047"/>
      <c r="AG68" s="40">
        <f t="shared" si="180"/>
        <v>509</v>
      </c>
      <c r="AH68" s="41"/>
      <c r="AI68" s="41">
        <v>378</v>
      </c>
      <c r="AJ68" s="41">
        <f t="shared" si="181"/>
        <v>131</v>
      </c>
      <c r="AK68" s="42">
        <f t="shared" si="182"/>
        <v>0.2782787503372271</v>
      </c>
      <c r="AL68" s="41">
        <f t="shared" si="183"/>
        <v>5005</v>
      </c>
      <c r="AM68" s="42">
        <f t="shared" si="184"/>
        <v>0.17759988219148673</v>
      </c>
      <c r="AN68" s="1058"/>
      <c r="AO68" s="67">
        <v>6.1</v>
      </c>
      <c r="AP68" s="67">
        <v>24</v>
      </c>
      <c r="AQ68" s="68">
        <f t="shared" si="185"/>
        <v>72.768119999999982</v>
      </c>
      <c r="AR68" s="68">
        <f t="shared" si="186"/>
        <v>13.086379167715711</v>
      </c>
      <c r="AS68" s="69">
        <f t="shared" si="187"/>
        <v>3145.7300400000013</v>
      </c>
      <c r="AT68" s="140">
        <f t="shared" si="188"/>
        <v>9.2806173810021626</v>
      </c>
      <c r="AU68" s="1073"/>
      <c r="AV68" s="216">
        <v>3.7</v>
      </c>
      <c r="AW68" s="71">
        <v>12</v>
      </c>
      <c r="AX68" s="72">
        <f t="shared" si="189"/>
        <v>22.942812000000004</v>
      </c>
      <c r="AY68" s="72">
        <f t="shared" si="190"/>
        <v>4.1259597885120316</v>
      </c>
      <c r="AZ68" s="73">
        <f t="shared" si="191"/>
        <v>1051.6488959999997</v>
      </c>
      <c r="BA68" s="192">
        <f t="shared" si="192"/>
        <v>3.1026028612834584</v>
      </c>
      <c r="BB68" s="1075"/>
      <c r="BC68" s="90">
        <f t="shared" si="193"/>
        <v>28810</v>
      </c>
      <c r="BD68" s="59"/>
      <c r="BE68" s="56">
        <v>28810</v>
      </c>
      <c r="BF68" s="56"/>
      <c r="BG68" s="58">
        <f t="shared" si="194"/>
        <v>22125</v>
      </c>
      <c r="BH68" s="58">
        <f t="shared" si="195"/>
        <v>65.27377014038774</v>
      </c>
      <c r="BI68" s="1133"/>
      <c r="BJ68" s="64">
        <f t="shared" si="196"/>
        <v>976</v>
      </c>
      <c r="BK68" s="64"/>
      <c r="BL68" s="64">
        <v>708</v>
      </c>
      <c r="BM68" s="64">
        <f t="shared" ref="BM68:BM97" si="204">BJ68+BK68-BL68</f>
        <v>268</v>
      </c>
      <c r="BN68" s="65">
        <f t="shared" ref="BN68:BN97" si="205">BM68*1000/B68</f>
        <v>0.56930309229295317</v>
      </c>
      <c r="BO68" s="64">
        <f t="shared" si="197"/>
        <v>7280</v>
      </c>
      <c r="BP68" s="65">
        <f t="shared" si="198"/>
        <v>0.25832710136943526</v>
      </c>
      <c r="BQ68" s="1071"/>
      <c r="BR68" s="77">
        <f t="shared" si="199"/>
        <v>67264</v>
      </c>
      <c r="BS68" s="35"/>
      <c r="BT68" s="35">
        <f>39492+25000</f>
        <v>64492</v>
      </c>
      <c r="BU68" s="35">
        <f t="shared" si="200"/>
        <v>2772</v>
      </c>
      <c r="BV68" s="74">
        <f t="shared" si="90"/>
        <v>153804</v>
      </c>
      <c r="BW68" s="74">
        <f t="shared" si="89"/>
        <v>453.75669797388457</v>
      </c>
      <c r="BX68" s="1098"/>
      <c r="BY68" s="295">
        <f t="shared" si="201"/>
        <v>1150</v>
      </c>
      <c r="BZ68" s="296"/>
      <c r="CA68" s="296">
        <v>1150</v>
      </c>
      <c r="CB68" s="296"/>
      <c r="CC68" s="297"/>
      <c r="CD68" s="296">
        <f t="shared" si="202"/>
        <v>5100</v>
      </c>
      <c r="CE68" s="297">
        <f t="shared" si="203"/>
        <v>0.18097090892639009</v>
      </c>
      <c r="CF68" s="1061"/>
      <c r="CH68">
        <f t="shared" si="29"/>
        <v>0</v>
      </c>
    </row>
    <row r="69" spans="1:86">
      <c r="A69" s="30">
        <v>44017</v>
      </c>
      <c r="B69" s="265">
        <v>526222</v>
      </c>
      <c r="C69" s="114">
        <f t="shared" si="165"/>
        <v>28707547</v>
      </c>
      <c r="D69" s="325">
        <v>6777.58</v>
      </c>
      <c r="E69" s="93">
        <f t="shared" si="166"/>
        <v>345734.55999999994</v>
      </c>
      <c r="F69" s="243">
        <f t="shared" si="167"/>
        <v>33130</v>
      </c>
      <c r="G69" s="240">
        <v>31300</v>
      </c>
      <c r="H69" s="280">
        <v>23.85</v>
      </c>
      <c r="I69" s="240">
        <f>40000+14050</f>
        <v>54050</v>
      </c>
      <c r="J69" s="240">
        <f t="shared" si="164"/>
        <v>10380</v>
      </c>
      <c r="K69" s="280">
        <f t="shared" si="168"/>
        <v>19.725515086788466</v>
      </c>
      <c r="L69" s="240">
        <f t="shared" si="169"/>
        <v>828590</v>
      </c>
      <c r="M69" s="280">
        <f t="shared" si="170"/>
        <v>28.86314180727458</v>
      </c>
      <c r="N69" s="280">
        <f t="shared" si="171"/>
        <v>3.5341180124004627</v>
      </c>
      <c r="O69" s="1089"/>
      <c r="P69" s="1084"/>
      <c r="Q69" s="77">
        <f t="shared" si="172"/>
        <v>54695</v>
      </c>
      <c r="R69" s="35"/>
      <c r="S69" s="35">
        <f t="shared" si="173"/>
        <v>54695</v>
      </c>
      <c r="T69" s="35"/>
      <c r="U69" s="36"/>
      <c r="V69" s="74">
        <f t="shared" si="174"/>
        <v>37933</v>
      </c>
      <c r="W69" s="36">
        <f t="shared" si="175"/>
        <v>1.3213598500770547</v>
      </c>
      <c r="X69" s="1136"/>
      <c r="Y69" s="49">
        <f t="shared" si="176"/>
        <v>9</v>
      </c>
      <c r="Z69" s="50">
        <v>1350</v>
      </c>
      <c r="AA69" s="50">
        <f>546+85</f>
        <v>631</v>
      </c>
      <c r="AB69" s="50">
        <f>Y69+Z69-AA69</f>
        <v>728</v>
      </c>
      <c r="AC69" s="51">
        <f t="shared" si="177"/>
        <v>1.3834465301716765</v>
      </c>
      <c r="AD69" s="50">
        <f t="shared" si="178"/>
        <v>12862</v>
      </c>
      <c r="AE69" s="51">
        <f t="shared" si="179"/>
        <v>0.44803549394171505</v>
      </c>
      <c r="AF69" s="1047"/>
      <c r="AG69" s="40">
        <f t="shared" si="180"/>
        <v>378</v>
      </c>
      <c r="AH69" s="41">
        <v>500</v>
      </c>
      <c r="AI69" s="41">
        <v>725</v>
      </c>
      <c r="AJ69" s="41">
        <f t="shared" si="181"/>
        <v>153</v>
      </c>
      <c r="AK69" s="42">
        <f t="shared" si="182"/>
        <v>0.29075181197289357</v>
      </c>
      <c r="AL69" s="41">
        <f t="shared" si="183"/>
        <v>5158</v>
      </c>
      <c r="AM69" s="42">
        <f t="shared" si="184"/>
        <v>0.17967400697802569</v>
      </c>
      <c r="AN69" s="1058"/>
      <c r="AO69" s="67">
        <v>7.1</v>
      </c>
      <c r="AP69" s="67">
        <v>24</v>
      </c>
      <c r="AQ69" s="68">
        <f t="shared" si="185"/>
        <v>84.697319999999991</v>
      </c>
      <c r="AR69" s="68">
        <f t="shared" si="186"/>
        <v>12.496690559167135</v>
      </c>
      <c r="AS69" s="69">
        <f t="shared" si="187"/>
        <v>3230.4273600000015</v>
      </c>
      <c r="AT69" s="140">
        <f t="shared" si="188"/>
        <v>9.343663416234703</v>
      </c>
      <c r="AU69" s="1073"/>
      <c r="AV69" s="71">
        <v>4.0999999999999996</v>
      </c>
      <c r="AW69" s="71">
        <v>12</v>
      </c>
      <c r="AX69" s="72">
        <f t="shared" si="189"/>
        <v>25.423116</v>
      </c>
      <c r="AY69" s="72">
        <f t="shared" si="190"/>
        <v>3.7510609981733896</v>
      </c>
      <c r="AZ69" s="73">
        <f t="shared" si="191"/>
        <v>1077.0720119999996</v>
      </c>
      <c r="BA69" s="192">
        <f t="shared" si="192"/>
        <v>3.115314858890589</v>
      </c>
      <c r="BB69" s="1075"/>
      <c r="BC69" s="90">
        <f t="shared" si="193"/>
        <v>28810</v>
      </c>
      <c r="BD69" s="59"/>
      <c r="BE69" s="56">
        <v>28810</v>
      </c>
      <c r="BF69" s="56"/>
      <c r="BG69" s="58">
        <f t="shared" si="194"/>
        <v>22125</v>
      </c>
      <c r="BH69" s="58">
        <f t="shared" si="195"/>
        <v>63.994180969354076</v>
      </c>
      <c r="BI69" s="1133"/>
      <c r="BJ69" s="64">
        <f t="shared" si="196"/>
        <v>708</v>
      </c>
      <c r="BK69" s="64"/>
      <c r="BL69" s="64">
        <v>540</v>
      </c>
      <c r="BM69" s="64">
        <f t="shared" si="204"/>
        <v>168</v>
      </c>
      <c r="BN69" s="65">
        <f t="shared" si="205"/>
        <v>0.31925689157807924</v>
      </c>
      <c r="BO69" s="64">
        <f t="shared" si="197"/>
        <v>7448</v>
      </c>
      <c r="BP69" s="65">
        <f t="shared" si="198"/>
        <v>0.25944397130134456</v>
      </c>
      <c r="BQ69" s="1071"/>
      <c r="BR69" s="77">
        <f t="shared" si="199"/>
        <v>64492</v>
      </c>
      <c r="BS69" s="35"/>
      <c r="BT69" s="35">
        <f>36719+25000</f>
        <v>61719</v>
      </c>
      <c r="BU69" s="35">
        <f t="shared" si="200"/>
        <v>2773</v>
      </c>
      <c r="BV69" s="74">
        <f t="shared" si="90"/>
        <v>156577</v>
      </c>
      <c r="BW69" s="74">
        <f t="shared" si="89"/>
        <v>452.88211858253345</v>
      </c>
      <c r="BX69" s="1098"/>
      <c r="BY69" s="295">
        <f t="shared" si="201"/>
        <v>1150</v>
      </c>
      <c r="BZ69" s="296"/>
      <c r="CA69" s="296">
        <v>1150</v>
      </c>
      <c r="CB69" s="296"/>
      <c r="CC69" s="297"/>
      <c r="CD69" s="296">
        <f t="shared" si="202"/>
        <v>5100</v>
      </c>
      <c r="CE69" s="297">
        <f t="shared" si="203"/>
        <v>0.17765363233577566</v>
      </c>
      <c r="CF69" s="1061"/>
      <c r="CH69">
        <f t="shared" si="29"/>
        <v>530302.5</v>
      </c>
    </row>
    <row r="70" spans="1:86">
      <c r="A70" s="30">
        <v>44018</v>
      </c>
      <c r="B70" s="265">
        <v>521114</v>
      </c>
      <c r="C70" s="114">
        <f t="shared" si="165"/>
        <v>29228661</v>
      </c>
      <c r="D70" s="91">
        <v>6301</v>
      </c>
      <c r="E70" s="93">
        <f t="shared" si="166"/>
        <v>352035.55999999994</v>
      </c>
      <c r="F70" s="243">
        <f t="shared" si="167"/>
        <v>54050</v>
      </c>
      <c r="G70" s="240">
        <v>23200</v>
      </c>
      <c r="H70" s="280">
        <v>22.5</v>
      </c>
      <c r="I70" s="240">
        <f>29200+13700</f>
        <v>42900</v>
      </c>
      <c r="J70" s="240">
        <f t="shared" si="164"/>
        <v>34350</v>
      </c>
      <c r="K70" s="280">
        <f t="shared" si="168"/>
        <v>65.916478927835371</v>
      </c>
      <c r="L70" s="240">
        <f t="shared" si="169"/>
        <v>862940</v>
      </c>
      <c r="M70" s="280">
        <f t="shared" si="170"/>
        <v>29.523760941358208</v>
      </c>
      <c r="N70" s="280">
        <f t="shared" si="171"/>
        <v>3.6150068496826506</v>
      </c>
      <c r="O70" s="1089"/>
      <c r="P70" s="1084"/>
      <c r="Q70" s="77">
        <f t="shared" si="172"/>
        <v>54695</v>
      </c>
      <c r="R70" s="35"/>
      <c r="S70" s="35">
        <f t="shared" si="173"/>
        <v>54695</v>
      </c>
      <c r="T70" s="35"/>
      <c r="U70" s="36"/>
      <c r="V70" s="74">
        <f t="shared" si="174"/>
        <v>37933</v>
      </c>
      <c r="W70" s="36">
        <f t="shared" si="175"/>
        <v>1.2978014969621769</v>
      </c>
      <c r="X70" s="1136"/>
      <c r="Y70" s="49">
        <f t="shared" si="176"/>
        <v>631</v>
      </c>
      <c r="Z70" s="50">
        <v>450</v>
      </c>
      <c r="AA70" s="50">
        <f>779+75</f>
        <v>854</v>
      </c>
      <c r="AB70" s="50">
        <f>Y70+Z70-AA70</f>
        <v>227</v>
      </c>
      <c r="AC70" s="51">
        <f t="shared" si="177"/>
        <v>0.43560526103693242</v>
      </c>
      <c r="AD70" s="50">
        <f t="shared" si="178"/>
        <v>13089</v>
      </c>
      <c r="AE70" s="51">
        <f t="shared" si="179"/>
        <v>0.44781387693401348</v>
      </c>
      <c r="AF70" s="1047"/>
      <c r="AG70" s="40">
        <f t="shared" si="180"/>
        <v>725</v>
      </c>
      <c r="AH70" s="41"/>
      <c r="AI70" s="41">
        <v>587</v>
      </c>
      <c r="AJ70" s="41">
        <f t="shared" si="181"/>
        <v>138</v>
      </c>
      <c r="AK70" s="42">
        <f t="shared" si="182"/>
        <v>0.26481729525593251</v>
      </c>
      <c r="AL70" s="41">
        <f t="shared" si="183"/>
        <v>5296</v>
      </c>
      <c r="AM70" s="42">
        <f t="shared" si="184"/>
        <v>0.18119201560413595</v>
      </c>
      <c r="AN70" s="1058"/>
      <c r="AO70" s="67">
        <v>6.1</v>
      </c>
      <c r="AP70" s="67">
        <v>24</v>
      </c>
      <c r="AQ70" s="68">
        <f t="shared" si="185"/>
        <v>72.768119999999982</v>
      </c>
      <c r="AR70" s="68">
        <f t="shared" si="186"/>
        <v>11.548662117124262</v>
      </c>
      <c r="AS70" s="69">
        <f t="shared" si="187"/>
        <v>3303.1954800000017</v>
      </c>
      <c r="AT70" s="140">
        <f t="shared" si="188"/>
        <v>9.38313015878283</v>
      </c>
      <c r="AU70" s="1073"/>
      <c r="AV70" s="216">
        <v>3.6</v>
      </c>
      <c r="AW70" s="71">
        <v>12</v>
      </c>
      <c r="AX70" s="72">
        <f t="shared" si="189"/>
        <v>22.322736000000003</v>
      </c>
      <c r="AY70" s="72">
        <f t="shared" si="190"/>
        <v>3.5427290906205364</v>
      </c>
      <c r="AZ70" s="73">
        <f t="shared" si="191"/>
        <v>1099.3947479999997</v>
      </c>
      <c r="BA70" s="192">
        <f t="shared" si="192"/>
        <v>3.1229650436450225</v>
      </c>
      <c r="BB70" s="1075"/>
      <c r="BC70" s="90">
        <f t="shared" si="193"/>
        <v>28810</v>
      </c>
      <c r="BD70" s="59"/>
      <c r="BE70" s="56">
        <v>28810</v>
      </c>
      <c r="BF70" s="56"/>
      <c r="BG70" s="58">
        <f t="shared" si="194"/>
        <v>22125</v>
      </c>
      <c r="BH70" s="58">
        <f t="shared" si="195"/>
        <v>62.848764482769873</v>
      </c>
      <c r="BI70" s="1133"/>
      <c r="BJ70" s="64">
        <f t="shared" si="196"/>
        <v>540</v>
      </c>
      <c r="BK70" s="64"/>
      <c r="BL70" s="64">
        <v>336</v>
      </c>
      <c r="BM70" s="64">
        <f t="shared" si="204"/>
        <v>204</v>
      </c>
      <c r="BN70" s="65">
        <f t="shared" si="205"/>
        <v>0.39146904516094366</v>
      </c>
      <c r="BO70" s="64">
        <f t="shared" si="197"/>
        <v>7652</v>
      </c>
      <c r="BP70" s="65">
        <f t="shared" si="198"/>
        <v>0.2617978291923807</v>
      </c>
      <c r="BQ70" s="1071"/>
      <c r="BR70" s="77">
        <f t="shared" si="199"/>
        <v>61719</v>
      </c>
      <c r="BS70" s="35"/>
      <c r="BT70" s="35">
        <f>33947+25000</f>
        <v>58947</v>
      </c>
      <c r="BU70" s="35">
        <f t="shared" si="200"/>
        <v>2772</v>
      </c>
      <c r="BV70" s="74">
        <f t="shared" si="90"/>
        <v>159349</v>
      </c>
      <c r="BW70" s="74">
        <f t="shared" si="89"/>
        <v>452.65029475999535</v>
      </c>
      <c r="BX70" s="1098"/>
      <c r="BY70" s="295">
        <f t="shared" si="201"/>
        <v>1150</v>
      </c>
      <c r="BZ70" s="296"/>
      <c r="CA70" s="296">
        <v>1150</v>
      </c>
      <c r="CB70" s="296"/>
      <c r="CC70" s="297"/>
      <c r="CD70" s="296">
        <f t="shared" si="202"/>
        <v>5100</v>
      </c>
      <c r="CE70" s="297">
        <f t="shared" si="203"/>
        <v>0.17448626880307655</v>
      </c>
      <c r="CF70" s="1061"/>
      <c r="CH70">
        <f t="shared" ref="CH70:CH133" si="206">G68*H68</f>
        <v>0</v>
      </c>
    </row>
    <row r="71" spans="1:86">
      <c r="A71" s="30">
        <v>44019</v>
      </c>
      <c r="B71" s="265">
        <v>474506</v>
      </c>
      <c r="C71" s="114">
        <f t="shared" si="165"/>
        <v>29703167</v>
      </c>
      <c r="D71" s="91">
        <v>5837.28</v>
      </c>
      <c r="E71" s="93">
        <f t="shared" si="166"/>
        <v>357872.83999999997</v>
      </c>
      <c r="F71" s="243">
        <f t="shared" si="167"/>
        <v>42900</v>
      </c>
      <c r="G71" s="240"/>
      <c r="H71" s="280"/>
      <c r="I71" s="240">
        <f>20800+13210</f>
        <v>34010</v>
      </c>
      <c r="J71" s="240">
        <f t="shared" si="164"/>
        <v>8890</v>
      </c>
      <c r="K71" s="280">
        <f t="shared" si="168"/>
        <v>18.735274158809371</v>
      </c>
      <c r="L71" s="240">
        <f t="shared" si="169"/>
        <v>871830</v>
      </c>
      <c r="M71" s="280">
        <f t="shared" si="170"/>
        <v>29.351415625141925</v>
      </c>
      <c r="N71" s="280">
        <f t="shared" si="171"/>
        <v>3.5939042029070558</v>
      </c>
      <c r="O71" s="1089"/>
      <c r="P71" s="1084"/>
      <c r="Q71" s="77">
        <f t="shared" si="172"/>
        <v>54695</v>
      </c>
      <c r="R71" s="35"/>
      <c r="S71" s="35">
        <f t="shared" si="173"/>
        <v>54695</v>
      </c>
      <c r="T71" s="35"/>
      <c r="U71" s="36"/>
      <c r="V71" s="74">
        <f t="shared" si="174"/>
        <v>37933</v>
      </c>
      <c r="W71" s="36">
        <f t="shared" si="175"/>
        <v>1.2770692094886718</v>
      </c>
      <c r="X71" s="1136"/>
      <c r="Y71" s="49">
        <f t="shared" si="176"/>
        <v>854</v>
      </c>
      <c r="Z71" s="50"/>
      <c r="AA71" s="50">
        <f>510+80</f>
        <v>590</v>
      </c>
      <c r="AB71" s="50">
        <f>Y71+Z71-AA71</f>
        <v>264</v>
      </c>
      <c r="AC71" s="51">
        <f t="shared" si="177"/>
        <v>0.5563680965045753</v>
      </c>
      <c r="AD71" s="50">
        <f t="shared" si="178"/>
        <v>13353</v>
      </c>
      <c r="AE71" s="51">
        <f t="shared" si="179"/>
        <v>0.44954802294314272</v>
      </c>
      <c r="AF71" s="1047"/>
      <c r="AG71" s="40">
        <f t="shared" si="180"/>
        <v>587</v>
      </c>
      <c r="AH71" s="41"/>
      <c r="AI71" s="41">
        <v>471</v>
      </c>
      <c r="AJ71" s="41">
        <f t="shared" si="181"/>
        <v>116</v>
      </c>
      <c r="AK71" s="42">
        <f t="shared" si="182"/>
        <v>0.24446476967625277</v>
      </c>
      <c r="AL71" s="41">
        <f t="shared" si="183"/>
        <v>5412</v>
      </c>
      <c r="AM71" s="42">
        <f t="shared" si="184"/>
        <v>0.18220279339236789</v>
      </c>
      <c r="AN71" s="1058"/>
      <c r="AO71" s="311">
        <v>6</v>
      </c>
      <c r="AP71" s="67">
        <v>24</v>
      </c>
      <c r="AQ71" s="68">
        <f t="shared" si="185"/>
        <v>71.575199999999995</v>
      </c>
      <c r="AR71" s="68">
        <f t="shared" si="186"/>
        <v>12.261738343886194</v>
      </c>
      <c r="AS71" s="69">
        <f t="shared" si="187"/>
        <v>3374.7706800000014</v>
      </c>
      <c r="AT71" s="140">
        <f t="shared" si="188"/>
        <v>9.430083266447383</v>
      </c>
      <c r="AU71" s="1073"/>
      <c r="AV71" s="71">
        <v>3.1</v>
      </c>
      <c r="AW71" s="71">
        <v>12</v>
      </c>
      <c r="AX71" s="72">
        <f t="shared" si="189"/>
        <v>19.222356000000001</v>
      </c>
      <c r="AY71" s="72">
        <f t="shared" si="190"/>
        <v>3.2930330564920647</v>
      </c>
      <c r="AZ71" s="73">
        <f t="shared" si="191"/>
        <v>1118.6171039999997</v>
      </c>
      <c r="BA71" s="192">
        <f t="shared" si="192"/>
        <v>3.1257390306568102</v>
      </c>
      <c r="BB71" s="1075"/>
      <c r="BC71" s="90">
        <f t="shared" si="193"/>
        <v>28810</v>
      </c>
      <c r="BD71" s="59"/>
      <c r="BE71" s="56">
        <v>28810</v>
      </c>
      <c r="BF71" s="56"/>
      <c r="BG71" s="58">
        <f t="shared" si="194"/>
        <v>22125</v>
      </c>
      <c r="BH71" s="58">
        <f t="shared" si="195"/>
        <v>61.823635456661094</v>
      </c>
      <c r="BI71" s="1133"/>
      <c r="BJ71" s="64">
        <f t="shared" si="196"/>
        <v>336</v>
      </c>
      <c r="BK71" s="64"/>
      <c r="BL71" s="64">
        <v>60</v>
      </c>
      <c r="BM71" s="64">
        <f t="shared" si="204"/>
        <v>276</v>
      </c>
      <c r="BN71" s="65">
        <f t="shared" si="205"/>
        <v>0.58165755543660147</v>
      </c>
      <c r="BO71" s="64">
        <f t="shared" si="197"/>
        <v>7928</v>
      </c>
      <c r="BP71" s="65">
        <f t="shared" si="198"/>
        <v>0.26690756578246355</v>
      </c>
      <c r="BQ71" s="1071"/>
      <c r="BR71" s="77">
        <f t="shared" si="199"/>
        <v>58947</v>
      </c>
      <c r="BS71" s="35"/>
      <c r="BT71" s="35">
        <f>32099+25000</f>
        <v>57099</v>
      </c>
      <c r="BU71" s="35">
        <f t="shared" si="200"/>
        <v>1848</v>
      </c>
      <c r="BV71" s="74">
        <f t="shared" si="90"/>
        <v>161197</v>
      </c>
      <c r="BW71" s="74">
        <f t="shared" si="89"/>
        <v>450.43094077773549</v>
      </c>
      <c r="BX71" s="1098"/>
      <c r="BY71" s="295">
        <f t="shared" si="201"/>
        <v>1150</v>
      </c>
      <c r="BZ71" s="296"/>
      <c r="CA71" s="296">
        <v>1150</v>
      </c>
      <c r="CB71" s="296"/>
      <c r="CC71" s="297"/>
      <c r="CD71" s="296">
        <f t="shared" si="202"/>
        <v>5100</v>
      </c>
      <c r="CE71" s="297">
        <f t="shared" si="203"/>
        <v>0.17169886295289657</v>
      </c>
      <c r="CF71" s="1061"/>
      <c r="CH71">
        <f t="shared" si="206"/>
        <v>746505</v>
      </c>
    </row>
    <row r="72" spans="1:86">
      <c r="A72" s="30">
        <v>44020</v>
      </c>
      <c r="B72" s="265">
        <v>586626</v>
      </c>
      <c r="C72" s="114">
        <f t="shared" si="165"/>
        <v>30289793</v>
      </c>
      <c r="D72" s="91">
        <v>6601.52</v>
      </c>
      <c r="E72" s="93">
        <f t="shared" si="166"/>
        <v>364474.36</v>
      </c>
      <c r="F72" s="243">
        <f t="shared" si="167"/>
        <v>34010</v>
      </c>
      <c r="G72" s="240">
        <v>18400</v>
      </c>
      <c r="H72" s="280">
        <v>20.12</v>
      </c>
      <c r="I72" s="240">
        <f>23200+12640</f>
        <v>35840</v>
      </c>
      <c r="J72" s="240">
        <f t="shared" si="164"/>
        <v>16570</v>
      </c>
      <c r="K72" s="280">
        <f t="shared" si="168"/>
        <v>28.246276162324889</v>
      </c>
      <c r="L72" s="240">
        <f t="shared" si="169"/>
        <v>888400</v>
      </c>
      <c r="M72" s="280">
        <f t="shared" si="170"/>
        <v>29.330012258584929</v>
      </c>
      <c r="N72" s="280">
        <f t="shared" si="171"/>
        <v>3.5912834894802166</v>
      </c>
      <c r="O72" s="1089"/>
      <c r="P72" s="1084"/>
      <c r="Q72" s="77">
        <f t="shared" si="172"/>
        <v>54695</v>
      </c>
      <c r="R72" s="35"/>
      <c r="S72" s="35">
        <f t="shared" si="173"/>
        <v>54695</v>
      </c>
      <c r="T72" s="35"/>
      <c r="U72" s="36"/>
      <c r="V72" s="74">
        <f t="shared" si="174"/>
        <v>37933</v>
      </c>
      <c r="W72" s="36">
        <f t="shared" si="175"/>
        <v>1.2523360592130821</v>
      </c>
      <c r="X72" s="1136"/>
      <c r="Y72" s="49">
        <f t="shared" si="176"/>
        <v>590</v>
      </c>
      <c r="Z72" s="50"/>
      <c r="AA72" s="50">
        <f>407+100</f>
        <v>507</v>
      </c>
      <c r="AB72" s="50">
        <f>Y72+Z72-AA72+100</f>
        <v>183</v>
      </c>
      <c r="AC72" s="51">
        <f t="shared" si="177"/>
        <v>0.3119534422272453</v>
      </c>
      <c r="AD72" s="50">
        <f t="shared" si="178"/>
        <v>13536</v>
      </c>
      <c r="AE72" s="51">
        <f t="shared" si="179"/>
        <v>0.44688321244057361</v>
      </c>
      <c r="AF72" s="1047"/>
      <c r="AG72" s="40">
        <f t="shared" si="180"/>
        <v>471</v>
      </c>
      <c r="AH72" s="41">
        <v>500</v>
      </c>
      <c r="AI72" s="41">
        <v>845</v>
      </c>
      <c r="AJ72" s="41">
        <f t="shared" si="181"/>
        <v>126</v>
      </c>
      <c r="AK72" s="42">
        <f t="shared" si="182"/>
        <v>0.21478761595974266</v>
      </c>
      <c r="AL72" s="41">
        <f t="shared" si="183"/>
        <v>5538</v>
      </c>
      <c r="AM72" s="42">
        <f t="shared" si="184"/>
        <v>0.18283386750117442</v>
      </c>
      <c r="AN72" s="1058"/>
      <c r="AO72" s="67">
        <v>6.9</v>
      </c>
      <c r="AP72" s="67">
        <v>24</v>
      </c>
      <c r="AQ72" s="68">
        <f t="shared" si="185"/>
        <v>82.311480000000003</v>
      </c>
      <c r="AR72" s="68">
        <f t="shared" si="186"/>
        <v>12.468564815375851</v>
      </c>
      <c r="AS72" s="69">
        <f t="shared" si="187"/>
        <v>3457.0821600000013</v>
      </c>
      <c r="AT72" s="140">
        <f t="shared" si="188"/>
        <v>9.4851175813848769</v>
      </c>
      <c r="AU72" s="1073"/>
      <c r="AV72" s="71">
        <v>3.5</v>
      </c>
      <c r="AW72" s="71">
        <v>12</v>
      </c>
      <c r="AX72" s="72">
        <f t="shared" si="189"/>
        <v>21.702660000000002</v>
      </c>
      <c r="AY72" s="72">
        <f t="shared" si="190"/>
        <v>3.2875246912832194</v>
      </c>
      <c r="AZ72" s="73">
        <f t="shared" si="191"/>
        <v>1140.3197639999996</v>
      </c>
      <c r="BA72" s="192">
        <f t="shared" si="192"/>
        <v>3.1286693637379588</v>
      </c>
      <c r="BB72" s="1075"/>
      <c r="BC72" s="90">
        <f t="shared" si="193"/>
        <v>28810</v>
      </c>
      <c r="BD72" s="59"/>
      <c r="BE72" s="56">
        <v>26548</v>
      </c>
      <c r="BF72" s="56">
        <f>BC72-BE72+BD72</f>
        <v>2262</v>
      </c>
      <c r="BG72" s="58">
        <f t="shared" si="194"/>
        <v>24387</v>
      </c>
      <c r="BH72" s="58">
        <f t="shared" si="195"/>
        <v>66.910056444025315</v>
      </c>
      <c r="BI72" s="1133"/>
      <c r="BJ72" s="64">
        <f t="shared" si="196"/>
        <v>60</v>
      </c>
      <c r="BK72" s="64">
        <v>1100</v>
      </c>
      <c r="BL72" s="64">
        <v>864</v>
      </c>
      <c r="BM72" s="64">
        <f t="shared" si="204"/>
        <v>296</v>
      </c>
      <c r="BN72" s="65">
        <f t="shared" si="205"/>
        <v>0.50458043114352247</v>
      </c>
      <c r="BO72" s="64">
        <f t="shared" si="197"/>
        <v>8224</v>
      </c>
      <c r="BP72" s="65">
        <f t="shared" si="198"/>
        <v>0.27151060424876461</v>
      </c>
      <c r="BQ72" s="1071"/>
      <c r="BR72" s="77">
        <f t="shared" si="199"/>
        <v>57099</v>
      </c>
      <c r="BS72" s="35"/>
      <c r="BT72" s="35">
        <f>30250+25000</f>
        <v>55250</v>
      </c>
      <c r="BU72" s="35">
        <f t="shared" si="200"/>
        <v>1849</v>
      </c>
      <c r="BV72" s="74">
        <f t="shared" si="90"/>
        <v>163046</v>
      </c>
      <c r="BW72" s="74">
        <f t="shared" si="89"/>
        <v>447.34559654621523</v>
      </c>
      <c r="BX72" s="1098"/>
      <c r="BY72" s="295">
        <f t="shared" si="201"/>
        <v>1150</v>
      </c>
      <c r="BZ72" s="296"/>
      <c r="CA72" s="296">
        <v>1150</v>
      </c>
      <c r="CB72" s="296"/>
      <c r="CC72" s="297"/>
      <c r="CD72" s="296">
        <f t="shared" si="202"/>
        <v>5100</v>
      </c>
      <c r="CE72" s="297">
        <f t="shared" si="203"/>
        <v>0.16837355078656366</v>
      </c>
      <c r="CF72" s="1061"/>
      <c r="CH72">
        <f t="shared" si="206"/>
        <v>522000</v>
      </c>
    </row>
    <row r="73" spans="1:86">
      <c r="A73" s="30">
        <v>44021</v>
      </c>
      <c r="B73" s="265">
        <v>560814</v>
      </c>
      <c r="C73" s="114">
        <f t="shared" si="165"/>
        <v>30850607</v>
      </c>
      <c r="D73" s="91">
        <v>6692.54</v>
      </c>
      <c r="E73" s="93">
        <f t="shared" si="166"/>
        <v>371166.89999999997</v>
      </c>
      <c r="F73" s="243">
        <f t="shared" si="167"/>
        <v>35840</v>
      </c>
      <c r="G73" s="240"/>
      <c r="H73" s="280"/>
      <c r="I73" s="240">
        <f>2000+12064</f>
        <v>14064</v>
      </c>
      <c r="J73" s="240">
        <f t="shared" ref="J73:J87" si="207">F73+G73-I73</f>
        <v>21776</v>
      </c>
      <c r="K73" s="280">
        <f t="shared" ref="K73:K97" si="208">J73*1000/B73</f>
        <v>38.829273163651408</v>
      </c>
      <c r="L73" s="240">
        <f t="shared" ref="L73:L97" si="209">L72+J73</f>
        <v>910176</v>
      </c>
      <c r="M73" s="280">
        <f t="shared" ref="M73:M97" si="210">L73*1000/C73</f>
        <v>29.502693415400223</v>
      </c>
      <c r="N73" s="280">
        <f t="shared" ref="N73:N97" si="211">M73/8.167</f>
        <v>3.612427257916031</v>
      </c>
      <c r="O73" s="1089"/>
      <c r="P73" s="1084"/>
      <c r="Q73" s="77">
        <f t="shared" si="172"/>
        <v>54695</v>
      </c>
      <c r="R73" s="35"/>
      <c r="S73" s="35">
        <f t="shared" si="173"/>
        <v>54695</v>
      </c>
      <c r="T73" s="35"/>
      <c r="U73" s="36"/>
      <c r="V73" s="74">
        <f t="shared" ref="V73:V97" si="212">V72+T73</f>
        <v>37933</v>
      </c>
      <c r="W73" s="36">
        <f t="shared" ref="W73:W97" si="213">1000*V73/C73</f>
        <v>1.2295706207660679</v>
      </c>
      <c r="X73" s="1136"/>
      <c r="Y73" s="49">
        <f t="shared" si="176"/>
        <v>507</v>
      </c>
      <c r="Z73" s="50"/>
      <c r="AA73" s="50">
        <f>308+75</f>
        <v>383</v>
      </c>
      <c r="AB73" s="50">
        <f>Y73+Z73-AA73</f>
        <v>124</v>
      </c>
      <c r="AC73" s="51">
        <f t="shared" ref="AC73:AC97" si="214">AB73*1000/B73</f>
        <v>0.2211071763543706</v>
      </c>
      <c r="AD73" s="50">
        <f t="shared" ref="AD73:AD97" si="215">AD72+AB73</f>
        <v>13660</v>
      </c>
      <c r="AE73" s="51">
        <f t="shared" ref="AE73:AE97" si="216">AD73*1000/C73</f>
        <v>0.44277897028087648</v>
      </c>
      <c r="AF73" s="1047"/>
      <c r="AG73" s="40">
        <f t="shared" si="180"/>
        <v>845</v>
      </c>
      <c r="AH73" s="41"/>
      <c r="AI73" s="41">
        <v>705</v>
      </c>
      <c r="AJ73" s="41">
        <f t="shared" ref="AJ73:AJ97" si="217">AG73+AH73-AI73</f>
        <v>140</v>
      </c>
      <c r="AK73" s="42">
        <f t="shared" ref="AK73:AK97" si="218">AJ73*1000/B73</f>
        <v>0.24963713459364423</v>
      </c>
      <c r="AL73" s="41">
        <f t="shared" ref="AL73:AL97" si="219">AL72+AJ73</f>
        <v>5678</v>
      </c>
      <c r="AM73" s="42">
        <f t="shared" ref="AM73:AM97" si="220">AL73*1000/C73</f>
        <v>0.18404824255159713</v>
      </c>
      <c r="AN73" s="1058"/>
      <c r="AO73" s="67">
        <v>6.8</v>
      </c>
      <c r="AP73" s="67">
        <v>24</v>
      </c>
      <c r="AQ73" s="68">
        <f t="shared" ref="AQ73:AQ79" si="221">AO73*AP73*0.49705</f>
        <v>81.118559999999988</v>
      </c>
      <c r="AR73" s="68">
        <f t="shared" ref="AR73:AR79" si="222">AQ73*1000/D73</f>
        <v>12.120743394884451</v>
      </c>
      <c r="AS73" s="69">
        <f t="shared" ref="AS73:AS79" si="223">AS72+AQ73</f>
        <v>3538.2007200000012</v>
      </c>
      <c r="AT73" s="140">
        <f t="shared" ref="AT73:AT79" si="224">AS73*1000/E73</f>
        <v>9.5326407608006036</v>
      </c>
      <c r="AU73" s="1073"/>
      <c r="AV73" s="71">
        <v>3.7</v>
      </c>
      <c r="AW73" s="71">
        <v>12</v>
      </c>
      <c r="AX73" s="72">
        <f t="shared" si="189"/>
        <v>22.942812000000004</v>
      </c>
      <c r="AY73" s="72">
        <f t="shared" si="190"/>
        <v>3.4281172768485515</v>
      </c>
      <c r="AZ73" s="73">
        <f t="shared" si="191"/>
        <v>1163.2625759999996</v>
      </c>
      <c r="BA73" s="192">
        <f t="shared" si="192"/>
        <v>3.1340687329608317</v>
      </c>
      <c r="BB73" s="1075"/>
      <c r="BC73" s="90">
        <f t="shared" si="193"/>
        <v>26548</v>
      </c>
      <c r="BD73" s="59"/>
      <c r="BE73" s="56">
        <v>26548</v>
      </c>
      <c r="BF73" s="56"/>
      <c r="BG73" s="58">
        <f t="shared" ref="BG73:BG83" si="225">BG72+BF73</f>
        <v>24387</v>
      </c>
      <c r="BH73" s="58">
        <f t="shared" ref="BH73:BH83" si="226">BG73*1000/E73</f>
        <v>65.703595875602062</v>
      </c>
      <c r="BI73" s="1133"/>
      <c r="BJ73" s="64">
        <f t="shared" si="196"/>
        <v>864</v>
      </c>
      <c r="BK73" s="64"/>
      <c r="BL73" s="64">
        <v>630</v>
      </c>
      <c r="BM73" s="64">
        <f t="shared" si="204"/>
        <v>234</v>
      </c>
      <c r="BN73" s="65">
        <f t="shared" si="205"/>
        <v>0.41725063924937678</v>
      </c>
      <c r="BO73" s="64">
        <f t="shared" ref="BO73:BO97" si="227">BO72+BM73</f>
        <v>8458</v>
      </c>
      <c r="BP73" s="65">
        <f t="shared" ref="BP73:BP97" si="228">BO73*1000/C73</f>
        <v>0.2741599217156408</v>
      </c>
      <c r="BQ73" s="1071"/>
      <c r="BR73" s="77">
        <f t="shared" si="199"/>
        <v>55250</v>
      </c>
      <c r="BS73" s="35"/>
      <c r="BT73" s="35">
        <f>28402+25000</f>
        <v>53402</v>
      </c>
      <c r="BU73" s="35">
        <f>BR73+BS73-BT73</f>
        <v>1848</v>
      </c>
      <c r="BV73" s="74">
        <f t="shared" si="90"/>
        <v>164894</v>
      </c>
      <c r="BW73" s="74">
        <f t="shared" si="89"/>
        <v>444.2583646332688</v>
      </c>
      <c r="BX73" s="1098"/>
      <c r="BY73" s="295">
        <f t="shared" si="201"/>
        <v>1150</v>
      </c>
      <c r="BZ73" s="296"/>
      <c r="CA73" s="296">
        <v>1150</v>
      </c>
      <c r="CB73" s="296"/>
      <c r="CC73" s="297"/>
      <c r="CD73" s="296">
        <f t="shared" si="202"/>
        <v>5100</v>
      </c>
      <c r="CE73" s="297">
        <f t="shared" si="203"/>
        <v>0.16531279271101537</v>
      </c>
      <c r="CF73" s="1061"/>
      <c r="CH73">
        <f t="shared" si="206"/>
        <v>0</v>
      </c>
    </row>
    <row r="74" spans="1:86">
      <c r="A74" s="30">
        <v>44022</v>
      </c>
      <c r="B74" s="265">
        <v>607308</v>
      </c>
      <c r="C74" s="114">
        <f t="shared" si="165"/>
        <v>31457915</v>
      </c>
      <c r="D74" s="91">
        <v>6975.1</v>
      </c>
      <c r="E74" s="93">
        <f t="shared" si="166"/>
        <v>378141.99999999994</v>
      </c>
      <c r="F74" s="243">
        <f t="shared" si="167"/>
        <v>14064</v>
      </c>
      <c r="G74" s="240"/>
      <c r="H74" s="280"/>
      <c r="I74" s="240">
        <v>11680</v>
      </c>
      <c r="J74" s="240">
        <f t="shared" si="207"/>
        <v>2384</v>
      </c>
      <c r="K74" s="280">
        <f t="shared" si="208"/>
        <v>3.925520493719826</v>
      </c>
      <c r="L74" s="240">
        <f t="shared" si="209"/>
        <v>912560</v>
      </c>
      <c r="M74" s="280">
        <f t="shared" si="210"/>
        <v>29.008915562267873</v>
      </c>
      <c r="N74" s="280">
        <f t="shared" si="211"/>
        <v>3.5519671314151919</v>
      </c>
      <c r="O74" s="1089"/>
      <c r="P74" s="1084"/>
      <c r="Q74" s="77">
        <f t="shared" si="172"/>
        <v>54695</v>
      </c>
      <c r="R74" s="35"/>
      <c r="S74" s="35">
        <v>51758</v>
      </c>
      <c r="T74" s="35">
        <f>Q74+R74-S74</f>
        <v>2937</v>
      </c>
      <c r="U74" s="36">
        <f>1000*T74/B74</f>
        <v>4.8360963464996347</v>
      </c>
      <c r="V74" s="74">
        <f t="shared" si="212"/>
        <v>40870</v>
      </c>
      <c r="W74" s="36">
        <f t="shared" si="213"/>
        <v>1.2991960846737618</v>
      </c>
      <c r="X74" s="1136"/>
      <c r="Y74" s="49">
        <f t="shared" si="176"/>
        <v>383</v>
      </c>
      <c r="Z74" s="50"/>
      <c r="AA74" s="50">
        <f>216+60</f>
        <v>276</v>
      </c>
      <c r="AB74" s="50">
        <f>Y74+Z74-AA74</f>
        <v>107</v>
      </c>
      <c r="AC74" s="51">
        <f t="shared" si="214"/>
        <v>0.17618737115269353</v>
      </c>
      <c r="AD74" s="50">
        <f t="shared" si="215"/>
        <v>13767</v>
      </c>
      <c r="AE74" s="51">
        <f t="shared" si="216"/>
        <v>0.4376323097064761</v>
      </c>
      <c r="AF74" s="1047"/>
      <c r="AG74" s="40">
        <f t="shared" si="180"/>
        <v>705</v>
      </c>
      <c r="AH74" s="41"/>
      <c r="AI74" s="41">
        <v>567</v>
      </c>
      <c r="AJ74" s="41">
        <f t="shared" si="217"/>
        <v>138</v>
      </c>
      <c r="AK74" s="42">
        <f t="shared" si="218"/>
        <v>0.22723231045861408</v>
      </c>
      <c r="AL74" s="41">
        <f t="shared" si="219"/>
        <v>5816</v>
      </c>
      <c r="AM74" s="42">
        <f t="shared" si="220"/>
        <v>0.18488192876101292</v>
      </c>
      <c r="AN74" s="1058"/>
      <c r="AO74" s="67">
        <v>6.3</v>
      </c>
      <c r="AP74" s="67">
        <v>24</v>
      </c>
      <c r="AQ74" s="68">
        <f t="shared" si="221"/>
        <v>75.153959999999998</v>
      </c>
      <c r="AR74" s="68">
        <f t="shared" si="222"/>
        <v>10.774606815672891</v>
      </c>
      <c r="AS74" s="69">
        <f t="shared" si="223"/>
        <v>3613.3546800000013</v>
      </c>
      <c r="AT74" s="140">
        <f t="shared" si="224"/>
        <v>9.5555497141285599</v>
      </c>
      <c r="AU74" s="1073"/>
      <c r="AV74" s="71">
        <v>3.7</v>
      </c>
      <c r="AW74" s="71">
        <v>12</v>
      </c>
      <c r="AX74" s="72">
        <f t="shared" ref="AX74:AX79" si="229">AV74*AW74*0.51673</f>
        <v>22.942812000000004</v>
      </c>
      <c r="AY74" s="72">
        <f t="shared" ref="AY74:AY79" si="230">AX74*1000/D74</f>
        <v>3.2892448853779879</v>
      </c>
      <c r="AZ74" s="73">
        <f t="shared" ref="AZ74:AZ79" si="231">AZ73+AX74</f>
        <v>1186.2053879999996</v>
      </c>
      <c r="BA74" s="192">
        <f t="shared" ref="BA74:BA79" si="232">AZ74*1000/E74</f>
        <v>3.1369310682230478</v>
      </c>
      <c r="BB74" s="1075"/>
      <c r="BC74" s="90">
        <f t="shared" si="193"/>
        <v>26548</v>
      </c>
      <c r="BD74" s="59"/>
      <c r="BE74" s="56">
        <v>26548</v>
      </c>
      <c r="BF74" s="56"/>
      <c r="BG74" s="58">
        <f t="shared" si="225"/>
        <v>24387</v>
      </c>
      <c r="BH74" s="58">
        <f t="shared" si="226"/>
        <v>64.491645995419717</v>
      </c>
      <c r="BI74" s="1133"/>
      <c r="BJ74" s="64">
        <f t="shared" si="196"/>
        <v>630</v>
      </c>
      <c r="BK74" s="64">
        <v>1100</v>
      </c>
      <c r="BL74" s="64">
        <v>1336</v>
      </c>
      <c r="BM74" s="64">
        <f t="shared" si="204"/>
        <v>394</v>
      </c>
      <c r="BN74" s="65">
        <f t="shared" si="205"/>
        <v>0.64876471246879674</v>
      </c>
      <c r="BO74" s="64">
        <f t="shared" si="227"/>
        <v>8852</v>
      </c>
      <c r="BP74" s="65">
        <f t="shared" si="228"/>
        <v>0.28139182142236702</v>
      </c>
      <c r="BQ74" s="1071"/>
      <c r="BR74" s="77">
        <f t="shared" si="199"/>
        <v>53402</v>
      </c>
      <c r="BS74" s="35"/>
      <c r="BT74" s="35">
        <f>26553+25000</f>
        <v>51553</v>
      </c>
      <c r="BU74" s="35">
        <f>BR74+BS74-BT74</f>
        <v>1849</v>
      </c>
      <c r="BV74" s="74">
        <f t="shared" si="90"/>
        <v>166743</v>
      </c>
      <c r="BW74" s="74">
        <f t="shared" si="89"/>
        <v>440.9533984587801</v>
      </c>
      <c r="BX74" s="1098"/>
      <c r="BY74" s="295">
        <f t="shared" si="201"/>
        <v>1150</v>
      </c>
      <c r="BZ74" s="296"/>
      <c r="CA74" s="296">
        <v>1150</v>
      </c>
      <c r="CB74" s="296"/>
      <c r="CC74" s="297"/>
      <c r="CD74" s="296">
        <f t="shared" ref="CD74:CD98" si="233">CD73+CB74</f>
        <v>5100</v>
      </c>
      <c r="CE74" s="297">
        <f t="shared" ref="CE74:CE98" si="234">CD74*1000/C74</f>
        <v>0.16212136119002166</v>
      </c>
      <c r="CF74" s="1061"/>
      <c r="CH74">
        <f t="shared" si="206"/>
        <v>370208</v>
      </c>
    </row>
    <row r="75" spans="1:86">
      <c r="A75" s="30">
        <v>44023</v>
      </c>
      <c r="B75" s="265">
        <v>631594</v>
      </c>
      <c r="C75" s="114">
        <f t="shared" si="165"/>
        <v>32089509</v>
      </c>
      <c r="D75" s="91">
        <v>7505.48</v>
      </c>
      <c r="E75" s="93">
        <f t="shared" si="166"/>
        <v>385647.47999999992</v>
      </c>
      <c r="F75" s="243">
        <f t="shared" si="167"/>
        <v>11680</v>
      </c>
      <c r="G75" s="240">
        <v>22610</v>
      </c>
      <c r="H75" s="280">
        <v>17.82</v>
      </c>
      <c r="I75" s="240">
        <f>11200+11300</f>
        <v>22500</v>
      </c>
      <c r="J75" s="240">
        <f t="shared" si="207"/>
        <v>11790</v>
      </c>
      <c r="K75" s="280">
        <f t="shared" si="208"/>
        <v>18.667055101853407</v>
      </c>
      <c r="L75" s="240">
        <f t="shared" si="209"/>
        <v>924350</v>
      </c>
      <c r="M75" s="280">
        <f t="shared" si="210"/>
        <v>28.805364394949141</v>
      </c>
      <c r="N75" s="280">
        <f t="shared" si="211"/>
        <v>3.5270435159727125</v>
      </c>
      <c r="O75" s="1089"/>
      <c r="P75" s="1084"/>
      <c r="Q75" s="77">
        <f t="shared" si="172"/>
        <v>51758</v>
      </c>
      <c r="R75" s="35"/>
      <c r="S75" s="35">
        <v>49437</v>
      </c>
      <c r="T75" s="35">
        <f>Q75+R75-S75</f>
        <v>2321</v>
      </c>
      <c r="U75" s="36">
        <f>1000*T75/B75</f>
        <v>3.6748290832401826</v>
      </c>
      <c r="V75" s="74">
        <f t="shared" si="212"/>
        <v>43191</v>
      </c>
      <c r="W75" s="36">
        <f t="shared" si="213"/>
        <v>1.3459539066178918</v>
      </c>
      <c r="X75" s="1136"/>
      <c r="Y75" s="49">
        <f t="shared" si="176"/>
        <v>276</v>
      </c>
      <c r="Z75" s="50">
        <v>900</v>
      </c>
      <c r="AA75" s="50">
        <f>903+107</f>
        <v>1010</v>
      </c>
      <c r="AB75" s="50">
        <f>Y75+Z75-AA75</f>
        <v>166</v>
      </c>
      <c r="AC75" s="51">
        <f t="shared" si="214"/>
        <v>0.26282706928818195</v>
      </c>
      <c r="AD75" s="50">
        <f t="shared" si="215"/>
        <v>13933</v>
      </c>
      <c r="AE75" s="51">
        <f t="shared" si="216"/>
        <v>0.43419174783883419</v>
      </c>
      <c r="AF75" s="1047"/>
      <c r="AG75" s="40">
        <f t="shared" si="180"/>
        <v>567</v>
      </c>
      <c r="AH75" s="41"/>
      <c r="AI75" s="41">
        <v>452</v>
      </c>
      <c r="AJ75" s="41">
        <f t="shared" si="217"/>
        <v>115</v>
      </c>
      <c r="AK75" s="42">
        <f t="shared" si="218"/>
        <v>0.18207899378398149</v>
      </c>
      <c r="AL75" s="41">
        <f t="shared" si="219"/>
        <v>5931</v>
      </c>
      <c r="AM75" s="42">
        <f t="shared" si="220"/>
        <v>0.18482676067122125</v>
      </c>
      <c r="AN75" s="1058"/>
      <c r="AO75" s="67">
        <v>6.8</v>
      </c>
      <c r="AP75" s="67">
        <v>24</v>
      </c>
      <c r="AQ75" s="68">
        <f t="shared" si="221"/>
        <v>81.118559999999988</v>
      </c>
      <c r="AR75" s="68">
        <f t="shared" si="222"/>
        <v>10.807911019681617</v>
      </c>
      <c r="AS75" s="69">
        <f t="shared" si="223"/>
        <v>3694.4732400000012</v>
      </c>
      <c r="AT75" s="140">
        <f t="shared" si="224"/>
        <v>9.579923198253498</v>
      </c>
      <c r="AU75" s="1073"/>
      <c r="AV75" s="71">
        <v>3.9</v>
      </c>
      <c r="AW75" s="71">
        <v>12</v>
      </c>
      <c r="AX75" s="72">
        <f t="shared" si="229"/>
        <v>24.182963999999998</v>
      </c>
      <c r="AY75" s="72">
        <f t="shared" si="230"/>
        <v>3.2220409620703809</v>
      </c>
      <c r="AZ75" s="73">
        <f t="shared" si="231"/>
        <v>1210.3883519999997</v>
      </c>
      <c r="BA75" s="192">
        <f t="shared" si="232"/>
        <v>3.1385874789069019</v>
      </c>
      <c r="BB75" s="1075"/>
      <c r="BC75" s="90">
        <f t="shared" si="193"/>
        <v>26548</v>
      </c>
      <c r="BD75" s="59"/>
      <c r="BE75" s="56">
        <v>26548</v>
      </c>
      <c r="BF75" s="56"/>
      <c r="BG75" s="58">
        <f t="shared" si="225"/>
        <v>24387</v>
      </c>
      <c r="BH75" s="58">
        <f t="shared" si="226"/>
        <v>63.236508118761741</v>
      </c>
      <c r="BI75" s="1133"/>
      <c r="BJ75" s="64">
        <f t="shared" si="196"/>
        <v>1336</v>
      </c>
      <c r="BK75" s="64"/>
      <c r="BL75" s="64">
        <v>1048</v>
      </c>
      <c r="BM75" s="64">
        <f t="shared" si="204"/>
        <v>288</v>
      </c>
      <c r="BN75" s="65">
        <f t="shared" si="205"/>
        <v>0.4559891322590145</v>
      </c>
      <c r="BO75" s="64">
        <f t="shared" si="227"/>
        <v>9140</v>
      </c>
      <c r="BP75" s="65">
        <f t="shared" si="228"/>
        <v>0.28482829076630622</v>
      </c>
      <c r="BQ75" s="1071"/>
      <c r="BR75" s="77">
        <f t="shared" si="199"/>
        <v>51553</v>
      </c>
      <c r="BS75" s="35"/>
      <c r="BT75" s="35">
        <f>32353+7000+10000</f>
        <v>49353</v>
      </c>
      <c r="BU75" s="35">
        <f>BR75+BS75-BT75</f>
        <v>2200</v>
      </c>
      <c r="BV75" s="74">
        <f t="shared" si="90"/>
        <v>168943</v>
      </c>
      <c r="BW75" s="74">
        <f t="shared" si="89"/>
        <v>438.07624517603494</v>
      </c>
      <c r="BX75" s="1098"/>
      <c r="BY75" s="295">
        <f t="shared" si="201"/>
        <v>1150</v>
      </c>
      <c r="BZ75" s="296"/>
      <c r="CA75" s="296">
        <v>1150</v>
      </c>
      <c r="CB75" s="296"/>
      <c r="CC75" s="297"/>
      <c r="CD75" s="296">
        <f t="shared" si="233"/>
        <v>5100</v>
      </c>
      <c r="CE75" s="297">
        <f t="shared" si="234"/>
        <v>0.15893044670767634</v>
      </c>
      <c r="CF75" s="1061"/>
      <c r="CH75">
        <f t="shared" si="206"/>
        <v>0</v>
      </c>
    </row>
    <row r="76" spans="1:86">
      <c r="A76" s="30">
        <v>44024</v>
      </c>
      <c r="B76" s="265">
        <v>645444</v>
      </c>
      <c r="C76" s="114">
        <f t="shared" si="165"/>
        <v>32734953</v>
      </c>
      <c r="D76" s="91">
        <v>7278.6</v>
      </c>
      <c r="E76" s="93">
        <f t="shared" si="166"/>
        <v>392926.0799999999</v>
      </c>
      <c r="F76" s="243">
        <f t="shared" si="167"/>
        <v>22500</v>
      </c>
      <c r="G76" s="240"/>
      <c r="H76" s="280"/>
      <c r="I76" s="240">
        <v>10850</v>
      </c>
      <c r="J76" s="240">
        <f t="shared" si="207"/>
        <v>11650</v>
      </c>
      <c r="K76" s="280">
        <f t="shared" si="208"/>
        <v>18.049590669368683</v>
      </c>
      <c r="L76" s="240">
        <f t="shared" si="209"/>
        <v>936000</v>
      </c>
      <c r="M76" s="280">
        <f t="shared" si="210"/>
        <v>28.593289869699827</v>
      </c>
      <c r="N76" s="280">
        <f t="shared" si="211"/>
        <v>3.5010762666462383</v>
      </c>
      <c r="O76" s="1089"/>
      <c r="P76" s="1084"/>
      <c r="Q76" s="77">
        <f t="shared" si="172"/>
        <v>49437</v>
      </c>
      <c r="R76" s="35"/>
      <c r="S76" s="35">
        <v>47996</v>
      </c>
      <c r="T76" s="35">
        <f>Q76+R76-S76</f>
        <v>1441</v>
      </c>
      <c r="U76" s="36">
        <f>1000*T76/B76</f>
        <v>2.2325716870867187</v>
      </c>
      <c r="V76" s="74">
        <f t="shared" si="212"/>
        <v>44632</v>
      </c>
      <c r="W76" s="36">
        <f t="shared" si="213"/>
        <v>1.3634355913081653</v>
      </c>
      <c r="X76" s="1136"/>
      <c r="Y76" s="49">
        <f t="shared" si="176"/>
        <v>1010</v>
      </c>
      <c r="Z76" s="50"/>
      <c r="AA76" s="50">
        <f>707+92</f>
        <v>799</v>
      </c>
      <c r="AB76" s="50">
        <f>Y76+Z76-AA76</f>
        <v>211</v>
      </c>
      <c r="AC76" s="51">
        <f t="shared" si="214"/>
        <v>0.32690674946238557</v>
      </c>
      <c r="AD76" s="50">
        <f t="shared" si="215"/>
        <v>14144</v>
      </c>
      <c r="AE76" s="51">
        <f t="shared" si="216"/>
        <v>0.43207638025324185</v>
      </c>
      <c r="AF76" s="1047"/>
      <c r="AG76" s="40">
        <f t="shared" si="180"/>
        <v>452</v>
      </c>
      <c r="AH76" s="41"/>
      <c r="AI76" s="41">
        <v>307</v>
      </c>
      <c r="AJ76" s="41">
        <f t="shared" si="217"/>
        <v>145</v>
      </c>
      <c r="AK76" s="42">
        <f t="shared" si="218"/>
        <v>0.22465155768742137</v>
      </c>
      <c r="AL76" s="41">
        <f t="shared" si="219"/>
        <v>6076</v>
      </c>
      <c r="AM76" s="42">
        <f t="shared" si="220"/>
        <v>0.18561199706014547</v>
      </c>
      <c r="AN76" s="1058"/>
      <c r="AO76" s="67">
        <v>6.1</v>
      </c>
      <c r="AP76" s="67">
        <v>24</v>
      </c>
      <c r="AQ76" s="68">
        <f t="shared" si="221"/>
        <v>72.768119999999982</v>
      </c>
      <c r="AR76" s="68">
        <f t="shared" si="222"/>
        <v>9.9975434836369601</v>
      </c>
      <c r="AS76" s="69">
        <f t="shared" si="223"/>
        <v>3767.2413600000014</v>
      </c>
      <c r="AT76" s="140">
        <f t="shared" si="224"/>
        <v>9.5876592360578421</v>
      </c>
      <c r="AU76" s="1073"/>
      <c r="AV76" s="216">
        <v>4</v>
      </c>
      <c r="AW76" s="71">
        <v>12</v>
      </c>
      <c r="AX76" s="72">
        <f t="shared" si="229"/>
        <v>24.803040000000003</v>
      </c>
      <c r="AY76" s="72">
        <f t="shared" si="230"/>
        <v>3.4076663094551156</v>
      </c>
      <c r="AZ76" s="73">
        <f t="shared" si="231"/>
        <v>1235.1913919999997</v>
      </c>
      <c r="BA76" s="192">
        <f t="shared" si="232"/>
        <v>3.1435719207032529</v>
      </c>
      <c r="BB76" s="1075"/>
      <c r="BC76" s="90">
        <f t="shared" si="193"/>
        <v>26548</v>
      </c>
      <c r="BD76" s="59"/>
      <c r="BE76" s="56">
        <v>26548</v>
      </c>
      <c r="BF76" s="56"/>
      <c r="BG76" s="58">
        <f t="shared" si="225"/>
        <v>24387</v>
      </c>
      <c r="BH76" s="58">
        <f t="shared" si="226"/>
        <v>62.065109040356923</v>
      </c>
      <c r="BI76" s="1133"/>
      <c r="BJ76" s="64">
        <f t="shared" si="196"/>
        <v>1048</v>
      </c>
      <c r="BK76" s="64"/>
      <c r="BL76" s="64">
        <v>1020</v>
      </c>
      <c r="BM76" s="64">
        <f t="shared" si="204"/>
        <v>28</v>
      </c>
      <c r="BN76" s="65">
        <f t="shared" si="205"/>
        <v>4.3380990449984815E-2</v>
      </c>
      <c r="BO76" s="64">
        <f t="shared" si="227"/>
        <v>9168</v>
      </c>
      <c r="BP76" s="65">
        <f t="shared" si="228"/>
        <v>0.28006760846731626</v>
      </c>
      <c r="BQ76" s="1071"/>
      <c r="BR76" s="77">
        <f t="shared" si="199"/>
        <v>49353</v>
      </c>
      <c r="BS76" s="35"/>
      <c r="BT76" s="35">
        <f>29326+17000</f>
        <v>46326</v>
      </c>
      <c r="BU76" s="35">
        <f>BR76+BS76-BT76</f>
        <v>3027</v>
      </c>
      <c r="BV76" s="74">
        <f t="shared" si="90"/>
        <v>171970</v>
      </c>
      <c r="BW76" s="74">
        <f t="shared" si="89"/>
        <v>437.66501831591336</v>
      </c>
      <c r="BX76" s="1098"/>
      <c r="BY76" s="295">
        <f t="shared" si="201"/>
        <v>1150</v>
      </c>
      <c r="BZ76" s="296"/>
      <c r="CA76" s="296">
        <v>1150</v>
      </c>
      <c r="CB76" s="296"/>
      <c r="CC76" s="297"/>
      <c r="CD76" s="296">
        <f t="shared" si="233"/>
        <v>5100</v>
      </c>
      <c r="CE76" s="297">
        <f t="shared" si="234"/>
        <v>0.15579677172592854</v>
      </c>
      <c r="CF76" s="1061"/>
      <c r="CH76">
        <f t="shared" si="206"/>
        <v>0</v>
      </c>
    </row>
    <row r="77" spans="1:86">
      <c r="A77" s="30">
        <v>44025</v>
      </c>
      <c r="B77" s="265">
        <v>615329</v>
      </c>
      <c r="C77" s="114">
        <f t="shared" si="165"/>
        <v>33350282</v>
      </c>
      <c r="D77" s="91">
        <v>6913.26</v>
      </c>
      <c r="E77" s="93">
        <f t="shared" si="166"/>
        <v>399839.33999999991</v>
      </c>
      <c r="F77" s="243">
        <f t="shared" si="167"/>
        <v>10850</v>
      </c>
      <c r="G77" s="240"/>
      <c r="H77" s="280"/>
      <c r="I77" s="240">
        <v>10520</v>
      </c>
      <c r="J77" s="240">
        <f t="shared" si="207"/>
        <v>330</v>
      </c>
      <c r="K77" s="280">
        <f t="shared" si="208"/>
        <v>0.53629846797404312</v>
      </c>
      <c r="L77" s="240">
        <f t="shared" si="209"/>
        <v>936330</v>
      </c>
      <c r="M77" s="280">
        <f t="shared" si="210"/>
        <v>28.075624667881367</v>
      </c>
      <c r="N77" s="280">
        <f t="shared" si="211"/>
        <v>3.4376912780557571</v>
      </c>
      <c r="O77" s="1089"/>
      <c r="P77" s="1084"/>
      <c r="Q77" s="77">
        <f t="shared" si="172"/>
        <v>47996</v>
      </c>
      <c r="R77" s="35"/>
      <c r="S77" s="35">
        <v>43212</v>
      </c>
      <c r="T77" s="35">
        <f>Q77+R77-S77</f>
        <v>4784</v>
      </c>
      <c r="U77" s="36">
        <f>1000*T77/B77</f>
        <v>7.774702638750977</v>
      </c>
      <c r="V77" s="74">
        <f t="shared" si="212"/>
        <v>49416</v>
      </c>
      <c r="W77" s="36">
        <f t="shared" si="213"/>
        <v>1.4817266012923069</v>
      </c>
      <c r="X77" s="1136"/>
      <c r="Y77" s="49">
        <f t="shared" si="176"/>
        <v>799</v>
      </c>
      <c r="Z77" s="50"/>
      <c r="AA77" s="50">
        <f>424+85</f>
        <v>509</v>
      </c>
      <c r="AB77" s="50">
        <f>Y77+Z77-AA77</f>
        <v>290</v>
      </c>
      <c r="AC77" s="51">
        <f t="shared" si="214"/>
        <v>0.47129259306809851</v>
      </c>
      <c r="AD77" s="50">
        <f t="shared" si="215"/>
        <v>14434</v>
      </c>
      <c r="AE77" s="51">
        <f t="shared" si="216"/>
        <v>0.43279993854324827</v>
      </c>
      <c r="AF77" s="1047"/>
      <c r="AG77" s="40">
        <f t="shared" si="180"/>
        <v>307</v>
      </c>
      <c r="AH77" s="41"/>
      <c r="AI77" s="41">
        <v>148</v>
      </c>
      <c r="AJ77" s="41">
        <f t="shared" si="217"/>
        <v>159</v>
      </c>
      <c r="AK77" s="42">
        <f t="shared" si="218"/>
        <v>0.25839835275112988</v>
      </c>
      <c r="AL77" s="41">
        <f t="shared" si="219"/>
        <v>6235</v>
      </c>
      <c r="AM77" s="42">
        <f t="shared" si="220"/>
        <v>0.18695494089075468</v>
      </c>
      <c r="AN77" s="1058"/>
      <c r="AO77" s="67">
        <v>6.3</v>
      </c>
      <c r="AP77" s="67">
        <v>24</v>
      </c>
      <c r="AQ77" s="68">
        <f t="shared" si="221"/>
        <v>75.153959999999998</v>
      </c>
      <c r="AR77" s="68">
        <f t="shared" si="222"/>
        <v>10.870987059650583</v>
      </c>
      <c r="AS77" s="69">
        <f t="shared" si="223"/>
        <v>3842.3953200000014</v>
      </c>
      <c r="AT77" s="140">
        <f t="shared" si="224"/>
        <v>9.6098480954875587</v>
      </c>
      <c r="AU77" s="1073"/>
      <c r="AV77" s="71">
        <v>3.8</v>
      </c>
      <c r="AW77" s="71">
        <v>12</v>
      </c>
      <c r="AX77" s="72">
        <f t="shared" si="229"/>
        <v>23.562887999999997</v>
      </c>
      <c r="AY77" s="72">
        <f t="shared" si="230"/>
        <v>3.4083613230227128</v>
      </c>
      <c r="AZ77" s="73">
        <f t="shared" si="231"/>
        <v>1258.7542799999997</v>
      </c>
      <c r="BA77" s="192">
        <f t="shared" si="232"/>
        <v>3.1481501545095583</v>
      </c>
      <c r="BB77" s="1075"/>
      <c r="BC77" s="90">
        <f t="shared" si="193"/>
        <v>26548</v>
      </c>
      <c r="BD77" s="59"/>
      <c r="BE77" s="56">
        <v>26548</v>
      </c>
      <c r="BF77" s="56"/>
      <c r="BG77" s="58">
        <f t="shared" si="225"/>
        <v>24387</v>
      </c>
      <c r="BH77" s="58">
        <f t="shared" si="226"/>
        <v>60.991997435770088</v>
      </c>
      <c r="BI77" s="1133"/>
      <c r="BJ77" s="64">
        <f t="shared" si="196"/>
        <v>1020</v>
      </c>
      <c r="BK77" s="64"/>
      <c r="BL77" s="64">
        <v>768</v>
      </c>
      <c r="BM77" s="64">
        <f t="shared" si="204"/>
        <v>252</v>
      </c>
      <c r="BN77" s="65">
        <f t="shared" si="205"/>
        <v>0.40953701190745112</v>
      </c>
      <c r="BO77" s="64">
        <f t="shared" si="227"/>
        <v>9420</v>
      </c>
      <c r="BP77" s="65">
        <f t="shared" si="228"/>
        <v>0.28245638222789243</v>
      </c>
      <c r="BQ77" s="1071"/>
      <c r="BR77" s="77">
        <f t="shared" si="199"/>
        <v>46326</v>
      </c>
      <c r="BS77" s="35"/>
      <c r="BT77" s="35">
        <f>26556+7000+10000</f>
        <v>43556</v>
      </c>
      <c r="BU77" s="35">
        <f>BR77+BS77-BT77</f>
        <v>2770</v>
      </c>
      <c r="BV77" s="74">
        <f t="shared" si="90"/>
        <v>174740</v>
      </c>
      <c r="BW77" s="74">
        <f t="shared" si="89"/>
        <v>437.02553130464861</v>
      </c>
      <c r="BX77" s="1098"/>
      <c r="BY77" s="295">
        <f t="shared" si="201"/>
        <v>1150</v>
      </c>
      <c r="BZ77" s="296"/>
      <c r="CA77" s="296">
        <v>1150</v>
      </c>
      <c r="CB77" s="296"/>
      <c r="CC77" s="297"/>
      <c r="CD77" s="296">
        <f t="shared" si="233"/>
        <v>5100</v>
      </c>
      <c r="CE77" s="297">
        <f t="shared" si="234"/>
        <v>0.15292224515522837</v>
      </c>
      <c r="CF77" s="1061"/>
      <c r="CH77">
        <f t="shared" si="206"/>
        <v>402910.2</v>
      </c>
    </row>
    <row r="78" spans="1:86">
      <c r="A78" s="30">
        <v>44026</v>
      </c>
      <c r="B78" s="265">
        <v>625164</v>
      </c>
      <c r="C78" s="114">
        <f t="shared" si="165"/>
        <v>33975446</v>
      </c>
      <c r="D78" s="91">
        <v>6748.5</v>
      </c>
      <c r="E78" s="93">
        <f t="shared" si="166"/>
        <v>406587.83999999991</v>
      </c>
      <c r="F78" s="243">
        <f t="shared" si="167"/>
        <v>10520</v>
      </c>
      <c r="G78" s="240">
        <v>31650</v>
      </c>
      <c r="H78" s="280">
        <v>8.75</v>
      </c>
      <c r="I78" s="240">
        <v>10100</v>
      </c>
      <c r="J78" s="240">
        <f t="shared" si="207"/>
        <v>32070</v>
      </c>
      <c r="K78" s="280">
        <f t="shared" si="208"/>
        <v>51.298539263297307</v>
      </c>
      <c r="L78" s="240">
        <f t="shared" si="209"/>
        <v>968400</v>
      </c>
      <c r="M78" s="280">
        <f t="shared" si="210"/>
        <v>28.502937091686743</v>
      </c>
      <c r="N78" s="280">
        <f t="shared" si="211"/>
        <v>3.4900131127325511</v>
      </c>
      <c r="O78" s="1089"/>
      <c r="P78" s="1084"/>
      <c r="Q78" s="77">
        <f t="shared" si="172"/>
        <v>43212</v>
      </c>
      <c r="R78" s="35"/>
      <c r="S78" s="35">
        <v>41172</v>
      </c>
      <c r="T78" s="35">
        <f>Q78+R78-S78</f>
        <v>2040</v>
      </c>
      <c r="U78" s="36">
        <f>1000*T78/B78</f>
        <v>3.2631437510797165</v>
      </c>
      <c r="V78" s="74">
        <f t="shared" si="212"/>
        <v>51456</v>
      </c>
      <c r="W78" s="36">
        <f t="shared" si="213"/>
        <v>1.5145055049461309</v>
      </c>
      <c r="X78" s="1136"/>
      <c r="Y78" s="49">
        <f t="shared" si="176"/>
        <v>509</v>
      </c>
      <c r="Z78" s="50"/>
      <c r="AA78" s="50">
        <f>187+55</f>
        <v>242</v>
      </c>
      <c r="AB78" s="50">
        <f>Y78+Z78-AA78+120</f>
        <v>387</v>
      </c>
      <c r="AC78" s="51">
        <f t="shared" si="214"/>
        <v>0.61903756454306391</v>
      </c>
      <c r="AD78" s="50">
        <f t="shared" si="215"/>
        <v>14821</v>
      </c>
      <c r="AE78" s="51">
        <f t="shared" si="216"/>
        <v>0.43622679743482984</v>
      </c>
      <c r="AF78" s="1047"/>
      <c r="AG78" s="40">
        <f t="shared" si="180"/>
        <v>148</v>
      </c>
      <c r="AH78" s="41">
        <v>1000</v>
      </c>
      <c r="AI78" s="41">
        <v>925</v>
      </c>
      <c r="AJ78" s="41">
        <f t="shared" si="217"/>
        <v>223</v>
      </c>
      <c r="AK78" s="42">
        <f t="shared" si="218"/>
        <v>0.35670640024057687</v>
      </c>
      <c r="AL78" s="41">
        <f t="shared" si="219"/>
        <v>6458</v>
      </c>
      <c r="AM78" s="42">
        <f t="shared" si="220"/>
        <v>0.19007844665232651</v>
      </c>
      <c r="AN78" s="1058"/>
      <c r="AO78" s="67">
        <v>6.5</v>
      </c>
      <c r="AP78" s="67">
        <v>24</v>
      </c>
      <c r="AQ78" s="68">
        <f t="shared" si="221"/>
        <v>77.5398</v>
      </c>
      <c r="AR78" s="68">
        <f t="shared" si="222"/>
        <v>11.489931095799067</v>
      </c>
      <c r="AS78" s="69">
        <f t="shared" si="223"/>
        <v>3919.9351200000015</v>
      </c>
      <c r="AT78" s="140">
        <f t="shared" si="224"/>
        <v>9.6410535051909143</v>
      </c>
      <c r="AU78" s="1073"/>
      <c r="AV78" s="71">
        <v>3.7</v>
      </c>
      <c r="AW78" s="71">
        <v>12</v>
      </c>
      <c r="AX78" s="72">
        <f t="shared" si="229"/>
        <v>22.942812000000004</v>
      </c>
      <c r="AY78" s="72">
        <f t="shared" si="230"/>
        <v>3.3996905979106478</v>
      </c>
      <c r="AZ78" s="73">
        <f t="shared" si="231"/>
        <v>1281.6970919999997</v>
      </c>
      <c r="BA78" s="192">
        <f t="shared" si="232"/>
        <v>3.1523251949689395</v>
      </c>
      <c r="BB78" s="1075"/>
      <c r="BC78" s="90">
        <f t="shared" si="193"/>
        <v>26548</v>
      </c>
      <c r="BD78" s="59"/>
      <c r="BE78" s="56">
        <v>26548</v>
      </c>
      <c r="BF78" s="56"/>
      <c r="BG78" s="58">
        <f t="shared" si="225"/>
        <v>24387</v>
      </c>
      <c r="BH78" s="58">
        <f t="shared" si="226"/>
        <v>59.979659008001825</v>
      </c>
      <c r="BI78" s="1133"/>
      <c r="BJ78" s="64">
        <f t="shared" si="196"/>
        <v>768</v>
      </c>
      <c r="BK78" s="64"/>
      <c r="BL78" s="64">
        <v>516</v>
      </c>
      <c r="BM78" s="64">
        <f t="shared" si="204"/>
        <v>252</v>
      </c>
      <c r="BN78" s="65">
        <f t="shared" si="205"/>
        <v>0.40309422807455325</v>
      </c>
      <c r="BO78" s="64">
        <f t="shared" si="227"/>
        <v>9672</v>
      </c>
      <c r="BP78" s="65">
        <f t="shared" si="228"/>
        <v>0.28467617467037815</v>
      </c>
      <c r="BQ78" s="1071"/>
      <c r="BR78" s="77">
        <f t="shared" si="199"/>
        <v>43556</v>
      </c>
      <c r="BS78" s="35"/>
      <c r="BT78" s="35">
        <f>41856+10000-1300</f>
        <v>50556</v>
      </c>
      <c r="BU78" s="35"/>
      <c r="BV78" s="74">
        <f t="shared" si="90"/>
        <v>174740</v>
      </c>
      <c r="BW78" s="74">
        <f t="shared" si="89"/>
        <v>429.7718298707606</v>
      </c>
      <c r="BX78" s="1098"/>
      <c r="BY78" s="295">
        <f t="shared" si="201"/>
        <v>1150</v>
      </c>
      <c r="BZ78" s="296"/>
      <c r="CA78" s="296">
        <v>1150</v>
      </c>
      <c r="CB78" s="296"/>
      <c r="CC78" s="297"/>
      <c r="CD78" s="296">
        <f t="shared" si="233"/>
        <v>5100</v>
      </c>
      <c r="CE78" s="297">
        <f t="shared" si="234"/>
        <v>0.15010840475795373</v>
      </c>
      <c r="CF78" s="1061"/>
      <c r="CH78">
        <f t="shared" si="206"/>
        <v>0</v>
      </c>
    </row>
    <row r="79" spans="1:86">
      <c r="A79" s="30">
        <v>44027</v>
      </c>
      <c r="B79" s="265">
        <v>640737</v>
      </c>
      <c r="C79" s="114">
        <f t="shared" si="165"/>
        <v>34616183</v>
      </c>
      <c r="D79" s="91">
        <v>6886.9</v>
      </c>
      <c r="E79" s="93">
        <f t="shared" si="166"/>
        <v>413474.73999999993</v>
      </c>
      <c r="F79" s="243">
        <f t="shared" si="167"/>
        <v>10100</v>
      </c>
      <c r="G79" s="240">
        <f>20800+20800</f>
        <v>41600</v>
      </c>
      <c r="H79" s="280">
        <f>(17.84+23.53)/2</f>
        <v>20.685000000000002</v>
      </c>
      <c r="I79" s="240">
        <f>30000+9800</f>
        <v>39800</v>
      </c>
      <c r="J79" s="240">
        <f t="shared" si="207"/>
        <v>11900</v>
      </c>
      <c r="K79" s="280">
        <f t="shared" si="208"/>
        <v>18.572362763505151</v>
      </c>
      <c r="L79" s="240">
        <f t="shared" si="209"/>
        <v>980300</v>
      </c>
      <c r="M79" s="280">
        <f t="shared" si="210"/>
        <v>28.31912461290143</v>
      </c>
      <c r="N79" s="280">
        <f t="shared" si="211"/>
        <v>3.4675063809111584</v>
      </c>
      <c r="O79" s="1089"/>
      <c r="P79" s="1084"/>
      <c r="Q79" s="77">
        <f t="shared" si="172"/>
        <v>41172</v>
      </c>
      <c r="R79" s="35"/>
      <c r="S79" s="35">
        <v>41172</v>
      </c>
      <c r="T79" s="35"/>
      <c r="U79" s="36"/>
      <c r="V79" s="74">
        <f t="shared" si="212"/>
        <v>51456</v>
      </c>
      <c r="W79" s="36">
        <f t="shared" si="213"/>
        <v>1.4864723820069936</v>
      </c>
      <c r="X79" s="1136"/>
      <c r="Y79" s="49">
        <f t="shared" si="176"/>
        <v>242</v>
      </c>
      <c r="Z79" s="50">
        <v>900</v>
      </c>
      <c r="AA79" s="50">
        <f>743+58</f>
        <v>801</v>
      </c>
      <c r="AB79" s="50">
        <f t="shared" ref="AB79:AB97" si="235">Y79+Z79-AA79</f>
        <v>341</v>
      </c>
      <c r="AC79" s="51">
        <f t="shared" si="214"/>
        <v>0.53219963885338295</v>
      </c>
      <c r="AD79" s="50">
        <f t="shared" si="215"/>
        <v>15162</v>
      </c>
      <c r="AE79" s="51">
        <f t="shared" si="216"/>
        <v>0.43800323103214472</v>
      </c>
      <c r="AF79" s="1047"/>
      <c r="AG79" s="40">
        <f t="shared" si="180"/>
        <v>925</v>
      </c>
      <c r="AH79" s="41"/>
      <c r="AI79" s="41">
        <v>745</v>
      </c>
      <c r="AJ79" s="41">
        <f t="shared" si="217"/>
        <v>180</v>
      </c>
      <c r="AK79" s="42">
        <f t="shared" si="218"/>
        <v>0.28092649558243088</v>
      </c>
      <c r="AL79" s="41">
        <f t="shared" si="219"/>
        <v>6638</v>
      </c>
      <c r="AM79" s="42">
        <f t="shared" si="220"/>
        <v>0.19176002160607944</v>
      </c>
      <c r="AN79" s="1058"/>
      <c r="AO79" s="67">
        <v>6.2</v>
      </c>
      <c r="AP79" s="67">
        <v>24</v>
      </c>
      <c r="AQ79" s="68">
        <f t="shared" si="221"/>
        <v>73.961040000000011</v>
      </c>
      <c r="AR79" s="68">
        <f t="shared" si="222"/>
        <v>10.739380563098058</v>
      </c>
      <c r="AS79" s="69">
        <f t="shared" si="223"/>
        <v>3993.8961600000016</v>
      </c>
      <c r="AT79" s="140">
        <f t="shared" si="224"/>
        <v>9.6593474126134087</v>
      </c>
      <c r="AU79" s="1073"/>
      <c r="AV79" s="71">
        <v>3.7</v>
      </c>
      <c r="AW79" s="71">
        <v>12</v>
      </c>
      <c r="AX79" s="72">
        <f t="shared" si="229"/>
        <v>22.942812000000004</v>
      </c>
      <c r="AY79" s="72">
        <f t="shared" si="230"/>
        <v>3.3313699923042308</v>
      </c>
      <c r="AZ79" s="73">
        <f t="shared" si="231"/>
        <v>1304.6399039999997</v>
      </c>
      <c r="BA79" s="192">
        <f t="shared" si="232"/>
        <v>3.1553073931432905</v>
      </c>
      <c r="BB79" s="1075"/>
      <c r="BC79" s="90">
        <f t="shared" si="193"/>
        <v>26548</v>
      </c>
      <c r="BD79" s="59"/>
      <c r="BE79" s="56">
        <v>26548</v>
      </c>
      <c r="BF79" s="56"/>
      <c r="BG79" s="58">
        <f t="shared" si="225"/>
        <v>24387</v>
      </c>
      <c r="BH79" s="58">
        <f t="shared" si="226"/>
        <v>58.980628417590886</v>
      </c>
      <c r="BI79" s="1133"/>
      <c r="BJ79" s="64">
        <f t="shared" si="196"/>
        <v>516</v>
      </c>
      <c r="BK79" s="64"/>
      <c r="BL79" s="64">
        <v>336</v>
      </c>
      <c r="BM79" s="64">
        <f t="shared" si="204"/>
        <v>180</v>
      </c>
      <c r="BN79" s="65">
        <f t="shared" si="205"/>
        <v>0.28092649558243088</v>
      </c>
      <c r="BO79" s="64">
        <f t="shared" si="227"/>
        <v>9852</v>
      </c>
      <c r="BP79" s="65">
        <f t="shared" si="228"/>
        <v>0.28460676903632037</v>
      </c>
      <c r="BQ79" s="1071"/>
      <c r="BR79" s="77">
        <f t="shared" si="199"/>
        <v>50556</v>
      </c>
      <c r="BS79" s="35"/>
      <c r="BT79" s="35">
        <f>38568+10000</f>
        <v>48568</v>
      </c>
      <c r="BU79" s="35">
        <f>BR79+BS79-BT79</f>
        <v>1988</v>
      </c>
      <c r="BV79" s="74">
        <f t="shared" si="90"/>
        <v>176728</v>
      </c>
      <c r="BW79" s="74">
        <f t="shared" si="89"/>
        <v>427.42151551990827</v>
      </c>
      <c r="BX79" s="1098"/>
      <c r="BY79" s="295">
        <f t="shared" si="201"/>
        <v>1150</v>
      </c>
      <c r="BZ79" s="296"/>
      <c r="CA79" s="296">
        <v>1150</v>
      </c>
      <c r="CB79" s="296"/>
      <c r="CC79" s="297"/>
      <c r="CD79" s="296">
        <f t="shared" si="233"/>
        <v>5100</v>
      </c>
      <c r="CE79" s="297">
        <f t="shared" si="234"/>
        <v>0.14732993525022675</v>
      </c>
      <c r="CF79" s="1061"/>
      <c r="CH79">
        <f t="shared" si="206"/>
        <v>0</v>
      </c>
    </row>
    <row r="80" spans="1:86">
      <c r="A80" s="30">
        <v>44028</v>
      </c>
      <c r="B80" s="265">
        <v>632509</v>
      </c>
      <c r="C80" s="114">
        <f t="shared" si="165"/>
        <v>35248692</v>
      </c>
      <c r="D80" s="91">
        <v>7421.32</v>
      </c>
      <c r="E80" s="93">
        <f t="shared" si="166"/>
        <v>420896.05999999994</v>
      </c>
      <c r="F80" s="243">
        <f t="shared" si="167"/>
        <v>39800</v>
      </c>
      <c r="G80" s="240">
        <v>20800</v>
      </c>
      <c r="H80" s="280">
        <v>22.25</v>
      </c>
      <c r="I80" s="240">
        <f>30800+9530</f>
        <v>40330</v>
      </c>
      <c r="J80" s="240">
        <f t="shared" si="207"/>
        <v>20270</v>
      </c>
      <c r="K80" s="280">
        <f t="shared" si="208"/>
        <v>32.046974825654658</v>
      </c>
      <c r="L80" s="240">
        <f t="shared" si="209"/>
        <v>1000570</v>
      </c>
      <c r="M80" s="280">
        <f t="shared" si="210"/>
        <v>28.386017841456358</v>
      </c>
      <c r="N80" s="280">
        <f t="shared" si="211"/>
        <v>3.4756970541761185</v>
      </c>
      <c r="O80" s="1089"/>
      <c r="P80" s="1084"/>
      <c r="Q80" s="77">
        <f t="shared" si="172"/>
        <v>41172</v>
      </c>
      <c r="R80" s="35"/>
      <c r="S80" s="35">
        <v>41172</v>
      </c>
      <c r="T80" s="35"/>
      <c r="U80" s="36"/>
      <c r="V80" s="74">
        <f t="shared" si="212"/>
        <v>51456</v>
      </c>
      <c r="W80" s="36">
        <f t="shared" si="213"/>
        <v>1.4597988487062159</v>
      </c>
      <c r="X80" s="1136"/>
      <c r="Y80" s="49">
        <f t="shared" si="176"/>
        <v>801</v>
      </c>
      <c r="Z80" s="50"/>
      <c r="AA80" s="50">
        <f>441+60</f>
        <v>501</v>
      </c>
      <c r="AB80" s="50">
        <f t="shared" si="235"/>
        <v>300</v>
      </c>
      <c r="AC80" s="51">
        <f t="shared" si="214"/>
        <v>0.47430155144037478</v>
      </c>
      <c r="AD80" s="50">
        <f t="shared" si="215"/>
        <v>15462</v>
      </c>
      <c r="AE80" s="51">
        <f t="shared" si="216"/>
        <v>0.43865457475698671</v>
      </c>
      <c r="AF80" s="1047"/>
      <c r="AG80" s="40">
        <f t="shared" si="180"/>
        <v>745</v>
      </c>
      <c r="AH80" s="41"/>
      <c r="AI80" s="41">
        <v>646</v>
      </c>
      <c r="AJ80" s="41">
        <f t="shared" si="217"/>
        <v>99</v>
      </c>
      <c r="AK80" s="42">
        <f t="shared" si="218"/>
        <v>0.15651951197532368</v>
      </c>
      <c r="AL80" s="41">
        <f t="shared" si="219"/>
        <v>6737</v>
      </c>
      <c r="AM80" s="42">
        <f t="shared" si="220"/>
        <v>0.19112765943201523</v>
      </c>
      <c r="AN80" s="1058"/>
      <c r="AO80" s="67">
        <v>5.9</v>
      </c>
      <c r="AP80" s="67">
        <v>24</v>
      </c>
      <c r="AQ80" s="68">
        <f t="shared" ref="AQ80:AQ90" si="236">AO80*AP80*0.49705</f>
        <v>70.382280000000009</v>
      </c>
      <c r="AR80" s="68">
        <f t="shared" ref="AR80:AR90" si="237">AQ80*1000/D80</f>
        <v>9.4837953356006768</v>
      </c>
      <c r="AS80" s="69">
        <f t="shared" ref="AS80:AS90" si="238">AS79+AQ80</f>
        <v>4064.2784400000014</v>
      </c>
      <c r="AT80" s="140">
        <f t="shared" ref="AT80:AT90" si="239">AS80*1000/E80</f>
        <v>9.6562520447447326</v>
      </c>
      <c r="AU80" s="1073"/>
      <c r="AV80" s="216">
        <v>3.5</v>
      </c>
      <c r="AW80" s="71">
        <v>12</v>
      </c>
      <c r="AX80" s="72">
        <f t="shared" ref="AX80:AX94" si="240">AV80*AW80*0.51673</f>
        <v>21.702660000000002</v>
      </c>
      <c r="AY80" s="72">
        <f t="shared" ref="AY80:AY94" si="241">AX80*1000/D80</f>
        <v>2.9243665547368933</v>
      </c>
      <c r="AZ80" s="73">
        <f t="shared" ref="AZ80:AZ94" si="242">AZ79+AX80</f>
        <v>1326.3425639999996</v>
      </c>
      <c r="BA80" s="192">
        <f t="shared" ref="BA80:BA94" si="243">AZ80*1000/E80</f>
        <v>3.1512354000177614</v>
      </c>
      <c r="BB80" s="1075"/>
      <c r="BC80" s="90">
        <f t="shared" si="193"/>
        <v>26548</v>
      </c>
      <c r="BD80" s="59"/>
      <c r="BE80" s="56">
        <v>26548</v>
      </c>
      <c r="BF80" s="56"/>
      <c r="BG80" s="58">
        <f t="shared" si="225"/>
        <v>24387</v>
      </c>
      <c r="BH80" s="58">
        <f t="shared" si="226"/>
        <v>57.940670672944776</v>
      </c>
      <c r="BI80" s="1133"/>
      <c r="BJ80" s="64">
        <f t="shared" si="196"/>
        <v>336</v>
      </c>
      <c r="BK80" s="64">
        <v>1100</v>
      </c>
      <c r="BL80" s="64">
        <v>1142</v>
      </c>
      <c r="BM80" s="64">
        <f t="shared" si="204"/>
        <v>294</v>
      </c>
      <c r="BN80" s="65">
        <f t="shared" si="205"/>
        <v>0.46481552041156726</v>
      </c>
      <c r="BO80" s="64">
        <f t="shared" si="227"/>
        <v>10146</v>
      </c>
      <c r="BP80" s="65">
        <f t="shared" si="228"/>
        <v>0.2878404679526832</v>
      </c>
      <c r="BQ80" s="1071"/>
      <c r="BR80" s="77">
        <f t="shared" si="199"/>
        <v>48568</v>
      </c>
      <c r="BS80" s="35"/>
      <c r="BT80" s="35">
        <f>33947+10000</f>
        <v>43947</v>
      </c>
      <c r="BU80" s="35">
        <f>BR80+BS80-BT80</f>
        <v>4621</v>
      </c>
      <c r="BV80" s="74">
        <f t="shared" si="90"/>
        <v>181349</v>
      </c>
      <c r="BW80" s="74">
        <f t="shared" si="89"/>
        <v>430.86409504522334</v>
      </c>
      <c r="BX80" s="1098"/>
      <c r="BY80" s="295">
        <v>1150</v>
      </c>
      <c r="BZ80" s="296"/>
      <c r="CA80" s="296">
        <v>1150</v>
      </c>
      <c r="CB80" s="296"/>
      <c r="CC80" s="297"/>
      <c r="CD80" s="296">
        <f t="shared" si="233"/>
        <v>5100</v>
      </c>
      <c r="CE80" s="297">
        <f t="shared" si="234"/>
        <v>0.14468621984611513</v>
      </c>
      <c r="CF80" s="1061"/>
      <c r="CH80">
        <f t="shared" si="206"/>
        <v>276937.5</v>
      </c>
    </row>
    <row r="81" spans="1:86">
      <c r="A81" s="30">
        <v>44029</v>
      </c>
      <c r="B81" s="265">
        <v>661677</v>
      </c>
      <c r="C81" s="114">
        <f t="shared" si="165"/>
        <v>35910369</v>
      </c>
      <c r="D81" s="91">
        <v>6556.12</v>
      </c>
      <c r="E81" s="93">
        <f t="shared" si="166"/>
        <v>427452.17999999993</v>
      </c>
      <c r="F81" s="243">
        <f t="shared" si="167"/>
        <v>40330</v>
      </c>
      <c r="G81" s="240">
        <v>20800</v>
      </c>
      <c r="H81" s="280">
        <v>23.87</v>
      </c>
      <c r="I81" s="240">
        <f>30000+9380</f>
        <v>39380</v>
      </c>
      <c r="J81" s="240">
        <f t="shared" si="207"/>
        <v>21750</v>
      </c>
      <c r="K81" s="280">
        <f t="shared" si="208"/>
        <v>32.871023172937853</v>
      </c>
      <c r="L81" s="240">
        <f t="shared" si="209"/>
        <v>1022320</v>
      </c>
      <c r="M81" s="280">
        <f t="shared" si="210"/>
        <v>28.4686576180824</v>
      </c>
      <c r="N81" s="280">
        <f t="shared" si="211"/>
        <v>3.4858157974877435</v>
      </c>
      <c r="O81" s="1089"/>
      <c r="P81" s="1084"/>
      <c r="Q81" s="77">
        <f t="shared" si="172"/>
        <v>41172</v>
      </c>
      <c r="R81" s="35"/>
      <c r="S81" s="35">
        <v>41172</v>
      </c>
      <c r="T81" s="35"/>
      <c r="U81" s="36"/>
      <c r="V81" s="74">
        <f t="shared" si="212"/>
        <v>51456</v>
      </c>
      <c r="W81" s="36">
        <f t="shared" si="213"/>
        <v>1.4329008983449878</v>
      </c>
      <c r="X81" s="1136"/>
      <c r="Y81" s="49">
        <f t="shared" si="176"/>
        <v>501</v>
      </c>
      <c r="Z81" s="50">
        <v>900</v>
      </c>
      <c r="AA81" s="50">
        <f>1073+83</f>
        <v>1156</v>
      </c>
      <c r="AB81" s="50">
        <f t="shared" si="235"/>
        <v>245</v>
      </c>
      <c r="AC81" s="51">
        <f t="shared" si="214"/>
        <v>0.37027129551125398</v>
      </c>
      <c r="AD81" s="50">
        <f t="shared" si="215"/>
        <v>15707</v>
      </c>
      <c r="AE81" s="51">
        <f t="shared" si="216"/>
        <v>0.43739455865797422</v>
      </c>
      <c r="AF81" s="1047"/>
      <c r="AG81" s="40">
        <f t="shared" si="180"/>
        <v>646</v>
      </c>
      <c r="AH81" s="41"/>
      <c r="AI81" s="41">
        <v>528</v>
      </c>
      <c r="AJ81" s="41">
        <f t="shared" si="217"/>
        <v>118</v>
      </c>
      <c r="AK81" s="42">
        <f t="shared" si="218"/>
        <v>0.17833474640950192</v>
      </c>
      <c r="AL81" s="41">
        <f t="shared" si="219"/>
        <v>6855</v>
      </c>
      <c r="AM81" s="42">
        <f t="shared" si="220"/>
        <v>0.19089193987396788</v>
      </c>
      <c r="AN81" s="1058"/>
      <c r="AO81" s="67">
        <v>5.8</v>
      </c>
      <c r="AP81" s="67">
        <v>24</v>
      </c>
      <c r="AQ81" s="68">
        <f t="shared" si="236"/>
        <v>69.189359999999994</v>
      </c>
      <c r="AR81" s="68">
        <f t="shared" si="237"/>
        <v>10.553400486873334</v>
      </c>
      <c r="AS81" s="69">
        <f t="shared" si="238"/>
        <v>4133.4678000000013</v>
      </c>
      <c r="AT81" s="140">
        <f t="shared" si="239"/>
        <v>9.6700122104886717</v>
      </c>
      <c r="AU81" s="1073"/>
      <c r="AV81" s="71">
        <v>3.1</v>
      </c>
      <c r="AW81" s="71">
        <v>12</v>
      </c>
      <c r="AX81" s="72">
        <f t="shared" si="240"/>
        <v>19.222356000000001</v>
      </c>
      <c r="AY81" s="72">
        <f t="shared" si="241"/>
        <v>2.9319713489075858</v>
      </c>
      <c r="AZ81" s="73">
        <f t="shared" si="242"/>
        <v>1345.5649199999996</v>
      </c>
      <c r="BA81" s="192">
        <f t="shared" si="243"/>
        <v>3.1478724006039687</v>
      </c>
      <c r="BB81" s="1075"/>
      <c r="BC81" s="90">
        <f t="shared" si="193"/>
        <v>26548</v>
      </c>
      <c r="BD81" s="59"/>
      <c r="BE81" s="56">
        <v>26548</v>
      </c>
      <c r="BF81" s="56"/>
      <c r="BG81" s="58">
        <f t="shared" si="225"/>
        <v>24387</v>
      </c>
      <c r="BH81" s="58">
        <f t="shared" si="226"/>
        <v>57.051995851325415</v>
      </c>
      <c r="BI81" s="1133"/>
      <c r="BJ81" s="64">
        <f t="shared" si="196"/>
        <v>1142</v>
      </c>
      <c r="BK81" s="64"/>
      <c r="BL81" s="64">
        <v>936</v>
      </c>
      <c r="BM81" s="64">
        <f t="shared" si="204"/>
        <v>206</v>
      </c>
      <c r="BN81" s="65">
        <f t="shared" si="205"/>
        <v>0.31133015051150337</v>
      </c>
      <c r="BO81" s="64">
        <f t="shared" si="227"/>
        <v>10352</v>
      </c>
      <c r="BP81" s="65">
        <f t="shared" si="228"/>
        <v>0.28827328396430568</v>
      </c>
      <c r="BQ81" s="1071"/>
      <c r="BR81" s="77">
        <f t="shared" si="199"/>
        <v>43947</v>
      </c>
      <c r="BS81" s="35"/>
      <c r="BT81" s="35">
        <f>32099+10000</f>
        <v>42099</v>
      </c>
      <c r="BU81" s="35">
        <f>BR81+BS81-BT81</f>
        <v>1848</v>
      </c>
      <c r="BV81" s="74">
        <f t="shared" si="90"/>
        <v>183197</v>
      </c>
      <c r="BW81" s="74">
        <f t="shared" si="89"/>
        <v>428.57893484131961</v>
      </c>
      <c r="BX81" s="1098"/>
      <c r="BY81" s="295">
        <v>1150</v>
      </c>
      <c r="BZ81" s="296"/>
      <c r="CA81" s="296">
        <v>1150</v>
      </c>
      <c r="CB81" s="296"/>
      <c r="CC81" s="297"/>
      <c r="CD81" s="296">
        <f t="shared" si="233"/>
        <v>5100</v>
      </c>
      <c r="CE81" s="297">
        <f t="shared" si="234"/>
        <v>0.14202026161301767</v>
      </c>
      <c r="CF81" s="1061"/>
      <c r="CH81">
        <f t="shared" si="206"/>
        <v>860496.00000000012</v>
      </c>
    </row>
    <row r="82" spans="1:86">
      <c r="A82" s="30">
        <v>44030</v>
      </c>
      <c r="B82" s="265">
        <v>603095</v>
      </c>
      <c r="C82" s="114">
        <f t="shared" si="165"/>
        <v>36513464</v>
      </c>
      <c r="D82" s="91">
        <v>6710.78</v>
      </c>
      <c r="E82" s="93">
        <f t="shared" si="166"/>
        <v>434162.95999999996</v>
      </c>
      <c r="F82" s="243">
        <f t="shared" si="167"/>
        <v>39380</v>
      </c>
      <c r="G82" s="240">
        <v>20800</v>
      </c>
      <c r="H82" s="280">
        <v>26.01</v>
      </c>
      <c r="I82" s="240">
        <f>34000+9220</f>
        <v>43220</v>
      </c>
      <c r="J82" s="240">
        <f t="shared" si="207"/>
        <v>16960</v>
      </c>
      <c r="K82" s="280">
        <f t="shared" si="208"/>
        <v>28.121606048798281</v>
      </c>
      <c r="L82" s="240">
        <f t="shared" si="209"/>
        <v>1039280</v>
      </c>
      <c r="M82" s="280">
        <f t="shared" si="210"/>
        <v>28.462925347208909</v>
      </c>
      <c r="N82" s="280">
        <f t="shared" si="211"/>
        <v>3.4851139154167883</v>
      </c>
      <c r="O82" s="1089"/>
      <c r="P82" s="1084"/>
      <c r="Q82" s="77">
        <f t="shared" si="172"/>
        <v>41172</v>
      </c>
      <c r="R82" s="35"/>
      <c r="S82" s="35">
        <v>41172</v>
      </c>
      <c r="T82" s="35"/>
      <c r="U82" s="36"/>
      <c r="V82" s="74">
        <f t="shared" si="212"/>
        <v>51456</v>
      </c>
      <c r="W82" s="36">
        <f t="shared" si="213"/>
        <v>1.4092335912035079</v>
      </c>
      <c r="X82" s="1136"/>
      <c r="Y82" s="49">
        <f t="shared" si="176"/>
        <v>1156</v>
      </c>
      <c r="Z82" s="50"/>
      <c r="AA82" s="50">
        <f>868+52</f>
        <v>920</v>
      </c>
      <c r="AB82" s="50">
        <f t="shared" si="235"/>
        <v>236</v>
      </c>
      <c r="AC82" s="51">
        <f t="shared" si="214"/>
        <v>0.39131480115073081</v>
      </c>
      <c r="AD82" s="50">
        <f t="shared" si="215"/>
        <v>15943</v>
      </c>
      <c r="AE82" s="51">
        <f t="shared" si="216"/>
        <v>0.4366334566339693</v>
      </c>
      <c r="AF82" s="1047"/>
      <c r="AG82" s="40">
        <f t="shared" si="180"/>
        <v>528</v>
      </c>
      <c r="AH82" s="41"/>
      <c r="AI82" s="41">
        <v>433</v>
      </c>
      <c r="AJ82" s="41">
        <f t="shared" si="217"/>
        <v>95</v>
      </c>
      <c r="AK82" s="42">
        <f t="shared" si="218"/>
        <v>0.15752078859881113</v>
      </c>
      <c r="AL82" s="41">
        <f t="shared" si="219"/>
        <v>6950</v>
      </c>
      <c r="AM82" s="42">
        <f t="shared" si="220"/>
        <v>0.19034074663526857</v>
      </c>
      <c r="AN82" s="1058"/>
      <c r="AO82" s="67">
        <v>5.6</v>
      </c>
      <c r="AP82" s="67">
        <v>24</v>
      </c>
      <c r="AQ82" s="68">
        <f t="shared" si="236"/>
        <v>66.803519999999992</v>
      </c>
      <c r="AR82" s="68">
        <f t="shared" si="237"/>
        <v>9.9546580278298489</v>
      </c>
      <c r="AS82" s="69">
        <f t="shared" si="238"/>
        <v>4200.2713200000017</v>
      </c>
      <c r="AT82" s="140">
        <f t="shared" si="239"/>
        <v>9.6744119304880396</v>
      </c>
      <c r="AU82" s="1073"/>
      <c r="AV82" s="71">
        <v>3.3</v>
      </c>
      <c r="AW82" s="71">
        <v>12</v>
      </c>
      <c r="AX82" s="72">
        <f t="shared" si="240"/>
        <v>20.462508</v>
      </c>
      <c r="AY82" s="72">
        <f t="shared" si="241"/>
        <v>3.0491996459427964</v>
      </c>
      <c r="AZ82" s="73">
        <f t="shared" si="242"/>
        <v>1366.0274279999996</v>
      </c>
      <c r="BA82" s="192">
        <f t="shared" si="243"/>
        <v>3.1463472333061295</v>
      </c>
      <c r="BB82" s="1075"/>
      <c r="BC82" s="90">
        <f t="shared" si="193"/>
        <v>26548</v>
      </c>
      <c r="BD82" s="59"/>
      <c r="BE82" s="56">
        <v>26548</v>
      </c>
      <c r="BF82" s="56"/>
      <c r="BG82" s="58">
        <f t="shared" si="225"/>
        <v>24387</v>
      </c>
      <c r="BH82" s="58">
        <f t="shared" si="226"/>
        <v>56.170153253055034</v>
      </c>
      <c r="BI82" s="1133"/>
      <c r="BJ82" s="64">
        <f t="shared" si="196"/>
        <v>936</v>
      </c>
      <c r="BK82" s="64"/>
      <c r="BL82" s="64">
        <v>780</v>
      </c>
      <c r="BM82" s="64">
        <f t="shared" si="204"/>
        <v>156</v>
      </c>
      <c r="BN82" s="65">
        <f t="shared" si="205"/>
        <v>0.25866571601488986</v>
      </c>
      <c r="BO82" s="64">
        <f t="shared" si="227"/>
        <v>10508</v>
      </c>
      <c r="BP82" s="65">
        <f t="shared" si="228"/>
        <v>0.28778425404941038</v>
      </c>
      <c r="BQ82" s="1071"/>
      <c r="BR82" s="77">
        <f t="shared" si="199"/>
        <v>42099</v>
      </c>
      <c r="BS82" s="35"/>
      <c r="BT82" s="35">
        <f>29326+10000</f>
        <v>39326</v>
      </c>
      <c r="BU82" s="35">
        <f>BR82+BS82-BT82</f>
        <v>2773</v>
      </c>
      <c r="BV82" s="74">
        <f t="shared" si="90"/>
        <v>185970</v>
      </c>
      <c r="BW82" s="74">
        <f t="shared" si="89"/>
        <v>428.34146883465144</v>
      </c>
      <c r="BX82" s="1098"/>
      <c r="BY82" s="295">
        <v>1150</v>
      </c>
      <c r="BZ82" s="296"/>
      <c r="CA82" s="296">
        <v>1150</v>
      </c>
      <c r="CB82" s="296"/>
      <c r="CC82" s="297"/>
      <c r="CD82" s="296">
        <f t="shared" si="233"/>
        <v>5100</v>
      </c>
      <c r="CE82" s="297">
        <f t="shared" si="234"/>
        <v>0.1396745047251611</v>
      </c>
      <c r="CF82" s="1061"/>
      <c r="CH82">
        <f t="shared" si="206"/>
        <v>462800</v>
      </c>
    </row>
    <row r="83" spans="1:86">
      <c r="A83" s="30">
        <v>44031</v>
      </c>
      <c r="B83" s="265">
        <v>600418</v>
      </c>
      <c r="C83" s="114">
        <f t="shared" si="165"/>
        <v>37113882</v>
      </c>
      <c r="D83" s="91">
        <v>6559.38</v>
      </c>
      <c r="E83" s="93">
        <f t="shared" si="166"/>
        <v>440722.33999999997</v>
      </c>
      <c r="F83" s="243">
        <f t="shared" si="167"/>
        <v>43220</v>
      </c>
      <c r="G83" s="240"/>
      <c r="H83" s="280"/>
      <c r="I83" s="240">
        <f>18400+9040</f>
        <v>27440</v>
      </c>
      <c r="J83" s="240">
        <f t="shared" si="207"/>
        <v>15780</v>
      </c>
      <c r="K83" s="280">
        <f t="shared" si="208"/>
        <v>26.281690422339103</v>
      </c>
      <c r="L83" s="240">
        <f t="shared" si="209"/>
        <v>1055060</v>
      </c>
      <c r="M83" s="280">
        <f t="shared" si="210"/>
        <v>28.427637938817611</v>
      </c>
      <c r="N83" s="280">
        <f t="shared" si="211"/>
        <v>3.4807931846231925</v>
      </c>
      <c r="O83" s="1089"/>
      <c r="P83" s="1084"/>
      <c r="Q83" s="77">
        <f t="shared" si="172"/>
        <v>41172</v>
      </c>
      <c r="R83" s="35"/>
      <c r="S83" s="35">
        <v>41172</v>
      </c>
      <c r="T83" s="35"/>
      <c r="U83" s="36"/>
      <c r="V83" s="74">
        <f t="shared" si="212"/>
        <v>51456</v>
      </c>
      <c r="W83" s="36">
        <f t="shared" si="213"/>
        <v>1.3864354044128286</v>
      </c>
      <c r="X83" s="1136"/>
      <c r="Y83" s="49">
        <f t="shared" si="176"/>
        <v>920</v>
      </c>
      <c r="Z83" s="50"/>
      <c r="AA83" s="50">
        <f>707+55</f>
        <v>762</v>
      </c>
      <c r="AB83" s="50">
        <f t="shared" si="235"/>
        <v>158</v>
      </c>
      <c r="AC83" s="51">
        <f t="shared" si="214"/>
        <v>0.26315000549617101</v>
      </c>
      <c r="AD83" s="50">
        <f t="shared" si="215"/>
        <v>16101</v>
      </c>
      <c r="AE83" s="51">
        <f t="shared" si="216"/>
        <v>0.43382688989526885</v>
      </c>
      <c r="AF83" s="1047"/>
      <c r="AG83" s="40">
        <f t="shared" si="180"/>
        <v>433</v>
      </c>
      <c r="AH83" s="41"/>
      <c r="AI83" s="41">
        <v>325</v>
      </c>
      <c r="AJ83" s="41">
        <f t="shared" si="217"/>
        <v>108</v>
      </c>
      <c r="AK83" s="42">
        <f t="shared" si="218"/>
        <v>0.17987468730118017</v>
      </c>
      <c r="AL83" s="41">
        <f t="shared" si="219"/>
        <v>7058</v>
      </c>
      <c r="AM83" s="42">
        <f t="shared" si="220"/>
        <v>0.19017142965535105</v>
      </c>
      <c r="AN83" s="1058"/>
      <c r="AO83" s="67">
        <v>5.0999999999999996</v>
      </c>
      <c r="AP83" s="67">
        <v>24</v>
      </c>
      <c r="AQ83" s="68">
        <f t="shared" si="236"/>
        <v>60.838919999999995</v>
      </c>
      <c r="AR83" s="68">
        <f t="shared" si="237"/>
        <v>9.2751022200268913</v>
      </c>
      <c r="AS83" s="69">
        <f t="shared" si="238"/>
        <v>4261.1102400000018</v>
      </c>
      <c r="AT83" s="140">
        <f t="shared" si="239"/>
        <v>9.6684689049345724</v>
      </c>
      <c r="AU83" s="1073"/>
      <c r="AV83" s="71">
        <v>3.2</v>
      </c>
      <c r="AW83" s="71">
        <v>12</v>
      </c>
      <c r="AX83" s="72">
        <f t="shared" si="240"/>
        <v>19.842432000000002</v>
      </c>
      <c r="AY83" s="72">
        <f t="shared" si="241"/>
        <v>3.0250468794306777</v>
      </c>
      <c r="AZ83" s="73">
        <f t="shared" si="242"/>
        <v>1385.8698599999996</v>
      </c>
      <c r="BA83" s="192">
        <f t="shared" si="243"/>
        <v>3.1445418900253608</v>
      </c>
      <c r="BB83" s="1075"/>
      <c r="BC83" s="90">
        <f t="shared" si="193"/>
        <v>26548</v>
      </c>
      <c r="BD83" s="59"/>
      <c r="BE83" s="56">
        <v>22705</v>
      </c>
      <c r="BF83" s="56">
        <f>BC83-BE83+BD83</f>
        <v>3843</v>
      </c>
      <c r="BG83" s="58">
        <f t="shared" si="225"/>
        <v>28230</v>
      </c>
      <c r="BH83" s="58">
        <f t="shared" si="226"/>
        <v>64.053934729063201</v>
      </c>
      <c r="BI83" s="1133"/>
      <c r="BJ83" s="64">
        <f t="shared" si="196"/>
        <v>780</v>
      </c>
      <c r="BK83" s="64"/>
      <c r="BL83" s="64">
        <v>528</v>
      </c>
      <c r="BM83" s="64">
        <f t="shared" si="204"/>
        <v>252</v>
      </c>
      <c r="BN83" s="65">
        <f t="shared" si="205"/>
        <v>0.41970760370275373</v>
      </c>
      <c r="BO83" s="64">
        <f t="shared" si="227"/>
        <v>10760</v>
      </c>
      <c r="BP83" s="65">
        <f t="shared" si="228"/>
        <v>0.28991847309316765</v>
      </c>
      <c r="BQ83" s="1071"/>
      <c r="BR83" s="77">
        <f t="shared" si="199"/>
        <v>39326</v>
      </c>
      <c r="BS83" s="35"/>
      <c r="BT83" s="35">
        <f>27478+10000</f>
        <v>37478</v>
      </c>
      <c r="BU83" s="35">
        <f>BR83+BS83-BT83</f>
        <v>1848</v>
      </c>
      <c r="BV83" s="74">
        <f t="shared" si="90"/>
        <v>187818</v>
      </c>
      <c r="BW83" s="74">
        <f t="shared" si="89"/>
        <v>426.15947265119354</v>
      </c>
      <c r="BX83" s="1098"/>
      <c r="BY83" s="295">
        <v>1150</v>
      </c>
      <c r="BZ83" s="296"/>
      <c r="CA83" s="296">
        <v>1150</v>
      </c>
      <c r="CB83" s="296"/>
      <c r="CC83" s="297"/>
      <c r="CD83" s="296">
        <f t="shared" si="233"/>
        <v>5100</v>
      </c>
      <c r="CE83" s="297">
        <f t="shared" si="234"/>
        <v>0.13741488966311852</v>
      </c>
      <c r="CF83" s="1061"/>
      <c r="CH83">
        <f t="shared" si="206"/>
        <v>496496</v>
      </c>
    </row>
    <row r="84" spans="1:86">
      <c r="A84" s="30">
        <v>44032</v>
      </c>
      <c r="B84" s="265">
        <v>586495</v>
      </c>
      <c r="C84" s="114">
        <f t="shared" si="165"/>
        <v>37700377</v>
      </c>
      <c r="D84" s="91">
        <v>6897.98</v>
      </c>
      <c r="E84" s="93">
        <f t="shared" si="166"/>
        <v>447620.31999999995</v>
      </c>
      <c r="F84" s="243">
        <f t="shared" si="167"/>
        <v>27440</v>
      </c>
      <c r="G84" s="240"/>
      <c r="H84" s="280"/>
      <c r="I84" s="240">
        <f>2000+8850</f>
        <v>10850</v>
      </c>
      <c r="J84" s="240">
        <f t="shared" si="207"/>
        <v>16590</v>
      </c>
      <c r="K84" s="280">
        <f t="shared" si="208"/>
        <v>28.286686161007339</v>
      </c>
      <c r="L84" s="240">
        <f t="shared" si="209"/>
        <v>1071650</v>
      </c>
      <c r="M84" s="280">
        <f t="shared" si="210"/>
        <v>28.425445188518935</v>
      </c>
      <c r="N84" s="280">
        <f t="shared" si="211"/>
        <v>3.4805246955453577</v>
      </c>
      <c r="O84" s="1089"/>
      <c r="P84" s="1084"/>
      <c r="Q84" s="77">
        <f t="shared" si="172"/>
        <v>41172</v>
      </c>
      <c r="R84" s="35"/>
      <c r="S84" s="35">
        <v>41172</v>
      </c>
      <c r="T84" s="35"/>
      <c r="U84" s="36"/>
      <c r="V84" s="74">
        <f t="shared" si="212"/>
        <v>51456</v>
      </c>
      <c r="W84" s="36">
        <f t="shared" si="213"/>
        <v>1.3648669879348951</v>
      </c>
      <c r="X84" s="1136"/>
      <c r="Y84" s="49">
        <f t="shared" si="176"/>
        <v>762</v>
      </c>
      <c r="Z84" s="50"/>
      <c r="AA84" s="50">
        <f>510+55</f>
        <v>565</v>
      </c>
      <c r="AB84" s="50">
        <f t="shared" si="235"/>
        <v>197</v>
      </c>
      <c r="AC84" s="51">
        <f t="shared" si="214"/>
        <v>0.33589374163462604</v>
      </c>
      <c r="AD84" s="50">
        <f t="shared" si="215"/>
        <v>16298</v>
      </c>
      <c r="AE84" s="51">
        <f t="shared" si="216"/>
        <v>0.43230336927399959</v>
      </c>
      <c r="AF84" s="1047"/>
      <c r="AG84" s="40">
        <f t="shared" si="180"/>
        <v>325</v>
      </c>
      <c r="AH84" s="41"/>
      <c r="AI84" s="41">
        <v>256</v>
      </c>
      <c r="AJ84" s="41">
        <f t="shared" si="217"/>
        <v>69</v>
      </c>
      <c r="AK84" s="42">
        <f t="shared" si="218"/>
        <v>0.11764806179080811</v>
      </c>
      <c r="AL84" s="41">
        <f t="shared" si="219"/>
        <v>7127</v>
      </c>
      <c r="AM84" s="42">
        <f t="shared" si="220"/>
        <v>0.18904320240617223</v>
      </c>
      <c r="AN84" s="1058"/>
      <c r="AO84" s="67">
        <v>5.2</v>
      </c>
      <c r="AP84" s="67">
        <v>24</v>
      </c>
      <c r="AQ84" s="68">
        <f t="shared" si="236"/>
        <v>62.031840000000003</v>
      </c>
      <c r="AR84" s="68">
        <f t="shared" si="237"/>
        <v>8.9927544005636442</v>
      </c>
      <c r="AS84" s="69">
        <f t="shared" si="238"/>
        <v>4323.1420800000014</v>
      </c>
      <c r="AT84" s="140">
        <f t="shared" si="239"/>
        <v>9.6580559166750994</v>
      </c>
      <c r="AU84" s="1073"/>
      <c r="AV84" s="71">
        <v>3.3</v>
      </c>
      <c r="AW84" s="71">
        <v>12</v>
      </c>
      <c r="AX84" s="72">
        <f t="shared" si="240"/>
        <v>20.462508</v>
      </c>
      <c r="AY84" s="72">
        <f t="shared" si="241"/>
        <v>2.9664493083482411</v>
      </c>
      <c r="AZ84" s="73">
        <f t="shared" si="242"/>
        <v>1406.3323679999996</v>
      </c>
      <c r="BA84" s="192">
        <f t="shared" si="243"/>
        <v>3.1417974233162598</v>
      </c>
      <c r="BB84" s="1075"/>
      <c r="BC84" s="90">
        <f t="shared" si="193"/>
        <v>22705</v>
      </c>
      <c r="BD84" s="59"/>
      <c r="BE84" s="56">
        <v>22705</v>
      </c>
      <c r="BF84" s="56"/>
      <c r="BG84" s="58">
        <f t="shared" ref="BG84:BG97" si="244">BG83+BF84</f>
        <v>28230</v>
      </c>
      <c r="BH84" s="58">
        <f t="shared" ref="BH84:BH97" si="245">BG84*1000/E84</f>
        <v>63.066842005742728</v>
      </c>
      <c r="BI84" s="1133"/>
      <c r="BJ84" s="64">
        <f t="shared" si="196"/>
        <v>528</v>
      </c>
      <c r="BK84" s="64"/>
      <c r="BL84" s="64">
        <v>348</v>
      </c>
      <c r="BM84" s="64">
        <f t="shared" si="204"/>
        <v>180</v>
      </c>
      <c r="BN84" s="65">
        <f t="shared" si="205"/>
        <v>0.306907987280369</v>
      </c>
      <c r="BO84" s="64">
        <f t="shared" si="227"/>
        <v>10940</v>
      </c>
      <c r="BP84" s="65">
        <f t="shared" si="228"/>
        <v>0.29018277456482727</v>
      </c>
      <c r="BQ84" s="1071"/>
      <c r="BR84" s="77">
        <f t="shared" si="199"/>
        <v>37478</v>
      </c>
      <c r="BS84" s="35">
        <v>39580</v>
      </c>
      <c r="BT84" s="35">
        <f>32099+10000+39580-4621</f>
        <v>77058</v>
      </c>
      <c r="BU84" s="35"/>
      <c r="BV84" s="74">
        <f t="shared" si="90"/>
        <v>187818</v>
      </c>
      <c r="BW84" s="74">
        <f t="shared" si="89"/>
        <v>419.59221154213913</v>
      </c>
      <c r="BX84" s="1098"/>
      <c r="BY84" s="295">
        <v>1150</v>
      </c>
      <c r="BZ84" s="296"/>
      <c r="CA84" s="296">
        <v>1150</v>
      </c>
      <c r="CB84" s="296"/>
      <c r="CC84" s="297"/>
      <c r="CD84" s="296">
        <f t="shared" si="233"/>
        <v>5100</v>
      </c>
      <c r="CE84" s="297">
        <f t="shared" si="234"/>
        <v>0.13527716181724125</v>
      </c>
      <c r="CF84" s="1061"/>
      <c r="CH84">
        <f t="shared" si="206"/>
        <v>541008</v>
      </c>
    </row>
    <row r="85" spans="1:86">
      <c r="A85" s="30">
        <v>44033</v>
      </c>
      <c r="B85" s="265">
        <v>603924</v>
      </c>
      <c r="C85" s="114">
        <f t="shared" si="165"/>
        <v>38304301</v>
      </c>
      <c r="D85" s="91">
        <v>6544.38</v>
      </c>
      <c r="E85" s="93">
        <f t="shared" si="166"/>
        <v>454164.69999999995</v>
      </c>
      <c r="F85" s="243">
        <f t="shared" si="167"/>
        <v>10850</v>
      </c>
      <c r="G85" s="240">
        <v>32070</v>
      </c>
      <c r="H85" s="280">
        <v>13.11</v>
      </c>
      <c r="I85" s="240">
        <f>13600+8700</f>
        <v>22300</v>
      </c>
      <c r="J85" s="240">
        <f t="shared" si="207"/>
        <v>20620</v>
      </c>
      <c r="K85" s="280">
        <f t="shared" si="208"/>
        <v>34.143369033189607</v>
      </c>
      <c r="L85" s="240">
        <f t="shared" si="209"/>
        <v>1092270</v>
      </c>
      <c r="M85" s="280">
        <f t="shared" si="210"/>
        <v>28.515596721109727</v>
      </c>
      <c r="N85" s="280">
        <f t="shared" si="211"/>
        <v>3.4915632081682046</v>
      </c>
      <c r="O85" s="1089"/>
      <c r="P85" s="1084"/>
      <c r="Q85" s="77">
        <f t="shared" si="172"/>
        <v>41172</v>
      </c>
      <c r="R85" s="35"/>
      <c r="S85" s="35">
        <v>39862</v>
      </c>
      <c r="T85" s="35">
        <f>Q85+R85-S85</f>
        <v>1310</v>
      </c>
      <c r="U85" s="36">
        <f>1000*T85/B85</f>
        <v>2.1691471112259157</v>
      </c>
      <c r="V85" s="74">
        <f t="shared" si="212"/>
        <v>52766</v>
      </c>
      <c r="W85" s="36">
        <f t="shared" si="213"/>
        <v>1.3775476545049079</v>
      </c>
      <c r="X85" s="1136"/>
      <c r="Y85" s="49">
        <f t="shared" si="176"/>
        <v>565</v>
      </c>
      <c r="Z85" s="50"/>
      <c r="AA85" s="50">
        <f>324+65</f>
        <v>389</v>
      </c>
      <c r="AB85" s="50">
        <f t="shared" si="235"/>
        <v>176</v>
      </c>
      <c r="AC85" s="51">
        <f t="shared" si="214"/>
        <v>0.29142739814943602</v>
      </c>
      <c r="AD85" s="50">
        <f t="shared" si="215"/>
        <v>16474</v>
      </c>
      <c r="AE85" s="51">
        <f t="shared" si="216"/>
        <v>0.43008225107671327</v>
      </c>
      <c r="AF85" s="1047"/>
      <c r="AG85" s="40">
        <f t="shared" si="180"/>
        <v>256</v>
      </c>
      <c r="AH85" s="41"/>
      <c r="AI85" s="41">
        <v>148</v>
      </c>
      <c r="AJ85" s="41">
        <f t="shared" si="217"/>
        <v>108</v>
      </c>
      <c r="AK85" s="42">
        <f t="shared" si="218"/>
        <v>0.17883044886442664</v>
      </c>
      <c r="AL85" s="41">
        <f t="shared" si="219"/>
        <v>7235</v>
      </c>
      <c r="AM85" s="42">
        <f t="shared" si="220"/>
        <v>0.18888218323054637</v>
      </c>
      <c r="AN85" s="1058"/>
      <c r="AO85" s="311">
        <v>5.2</v>
      </c>
      <c r="AP85" s="67">
        <v>24</v>
      </c>
      <c r="AQ85" s="68">
        <f t="shared" si="236"/>
        <v>62.031840000000003</v>
      </c>
      <c r="AR85" s="68">
        <f t="shared" si="237"/>
        <v>9.4786427438504486</v>
      </c>
      <c r="AS85" s="69">
        <f t="shared" si="238"/>
        <v>4385.1739200000011</v>
      </c>
      <c r="AT85" s="140">
        <f t="shared" si="239"/>
        <v>9.6554706255241793</v>
      </c>
      <c r="AU85" s="1073"/>
      <c r="AV85" s="71">
        <v>3.2</v>
      </c>
      <c r="AW85" s="71">
        <v>12</v>
      </c>
      <c r="AX85" s="72">
        <f t="shared" si="240"/>
        <v>19.842432000000002</v>
      </c>
      <c r="AY85" s="72">
        <f t="shared" si="241"/>
        <v>3.031980416785089</v>
      </c>
      <c r="AZ85" s="73">
        <f t="shared" si="242"/>
        <v>1426.1747999999995</v>
      </c>
      <c r="BA85" s="192">
        <f t="shared" si="243"/>
        <v>3.1402149924906091</v>
      </c>
      <c r="BB85" s="1075"/>
      <c r="BC85" s="90">
        <f t="shared" si="193"/>
        <v>22705</v>
      </c>
      <c r="BD85" s="59"/>
      <c r="BE85" s="56">
        <v>22705</v>
      </c>
      <c r="BF85" s="56"/>
      <c r="BG85" s="58">
        <f t="shared" si="244"/>
        <v>28230</v>
      </c>
      <c r="BH85" s="58">
        <f t="shared" si="245"/>
        <v>62.158067326676871</v>
      </c>
      <c r="BI85" s="1133"/>
      <c r="BJ85" s="64">
        <f t="shared" si="196"/>
        <v>348</v>
      </c>
      <c r="BK85" s="64"/>
      <c r="BL85" s="64">
        <v>60</v>
      </c>
      <c r="BM85" s="64">
        <f t="shared" si="204"/>
        <v>288</v>
      </c>
      <c r="BN85" s="65">
        <f t="shared" si="205"/>
        <v>0.47688119697180442</v>
      </c>
      <c r="BO85" s="64">
        <f t="shared" si="227"/>
        <v>11228</v>
      </c>
      <c r="BP85" s="65">
        <f t="shared" si="228"/>
        <v>0.29312635152903588</v>
      </c>
      <c r="BQ85" s="1071"/>
      <c r="BR85" s="77">
        <f t="shared" si="199"/>
        <v>77058</v>
      </c>
      <c r="BS85" s="35"/>
      <c r="BT85" s="35">
        <f>24705+10000+39580</f>
        <v>74285</v>
      </c>
      <c r="BU85" s="35">
        <f t="shared" ref="BU85:BU97" si="246">BR85+BS85-BT85</f>
        <v>2773</v>
      </c>
      <c r="BV85" s="74">
        <f t="shared" si="90"/>
        <v>190591</v>
      </c>
      <c r="BW85" s="74">
        <f t="shared" si="89"/>
        <v>419.65172546435252</v>
      </c>
      <c r="BX85" s="1098"/>
      <c r="BY85" s="295">
        <v>1150</v>
      </c>
      <c r="BZ85" s="296"/>
      <c r="CA85" s="296">
        <v>1150</v>
      </c>
      <c r="CB85" s="296"/>
      <c r="CC85" s="297"/>
      <c r="CD85" s="296">
        <f t="shared" si="233"/>
        <v>5100</v>
      </c>
      <c r="CE85" s="297">
        <f t="shared" si="234"/>
        <v>0.13314431713556135</v>
      </c>
      <c r="CF85" s="1061"/>
      <c r="CH85">
        <f t="shared" si="206"/>
        <v>0</v>
      </c>
    </row>
    <row r="86" spans="1:86">
      <c r="A86" s="30">
        <v>44034</v>
      </c>
      <c r="B86" s="265">
        <v>574330</v>
      </c>
      <c r="C86" s="114">
        <f t="shared" si="165"/>
        <v>38878631</v>
      </c>
      <c r="D86" s="91">
        <v>6644.18</v>
      </c>
      <c r="E86" s="93">
        <f t="shared" si="166"/>
        <v>460808.87999999995</v>
      </c>
      <c r="F86" s="243">
        <f t="shared" si="167"/>
        <v>22300</v>
      </c>
      <c r="G86" s="240">
        <v>32480</v>
      </c>
      <c r="H86" s="280">
        <v>13.4</v>
      </c>
      <c r="I86" s="240">
        <f>18400+8510</f>
        <v>26910</v>
      </c>
      <c r="J86" s="240">
        <f t="shared" si="207"/>
        <v>27870</v>
      </c>
      <c r="K86" s="280">
        <f t="shared" si="208"/>
        <v>48.526108683161247</v>
      </c>
      <c r="L86" s="240">
        <f t="shared" si="209"/>
        <v>1120140</v>
      </c>
      <c r="M86" s="280">
        <f t="shared" si="210"/>
        <v>28.811199653609201</v>
      </c>
      <c r="N86" s="280">
        <f t="shared" si="211"/>
        <v>3.5277580082783397</v>
      </c>
      <c r="O86" s="1089"/>
      <c r="P86" s="1084"/>
      <c r="Q86" s="77">
        <f t="shared" si="172"/>
        <v>39862</v>
      </c>
      <c r="R86" s="35"/>
      <c r="S86" s="35">
        <v>39862</v>
      </c>
      <c r="T86" s="35"/>
      <c r="U86" s="36"/>
      <c r="V86" s="74">
        <f t="shared" si="212"/>
        <v>52766</v>
      </c>
      <c r="W86" s="36">
        <f t="shared" si="213"/>
        <v>1.357197993931422</v>
      </c>
      <c r="X86" s="1136"/>
      <c r="Y86" s="49">
        <f t="shared" si="176"/>
        <v>389</v>
      </c>
      <c r="Z86" s="50"/>
      <c r="AA86" s="50">
        <f>246+40</f>
        <v>286</v>
      </c>
      <c r="AB86" s="50">
        <f t="shared" si="235"/>
        <v>103</v>
      </c>
      <c r="AC86" s="51">
        <f t="shared" si="214"/>
        <v>0.17933940417529992</v>
      </c>
      <c r="AD86" s="50">
        <f t="shared" si="215"/>
        <v>16577</v>
      </c>
      <c r="AE86" s="51">
        <f t="shared" si="216"/>
        <v>0.42637818188608545</v>
      </c>
      <c r="AF86" s="1047"/>
      <c r="AG86" s="40">
        <f t="shared" si="180"/>
        <v>148</v>
      </c>
      <c r="AH86" s="41">
        <v>1000</v>
      </c>
      <c r="AI86" s="41">
        <v>1042</v>
      </c>
      <c r="AJ86" s="41">
        <f t="shared" si="217"/>
        <v>106</v>
      </c>
      <c r="AK86" s="42">
        <f t="shared" si="218"/>
        <v>0.1845628819668135</v>
      </c>
      <c r="AL86" s="41">
        <f t="shared" si="219"/>
        <v>7341</v>
      </c>
      <c r="AM86" s="42">
        <f t="shared" si="220"/>
        <v>0.18881837686105768</v>
      </c>
      <c r="AN86" s="1058"/>
      <c r="AO86" s="311">
        <v>4.8</v>
      </c>
      <c r="AP86" s="67">
        <v>24</v>
      </c>
      <c r="AQ86" s="68">
        <f t="shared" si="236"/>
        <v>57.260159999999992</v>
      </c>
      <c r="AR86" s="68">
        <f t="shared" si="237"/>
        <v>8.6180928271058264</v>
      </c>
      <c r="AS86" s="69">
        <f t="shared" si="238"/>
        <v>4442.4340800000009</v>
      </c>
      <c r="AT86" s="140">
        <f t="shared" si="239"/>
        <v>9.640513177610643</v>
      </c>
      <c r="AU86" s="1073"/>
      <c r="AV86" s="71">
        <v>3.3</v>
      </c>
      <c r="AW86" s="71">
        <v>12</v>
      </c>
      <c r="AX86" s="72">
        <f t="shared" si="240"/>
        <v>20.462508</v>
      </c>
      <c r="AY86" s="72">
        <f t="shared" si="241"/>
        <v>3.0797642447977021</v>
      </c>
      <c r="AZ86" s="73">
        <f t="shared" si="242"/>
        <v>1446.6373079999996</v>
      </c>
      <c r="BA86" s="192">
        <f t="shared" si="243"/>
        <v>3.1393433824452339</v>
      </c>
      <c r="BB86" s="1075"/>
      <c r="BC86" s="90">
        <f t="shared" si="193"/>
        <v>22705</v>
      </c>
      <c r="BD86" s="59"/>
      <c r="BE86" s="56">
        <v>22705</v>
      </c>
      <c r="BF86" s="56"/>
      <c r="BG86" s="58">
        <f t="shared" si="244"/>
        <v>28230</v>
      </c>
      <c r="BH86" s="58">
        <f t="shared" si="245"/>
        <v>61.26184026661987</v>
      </c>
      <c r="BI86" s="1133"/>
      <c r="BJ86" s="64">
        <f t="shared" si="196"/>
        <v>60</v>
      </c>
      <c r="BK86" s="64">
        <v>1100</v>
      </c>
      <c r="BL86" s="64">
        <v>1020</v>
      </c>
      <c r="BM86" s="64">
        <f t="shared" si="204"/>
        <v>140</v>
      </c>
      <c r="BN86" s="65">
        <f t="shared" si="205"/>
        <v>0.24376229693730087</v>
      </c>
      <c r="BO86" s="64">
        <f t="shared" si="227"/>
        <v>11368</v>
      </c>
      <c r="BP86" s="65">
        <f t="shared" si="228"/>
        <v>0.29239712684327801</v>
      </c>
      <c r="BQ86" s="1071"/>
      <c r="BR86" s="77">
        <f t="shared" si="199"/>
        <v>74285</v>
      </c>
      <c r="BS86" s="35"/>
      <c r="BT86" s="35">
        <f>21933+10000+39580</f>
        <v>71513</v>
      </c>
      <c r="BU86" s="35">
        <f t="shared" si="246"/>
        <v>2772</v>
      </c>
      <c r="BV86" s="74">
        <f t="shared" si="90"/>
        <v>193363</v>
      </c>
      <c r="BW86" s="74">
        <f t="shared" si="89"/>
        <v>419.61647961297973</v>
      </c>
      <c r="BX86" s="1098"/>
      <c r="BY86" s="295">
        <v>1150</v>
      </c>
      <c r="BZ86" s="296"/>
      <c r="CA86" s="296">
        <v>1150</v>
      </c>
      <c r="CB86" s="296"/>
      <c r="CC86" s="297"/>
      <c r="CD86" s="296">
        <f t="shared" si="233"/>
        <v>5100</v>
      </c>
      <c r="CE86" s="297">
        <f t="shared" si="234"/>
        <v>0.13117745838324399</v>
      </c>
      <c r="CF86" s="1061"/>
      <c r="CH86">
        <f t="shared" si="206"/>
        <v>0</v>
      </c>
    </row>
    <row r="87" spans="1:86">
      <c r="A87" s="30">
        <v>44035</v>
      </c>
      <c r="B87" s="265">
        <v>609132</v>
      </c>
      <c r="C87" s="114">
        <f t="shared" si="165"/>
        <v>39487763</v>
      </c>
      <c r="D87" s="91">
        <v>7236.84</v>
      </c>
      <c r="E87" s="93">
        <f t="shared" si="166"/>
        <v>468045.72</v>
      </c>
      <c r="F87" s="243">
        <f t="shared" si="167"/>
        <v>26910</v>
      </c>
      <c r="G87" s="240"/>
      <c r="H87" s="280"/>
      <c r="I87" s="240">
        <v>8290</v>
      </c>
      <c r="J87" s="240">
        <f t="shared" si="207"/>
        <v>18620</v>
      </c>
      <c r="K87" s="280">
        <f t="shared" si="208"/>
        <v>30.568087048455837</v>
      </c>
      <c r="L87" s="240">
        <f t="shared" si="209"/>
        <v>1138760</v>
      </c>
      <c r="M87" s="280">
        <f t="shared" si="210"/>
        <v>28.838301121286612</v>
      </c>
      <c r="N87" s="280">
        <f t="shared" si="211"/>
        <v>3.5310764198955078</v>
      </c>
      <c r="O87" s="1089"/>
      <c r="P87" s="1084"/>
      <c r="Q87" s="77">
        <f t="shared" si="172"/>
        <v>39862</v>
      </c>
      <c r="R87" s="35"/>
      <c r="S87" s="35">
        <v>38542</v>
      </c>
      <c r="T87" s="35">
        <f>Q87+R87-S87</f>
        <v>1320</v>
      </c>
      <c r="U87" s="36">
        <f>1000*T87/B87</f>
        <v>2.1670179862492858</v>
      </c>
      <c r="V87" s="74">
        <f t="shared" si="212"/>
        <v>54086</v>
      </c>
      <c r="W87" s="36">
        <f t="shared" si="213"/>
        <v>1.3696901493255011</v>
      </c>
      <c r="X87" s="1136"/>
      <c r="Y87" s="49">
        <f t="shared" si="176"/>
        <v>286</v>
      </c>
      <c r="Z87" s="50">
        <v>900</v>
      </c>
      <c r="AA87" s="50">
        <f>921+57</f>
        <v>978</v>
      </c>
      <c r="AB87" s="50">
        <f t="shared" si="235"/>
        <v>208</v>
      </c>
      <c r="AC87" s="51">
        <f t="shared" si="214"/>
        <v>0.34146950086352384</v>
      </c>
      <c r="AD87" s="50">
        <f t="shared" si="215"/>
        <v>16785</v>
      </c>
      <c r="AE87" s="51">
        <f t="shared" si="216"/>
        <v>0.42506839397308982</v>
      </c>
      <c r="AF87" s="1047"/>
      <c r="AG87" s="40">
        <f t="shared" si="180"/>
        <v>1042</v>
      </c>
      <c r="AH87" s="41"/>
      <c r="AI87" s="41">
        <v>984</v>
      </c>
      <c r="AJ87" s="41">
        <f t="shared" si="217"/>
        <v>58</v>
      </c>
      <c r="AK87" s="42">
        <f t="shared" si="218"/>
        <v>9.5217456971559533E-2</v>
      </c>
      <c r="AL87" s="41">
        <f t="shared" si="219"/>
        <v>7399</v>
      </c>
      <c r="AM87" s="42">
        <f t="shared" si="220"/>
        <v>0.18737450384312729</v>
      </c>
      <c r="AN87" s="1058"/>
      <c r="AO87" s="311">
        <v>5.4</v>
      </c>
      <c r="AP87" s="67">
        <v>24</v>
      </c>
      <c r="AQ87" s="68">
        <f t="shared" si="236"/>
        <v>64.417680000000004</v>
      </c>
      <c r="AR87" s="68">
        <f t="shared" si="237"/>
        <v>8.9013547349395594</v>
      </c>
      <c r="AS87" s="69">
        <f t="shared" si="238"/>
        <v>4506.8517600000005</v>
      </c>
      <c r="AT87" s="140">
        <f t="shared" si="239"/>
        <v>9.6290844407251512</v>
      </c>
      <c r="AU87" s="1073"/>
      <c r="AV87" s="71">
        <v>3.4</v>
      </c>
      <c r="AW87" s="71">
        <v>12</v>
      </c>
      <c r="AX87" s="72">
        <f t="shared" si="240"/>
        <v>21.082584000000001</v>
      </c>
      <c r="AY87" s="72">
        <f t="shared" si="241"/>
        <v>2.9132306365761851</v>
      </c>
      <c r="AZ87" s="73">
        <f t="shared" si="242"/>
        <v>1467.7198919999996</v>
      </c>
      <c r="BA87" s="192">
        <f t="shared" si="243"/>
        <v>3.1358472672285083</v>
      </c>
      <c r="BB87" s="1075"/>
      <c r="BC87" s="90">
        <f t="shared" si="193"/>
        <v>22705</v>
      </c>
      <c r="BD87" s="59"/>
      <c r="BE87" s="56">
        <v>22705</v>
      </c>
      <c r="BF87" s="56"/>
      <c r="BG87" s="58">
        <f t="shared" si="244"/>
        <v>28230</v>
      </c>
      <c r="BH87" s="58">
        <f t="shared" si="245"/>
        <v>60.314620546044097</v>
      </c>
      <c r="BI87" s="1133"/>
      <c r="BJ87" s="64">
        <f t="shared" si="196"/>
        <v>1020</v>
      </c>
      <c r="BK87" s="64"/>
      <c r="BL87" s="64">
        <v>748</v>
      </c>
      <c r="BM87" s="64">
        <f t="shared" si="204"/>
        <v>272</v>
      </c>
      <c r="BN87" s="65">
        <f t="shared" si="205"/>
        <v>0.44653703959076196</v>
      </c>
      <c r="BO87" s="64">
        <f t="shared" si="227"/>
        <v>11640</v>
      </c>
      <c r="BP87" s="65">
        <f t="shared" si="228"/>
        <v>0.29477486481065035</v>
      </c>
      <c r="BQ87" s="1071"/>
      <c r="BR87" s="77">
        <f t="shared" si="199"/>
        <v>71513</v>
      </c>
      <c r="BS87" s="317"/>
      <c r="BT87" s="35">
        <f>19160+10000+39580</f>
        <v>68740</v>
      </c>
      <c r="BU87" s="35">
        <f t="shared" si="246"/>
        <v>2773</v>
      </c>
      <c r="BV87" s="74">
        <f t="shared" si="90"/>
        <v>196136</v>
      </c>
      <c r="BW87" s="74">
        <f t="shared" si="89"/>
        <v>419.05307883170047</v>
      </c>
      <c r="BX87" s="1098"/>
      <c r="BY87" s="295">
        <v>1150</v>
      </c>
      <c r="BZ87" s="296"/>
      <c r="CA87" s="296">
        <v>1150</v>
      </c>
      <c r="CB87" s="296"/>
      <c r="CC87" s="297"/>
      <c r="CD87" s="296">
        <f t="shared" si="233"/>
        <v>5100</v>
      </c>
      <c r="CE87" s="297">
        <f t="shared" si="234"/>
        <v>0.1291539356129138</v>
      </c>
      <c r="CF87" s="1061"/>
      <c r="CH87">
        <f t="shared" si="206"/>
        <v>420437.69999999995</v>
      </c>
    </row>
    <row r="88" spans="1:86">
      <c r="A88" s="30">
        <v>44036</v>
      </c>
      <c r="B88" s="265">
        <v>651167</v>
      </c>
      <c r="C88" s="114">
        <f t="shared" si="165"/>
        <v>40138930</v>
      </c>
      <c r="D88" s="91">
        <v>7315.98</v>
      </c>
      <c r="E88" s="93">
        <f t="shared" si="166"/>
        <v>475361.69999999995</v>
      </c>
      <c r="F88" s="243">
        <f t="shared" si="167"/>
        <v>8290</v>
      </c>
      <c r="G88" s="240">
        <v>32060</v>
      </c>
      <c r="H88" s="280">
        <v>13.4</v>
      </c>
      <c r="I88" s="240">
        <f>8150</f>
        <v>8150</v>
      </c>
      <c r="J88" s="240">
        <f t="shared" ref="J88:J93" si="247">F88+G88-I88</f>
        <v>32200</v>
      </c>
      <c r="K88" s="280">
        <f t="shared" si="208"/>
        <v>49.449680343137778</v>
      </c>
      <c r="L88" s="240">
        <f t="shared" si="209"/>
        <v>1170960</v>
      </c>
      <c r="M88" s="280">
        <f t="shared" si="210"/>
        <v>29.172676003072329</v>
      </c>
      <c r="N88" s="280">
        <f t="shared" si="211"/>
        <v>3.5720186118614339</v>
      </c>
      <c r="O88" s="1089"/>
      <c r="P88" s="1084"/>
      <c r="Q88" s="77">
        <f t="shared" si="172"/>
        <v>38542</v>
      </c>
      <c r="R88" s="35"/>
      <c r="S88" s="35">
        <v>38542</v>
      </c>
      <c r="T88" s="35"/>
      <c r="U88" s="36"/>
      <c r="V88" s="74">
        <f t="shared" si="212"/>
        <v>54086</v>
      </c>
      <c r="W88" s="36">
        <f t="shared" si="213"/>
        <v>1.3474699001692372</v>
      </c>
      <c r="X88" s="1136"/>
      <c r="Y88" s="49">
        <f t="shared" si="176"/>
        <v>978</v>
      </c>
      <c r="Z88" s="50"/>
      <c r="AA88" s="50">
        <f>815+73</f>
        <v>888</v>
      </c>
      <c r="AB88" s="50">
        <f t="shared" si="235"/>
        <v>90</v>
      </c>
      <c r="AC88" s="51">
        <f t="shared" si="214"/>
        <v>0.13821339226342857</v>
      </c>
      <c r="AD88" s="50">
        <f t="shared" si="215"/>
        <v>16875</v>
      </c>
      <c r="AE88" s="51">
        <f t="shared" si="216"/>
        <v>0.42041479431564321</v>
      </c>
      <c r="AF88" s="1047"/>
      <c r="AG88" s="40">
        <f t="shared" si="180"/>
        <v>984</v>
      </c>
      <c r="AH88" s="41"/>
      <c r="AI88" s="41">
        <v>885</v>
      </c>
      <c r="AJ88" s="41">
        <f t="shared" si="217"/>
        <v>99</v>
      </c>
      <c r="AK88" s="42">
        <f t="shared" si="218"/>
        <v>0.15203473148977145</v>
      </c>
      <c r="AL88" s="41">
        <f t="shared" si="219"/>
        <v>7498</v>
      </c>
      <c r="AM88" s="42">
        <f t="shared" si="220"/>
        <v>0.18680119275725587</v>
      </c>
      <c r="AN88" s="1058"/>
      <c r="AO88" s="311">
        <v>6</v>
      </c>
      <c r="AP88" s="67">
        <v>24</v>
      </c>
      <c r="AQ88" s="68">
        <f t="shared" si="236"/>
        <v>71.575199999999995</v>
      </c>
      <c r="AR88" s="68">
        <f t="shared" si="237"/>
        <v>9.7834056408027354</v>
      </c>
      <c r="AS88" s="69">
        <f t="shared" si="238"/>
        <v>4578.4269600000007</v>
      </c>
      <c r="AT88" s="140">
        <f t="shared" si="239"/>
        <v>9.6314594970524574</v>
      </c>
      <c r="AU88" s="1073"/>
      <c r="AV88" s="216">
        <v>3.5</v>
      </c>
      <c r="AW88" s="71">
        <v>12</v>
      </c>
      <c r="AX88" s="72">
        <f t="shared" si="240"/>
        <v>21.702660000000002</v>
      </c>
      <c r="AY88" s="72">
        <f t="shared" si="241"/>
        <v>2.9664733911246342</v>
      </c>
      <c r="AZ88" s="73">
        <f t="shared" si="242"/>
        <v>1489.4225519999995</v>
      </c>
      <c r="BA88" s="192">
        <f t="shared" si="243"/>
        <v>3.1332405450418062</v>
      </c>
      <c r="BB88" s="1075"/>
      <c r="BC88" s="90">
        <f t="shared" si="193"/>
        <v>22705</v>
      </c>
      <c r="BD88" s="59"/>
      <c r="BE88" s="56">
        <v>22705</v>
      </c>
      <c r="BF88" s="56"/>
      <c r="BG88" s="58">
        <f t="shared" si="244"/>
        <v>28230</v>
      </c>
      <c r="BH88" s="58">
        <f t="shared" si="245"/>
        <v>59.386357798703607</v>
      </c>
      <c r="BI88" s="1133"/>
      <c r="BJ88" s="64">
        <f t="shared" si="196"/>
        <v>748</v>
      </c>
      <c r="BK88" s="64"/>
      <c r="BL88" s="64">
        <v>570</v>
      </c>
      <c r="BM88" s="64">
        <f t="shared" si="204"/>
        <v>178</v>
      </c>
      <c r="BN88" s="65">
        <f t="shared" si="205"/>
        <v>0.27335537580989211</v>
      </c>
      <c r="BO88" s="64">
        <f t="shared" si="227"/>
        <v>11818</v>
      </c>
      <c r="BP88" s="65">
        <f t="shared" si="228"/>
        <v>0.29442738010206054</v>
      </c>
      <c r="BQ88" s="1071"/>
      <c r="BR88" s="77">
        <f t="shared" si="199"/>
        <v>68740</v>
      </c>
      <c r="BS88" s="35"/>
      <c r="BT88" s="35">
        <f>14539+10000+39580</f>
        <v>64119</v>
      </c>
      <c r="BU88" s="35">
        <f t="shared" si="246"/>
        <v>4621</v>
      </c>
      <c r="BV88" s="74">
        <f t="shared" si="90"/>
        <v>200757</v>
      </c>
      <c r="BW88" s="74">
        <f t="shared" si="89"/>
        <v>422.32472662395816</v>
      </c>
      <c r="BX88" s="1098"/>
      <c r="BY88" s="295">
        <v>1150</v>
      </c>
      <c r="BZ88" s="296"/>
      <c r="CA88" s="296">
        <v>1150</v>
      </c>
      <c r="CB88" s="296"/>
      <c r="CC88" s="297"/>
      <c r="CD88" s="296">
        <f t="shared" si="233"/>
        <v>5100</v>
      </c>
      <c r="CE88" s="297">
        <f t="shared" si="234"/>
        <v>0.12705869339317216</v>
      </c>
      <c r="CF88" s="1061"/>
      <c r="CH88">
        <f t="shared" si="206"/>
        <v>435232</v>
      </c>
    </row>
    <row r="89" spans="1:86">
      <c r="A89" s="30">
        <v>44037</v>
      </c>
      <c r="B89" s="265">
        <v>643744</v>
      </c>
      <c r="C89" s="114">
        <f t="shared" si="165"/>
        <v>40782674</v>
      </c>
      <c r="D89" s="91">
        <v>7390.58</v>
      </c>
      <c r="E89" s="93">
        <f t="shared" si="166"/>
        <v>482752.27999999997</v>
      </c>
      <c r="F89" s="243">
        <f t="shared" si="167"/>
        <v>8150</v>
      </c>
      <c r="G89" s="240">
        <v>31740</v>
      </c>
      <c r="H89" s="280">
        <v>11.09</v>
      </c>
      <c r="I89" s="240">
        <f>20000+8040</f>
        <v>28040</v>
      </c>
      <c r="J89" s="240">
        <f t="shared" si="247"/>
        <v>11850</v>
      </c>
      <c r="K89" s="280">
        <f t="shared" si="208"/>
        <v>18.40793855942735</v>
      </c>
      <c r="L89" s="240">
        <f t="shared" si="209"/>
        <v>1182810</v>
      </c>
      <c r="M89" s="280">
        <f t="shared" si="210"/>
        <v>29.002757396437516</v>
      </c>
      <c r="N89" s="280">
        <f t="shared" si="211"/>
        <v>3.5512131010698562</v>
      </c>
      <c r="O89" s="1089"/>
      <c r="P89" s="1084"/>
      <c r="Q89" s="77">
        <f t="shared" si="172"/>
        <v>38542</v>
      </c>
      <c r="R89" s="35"/>
      <c r="S89" s="35">
        <v>38542</v>
      </c>
      <c r="T89" s="35"/>
      <c r="U89" s="36"/>
      <c r="V89" s="74">
        <f t="shared" si="212"/>
        <v>54086</v>
      </c>
      <c r="W89" s="36">
        <f t="shared" si="213"/>
        <v>1.3262004350180667</v>
      </c>
      <c r="X89" s="1136"/>
      <c r="Y89" s="49">
        <f t="shared" si="176"/>
        <v>888</v>
      </c>
      <c r="Z89" s="50"/>
      <c r="AA89" s="50">
        <f>689+90</f>
        <v>779</v>
      </c>
      <c r="AB89" s="50">
        <f t="shared" si="235"/>
        <v>109</v>
      </c>
      <c r="AC89" s="51">
        <f t="shared" si="214"/>
        <v>0.1693219664959984</v>
      </c>
      <c r="AD89" s="50">
        <f t="shared" si="215"/>
        <v>16984</v>
      </c>
      <c r="AE89" s="51">
        <f t="shared" si="216"/>
        <v>0.41645135873140637</v>
      </c>
      <c r="AF89" s="1047"/>
      <c r="AG89" s="40">
        <f t="shared" si="180"/>
        <v>885</v>
      </c>
      <c r="AH89" s="41"/>
      <c r="AI89" s="41">
        <v>805</v>
      </c>
      <c r="AJ89" s="41">
        <f t="shared" si="217"/>
        <v>80</v>
      </c>
      <c r="AK89" s="42">
        <f t="shared" si="218"/>
        <v>0.12427300293284287</v>
      </c>
      <c r="AL89" s="41">
        <f t="shared" si="219"/>
        <v>7578</v>
      </c>
      <c r="AM89" s="42">
        <f t="shared" si="220"/>
        <v>0.1858142013934643</v>
      </c>
      <c r="AN89" s="1058"/>
      <c r="AO89" s="67">
        <v>5.8</v>
      </c>
      <c r="AP89" s="67">
        <v>24</v>
      </c>
      <c r="AQ89" s="68">
        <f t="shared" si="236"/>
        <v>69.189359999999994</v>
      </c>
      <c r="AR89" s="68">
        <f t="shared" si="237"/>
        <v>9.3618308711900831</v>
      </c>
      <c r="AS89" s="69">
        <f t="shared" si="238"/>
        <v>4647.616320000001</v>
      </c>
      <c r="AT89" s="140">
        <f t="shared" si="239"/>
        <v>9.6273316824107003</v>
      </c>
      <c r="AU89" s="1073"/>
      <c r="AV89" s="216">
        <v>3.5</v>
      </c>
      <c r="AW89" s="71">
        <v>12</v>
      </c>
      <c r="AX89" s="72">
        <f t="shared" si="240"/>
        <v>21.702660000000002</v>
      </c>
      <c r="AY89" s="72">
        <f t="shared" si="241"/>
        <v>2.9365300152356109</v>
      </c>
      <c r="AZ89" s="73">
        <f t="shared" si="242"/>
        <v>1511.1252119999995</v>
      </c>
      <c r="BA89" s="192">
        <f t="shared" si="243"/>
        <v>3.1302290524655825</v>
      </c>
      <c r="BB89" s="1075"/>
      <c r="BC89" s="90">
        <f t="shared" si="193"/>
        <v>22705</v>
      </c>
      <c r="BD89" s="59"/>
      <c r="BE89" s="56">
        <v>22705</v>
      </c>
      <c r="BF89" s="56"/>
      <c r="BG89" s="58">
        <f t="shared" si="244"/>
        <v>28230</v>
      </c>
      <c r="BH89" s="58">
        <f t="shared" si="245"/>
        <v>58.47719662763685</v>
      </c>
      <c r="BI89" s="1133"/>
      <c r="BJ89" s="64">
        <f t="shared" si="196"/>
        <v>570</v>
      </c>
      <c r="BK89" s="64"/>
      <c r="BL89" s="64">
        <v>360</v>
      </c>
      <c r="BM89" s="64">
        <f t="shared" si="204"/>
        <v>210</v>
      </c>
      <c r="BN89" s="65">
        <f t="shared" si="205"/>
        <v>0.32621663269871254</v>
      </c>
      <c r="BO89" s="64">
        <f t="shared" si="227"/>
        <v>12028</v>
      </c>
      <c r="BP89" s="65">
        <f t="shared" si="228"/>
        <v>0.29492916526267993</v>
      </c>
      <c r="BQ89" s="1071"/>
      <c r="BR89" s="77">
        <f t="shared" si="199"/>
        <v>64119</v>
      </c>
      <c r="BS89" s="35"/>
      <c r="BT89" s="35">
        <f>12691+10000+39580</f>
        <v>62271</v>
      </c>
      <c r="BU89" s="35">
        <f t="shared" si="246"/>
        <v>1848</v>
      </c>
      <c r="BV89" s="74">
        <f t="shared" si="90"/>
        <v>202605</v>
      </c>
      <c r="BW89" s="74">
        <f t="shared" si="89"/>
        <v>419.68729800716841</v>
      </c>
      <c r="BX89" s="1098"/>
      <c r="BY89" s="295">
        <v>1150</v>
      </c>
      <c r="BZ89" s="296"/>
      <c r="CA89" s="296">
        <v>1150</v>
      </c>
      <c r="CB89" s="296"/>
      <c r="CC89" s="297"/>
      <c r="CD89" s="296">
        <f t="shared" si="233"/>
        <v>5100</v>
      </c>
      <c r="CE89" s="297">
        <f t="shared" si="234"/>
        <v>0.12505310465910108</v>
      </c>
      <c r="CF89" s="1061"/>
      <c r="CH89">
        <f t="shared" si="206"/>
        <v>0</v>
      </c>
    </row>
    <row r="90" spans="1:86">
      <c r="A90" s="30">
        <v>44038</v>
      </c>
      <c r="B90" s="265">
        <v>657236</v>
      </c>
      <c r="C90" s="114">
        <f t="shared" si="165"/>
        <v>41439910</v>
      </c>
      <c r="D90" s="91">
        <v>7674.16</v>
      </c>
      <c r="E90" s="93">
        <f t="shared" si="166"/>
        <v>490426.43999999994</v>
      </c>
      <c r="F90" s="243">
        <f t="shared" si="167"/>
        <v>28040</v>
      </c>
      <c r="G90" s="240">
        <v>32700</v>
      </c>
      <c r="H90" s="280">
        <v>12.25</v>
      </c>
      <c r="I90" s="240">
        <f>12000+7920</f>
        <v>19920</v>
      </c>
      <c r="J90" s="240">
        <f t="shared" si="247"/>
        <v>40820</v>
      </c>
      <c r="K90" s="280">
        <f t="shared" si="208"/>
        <v>62.108588087079831</v>
      </c>
      <c r="L90" s="240">
        <f t="shared" si="209"/>
        <v>1223630</v>
      </c>
      <c r="M90" s="280">
        <f t="shared" si="210"/>
        <v>29.527815094193013</v>
      </c>
      <c r="N90" s="280">
        <f t="shared" si="211"/>
        <v>3.6155032562988874</v>
      </c>
      <c r="O90" s="1089"/>
      <c r="P90" s="1084"/>
      <c r="Q90" s="77">
        <f t="shared" si="172"/>
        <v>38542</v>
      </c>
      <c r="R90" s="35"/>
      <c r="S90" s="35">
        <v>38012</v>
      </c>
      <c r="T90" s="35">
        <f>Q90+R90-S90</f>
        <v>530</v>
      </c>
      <c r="U90" s="36">
        <f>1000*T90/B90</f>
        <v>0.8064074396411639</v>
      </c>
      <c r="V90" s="74">
        <f t="shared" si="212"/>
        <v>54616</v>
      </c>
      <c r="W90" s="36">
        <f t="shared" si="213"/>
        <v>1.3179565303109972</v>
      </c>
      <c r="X90" s="1136"/>
      <c r="Y90" s="49">
        <f t="shared" si="176"/>
        <v>779</v>
      </c>
      <c r="Z90" s="50"/>
      <c r="AA90" s="50">
        <f>599+112</f>
        <v>711</v>
      </c>
      <c r="AB90" s="50">
        <f t="shared" si="235"/>
        <v>68</v>
      </c>
      <c r="AC90" s="51">
        <f t="shared" si="214"/>
        <v>0.10346359602943235</v>
      </c>
      <c r="AD90" s="50">
        <f t="shared" si="215"/>
        <v>17052</v>
      </c>
      <c r="AE90" s="51">
        <f t="shared" si="216"/>
        <v>0.41148738016081599</v>
      </c>
      <c r="AF90" s="1047"/>
      <c r="AG90" s="40">
        <f t="shared" si="180"/>
        <v>805</v>
      </c>
      <c r="AH90" s="41"/>
      <c r="AI90" s="41">
        <v>725</v>
      </c>
      <c r="AJ90" s="41">
        <f t="shared" si="217"/>
        <v>80</v>
      </c>
      <c r="AK90" s="42">
        <f t="shared" si="218"/>
        <v>0.12172187768168512</v>
      </c>
      <c r="AL90" s="41">
        <f t="shared" si="219"/>
        <v>7658</v>
      </c>
      <c r="AM90" s="42">
        <f t="shared" si="220"/>
        <v>0.18479769864365053</v>
      </c>
      <c r="AN90" s="1058"/>
      <c r="AO90" s="67">
        <v>5.8</v>
      </c>
      <c r="AP90" s="67">
        <v>24</v>
      </c>
      <c r="AQ90" s="68">
        <f t="shared" si="236"/>
        <v>69.189359999999994</v>
      </c>
      <c r="AR90" s="68">
        <f t="shared" si="237"/>
        <v>9.0158870808010256</v>
      </c>
      <c r="AS90" s="69">
        <f t="shared" si="238"/>
        <v>4716.8056800000013</v>
      </c>
      <c r="AT90" s="140">
        <f t="shared" si="239"/>
        <v>9.6177638383444464</v>
      </c>
      <c r="AU90" s="1073"/>
      <c r="AV90" s="71">
        <v>3.6</v>
      </c>
      <c r="AW90" s="71">
        <v>12</v>
      </c>
      <c r="AX90" s="72">
        <f t="shared" si="240"/>
        <v>22.322736000000003</v>
      </c>
      <c r="AY90" s="72">
        <f t="shared" si="241"/>
        <v>2.9088181638120654</v>
      </c>
      <c r="AZ90" s="73">
        <f t="shared" si="242"/>
        <v>1533.4479479999995</v>
      </c>
      <c r="BA90" s="192">
        <f t="shared" si="243"/>
        <v>3.1267644297481185</v>
      </c>
      <c r="BB90" s="1075"/>
      <c r="BC90" s="90">
        <f t="shared" si="193"/>
        <v>22705</v>
      </c>
      <c r="BD90" s="56"/>
      <c r="BE90" s="56">
        <v>22705</v>
      </c>
      <c r="BF90" s="56"/>
      <c r="BG90" s="58">
        <f t="shared" si="244"/>
        <v>28230</v>
      </c>
      <c r="BH90" s="58">
        <f t="shared" si="245"/>
        <v>57.562149381668746</v>
      </c>
      <c r="BI90" s="1133"/>
      <c r="BJ90" s="64">
        <f t="shared" si="196"/>
        <v>360</v>
      </c>
      <c r="BK90" s="64"/>
      <c r="BL90" s="64">
        <v>60</v>
      </c>
      <c r="BM90" s="64">
        <f t="shared" si="204"/>
        <v>300</v>
      </c>
      <c r="BN90" s="65">
        <f t="shared" si="205"/>
        <v>0.4564570413063192</v>
      </c>
      <c r="BO90" s="64">
        <f t="shared" si="227"/>
        <v>12328</v>
      </c>
      <c r="BP90" s="65">
        <f t="shared" si="228"/>
        <v>0.29749099358565212</v>
      </c>
      <c r="BQ90" s="1071"/>
      <c r="BR90" s="77">
        <f t="shared" si="199"/>
        <v>62271</v>
      </c>
      <c r="BS90" s="35"/>
      <c r="BT90" s="35">
        <f>7797+10000+39580</f>
        <v>57377</v>
      </c>
      <c r="BU90" s="35">
        <f t="shared" si="246"/>
        <v>4894</v>
      </c>
      <c r="BV90" s="74">
        <f t="shared" si="90"/>
        <v>207499</v>
      </c>
      <c r="BW90" s="74">
        <f t="shared" si="89"/>
        <v>423.09912981037485</v>
      </c>
      <c r="BX90" s="1098"/>
      <c r="BY90" s="295">
        <v>1150</v>
      </c>
      <c r="BZ90" s="296"/>
      <c r="CA90" s="296">
        <v>1150</v>
      </c>
      <c r="CB90" s="296"/>
      <c r="CC90" s="297"/>
      <c r="CD90" s="296">
        <f t="shared" si="233"/>
        <v>5100</v>
      </c>
      <c r="CE90" s="297">
        <f t="shared" si="234"/>
        <v>0.12306976535422012</v>
      </c>
      <c r="CF90" s="1061"/>
      <c r="CH90">
        <f t="shared" si="206"/>
        <v>429604</v>
      </c>
    </row>
    <row r="91" spans="1:86">
      <c r="A91" s="30">
        <v>44039</v>
      </c>
      <c r="B91" s="265">
        <v>605618</v>
      </c>
      <c r="C91" s="114">
        <f t="shared" si="165"/>
        <v>42045528</v>
      </c>
      <c r="D91" s="91">
        <v>6776.02</v>
      </c>
      <c r="E91" s="93">
        <f t="shared" si="166"/>
        <v>497202.45999999996</v>
      </c>
      <c r="F91" s="243">
        <f t="shared" si="167"/>
        <v>19920</v>
      </c>
      <c r="G91" s="240">
        <v>32150</v>
      </c>
      <c r="H91" s="280">
        <v>14.21</v>
      </c>
      <c r="I91" s="240">
        <f>15200+7780</f>
        <v>22980</v>
      </c>
      <c r="J91" s="240">
        <f t="shared" si="247"/>
        <v>29090</v>
      </c>
      <c r="K91" s="280">
        <f t="shared" si="208"/>
        <v>48.033578922687241</v>
      </c>
      <c r="L91" s="240">
        <f t="shared" si="209"/>
        <v>1252720</v>
      </c>
      <c r="M91" s="280">
        <f t="shared" si="210"/>
        <v>29.79436957005273</v>
      </c>
      <c r="N91" s="280">
        <f t="shared" si="211"/>
        <v>3.6481412477106319</v>
      </c>
      <c r="O91" s="1089"/>
      <c r="P91" s="1084"/>
      <c r="Q91" s="77">
        <f t="shared" si="172"/>
        <v>38012</v>
      </c>
      <c r="R91" s="35"/>
      <c r="S91" s="35">
        <v>35611</v>
      </c>
      <c r="T91" s="35">
        <f>Q91+R91-S91</f>
        <v>2401</v>
      </c>
      <c r="U91" s="36">
        <f>1000*T91/B91</f>
        <v>3.9645453074380219</v>
      </c>
      <c r="V91" s="74">
        <f t="shared" si="212"/>
        <v>57017</v>
      </c>
      <c r="W91" s="36">
        <f t="shared" si="213"/>
        <v>1.3560776308957281</v>
      </c>
      <c r="X91" s="1136"/>
      <c r="Y91" s="49">
        <f t="shared" si="176"/>
        <v>711</v>
      </c>
      <c r="Z91" s="50"/>
      <c r="AA91" s="50">
        <f>546+85</f>
        <v>631</v>
      </c>
      <c r="AB91" s="50">
        <f t="shared" si="235"/>
        <v>80</v>
      </c>
      <c r="AC91" s="51">
        <f t="shared" si="214"/>
        <v>0.13209647005207903</v>
      </c>
      <c r="AD91" s="50">
        <f t="shared" si="215"/>
        <v>17132</v>
      </c>
      <c r="AE91" s="51">
        <f t="shared" si="216"/>
        <v>0.40746307193478459</v>
      </c>
      <c r="AF91" s="1047"/>
      <c r="AG91" s="40">
        <f t="shared" si="180"/>
        <v>725</v>
      </c>
      <c r="AH91" s="41"/>
      <c r="AI91" s="41">
        <v>705</v>
      </c>
      <c r="AJ91" s="41">
        <f t="shared" si="217"/>
        <v>20</v>
      </c>
      <c r="AK91" s="42">
        <f t="shared" si="218"/>
        <v>3.3024117513019757E-2</v>
      </c>
      <c r="AL91" s="41">
        <f t="shared" si="219"/>
        <v>7678</v>
      </c>
      <c r="AM91" s="42">
        <f t="shared" si="220"/>
        <v>0.18261157286453866</v>
      </c>
      <c r="AN91" s="1058"/>
      <c r="AO91" s="311">
        <v>5.4</v>
      </c>
      <c r="AP91" s="67">
        <v>24</v>
      </c>
      <c r="AQ91" s="68">
        <f t="shared" ref="AQ91:AQ97" si="248">AO91*AP91*0.49705</f>
        <v>64.417680000000004</v>
      </c>
      <c r="AR91" s="68">
        <f t="shared" ref="AR91:AR97" si="249">AQ91*1000/D91</f>
        <v>9.5067133804209547</v>
      </c>
      <c r="AS91" s="69">
        <f t="shared" ref="AS91:AS97" si="250">AS90+AQ91</f>
        <v>4781.2233600000009</v>
      </c>
      <c r="AT91" s="140">
        <f t="shared" ref="AT91:AT97" si="251">AS91*1000/E91</f>
        <v>9.6162504103459217</v>
      </c>
      <c r="AU91" s="1073"/>
      <c r="AV91" s="71">
        <v>3.1</v>
      </c>
      <c r="AW91" s="71">
        <v>12</v>
      </c>
      <c r="AX91" s="72">
        <f t="shared" si="240"/>
        <v>19.222356000000001</v>
      </c>
      <c r="AY91" s="72">
        <f t="shared" si="241"/>
        <v>2.8368210247313317</v>
      </c>
      <c r="AZ91" s="73">
        <f t="shared" si="242"/>
        <v>1552.6703039999995</v>
      </c>
      <c r="BA91" s="192">
        <f t="shared" si="243"/>
        <v>3.1228129965406843</v>
      </c>
      <c r="BB91" s="1075"/>
      <c r="BC91" s="90">
        <f t="shared" si="193"/>
        <v>22705</v>
      </c>
      <c r="BD91" s="59"/>
      <c r="BE91" s="56">
        <v>22705</v>
      </c>
      <c r="BF91" s="56"/>
      <c r="BG91" s="58">
        <f t="shared" si="244"/>
        <v>28230</v>
      </c>
      <c r="BH91" s="58">
        <f t="shared" si="245"/>
        <v>56.777675637405338</v>
      </c>
      <c r="BI91" s="1133"/>
      <c r="BJ91" s="64">
        <f t="shared" si="196"/>
        <v>60</v>
      </c>
      <c r="BK91" s="64">
        <v>1100</v>
      </c>
      <c r="BL91" s="64">
        <v>984</v>
      </c>
      <c r="BM91" s="64">
        <f t="shared" si="204"/>
        <v>176</v>
      </c>
      <c r="BN91" s="65">
        <f t="shared" si="205"/>
        <v>0.29061223411457388</v>
      </c>
      <c r="BO91" s="64">
        <f t="shared" si="227"/>
        <v>12504</v>
      </c>
      <c r="BP91" s="65">
        <f t="shared" si="228"/>
        <v>0.29739191288072303</v>
      </c>
      <c r="BQ91" s="1071"/>
      <c r="BR91" s="77">
        <f t="shared" si="199"/>
        <v>57377</v>
      </c>
      <c r="BS91" s="35"/>
      <c r="BT91" s="35">
        <f>7797+10000+39580-3000</f>
        <v>54377</v>
      </c>
      <c r="BU91" s="35">
        <f t="shared" si="246"/>
        <v>3000</v>
      </c>
      <c r="BV91" s="74">
        <f t="shared" si="90"/>
        <v>210499</v>
      </c>
      <c r="BW91" s="74">
        <f t="shared" si="89"/>
        <v>423.36677095282278</v>
      </c>
      <c r="BX91" s="1098"/>
      <c r="BY91" s="295">
        <v>1150</v>
      </c>
      <c r="BZ91" s="296"/>
      <c r="CA91" s="296">
        <v>1150</v>
      </c>
      <c r="CB91" s="296"/>
      <c r="CC91" s="297"/>
      <c r="CD91" s="296">
        <f t="shared" si="233"/>
        <v>5100</v>
      </c>
      <c r="CE91" s="297">
        <f t="shared" si="234"/>
        <v>0.12129708538801083</v>
      </c>
      <c r="CF91" s="1061"/>
      <c r="CH91">
        <f t="shared" si="206"/>
        <v>351996.6</v>
      </c>
    </row>
    <row r="92" spans="1:86">
      <c r="A92" s="30">
        <v>44040</v>
      </c>
      <c r="B92" s="265">
        <v>546624</v>
      </c>
      <c r="C92" s="114">
        <f t="shared" si="165"/>
        <v>42592152</v>
      </c>
      <c r="D92" s="91">
        <v>6281.94</v>
      </c>
      <c r="E92" s="93">
        <f t="shared" si="166"/>
        <v>503484.39999999997</v>
      </c>
      <c r="F92" s="243">
        <f t="shared" si="167"/>
        <v>22980</v>
      </c>
      <c r="G92" s="240">
        <v>32100</v>
      </c>
      <c r="H92" s="280">
        <v>17.04</v>
      </c>
      <c r="I92" s="240">
        <f>18000+7620</f>
        <v>25620</v>
      </c>
      <c r="J92" s="240">
        <f t="shared" si="247"/>
        <v>29460</v>
      </c>
      <c r="K92" s="280">
        <f t="shared" si="208"/>
        <v>53.894450298559889</v>
      </c>
      <c r="L92" s="240">
        <f t="shared" si="209"/>
        <v>1282180</v>
      </c>
      <c r="M92" s="280">
        <f t="shared" si="210"/>
        <v>30.103667924550983</v>
      </c>
      <c r="N92" s="280">
        <f t="shared" si="211"/>
        <v>3.6860129698238011</v>
      </c>
      <c r="O92" s="1089"/>
      <c r="P92" s="1084"/>
      <c r="Q92" s="77">
        <f t="shared" si="172"/>
        <v>35611</v>
      </c>
      <c r="R92" s="35"/>
      <c r="S92" s="35">
        <v>35611</v>
      </c>
      <c r="T92" s="35"/>
      <c r="U92" s="36"/>
      <c r="V92" s="74">
        <f t="shared" si="212"/>
        <v>57017</v>
      </c>
      <c r="W92" s="36">
        <f t="shared" si="213"/>
        <v>1.3386738477079063</v>
      </c>
      <c r="X92" s="1136"/>
      <c r="Y92" s="49">
        <f t="shared" si="176"/>
        <v>631</v>
      </c>
      <c r="Z92" s="50"/>
      <c r="AA92" s="50">
        <f>292+70</f>
        <v>362</v>
      </c>
      <c r="AB92" s="50">
        <f t="shared" si="235"/>
        <v>269</v>
      </c>
      <c r="AC92" s="51">
        <f t="shared" si="214"/>
        <v>0.49211157944034656</v>
      </c>
      <c r="AD92" s="50">
        <f t="shared" si="215"/>
        <v>17401</v>
      </c>
      <c r="AE92" s="51">
        <f t="shared" si="216"/>
        <v>0.40854944356885275</v>
      </c>
      <c r="AF92" s="1047"/>
      <c r="AG92" s="40">
        <f t="shared" si="180"/>
        <v>705</v>
      </c>
      <c r="AH92" s="41"/>
      <c r="AI92" s="41">
        <v>666</v>
      </c>
      <c r="AJ92" s="41">
        <f t="shared" si="217"/>
        <v>39</v>
      </c>
      <c r="AK92" s="42">
        <f t="shared" si="218"/>
        <v>7.1347031963470323E-2</v>
      </c>
      <c r="AL92" s="41">
        <f t="shared" si="219"/>
        <v>7717</v>
      </c>
      <c r="AM92" s="42">
        <f t="shared" si="220"/>
        <v>0.18118361335675173</v>
      </c>
      <c r="AN92" s="1058"/>
      <c r="AO92" s="311">
        <v>6.1</v>
      </c>
      <c r="AP92" s="67">
        <v>24</v>
      </c>
      <c r="AQ92" s="68">
        <f t="shared" si="248"/>
        <v>72.768119999999982</v>
      </c>
      <c r="AR92" s="68">
        <f t="shared" si="249"/>
        <v>11.583701850065424</v>
      </c>
      <c r="AS92" s="69">
        <f t="shared" si="250"/>
        <v>4853.9914800000006</v>
      </c>
      <c r="AT92" s="140">
        <f t="shared" si="251"/>
        <v>9.6407981657425754</v>
      </c>
      <c r="AU92" s="1073"/>
      <c r="AV92" s="71">
        <v>2.9</v>
      </c>
      <c r="AW92" s="71">
        <v>12</v>
      </c>
      <c r="AX92" s="72">
        <f t="shared" si="240"/>
        <v>17.982203999999999</v>
      </c>
      <c r="AY92" s="72">
        <f t="shared" si="241"/>
        <v>2.8625239973638714</v>
      </c>
      <c r="AZ92" s="73">
        <f t="shared" si="242"/>
        <v>1570.6525079999994</v>
      </c>
      <c r="BA92" s="192">
        <f t="shared" si="243"/>
        <v>3.1195653887190935</v>
      </c>
      <c r="BB92" s="1075"/>
      <c r="BC92" s="90">
        <f t="shared" si="193"/>
        <v>22705</v>
      </c>
      <c r="BD92" s="59"/>
      <c r="BE92" s="56">
        <v>22705</v>
      </c>
      <c r="BF92" s="56"/>
      <c r="BG92" s="58">
        <f t="shared" si="244"/>
        <v>28230</v>
      </c>
      <c r="BH92" s="58">
        <f t="shared" si="245"/>
        <v>56.069264509486295</v>
      </c>
      <c r="BI92" s="1133"/>
      <c r="BJ92" s="64">
        <f t="shared" si="196"/>
        <v>984</v>
      </c>
      <c r="BK92" s="64">
        <v>1100</v>
      </c>
      <c r="BL92" s="64">
        <v>1660</v>
      </c>
      <c r="BM92" s="64">
        <f t="shared" si="204"/>
        <v>424</v>
      </c>
      <c r="BN92" s="65">
        <f t="shared" si="205"/>
        <v>0.77567029621824146</v>
      </c>
      <c r="BO92" s="64">
        <f t="shared" si="227"/>
        <v>12928</v>
      </c>
      <c r="BP92" s="65">
        <f t="shared" si="228"/>
        <v>0.30353009634263139</v>
      </c>
      <c r="BQ92" s="1071"/>
      <c r="BR92" s="77">
        <f t="shared" si="199"/>
        <v>54377</v>
      </c>
      <c r="BS92" s="35"/>
      <c r="BT92" s="35">
        <f>27475+29580-6000</f>
        <v>51055</v>
      </c>
      <c r="BU92" s="35">
        <f t="shared" si="246"/>
        <v>3322</v>
      </c>
      <c r="BV92" s="74">
        <f t="shared" si="90"/>
        <v>213821</v>
      </c>
      <c r="BW92" s="74">
        <f t="shared" si="89"/>
        <v>424.68247278366522</v>
      </c>
      <c r="BX92" s="1098"/>
      <c r="BY92" s="295">
        <v>1150</v>
      </c>
      <c r="BZ92" s="296"/>
      <c r="CA92" s="296">
        <v>1150</v>
      </c>
      <c r="CB92" s="296"/>
      <c r="CC92" s="297"/>
      <c r="CD92" s="296">
        <f t="shared" si="233"/>
        <v>5100</v>
      </c>
      <c r="CE92" s="297">
        <f t="shared" si="234"/>
        <v>0.11974036907080911</v>
      </c>
      <c r="CF92" s="1061"/>
      <c r="CH92">
        <f t="shared" si="206"/>
        <v>400575</v>
      </c>
    </row>
    <row r="93" spans="1:86">
      <c r="A93" s="30">
        <v>44041</v>
      </c>
      <c r="B93" s="265">
        <v>630782</v>
      </c>
      <c r="C93" s="114">
        <f t="shared" si="165"/>
        <v>43222934</v>
      </c>
      <c r="D93" s="91">
        <v>6867.66</v>
      </c>
      <c r="E93" s="93">
        <f t="shared" si="166"/>
        <v>510352.05999999994</v>
      </c>
      <c r="F93" s="243">
        <f t="shared" si="167"/>
        <v>25620</v>
      </c>
      <c r="G93" s="240">
        <v>32200</v>
      </c>
      <c r="H93" s="280">
        <v>14.06</v>
      </c>
      <c r="I93" s="240">
        <f>19200+7450</f>
        <v>26650</v>
      </c>
      <c r="J93" s="240">
        <f t="shared" si="247"/>
        <v>31170</v>
      </c>
      <c r="K93" s="280">
        <f t="shared" si="208"/>
        <v>49.414853309067155</v>
      </c>
      <c r="L93" s="240">
        <f t="shared" si="209"/>
        <v>1313350</v>
      </c>
      <c r="M93" s="280">
        <f t="shared" si="210"/>
        <v>30.385489333047126</v>
      </c>
      <c r="N93" s="280">
        <f t="shared" si="211"/>
        <v>3.7205203052586171</v>
      </c>
      <c r="O93" s="1089"/>
      <c r="P93" s="1084"/>
      <c r="Q93" s="77">
        <f t="shared" si="172"/>
        <v>35611</v>
      </c>
      <c r="R93" s="35"/>
      <c r="S93" s="35">
        <v>35611</v>
      </c>
      <c r="T93" s="35"/>
      <c r="U93" s="36"/>
      <c r="V93" s="74">
        <f t="shared" si="212"/>
        <v>57017</v>
      </c>
      <c r="W93" s="36">
        <f t="shared" si="213"/>
        <v>1.3191376596507771</v>
      </c>
      <c r="X93" s="1136"/>
      <c r="Y93" s="49">
        <f t="shared" si="176"/>
        <v>362</v>
      </c>
      <c r="Z93" s="50">
        <v>900</v>
      </c>
      <c r="AA93" s="50">
        <f>886+87</f>
        <v>973</v>
      </c>
      <c r="AB93" s="50">
        <f t="shared" si="235"/>
        <v>289</v>
      </c>
      <c r="AC93" s="51">
        <f t="shared" si="214"/>
        <v>0.45816145673148567</v>
      </c>
      <c r="AD93" s="50">
        <f t="shared" si="215"/>
        <v>17690</v>
      </c>
      <c r="AE93" s="51">
        <f t="shared" si="216"/>
        <v>0.40927346579480234</v>
      </c>
      <c r="AF93" s="1047"/>
      <c r="AG93" s="40">
        <f t="shared" si="180"/>
        <v>666</v>
      </c>
      <c r="AH93" s="41"/>
      <c r="AI93" s="41">
        <v>567</v>
      </c>
      <c r="AJ93" s="41">
        <f t="shared" si="217"/>
        <v>99</v>
      </c>
      <c r="AK93" s="42">
        <f t="shared" si="218"/>
        <v>0.15694804227133938</v>
      </c>
      <c r="AL93" s="41">
        <f t="shared" si="219"/>
        <v>7816</v>
      </c>
      <c r="AM93" s="42">
        <f t="shared" si="220"/>
        <v>0.18082992700125355</v>
      </c>
      <c r="AN93" s="1058"/>
      <c r="AO93" s="67">
        <v>5.9</v>
      </c>
      <c r="AP93" s="67">
        <v>24</v>
      </c>
      <c r="AQ93" s="68">
        <f t="shared" si="248"/>
        <v>70.382280000000009</v>
      </c>
      <c r="AR93" s="68">
        <f t="shared" si="249"/>
        <v>10.248364071605177</v>
      </c>
      <c r="AS93" s="69">
        <f t="shared" si="250"/>
        <v>4924.3737600000004</v>
      </c>
      <c r="AT93" s="140">
        <f t="shared" si="251"/>
        <v>9.6489740043373224</v>
      </c>
      <c r="AU93" s="1073"/>
      <c r="AV93" s="71">
        <v>3.3</v>
      </c>
      <c r="AW93" s="71">
        <v>12</v>
      </c>
      <c r="AX93" s="72">
        <f t="shared" si="240"/>
        <v>20.462508</v>
      </c>
      <c r="AY93" s="72">
        <f t="shared" si="241"/>
        <v>2.9795458715195569</v>
      </c>
      <c r="AZ93" s="73">
        <f t="shared" si="242"/>
        <v>1591.1150159999995</v>
      </c>
      <c r="BA93" s="192">
        <f t="shared" si="243"/>
        <v>3.1176811865910756</v>
      </c>
      <c r="BB93" s="1075"/>
      <c r="BC93" s="90">
        <f t="shared" si="193"/>
        <v>22705</v>
      </c>
      <c r="BD93" s="59"/>
      <c r="BE93" s="56">
        <v>22705</v>
      </c>
      <c r="BF93" s="56"/>
      <c r="BG93" s="58">
        <f t="shared" si="244"/>
        <v>28230</v>
      </c>
      <c r="BH93" s="58">
        <f t="shared" si="245"/>
        <v>55.31475664073934</v>
      </c>
      <c r="BI93" s="1133"/>
      <c r="BJ93" s="64">
        <f t="shared" si="196"/>
        <v>1660</v>
      </c>
      <c r="BK93" s="64"/>
      <c r="BL93" s="64">
        <v>1604</v>
      </c>
      <c r="BM93" s="64">
        <f t="shared" si="204"/>
        <v>56</v>
      </c>
      <c r="BN93" s="65">
        <f t="shared" si="205"/>
        <v>8.8778690577727332E-2</v>
      </c>
      <c r="BO93" s="64">
        <f t="shared" si="227"/>
        <v>12984</v>
      </c>
      <c r="BP93" s="65">
        <f t="shared" si="228"/>
        <v>0.30039608139512231</v>
      </c>
      <c r="BQ93" s="1071"/>
      <c r="BR93" s="77">
        <f t="shared" si="199"/>
        <v>51055</v>
      </c>
      <c r="BS93" s="35"/>
      <c r="BT93" s="35">
        <f>27475+19580</f>
        <v>47055</v>
      </c>
      <c r="BU93" s="35">
        <f t="shared" si="246"/>
        <v>4000</v>
      </c>
      <c r="BV93" s="74">
        <f t="shared" si="90"/>
        <v>217821</v>
      </c>
      <c r="BW93" s="74">
        <f t="shared" si="89"/>
        <v>426.80537039470369</v>
      </c>
      <c r="BX93" s="1098"/>
      <c r="BY93" s="295">
        <v>1150</v>
      </c>
      <c r="BZ93" s="296"/>
      <c r="CA93" s="296">
        <v>1150</v>
      </c>
      <c r="CB93" s="296"/>
      <c r="CC93" s="297"/>
      <c r="CD93" s="296">
        <f t="shared" si="233"/>
        <v>5100</v>
      </c>
      <c r="CE93" s="297">
        <f t="shared" si="234"/>
        <v>0.11799291552026524</v>
      </c>
      <c r="CF93" s="1061"/>
      <c r="CH93">
        <f t="shared" si="206"/>
        <v>456851.5</v>
      </c>
    </row>
    <row r="94" spans="1:86">
      <c r="A94" s="30">
        <v>44042</v>
      </c>
      <c r="B94" s="265">
        <v>552805</v>
      </c>
      <c r="C94" s="114">
        <f t="shared" si="165"/>
        <v>43775739</v>
      </c>
      <c r="D94" s="91">
        <v>5933.24</v>
      </c>
      <c r="E94" s="93">
        <f t="shared" si="166"/>
        <v>516285.29999999993</v>
      </c>
      <c r="F94" s="243">
        <f t="shared" si="167"/>
        <v>26650</v>
      </c>
      <c r="G94" s="240">
        <v>32240</v>
      </c>
      <c r="H94" s="280">
        <v>13.77</v>
      </c>
      <c r="I94" s="240">
        <f>20800+7300</f>
        <v>28100</v>
      </c>
      <c r="J94" s="240">
        <f>F94+G94-I94</f>
        <v>30790</v>
      </c>
      <c r="K94" s="280">
        <f t="shared" si="208"/>
        <v>55.697759607818305</v>
      </c>
      <c r="L94" s="240">
        <f t="shared" si="209"/>
        <v>1344140</v>
      </c>
      <c r="M94" s="280">
        <f t="shared" si="210"/>
        <v>30.705135554650489</v>
      </c>
      <c r="N94" s="280">
        <f t="shared" si="211"/>
        <v>3.7596590614240837</v>
      </c>
      <c r="O94" s="1089"/>
      <c r="P94" s="1084"/>
      <c r="Q94" s="77">
        <f t="shared" si="172"/>
        <v>35611</v>
      </c>
      <c r="R94" s="35"/>
      <c r="S94" s="35">
        <v>35611</v>
      </c>
      <c r="T94" s="35"/>
      <c r="U94" s="36"/>
      <c r="V94" s="74">
        <f t="shared" si="212"/>
        <v>57017</v>
      </c>
      <c r="W94" s="36">
        <f t="shared" si="213"/>
        <v>1.3024794395818196</v>
      </c>
      <c r="X94" s="1136"/>
      <c r="Y94" s="49">
        <f t="shared" si="176"/>
        <v>973</v>
      </c>
      <c r="Z94" s="50"/>
      <c r="AA94" s="50">
        <f>725+110+80</f>
        <v>915</v>
      </c>
      <c r="AB94" s="50">
        <f t="shared" si="235"/>
        <v>58</v>
      </c>
      <c r="AC94" s="51">
        <f t="shared" si="214"/>
        <v>0.10491945622778376</v>
      </c>
      <c r="AD94" s="50">
        <f t="shared" si="215"/>
        <v>17748</v>
      </c>
      <c r="AE94" s="51">
        <f t="shared" si="216"/>
        <v>0.40543004882224831</v>
      </c>
      <c r="AF94" s="1047"/>
      <c r="AG94" s="40">
        <f t="shared" si="180"/>
        <v>567</v>
      </c>
      <c r="AH94" s="41"/>
      <c r="AI94" s="41">
        <v>471</v>
      </c>
      <c r="AJ94" s="41">
        <f t="shared" si="217"/>
        <v>96</v>
      </c>
      <c r="AK94" s="42">
        <f t="shared" si="218"/>
        <v>0.1736597896184007</v>
      </c>
      <c r="AL94" s="41">
        <f t="shared" si="219"/>
        <v>7912</v>
      </c>
      <c r="AM94" s="42">
        <f t="shared" si="220"/>
        <v>0.18073938169267684</v>
      </c>
      <c r="AN94" s="1058"/>
      <c r="AO94" s="67">
        <v>5.0999999999999996</v>
      </c>
      <c r="AP94" s="67">
        <v>24</v>
      </c>
      <c r="AQ94" s="68">
        <f t="shared" si="248"/>
        <v>60.838919999999995</v>
      </c>
      <c r="AR94" s="68">
        <f t="shared" si="249"/>
        <v>10.253911859287673</v>
      </c>
      <c r="AS94" s="69">
        <f t="shared" si="250"/>
        <v>4985.2126800000005</v>
      </c>
      <c r="AT94" s="140">
        <f t="shared" si="251"/>
        <v>9.6559260548382859</v>
      </c>
      <c r="AU94" s="1073"/>
      <c r="AV94" s="71">
        <v>2.8</v>
      </c>
      <c r="AW94" s="71">
        <v>12</v>
      </c>
      <c r="AX94" s="72">
        <f t="shared" si="240"/>
        <v>17.362127999999998</v>
      </c>
      <c r="AY94" s="72">
        <f t="shared" si="241"/>
        <v>2.9262473791722563</v>
      </c>
      <c r="AZ94" s="73">
        <f t="shared" si="242"/>
        <v>1608.4771439999995</v>
      </c>
      <c r="BA94" s="192">
        <f t="shared" si="243"/>
        <v>3.1154811961525914</v>
      </c>
      <c r="BB94" s="1075"/>
      <c r="BC94" s="90">
        <f t="shared" si="193"/>
        <v>22705</v>
      </c>
      <c r="BD94" s="59"/>
      <c r="BE94" s="56">
        <v>22705</v>
      </c>
      <c r="BF94" s="56"/>
      <c r="BG94" s="58">
        <f t="shared" si="244"/>
        <v>28230</v>
      </c>
      <c r="BH94" s="58">
        <f t="shared" si="245"/>
        <v>54.679069886359351</v>
      </c>
      <c r="BI94" s="1133"/>
      <c r="BJ94" s="64">
        <f t="shared" si="196"/>
        <v>1604</v>
      </c>
      <c r="BK94" s="64"/>
      <c r="BL94" s="64">
        <v>1400</v>
      </c>
      <c r="BM94" s="64">
        <f t="shared" si="204"/>
        <v>204</v>
      </c>
      <c r="BN94" s="65">
        <f t="shared" si="205"/>
        <v>0.36902705293910149</v>
      </c>
      <c r="BO94" s="64">
        <f t="shared" si="227"/>
        <v>13188</v>
      </c>
      <c r="BP94" s="65">
        <f t="shared" si="228"/>
        <v>0.30126276109239414</v>
      </c>
      <c r="BQ94" s="1071"/>
      <c r="BR94" s="77">
        <f t="shared" si="199"/>
        <v>47055</v>
      </c>
      <c r="BS94" s="35"/>
      <c r="BT94" s="35">
        <f>21933+12000</f>
        <v>33933</v>
      </c>
      <c r="BU94" s="35">
        <f t="shared" si="246"/>
        <v>13122</v>
      </c>
      <c r="BV94" s="74">
        <f t="shared" si="90"/>
        <v>230943</v>
      </c>
      <c r="BW94" s="74">
        <f t="shared" si="89"/>
        <v>447.3166290033825</v>
      </c>
      <c r="BX94" s="1098"/>
      <c r="BY94" s="295">
        <v>1150</v>
      </c>
      <c r="BZ94" s="296"/>
      <c r="CA94" s="296">
        <v>1150</v>
      </c>
      <c r="CB94" s="296"/>
      <c r="CC94" s="297"/>
      <c r="CD94" s="296">
        <f t="shared" si="233"/>
        <v>5100</v>
      </c>
      <c r="CE94" s="297">
        <f t="shared" si="234"/>
        <v>0.11650288759260009</v>
      </c>
      <c r="CF94" s="1061"/>
      <c r="CH94">
        <f t="shared" si="206"/>
        <v>546984</v>
      </c>
    </row>
    <row r="95" spans="1:86" ht="15.75" thickBot="1">
      <c r="A95" s="30">
        <v>44043</v>
      </c>
      <c r="B95" s="282">
        <v>568546</v>
      </c>
      <c r="C95" s="171">
        <f t="shared" si="165"/>
        <v>44344285</v>
      </c>
      <c r="D95" s="110">
        <v>6672.24</v>
      </c>
      <c r="E95" s="94">
        <f t="shared" si="166"/>
        <v>522957.53999999992</v>
      </c>
      <c r="F95" s="243">
        <f t="shared" si="167"/>
        <v>28100</v>
      </c>
      <c r="G95" s="231">
        <v>32900</v>
      </c>
      <c r="H95" s="230">
        <v>17.190000000000001</v>
      </c>
      <c r="I95" s="231">
        <f>20000+7100</f>
        <v>27100</v>
      </c>
      <c r="J95" s="240">
        <f>F95+G95-I95</f>
        <v>33900</v>
      </c>
      <c r="K95" s="280">
        <f t="shared" si="208"/>
        <v>59.625782258603529</v>
      </c>
      <c r="L95" s="240">
        <f t="shared" si="209"/>
        <v>1378040</v>
      </c>
      <c r="M95" s="280">
        <f t="shared" si="210"/>
        <v>31.075932332655718</v>
      </c>
      <c r="N95" s="280">
        <f t="shared" si="211"/>
        <v>3.8050608953906844</v>
      </c>
      <c r="O95" s="1090"/>
      <c r="P95" s="1085"/>
      <c r="Q95" s="77">
        <f t="shared" si="172"/>
        <v>35611</v>
      </c>
      <c r="R95" s="76"/>
      <c r="S95" s="76">
        <v>35611</v>
      </c>
      <c r="T95" s="35"/>
      <c r="U95" s="36"/>
      <c r="V95" s="74">
        <f t="shared" si="212"/>
        <v>57017</v>
      </c>
      <c r="W95" s="36">
        <f t="shared" si="213"/>
        <v>1.285780118001677</v>
      </c>
      <c r="X95" s="1137"/>
      <c r="Y95" s="49">
        <f t="shared" si="176"/>
        <v>915</v>
      </c>
      <c r="Z95" s="50"/>
      <c r="AA95" s="82">
        <f>761+88</f>
        <v>849</v>
      </c>
      <c r="AB95" s="50">
        <f t="shared" si="235"/>
        <v>66</v>
      </c>
      <c r="AC95" s="51">
        <f t="shared" si="214"/>
        <v>0.11608559377781218</v>
      </c>
      <c r="AD95" s="50">
        <f t="shared" si="215"/>
        <v>17814</v>
      </c>
      <c r="AE95" s="51">
        <f t="shared" si="216"/>
        <v>0.40172031187333385</v>
      </c>
      <c r="AF95" s="1048"/>
      <c r="AG95" s="40">
        <f t="shared" si="180"/>
        <v>471</v>
      </c>
      <c r="AH95" s="96"/>
      <c r="AI95" s="96">
        <v>433</v>
      </c>
      <c r="AJ95" s="41">
        <f t="shared" si="217"/>
        <v>38</v>
      </c>
      <c r="AK95" s="42">
        <f t="shared" si="218"/>
        <v>6.6837160053891856E-2</v>
      </c>
      <c r="AL95" s="41">
        <f t="shared" si="219"/>
        <v>7950</v>
      </c>
      <c r="AM95" s="42">
        <f t="shared" si="220"/>
        <v>0.17927902096064915</v>
      </c>
      <c r="AN95" s="1059"/>
      <c r="AO95" s="215">
        <v>6.3</v>
      </c>
      <c r="AP95" s="101">
        <v>24</v>
      </c>
      <c r="AQ95" s="111">
        <f t="shared" si="248"/>
        <v>75.153959999999998</v>
      </c>
      <c r="AR95" s="111">
        <f t="shared" si="249"/>
        <v>11.263677565555195</v>
      </c>
      <c r="AS95" s="112">
        <f t="shared" si="250"/>
        <v>5060.3666400000002</v>
      </c>
      <c r="AT95" s="181">
        <f t="shared" si="251"/>
        <v>9.6764388175758995</v>
      </c>
      <c r="AU95" s="1074"/>
      <c r="AV95" s="113">
        <v>3.3</v>
      </c>
      <c r="AW95" s="104">
        <v>12</v>
      </c>
      <c r="AX95" s="72">
        <f>AV95*AW95*0.51673</f>
        <v>20.462508</v>
      </c>
      <c r="AY95" s="72">
        <f>AX95*1000/D95</f>
        <v>3.0668123448796805</v>
      </c>
      <c r="AZ95" s="73">
        <f>AZ94+AX95</f>
        <v>1628.9396519999996</v>
      </c>
      <c r="BA95" s="192">
        <f>AZ95*1000/E95</f>
        <v>3.114860246589044</v>
      </c>
      <c r="BB95" s="1076"/>
      <c r="BC95" s="87">
        <f t="shared" si="193"/>
        <v>22705</v>
      </c>
      <c r="BD95" s="100"/>
      <c r="BE95" s="88">
        <v>22705</v>
      </c>
      <c r="BF95" s="88"/>
      <c r="BG95" s="89">
        <f t="shared" si="244"/>
        <v>28230</v>
      </c>
      <c r="BH95" s="89">
        <f t="shared" si="245"/>
        <v>53.981437957659054</v>
      </c>
      <c r="BI95" s="1134"/>
      <c r="BJ95" s="207">
        <f t="shared" si="196"/>
        <v>1400</v>
      </c>
      <c r="BK95" s="85"/>
      <c r="BL95" s="85">
        <v>1135</v>
      </c>
      <c r="BM95" s="85">
        <f t="shared" si="204"/>
        <v>265</v>
      </c>
      <c r="BN95" s="86">
        <f t="shared" si="205"/>
        <v>0.46610124774424583</v>
      </c>
      <c r="BO95" s="85">
        <f t="shared" si="227"/>
        <v>13453</v>
      </c>
      <c r="BP95" s="86">
        <f t="shared" si="228"/>
        <v>0.30337618477781297</v>
      </c>
      <c r="BQ95" s="1072"/>
      <c r="BR95" s="77">
        <f t="shared" si="199"/>
        <v>33933</v>
      </c>
      <c r="BS95" s="76"/>
      <c r="BT95" s="76">
        <f>20084+12000</f>
        <v>32084</v>
      </c>
      <c r="BU95" s="35">
        <f t="shared" si="246"/>
        <v>1849</v>
      </c>
      <c r="BV95" s="74">
        <f>BV94+BU95</f>
        <v>232792</v>
      </c>
      <c r="BW95" s="74">
        <f>BV95*1000/E95</f>
        <v>445.14512593125636</v>
      </c>
      <c r="BX95" s="1099"/>
      <c r="BY95" s="305">
        <v>1150</v>
      </c>
      <c r="BZ95" s="299"/>
      <c r="CA95" s="299">
        <v>1150</v>
      </c>
      <c r="CB95" s="299"/>
      <c r="CC95" s="300"/>
      <c r="CD95" s="299">
        <f t="shared" si="233"/>
        <v>5100</v>
      </c>
      <c r="CE95" s="300">
        <f t="shared" si="234"/>
        <v>0.11500918325777493</v>
      </c>
      <c r="CF95" s="1062"/>
      <c r="CH95">
        <f t="shared" si="206"/>
        <v>452732</v>
      </c>
    </row>
    <row r="96" spans="1:86">
      <c r="A96" s="30">
        <v>44044</v>
      </c>
      <c r="B96" s="265">
        <v>608273</v>
      </c>
      <c r="C96" s="114">
        <f t="shared" si="165"/>
        <v>44952558</v>
      </c>
      <c r="D96" s="29">
        <v>7591.12</v>
      </c>
      <c r="E96" s="93">
        <f t="shared" si="166"/>
        <v>530548.65999999992</v>
      </c>
      <c r="F96" s="241">
        <f>I95</f>
        <v>27100</v>
      </c>
      <c r="G96" s="241"/>
      <c r="H96" s="313"/>
      <c r="I96" s="241">
        <f>2000+6950</f>
        <v>8950</v>
      </c>
      <c r="J96" s="241">
        <f>F96+G96-I96</f>
        <v>18150</v>
      </c>
      <c r="K96" s="313">
        <f t="shared" si="208"/>
        <v>29.838575771076474</v>
      </c>
      <c r="L96" s="241">
        <f t="shared" si="209"/>
        <v>1396190</v>
      </c>
      <c r="M96" s="313">
        <f t="shared" si="210"/>
        <v>31.059189112219155</v>
      </c>
      <c r="N96" s="313">
        <f t="shared" si="211"/>
        <v>3.8030107888109654</v>
      </c>
      <c r="O96" s="1052">
        <f>1000*SUM(J96:J126)/SUM(B96:B126)</f>
        <v>34.691852804118319</v>
      </c>
      <c r="P96" s="1083">
        <f>O96/8.167</f>
        <v>4.2478085960717911</v>
      </c>
      <c r="Q96" s="117">
        <f>S95</f>
        <v>35611</v>
      </c>
      <c r="R96" s="118"/>
      <c r="S96" s="35">
        <v>34270</v>
      </c>
      <c r="T96" s="118">
        <f>Q96+R96-S96</f>
        <v>1341</v>
      </c>
      <c r="U96" s="119">
        <f>1000*T96/B96</f>
        <v>2.2046022098630056</v>
      </c>
      <c r="V96" s="120">
        <f t="shared" si="212"/>
        <v>58358</v>
      </c>
      <c r="W96" s="119">
        <f t="shared" si="213"/>
        <v>1.2982131072496474</v>
      </c>
      <c r="X96" s="1178">
        <f>1000*SUM(T96:T126)/SUM(B96:B126)</f>
        <v>3.3064732221531301</v>
      </c>
      <c r="Y96" s="121">
        <f>AA95</f>
        <v>849</v>
      </c>
      <c r="Z96" s="122"/>
      <c r="AA96" s="50">
        <f>689+70</f>
        <v>759</v>
      </c>
      <c r="AB96" s="122">
        <f t="shared" si="235"/>
        <v>90</v>
      </c>
      <c r="AC96" s="123">
        <f t="shared" si="214"/>
        <v>0.14795987985657755</v>
      </c>
      <c r="AD96" s="122">
        <f t="shared" si="215"/>
        <v>17904</v>
      </c>
      <c r="AE96" s="123">
        <f t="shared" si="216"/>
        <v>0.39828656691794934</v>
      </c>
      <c r="AF96" s="1049">
        <f>1000*SUM(AB96:AB126)/SUM(B96:B126)</f>
        <v>0.10142078272497614</v>
      </c>
      <c r="AG96" s="124">
        <f>AI95</f>
        <v>433</v>
      </c>
      <c r="AH96" s="125"/>
      <c r="AI96" s="41">
        <v>307</v>
      </c>
      <c r="AJ96" s="125">
        <f t="shared" si="217"/>
        <v>126</v>
      </c>
      <c r="AK96" s="126">
        <f t="shared" si="218"/>
        <v>0.20714383179920859</v>
      </c>
      <c r="AL96" s="125">
        <f t="shared" si="219"/>
        <v>8076</v>
      </c>
      <c r="AM96" s="126">
        <f t="shared" si="220"/>
        <v>0.17965607207491952</v>
      </c>
      <c r="AN96" s="1057">
        <f>1000*SUM(AJ96:AJ126)/SUM(B96:B126)</f>
        <v>7.7994209743840692E-2</v>
      </c>
      <c r="AO96" s="311">
        <v>6.4</v>
      </c>
      <c r="AP96" s="67">
        <v>24</v>
      </c>
      <c r="AQ96" s="68">
        <f t="shared" si="248"/>
        <v>76.346880000000013</v>
      </c>
      <c r="AR96" s="68">
        <f t="shared" si="249"/>
        <v>10.057393375417595</v>
      </c>
      <c r="AS96" s="69">
        <f t="shared" si="250"/>
        <v>5136.7135200000002</v>
      </c>
      <c r="AT96" s="140">
        <f t="shared" si="251"/>
        <v>9.6818895367674696</v>
      </c>
      <c r="AU96" s="1064">
        <f>1000*SUM(AQ96:AQ126)/SUM(D96:D126)</f>
        <v>10.778757336383565</v>
      </c>
      <c r="AV96" s="70">
        <v>3.5</v>
      </c>
      <c r="AW96" s="71">
        <v>12</v>
      </c>
      <c r="AX96" s="138">
        <f>AV96*AW96*0.51673</f>
        <v>21.702660000000002</v>
      </c>
      <c r="AY96" s="138">
        <f>AX96*1000/D96</f>
        <v>2.8589536194922487</v>
      </c>
      <c r="AZ96" s="139">
        <f>AZ95+AX96</f>
        <v>1650.6423119999995</v>
      </c>
      <c r="BA96" s="194">
        <f>AZ96*1000/E96</f>
        <v>3.1111987202078688</v>
      </c>
      <c r="BB96" s="1065">
        <f>1000*SUM(AX95:AX126)/SUM(D96:D126)</f>
        <v>3.3061000196360419</v>
      </c>
      <c r="BC96" s="90">
        <f>BE95</f>
        <v>22705</v>
      </c>
      <c r="BD96" s="59"/>
      <c r="BE96" s="56">
        <v>22705</v>
      </c>
      <c r="BF96" s="56"/>
      <c r="BG96" s="58">
        <f t="shared" si="244"/>
        <v>28230</v>
      </c>
      <c r="BH96" s="58">
        <f t="shared" si="245"/>
        <v>53.209068514092571</v>
      </c>
      <c r="BI96" s="1132">
        <f>1000*SUM(BF96:BF126)/SUM(D96:D126)</f>
        <v>70.802064156854115</v>
      </c>
      <c r="BJ96" s="63">
        <f>BL95</f>
        <v>1135</v>
      </c>
      <c r="BK96" s="64"/>
      <c r="BL96" s="64">
        <v>972</v>
      </c>
      <c r="BM96" s="64">
        <f t="shared" si="204"/>
        <v>163</v>
      </c>
      <c r="BN96" s="65">
        <f t="shared" si="205"/>
        <v>0.26797178240691266</v>
      </c>
      <c r="BO96" s="64">
        <f t="shared" si="227"/>
        <v>13616</v>
      </c>
      <c r="BP96" s="65">
        <f t="shared" si="228"/>
        <v>0.30289711210650128</v>
      </c>
      <c r="BQ96" s="1067">
        <f>1000*SUM(BM96:BM126)/SUM(B96:B126)</f>
        <v>0.35776835776326193</v>
      </c>
      <c r="BR96" s="118">
        <f>BT95</f>
        <v>32084</v>
      </c>
      <c r="BS96" s="35"/>
      <c r="BT96" s="35">
        <f>14539+14000</f>
        <v>28539</v>
      </c>
      <c r="BU96" s="118">
        <f t="shared" si="246"/>
        <v>3545</v>
      </c>
      <c r="BV96" s="120">
        <f>BV95+BU96</f>
        <v>236337</v>
      </c>
      <c r="BW96" s="120">
        <f>BV96*1000/E96</f>
        <v>445.45772672387869</v>
      </c>
      <c r="BX96" s="1063">
        <f>1000*SUM(BU96:BU126)/SUM(D96:D126)</f>
        <v>478.89983650092807</v>
      </c>
      <c r="BY96" s="295">
        <f>CA95</f>
        <v>1150</v>
      </c>
      <c r="BZ96" s="296"/>
      <c r="CA96" s="296">
        <v>1150</v>
      </c>
      <c r="CB96" s="296"/>
      <c r="CC96" s="297"/>
      <c r="CD96" s="296">
        <f t="shared" si="233"/>
        <v>5100</v>
      </c>
      <c r="CE96" s="297">
        <f t="shared" si="234"/>
        <v>0.11345294298936225</v>
      </c>
      <c r="CF96" s="1060">
        <f>1000*SUM(CB96:CB126)/SUM(B95:B126)</f>
        <v>0.15376450897413219</v>
      </c>
      <c r="CH96">
        <f t="shared" si="206"/>
        <v>443944.8</v>
      </c>
    </row>
    <row r="97" spans="1:86">
      <c r="A97" s="30">
        <v>44045</v>
      </c>
      <c r="B97" s="265">
        <v>641718</v>
      </c>
      <c r="C97" s="114">
        <f t="shared" si="165"/>
        <v>45594276</v>
      </c>
      <c r="D97" s="29">
        <v>7498.42</v>
      </c>
      <c r="E97" s="93">
        <f t="shared" si="166"/>
        <v>538047.07999999996</v>
      </c>
      <c r="F97" s="240">
        <f>I96</f>
        <v>8950</v>
      </c>
      <c r="G97" s="240">
        <v>32200</v>
      </c>
      <c r="H97" s="280">
        <v>14.91</v>
      </c>
      <c r="I97" s="240">
        <f>6880</f>
        <v>6880</v>
      </c>
      <c r="J97" s="240">
        <f>F97+G97-I97</f>
        <v>34270</v>
      </c>
      <c r="K97" s="280">
        <f t="shared" si="208"/>
        <v>53.403519926198115</v>
      </c>
      <c r="L97" s="240">
        <f t="shared" si="209"/>
        <v>1430460</v>
      </c>
      <c r="M97" s="280">
        <f t="shared" si="210"/>
        <v>31.373675063948816</v>
      </c>
      <c r="N97" s="280">
        <f t="shared" si="211"/>
        <v>3.8415177009855292</v>
      </c>
      <c r="O97" s="1089"/>
      <c r="P97" s="1084"/>
      <c r="Q97" s="77">
        <f>S96</f>
        <v>34270</v>
      </c>
      <c r="R97" s="35"/>
      <c r="S97" s="35">
        <v>33195</v>
      </c>
      <c r="T97" s="35">
        <f>Q97+R97-S97</f>
        <v>1075</v>
      </c>
      <c r="U97" s="36">
        <f>1000*T97/B97</f>
        <v>1.6751906600718696</v>
      </c>
      <c r="V97" s="74">
        <f t="shared" si="212"/>
        <v>59433</v>
      </c>
      <c r="W97" s="36">
        <f t="shared" si="213"/>
        <v>1.3035188890816032</v>
      </c>
      <c r="X97" s="1179"/>
      <c r="Y97" s="49">
        <f>AA96</f>
        <v>759</v>
      </c>
      <c r="Z97" s="50"/>
      <c r="AA97" s="50">
        <f>581+110</f>
        <v>691</v>
      </c>
      <c r="AB97" s="50">
        <f t="shared" si="235"/>
        <v>68</v>
      </c>
      <c r="AC97" s="51">
        <f t="shared" si="214"/>
        <v>0.10596554873012756</v>
      </c>
      <c r="AD97" s="50">
        <f t="shared" si="215"/>
        <v>17972</v>
      </c>
      <c r="AE97" s="51">
        <f t="shared" si="216"/>
        <v>0.39417228601239329</v>
      </c>
      <c r="AF97" s="1050"/>
      <c r="AG97" s="40">
        <f>AI96</f>
        <v>307</v>
      </c>
      <c r="AH97" s="41"/>
      <c r="AI97" s="41">
        <v>208</v>
      </c>
      <c r="AJ97" s="41">
        <f t="shared" si="217"/>
        <v>99</v>
      </c>
      <c r="AK97" s="42">
        <f t="shared" si="218"/>
        <v>0.15427337241592101</v>
      </c>
      <c r="AL97" s="41">
        <f t="shared" si="219"/>
        <v>8175</v>
      </c>
      <c r="AM97" s="42">
        <f t="shared" si="220"/>
        <v>0.17929882251008877</v>
      </c>
      <c r="AN97" s="1058"/>
      <c r="AO97" s="311">
        <v>5.9</v>
      </c>
      <c r="AP97" s="67">
        <v>24</v>
      </c>
      <c r="AQ97" s="68">
        <f t="shared" si="248"/>
        <v>70.382280000000009</v>
      </c>
      <c r="AR97" s="68">
        <f t="shared" si="249"/>
        <v>9.3862813766100075</v>
      </c>
      <c r="AS97" s="69">
        <f t="shared" si="250"/>
        <v>5207.0958000000001</v>
      </c>
      <c r="AT97" s="140">
        <f t="shared" si="251"/>
        <v>9.6777698338219782</v>
      </c>
      <c r="AU97" s="1073"/>
      <c r="AV97" s="70">
        <v>3.5</v>
      </c>
      <c r="AW97" s="71">
        <v>12</v>
      </c>
      <c r="AX97" s="72">
        <f>AV97*AW97*0.51673</f>
        <v>21.702660000000002</v>
      </c>
      <c r="AY97" s="72">
        <f>AX97*1000/D97</f>
        <v>2.894297732055553</v>
      </c>
      <c r="AZ97" s="73">
        <f>AZ96+AX97</f>
        <v>1672.3449719999994</v>
      </c>
      <c r="BA97" s="192">
        <f>AZ97*1000/E97</f>
        <v>3.1081759090672874</v>
      </c>
      <c r="BB97" s="1075"/>
      <c r="BC97" s="90">
        <f>BE96</f>
        <v>22705</v>
      </c>
      <c r="BD97" s="59"/>
      <c r="BE97" s="56">
        <v>22705</v>
      </c>
      <c r="BF97" s="56"/>
      <c r="BG97" s="58">
        <f t="shared" si="244"/>
        <v>28230</v>
      </c>
      <c r="BH97" s="58">
        <f t="shared" si="245"/>
        <v>52.467527562829638</v>
      </c>
      <c r="BI97" s="1133"/>
      <c r="BJ97" s="63">
        <f>BL96</f>
        <v>972</v>
      </c>
      <c r="BK97" s="64"/>
      <c r="BL97" s="64">
        <v>834</v>
      </c>
      <c r="BM97" s="64">
        <f t="shared" si="204"/>
        <v>138</v>
      </c>
      <c r="BN97" s="65">
        <f t="shared" si="205"/>
        <v>0.21504773124643534</v>
      </c>
      <c r="BO97" s="64">
        <f t="shared" si="227"/>
        <v>13754</v>
      </c>
      <c r="BP97" s="65">
        <f t="shared" si="228"/>
        <v>0.30166067337049063</v>
      </c>
      <c r="BQ97" s="1071"/>
      <c r="BR97" s="35">
        <f>BT96</f>
        <v>28539</v>
      </c>
      <c r="BS97" s="35"/>
      <c r="BT97" s="35">
        <f>12691+14000</f>
        <v>26691</v>
      </c>
      <c r="BU97" s="35">
        <f t="shared" si="246"/>
        <v>1848</v>
      </c>
      <c r="BV97" s="74">
        <f>BV96+BU97</f>
        <v>238185</v>
      </c>
      <c r="BW97" s="74">
        <f>BV97*1000/E97</f>
        <v>442.68430933590423</v>
      </c>
      <c r="BX97" s="1098"/>
      <c r="BY97" s="295">
        <f>CA96</f>
        <v>1150</v>
      </c>
      <c r="BZ97" s="296"/>
      <c r="CA97" s="296">
        <v>1150</v>
      </c>
      <c r="CB97" s="296"/>
      <c r="CC97" s="297"/>
      <c r="CD97" s="296">
        <f t="shared" si="233"/>
        <v>5100</v>
      </c>
      <c r="CE97" s="297">
        <f t="shared" si="234"/>
        <v>0.1118561461530829</v>
      </c>
      <c r="CF97" s="1061"/>
      <c r="CH97">
        <f t="shared" si="206"/>
        <v>565551</v>
      </c>
    </row>
    <row r="98" spans="1:86">
      <c r="A98" s="30">
        <v>44046</v>
      </c>
      <c r="B98" s="265">
        <v>695477</v>
      </c>
      <c r="C98" s="114">
        <f t="shared" si="165"/>
        <v>46289753</v>
      </c>
      <c r="D98" s="29">
        <v>7624.16</v>
      </c>
      <c r="E98" s="93">
        <f t="shared" si="166"/>
        <v>545671.24</v>
      </c>
      <c r="F98" s="240">
        <f t="shared" ref="F98:F126" si="252">I97</f>
        <v>6880</v>
      </c>
      <c r="G98" s="240">
        <v>32250</v>
      </c>
      <c r="H98" s="280">
        <v>13.56</v>
      </c>
      <c r="I98" s="240">
        <f>6670</f>
        <v>6670</v>
      </c>
      <c r="J98" s="240">
        <f t="shared" ref="J98:J104" si="253">F98+G98-I98</f>
        <v>32460</v>
      </c>
      <c r="K98" s="280">
        <f t="shared" ref="K98:K104" si="254">J98*1000/B98</f>
        <v>46.673002845529041</v>
      </c>
      <c r="L98" s="240">
        <f t="shared" ref="L98:L104" si="255">L97+J98</f>
        <v>1462920</v>
      </c>
      <c r="M98" s="280">
        <f t="shared" ref="M98:M104" si="256">L98*1000/C98</f>
        <v>31.603538692461807</v>
      </c>
      <c r="N98" s="280">
        <f t="shared" ref="N98:N104" si="257">M98/8.167</f>
        <v>3.869663118949652</v>
      </c>
      <c r="O98" s="1089"/>
      <c r="P98" s="1084"/>
      <c r="Q98" s="77">
        <f t="shared" ref="Q98:Q126" si="258">S97</f>
        <v>33195</v>
      </c>
      <c r="R98" s="35"/>
      <c r="S98" s="35">
        <v>31310</v>
      </c>
      <c r="T98" s="35">
        <f t="shared" ref="T98:T104" si="259">Q98+R98-S98</f>
        <v>1885</v>
      </c>
      <c r="U98" s="36">
        <f t="shared" ref="U98:U104" si="260">1000*T98/B98</f>
        <v>2.710370005046896</v>
      </c>
      <c r="V98" s="74">
        <f t="shared" ref="V98:V104" si="261">V97+T98</f>
        <v>61318</v>
      </c>
      <c r="W98" s="36">
        <f t="shared" ref="W98:W104" si="262">1000*V98/C98</f>
        <v>1.324656020523592</v>
      </c>
      <c r="X98" s="1179"/>
      <c r="Y98" s="49">
        <f t="shared" ref="Y98:Y126" si="263">AA97</f>
        <v>691</v>
      </c>
      <c r="Z98" s="50"/>
      <c r="AA98" s="50">
        <f>458+92</f>
        <v>550</v>
      </c>
      <c r="AB98" s="50">
        <f t="shared" ref="AB98:AB104" si="264">Y98+Z98-AA98</f>
        <v>141</v>
      </c>
      <c r="AC98" s="51">
        <f t="shared" ref="AC98:AC104" si="265">AB98*1000/B98</f>
        <v>0.20273855210165109</v>
      </c>
      <c r="AD98" s="50">
        <f t="shared" ref="AD98:AD104" si="266">AD97+AB98</f>
        <v>18113</v>
      </c>
      <c r="AE98" s="51">
        <f t="shared" ref="AE98:AE104" si="267">AD98*1000/C98</f>
        <v>0.39129610391310576</v>
      </c>
      <c r="AF98" s="1050"/>
      <c r="AG98" s="40">
        <f t="shared" ref="AG98:AG126" si="268">AI97</f>
        <v>208</v>
      </c>
      <c r="AH98" s="41">
        <v>1000</v>
      </c>
      <c r="AI98" s="41">
        <v>1119</v>
      </c>
      <c r="AJ98" s="41">
        <f t="shared" ref="AJ98:AJ104" si="269">AG98+AH98-AI98</f>
        <v>89</v>
      </c>
      <c r="AK98" s="42">
        <f t="shared" ref="AK98:AK104" si="270">AJ98*1000/B98</f>
        <v>0.12796972437621948</v>
      </c>
      <c r="AL98" s="41">
        <f t="shared" ref="AL98:AL104" si="271">AL97+AJ98</f>
        <v>8264</v>
      </c>
      <c r="AM98" s="42">
        <f t="shared" ref="AM98:AM104" si="272">AL98*1000/C98</f>
        <v>0.17852763223860796</v>
      </c>
      <c r="AN98" s="1058"/>
      <c r="AO98" s="311">
        <v>5.5</v>
      </c>
      <c r="AP98" s="67">
        <v>24</v>
      </c>
      <c r="AQ98" s="68">
        <f t="shared" ref="AQ98:AQ104" si="273">AO98*AP98*0.49705</f>
        <v>65.610600000000005</v>
      </c>
      <c r="AR98" s="68">
        <f t="shared" ref="AR98:AR104" si="274">AQ98*1000/D98</f>
        <v>8.6056168810728018</v>
      </c>
      <c r="AS98" s="69">
        <f t="shared" ref="AS98:AS104" si="275">AS97+AQ98</f>
        <v>5272.7064</v>
      </c>
      <c r="AT98" s="140">
        <f t="shared" ref="AT98:AT104" si="276">AS98*1000/E98</f>
        <v>9.6627896313538546</v>
      </c>
      <c r="AU98" s="1073"/>
      <c r="AV98" s="70">
        <v>3.4</v>
      </c>
      <c r="AW98" s="71">
        <v>12</v>
      </c>
      <c r="AX98" s="72">
        <f t="shared" ref="AX98:AX104" si="277">AV98*AW98*0.51673</f>
        <v>21.082584000000001</v>
      </c>
      <c r="AY98" s="72">
        <f t="shared" ref="AY98:AY104" si="278">AX98*1000/D98</f>
        <v>2.7652336782019264</v>
      </c>
      <c r="AZ98" s="73">
        <f t="shared" ref="AZ98:AZ104" si="279">AZ97+AX98</f>
        <v>1693.4275559999994</v>
      </c>
      <c r="BA98" s="192">
        <f t="shared" ref="BA98:BA104" si="280">AZ98*1000/E98</f>
        <v>3.1033842941768368</v>
      </c>
      <c r="BB98" s="1075"/>
      <c r="BC98" s="90">
        <f t="shared" ref="BC98:BC126" si="281">BE97</f>
        <v>22705</v>
      </c>
      <c r="BD98" s="59"/>
      <c r="BE98" s="56">
        <v>22705</v>
      </c>
      <c r="BF98" s="56"/>
      <c r="BG98" s="58">
        <f t="shared" ref="BG98:BG104" si="282">BG97+BF98</f>
        <v>28230</v>
      </c>
      <c r="BH98" s="58">
        <f t="shared" ref="BH98:BH104" si="283">BG98*1000/E98</f>
        <v>51.734447283679458</v>
      </c>
      <c r="BI98" s="1133"/>
      <c r="BJ98" s="63">
        <f t="shared" ref="BJ98:BJ126" si="284">BL97</f>
        <v>834</v>
      </c>
      <c r="BK98" s="64"/>
      <c r="BL98" s="64">
        <v>588</v>
      </c>
      <c r="BM98" s="64">
        <f t="shared" ref="BM98:BM104" si="285">BJ98+BK98-BL98</f>
        <v>246</v>
      </c>
      <c r="BN98" s="65">
        <f t="shared" ref="BN98:BN104" si="286">BM98*1000/B98</f>
        <v>0.35371406962415725</v>
      </c>
      <c r="BO98" s="64">
        <f t="shared" ref="BO98:BO104" si="287">BO97+BM98</f>
        <v>14000</v>
      </c>
      <c r="BP98" s="65">
        <f t="shared" ref="BP98:BP104" si="288">BO98*1000/C98</f>
        <v>0.30244274580596703</v>
      </c>
      <c r="BQ98" s="1071"/>
      <c r="BR98" s="35">
        <f t="shared" ref="BR98:BR126" si="289">BT97</f>
        <v>26691</v>
      </c>
      <c r="BS98" s="317"/>
      <c r="BT98" s="35">
        <f>9327+14000</f>
        <v>23327</v>
      </c>
      <c r="BU98" s="35">
        <f t="shared" ref="BU98:BU104" si="290">BR98+BS98-BT98</f>
        <v>3364</v>
      </c>
      <c r="BV98" s="74">
        <f t="shared" ref="BV98:BV104" si="291">BV97+BU98</f>
        <v>241549</v>
      </c>
      <c r="BW98" s="74">
        <f t="shared" ref="BW98:BW104" si="292">BV98*1000/E98</f>
        <v>442.66397474054156</v>
      </c>
      <c r="BX98" s="1098"/>
      <c r="BY98" s="295">
        <f t="shared" ref="BY98:BY126" si="293">CA97</f>
        <v>1150</v>
      </c>
      <c r="BZ98" s="296"/>
      <c r="CA98" s="296">
        <v>1100</v>
      </c>
      <c r="CB98" s="296">
        <f>BY98+BZ98-CA98</f>
        <v>50</v>
      </c>
      <c r="CC98" s="297">
        <f>CB98*1000/B98</f>
        <v>7.1893103582145776E-2</v>
      </c>
      <c r="CD98" s="296">
        <f t="shared" si="233"/>
        <v>5150</v>
      </c>
      <c r="CE98" s="297">
        <f t="shared" si="234"/>
        <v>0.11125572435005215</v>
      </c>
      <c r="CF98" s="1061"/>
      <c r="CH98">
        <f t="shared" si="206"/>
        <v>0</v>
      </c>
    </row>
    <row r="99" spans="1:86">
      <c r="A99" s="30">
        <v>44047</v>
      </c>
      <c r="B99" s="32">
        <v>591078</v>
      </c>
      <c r="C99" s="114">
        <f t="shared" si="165"/>
        <v>46880831</v>
      </c>
      <c r="D99" s="29">
        <v>6944.8</v>
      </c>
      <c r="E99" s="93">
        <f t="shared" si="166"/>
        <v>552616.04</v>
      </c>
      <c r="F99" s="240">
        <f t="shared" si="252"/>
        <v>6670</v>
      </c>
      <c r="G99" s="240">
        <v>32150</v>
      </c>
      <c r="H99" s="280">
        <v>12.6</v>
      </c>
      <c r="I99" s="240">
        <f>3200+6550</f>
        <v>9750</v>
      </c>
      <c r="J99" s="240">
        <f t="shared" si="253"/>
        <v>29070</v>
      </c>
      <c r="K99" s="280">
        <f t="shared" si="254"/>
        <v>49.1813263224143</v>
      </c>
      <c r="L99" s="240">
        <f t="shared" si="255"/>
        <v>1491990</v>
      </c>
      <c r="M99" s="280">
        <f t="shared" si="256"/>
        <v>31.825161119690904</v>
      </c>
      <c r="N99" s="280">
        <f t="shared" si="257"/>
        <v>3.8967994514131141</v>
      </c>
      <c r="O99" s="1089"/>
      <c r="P99" s="1084"/>
      <c r="Q99" s="77">
        <f t="shared" si="258"/>
        <v>31310</v>
      </c>
      <c r="R99" s="35"/>
      <c r="S99" s="35">
        <v>28887</v>
      </c>
      <c r="T99" s="35">
        <f t="shared" si="259"/>
        <v>2423</v>
      </c>
      <c r="U99" s="36">
        <f t="shared" si="260"/>
        <v>4.0992897722466406</v>
      </c>
      <c r="V99" s="74">
        <f t="shared" si="261"/>
        <v>63741</v>
      </c>
      <c r="W99" s="36">
        <f t="shared" si="262"/>
        <v>1.3596388681762062</v>
      </c>
      <c r="X99" s="1179"/>
      <c r="Y99" s="49">
        <f t="shared" si="263"/>
        <v>550</v>
      </c>
      <c r="Z99" s="50"/>
      <c r="AA99" s="50">
        <f>357+42</f>
        <v>399</v>
      </c>
      <c r="AB99" s="50">
        <f t="shared" si="264"/>
        <v>151</v>
      </c>
      <c r="AC99" s="51">
        <f t="shared" si="265"/>
        <v>0.25546543772564706</v>
      </c>
      <c r="AD99" s="50">
        <f t="shared" si="266"/>
        <v>18264</v>
      </c>
      <c r="AE99" s="51">
        <f t="shared" si="267"/>
        <v>0.38958353788566591</v>
      </c>
      <c r="AF99" s="1050"/>
      <c r="AG99" s="40">
        <f t="shared" si="268"/>
        <v>1119</v>
      </c>
      <c r="AH99" s="41"/>
      <c r="AI99" s="41">
        <v>1042</v>
      </c>
      <c r="AJ99" s="41">
        <f t="shared" si="269"/>
        <v>77</v>
      </c>
      <c r="AK99" s="42">
        <f t="shared" si="270"/>
        <v>0.130270454999171</v>
      </c>
      <c r="AL99" s="41">
        <f t="shared" si="271"/>
        <v>8341</v>
      </c>
      <c r="AM99" s="42">
        <f t="shared" si="272"/>
        <v>0.17791920113361473</v>
      </c>
      <c r="AN99" s="1058"/>
      <c r="AO99" s="311">
        <v>5.7</v>
      </c>
      <c r="AP99" s="67">
        <v>24</v>
      </c>
      <c r="AQ99" s="68">
        <f t="shared" si="273"/>
        <v>67.996440000000007</v>
      </c>
      <c r="AR99" s="68">
        <f t="shared" si="274"/>
        <v>9.7909860615136513</v>
      </c>
      <c r="AS99" s="69">
        <f t="shared" si="275"/>
        <v>5340.7028399999999</v>
      </c>
      <c r="AT99" s="140">
        <f t="shared" si="276"/>
        <v>9.6644006931105348</v>
      </c>
      <c r="AU99" s="1073"/>
      <c r="AV99" s="70">
        <v>3.2</v>
      </c>
      <c r="AW99" s="71">
        <v>12</v>
      </c>
      <c r="AX99" s="72">
        <f t="shared" si="277"/>
        <v>19.842432000000002</v>
      </c>
      <c r="AY99" s="72">
        <f t="shared" si="278"/>
        <v>2.8571639212072344</v>
      </c>
      <c r="AZ99" s="73">
        <f t="shared" si="279"/>
        <v>1713.2699879999993</v>
      </c>
      <c r="BA99" s="192">
        <f t="shared" si="280"/>
        <v>3.1002900096783281</v>
      </c>
      <c r="BB99" s="1075"/>
      <c r="BC99" s="90">
        <f t="shared" si="281"/>
        <v>22705</v>
      </c>
      <c r="BD99" s="59"/>
      <c r="BE99" s="56">
        <v>22705</v>
      </c>
      <c r="BF99" s="56"/>
      <c r="BG99" s="58">
        <f t="shared" si="282"/>
        <v>28230</v>
      </c>
      <c r="BH99" s="58">
        <f t="shared" si="283"/>
        <v>51.084293535887952</v>
      </c>
      <c r="BI99" s="1133"/>
      <c r="BJ99" s="63">
        <f t="shared" si="284"/>
        <v>588</v>
      </c>
      <c r="BK99" s="64"/>
      <c r="BL99" s="64">
        <v>354</v>
      </c>
      <c r="BM99" s="64">
        <f t="shared" si="285"/>
        <v>234</v>
      </c>
      <c r="BN99" s="65">
        <f t="shared" si="286"/>
        <v>0.39588683727020801</v>
      </c>
      <c r="BO99" s="64">
        <f t="shared" si="287"/>
        <v>14234</v>
      </c>
      <c r="BP99" s="65">
        <f t="shared" si="288"/>
        <v>0.30362089784628604</v>
      </c>
      <c r="BQ99" s="1071"/>
      <c r="BR99" s="35">
        <f t="shared" si="289"/>
        <v>23327</v>
      </c>
      <c r="BS99" s="35"/>
      <c r="BT99" s="35">
        <f>7099+14000</f>
        <v>21099</v>
      </c>
      <c r="BU99" s="35">
        <f t="shared" si="290"/>
        <v>2228</v>
      </c>
      <c r="BV99" s="74">
        <f t="shared" si="291"/>
        <v>243777</v>
      </c>
      <c r="BW99" s="74">
        <f t="shared" si="292"/>
        <v>441.13268952526238</v>
      </c>
      <c r="BX99" s="1098"/>
      <c r="BY99" s="295">
        <f t="shared" si="293"/>
        <v>1100</v>
      </c>
      <c r="BZ99" s="296"/>
      <c r="CA99" s="296">
        <v>860</v>
      </c>
      <c r="CB99" s="296">
        <f t="shared" ref="CB99:CB104" si="294">BY99+BZ99-CA99</f>
        <v>240</v>
      </c>
      <c r="CC99" s="297">
        <f t="shared" ref="CC99:CC104" si="295">CB99*1000/B99</f>
        <v>0.40603778181559796</v>
      </c>
      <c r="CD99" s="296">
        <f t="shared" ref="CD99:CD104" si="296">CD98+CB99</f>
        <v>5390</v>
      </c>
      <c r="CE99" s="297">
        <f t="shared" ref="CE99:CE104" si="297">CD99*1000/C99</f>
        <v>0.11497236471768173</v>
      </c>
      <c r="CF99" s="1061"/>
      <c r="CH99">
        <f t="shared" si="206"/>
        <v>480102</v>
      </c>
    </row>
    <row r="100" spans="1:86">
      <c r="A100" s="30">
        <v>44048</v>
      </c>
      <c r="B100" s="32">
        <v>698879</v>
      </c>
      <c r="C100" s="114">
        <f t="shared" si="165"/>
        <v>47579710</v>
      </c>
      <c r="D100" s="29">
        <v>7799.58</v>
      </c>
      <c r="E100" s="93">
        <f t="shared" si="166"/>
        <v>560415.62</v>
      </c>
      <c r="F100" s="240">
        <f t="shared" si="252"/>
        <v>9750</v>
      </c>
      <c r="G100" s="240">
        <v>20800</v>
      </c>
      <c r="H100" s="280">
        <v>23.8</v>
      </c>
      <c r="I100" s="240">
        <f>2000+6400</f>
        <v>8400</v>
      </c>
      <c r="J100" s="240">
        <f t="shared" si="253"/>
        <v>22150</v>
      </c>
      <c r="K100" s="280">
        <f t="shared" si="254"/>
        <v>31.693612198964342</v>
      </c>
      <c r="L100" s="240">
        <f t="shared" si="255"/>
        <v>1514140</v>
      </c>
      <c r="M100" s="280">
        <f t="shared" si="256"/>
        <v>31.823228851121623</v>
      </c>
      <c r="N100" s="280">
        <f t="shared" si="257"/>
        <v>3.8965628567554331</v>
      </c>
      <c r="O100" s="1089"/>
      <c r="P100" s="1084"/>
      <c r="Q100" s="77">
        <f t="shared" si="258"/>
        <v>28887</v>
      </c>
      <c r="R100" s="35"/>
      <c r="S100" s="35">
        <v>27540</v>
      </c>
      <c r="T100" s="35">
        <f t="shared" si="259"/>
        <v>1347</v>
      </c>
      <c r="U100" s="36">
        <f t="shared" si="260"/>
        <v>1.9273722632959354</v>
      </c>
      <c r="V100" s="74">
        <f t="shared" si="261"/>
        <v>65088</v>
      </c>
      <c r="W100" s="36">
        <f t="shared" si="262"/>
        <v>1.3679780730063298</v>
      </c>
      <c r="X100" s="1179"/>
      <c r="Y100" s="49">
        <f t="shared" si="263"/>
        <v>399</v>
      </c>
      <c r="Z100" s="50"/>
      <c r="AA100" s="50">
        <f>231+102</f>
        <v>333</v>
      </c>
      <c r="AB100" s="50">
        <f t="shared" si="264"/>
        <v>66</v>
      </c>
      <c r="AC100" s="51">
        <f t="shared" si="265"/>
        <v>9.4436948312941152E-2</v>
      </c>
      <c r="AD100" s="50">
        <f t="shared" si="266"/>
        <v>18330</v>
      </c>
      <c r="AE100" s="51">
        <f t="shared" si="267"/>
        <v>0.38524824972661664</v>
      </c>
      <c r="AF100" s="1050"/>
      <c r="AG100" s="40">
        <f t="shared" si="268"/>
        <v>1042</v>
      </c>
      <c r="AH100" s="41"/>
      <c r="AI100" s="41">
        <v>964</v>
      </c>
      <c r="AJ100" s="41">
        <f t="shared" si="269"/>
        <v>78</v>
      </c>
      <c r="AK100" s="42">
        <f t="shared" si="270"/>
        <v>0.11160730255165772</v>
      </c>
      <c r="AL100" s="41">
        <f t="shared" si="271"/>
        <v>8419</v>
      </c>
      <c r="AM100" s="42">
        <f t="shared" si="272"/>
        <v>0.17694517263766424</v>
      </c>
      <c r="AN100" s="1058"/>
      <c r="AO100" s="311">
        <v>5.8</v>
      </c>
      <c r="AP100" s="67">
        <v>24</v>
      </c>
      <c r="AQ100" s="68">
        <f t="shared" si="273"/>
        <v>69.189359999999994</v>
      </c>
      <c r="AR100" s="68">
        <f t="shared" si="274"/>
        <v>8.8709084335310369</v>
      </c>
      <c r="AS100" s="69">
        <f t="shared" si="275"/>
        <v>5409.8922000000002</v>
      </c>
      <c r="AT100" s="140">
        <f t="shared" si="276"/>
        <v>9.6533572708055502</v>
      </c>
      <c r="AU100" s="1073"/>
      <c r="AV100" s="70">
        <v>3.5</v>
      </c>
      <c r="AW100" s="71">
        <v>12</v>
      </c>
      <c r="AX100" s="72">
        <f t="shared" si="277"/>
        <v>21.702660000000002</v>
      </c>
      <c r="AY100" s="72">
        <f t="shared" si="278"/>
        <v>2.782542136884294</v>
      </c>
      <c r="AZ100" s="73">
        <f t="shared" si="279"/>
        <v>1734.9726479999993</v>
      </c>
      <c r="BA100" s="192">
        <f t="shared" si="280"/>
        <v>3.0958677561485515</v>
      </c>
      <c r="BB100" s="1075"/>
      <c r="BC100" s="90">
        <f t="shared" si="281"/>
        <v>22705</v>
      </c>
      <c r="BD100" s="59"/>
      <c r="BE100" s="56">
        <v>22705</v>
      </c>
      <c r="BF100" s="56"/>
      <c r="BG100" s="58">
        <f t="shared" si="282"/>
        <v>28230</v>
      </c>
      <c r="BH100" s="58">
        <f t="shared" si="283"/>
        <v>50.373328280892672</v>
      </c>
      <c r="BI100" s="1133"/>
      <c r="BJ100" s="63">
        <f t="shared" si="284"/>
        <v>354</v>
      </c>
      <c r="BK100" s="64">
        <v>1100</v>
      </c>
      <c r="BL100" s="64">
        <v>1160</v>
      </c>
      <c r="BM100" s="64">
        <f t="shared" si="285"/>
        <v>294</v>
      </c>
      <c r="BN100" s="65">
        <f t="shared" si="286"/>
        <v>0.42067367884855605</v>
      </c>
      <c r="BO100" s="64">
        <f t="shared" si="287"/>
        <v>14528</v>
      </c>
      <c r="BP100" s="65">
        <f t="shared" si="288"/>
        <v>0.30534023851763703</v>
      </c>
      <c r="BQ100" s="1071"/>
      <c r="BR100" s="35">
        <f t="shared" si="289"/>
        <v>21099</v>
      </c>
      <c r="BS100" s="35"/>
      <c r="BT100" s="35">
        <f>2582+14000</f>
        <v>16582</v>
      </c>
      <c r="BU100" s="35">
        <f t="shared" si="290"/>
        <v>4517</v>
      </c>
      <c r="BV100" s="74">
        <f t="shared" si="291"/>
        <v>248294</v>
      </c>
      <c r="BW100" s="74">
        <f t="shared" si="292"/>
        <v>443.05331817839055</v>
      </c>
      <c r="BX100" s="1098"/>
      <c r="BY100" s="295">
        <f t="shared" si="293"/>
        <v>860</v>
      </c>
      <c r="BZ100" s="296"/>
      <c r="CA100" s="296">
        <v>670</v>
      </c>
      <c r="CB100" s="296">
        <f t="shared" si="294"/>
        <v>190</v>
      </c>
      <c r="CC100" s="297">
        <f t="shared" si="295"/>
        <v>0.2718639421130124</v>
      </c>
      <c r="CD100" s="296">
        <f t="shared" si="296"/>
        <v>5580</v>
      </c>
      <c r="CE100" s="297">
        <f t="shared" si="297"/>
        <v>0.11727688125883912</v>
      </c>
      <c r="CF100" s="1061"/>
      <c r="CH100">
        <f t="shared" si="206"/>
        <v>437310</v>
      </c>
    </row>
    <row r="101" spans="1:86">
      <c r="A101" s="30">
        <v>44049</v>
      </c>
      <c r="B101" s="32">
        <v>645753</v>
      </c>
      <c r="C101" s="114">
        <f t="shared" si="165"/>
        <v>48225463</v>
      </c>
      <c r="D101" s="29">
        <v>6929.94</v>
      </c>
      <c r="E101" s="93">
        <f t="shared" si="166"/>
        <v>567345.55999999994</v>
      </c>
      <c r="F101" s="240">
        <f t="shared" si="252"/>
        <v>8400</v>
      </c>
      <c r="G101" s="240"/>
      <c r="H101" s="280"/>
      <c r="I101" s="240">
        <f>6270</f>
        <v>6270</v>
      </c>
      <c r="J101" s="240">
        <f t="shared" si="253"/>
        <v>2130</v>
      </c>
      <c r="K101" s="280">
        <f t="shared" si="254"/>
        <v>3.2984748038336638</v>
      </c>
      <c r="L101" s="240">
        <f t="shared" si="255"/>
        <v>1516270</v>
      </c>
      <c r="M101" s="280">
        <f t="shared" si="256"/>
        <v>31.441274083776033</v>
      </c>
      <c r="N101" s="280">
        <f t="shared" si="257"/>
        <v>3.849794794144243</v>
      </c>
      <c r="O101" s="1089"/>
      <c r="P101" s="1084"/>
      <c r="Q101" s="77">
        <f t="shared" si="258"/>
        <v>27540</v>
      </c>
      <c r="R101" s="35"/>
      <c r="S101" s="35">
        <v>22758</v>
      </c>
      <c r="T101" s="35">
        <f t="shared" si="259"/>
        <v>4782</v>
      </c>
      <c r="U101" s="36">
        <f t="shared" si="260"/>
        <v>7.4053082215645922</v>
      </c>
      <c r="V101" s="74">
        <f t="shared" si="261"/>
        <v>69870</v>
      </c>
      <c r="W101" s="36">
        <f t="shared" si="262"/>
        <v>1.448819682664322</v>
      </c>
      <c r="X101" s="1179"/>
      <c r="Y101" s="49">
        <f t="shared" si="263"/>
        <v>333</v>
      </c>
      <c r="Z101" s="50"/>
      <c r="AA101" s="50">
        <f>173+97</f>
        <v>270</v>
      </c>
      <c r="AB101" s="50">
        <f t="shared" si="264"/>
        <v>63</v>
      </c>
      <c r="AC101" s="51">
        <f t="shared" si="265"/>
        <v>9.7560522366911193E-2</v>
      </c>
      <c r="AD101" s="50">
        <f t="shared" si="266"/>
        <v>18393</v>
      </c>
      <c r="AE101" s="51">
        <f t="shared" si="267"/>
        <v>0.38139602723980071</v>
      </c>
      <c r="AF101" s="1050"/>
      <c r="AG101" s="40">
        <f t="shared" si="268"/>
        <v>964</v>
      </c>
      <c r="AH101" s="41"/>
      <c r="AI101" s="41">
        <v>905</v>
      </c>
      <c r="AJ101" s="41">
        <f t="shared" si="269"/>
        <v>59</v>
      </c>
      <c r="AK101" s="42">
        <f t="shared" si="270"/>
        <v>9.1366203486472383E-2</v>
      </c>
      <c r="AL101" s="41">
        <f t="shared" si="271"/>
        <v>8478</v>
      </c>
      <c r="AM101" s="42">
        <f t="shared" si="272"/>
        <v>0.17579924530740121</v>
      </c>
      <c r="AN101" s="1058"/>
      <c r="AO101" s="311">
        <v>6.3</v>
      </c>
      <c r="AP101" s="67">
        <v>24</v>
      </c>
      <c r="AQ101" s="68">
        <f t="shared" si="273"/>
        <v>75.153959999999998</v>
      </c>
      <c r="AR101" s="68">
        <f t="shared" si="274"/>
        <v>10.844821167282833</v>
      </c>
      <c r="AS101" s="69">
        <f t="shared" si="275"/>
        <v>5485.0461599999999</v>
      </c>
      <c r="AT101" s="140">
        <f t="shared" si="276"/>
        <v>9.6679106116561488</v>
      </c>
      <c r="AU101" s="1073"/>
      <c r="AV101" s="70">
        <v>3.3</v>
      </c>
      <c r="AW101" s="71">
        <v>12</v>
      </c>
      <c r="AX101" s="72">
        <f t="shared" si="277"/>
        <v>20.462508</v>
      </c>
      <c r="AY101" s="72">
        <f t="shared" si="278"/>
        <v>2.9527684222374218</v>
      </c>
      <c r="AZ101" s="73">
        <f t="shared" si="279"/>
        <v>1755.4351559999993</v>
      </c>
      <c r="BA101" s="192">
        <f t="shared" si="280"/>
        <v>3.0941198447027585</v>
      </c>
      <c r="BB101" s="1075"/>
      <c r="BC101" s="90">
        <f t="shared" si="281"/>
        <v>22705</v>
      </c>
      <c r="BD101" s="59"/>
      <c r="BE101" s="56">
        <v>19132</v>
      </c>
      <c r="BF101" s="56">
        <f>BC101-BE101+BD101</f>
        <v>3573</v>
      </c>
      <c r="BG101" s="58">
        <f t="shared" si="282"/>
        <v>31803</v>
      </c>
      <c r="BH101" s="58">
        <f t="shared" si="283"/>
        <v>56.055783709667182</v>
      </c>
      <c r="BI101" s="1133"/>
      <c r="BJ101" s="63">
        <f t="shared" si="284"/>
        <v>1160</v>
      </c>
      <c r="BK101" s="64"/>
      <c r="BL101" s="64">
        <v>1033</v>
      </c>
      <c r="BM101" s="64">
        <f t="shared" si="285"/>
        <v>127</v>
      </c>
      <c r="BN101" s="65">
        <f t="shared" si="286"/>
        <v>0.19666962445393207</v>
      </c>
      <c r="BO101" s="64">
        <f t="shared" si="287"/>
        <v>14655</v>
      </c>
      <c r="BP101" s="65">
        <f t="shared" si="288"/>
        <v>0.30388510733427276</v>
      </c>
      <c r="BQ101" s="1071"/>
      <c r="BR101" s="35">
        <f t="shared" si="289"/>
        <v>16582</v>
      </c>
      <c r="BS101" s="35">
        <v>36740</v>
      </c>
      <c r="BT101" s="35">
        <f>36740+14000</f>
        <v>50740</v>
      </c>
      <c r="BU101" s="35">
        <f t="shared" si="290"/>
        <v>2582</v>
      </c>
      <c r="BV101" s="74">
        <f t="shared" si="291"/>
        <v>250876</v>
      </c>
      <c r="BW101" s="74">
        <f t="shared" si="292"/>
        <v>442.19258541478678</v>
      </c>
      <c r="BX101" s="1098"/>
      <c r="BY101" s="295">
        <f t="shared" si="293"/>
        <v>670</v>
      </c>
      <c r="BZ101" s="296"/>
      <c r="CA101" s="296">
        <v>545</v>
      </c>
      <c r="CB101" s="296">
        <f t="shared" si="294"/>
        <v>125</v>
      </c>
      <c r="CC101" s="297">
        <f t="shared" si="295"/>
        <v>0.19357246501371267</v>
      </c>
      <c r="CD101" s="296">
        <f t="shared" si="296"/>
        <v>5705</v>
      </c>
      <c r="CE101" s="297">
        <f t="shared" si="297"/>
        <v>0.11829850135394242</v>
      </c>
      <c r="CF101" s="1061"/>
      <c r="CH101">
        <f t="shared" si="206"/>
        <v>405090</v>
      </c>
    </row>
    <row r="102" spans="1:86">
      <c r="A102" s="30">
        <v>44050</v>
      </c>
      <c r="B102" s="318">
        <v>612840</v>
      </c>
      <c r="C102" s="114">
        <f t="shared" si="165"/>
        <v>48838303</v>
      </c>
      <c r="D102" s="29">
        <v>6888.3</v>
      </c>
      <c r="E102" s="93">
        <f t="shared" si="166"/>
        <v>574233.86</v>
      </c>
      <c r="F102" s="240">
        <f t="shared" si="252"/>
        <v>6270</v>
      </c>
      <c r="G102" s="240">
        <v>32100</v>
      </c>
      <c r="H102" s="280">
        <v>17.34</v>
      </c>
      <c r="I102" s="240">
        <f>8000+6130</f>
        <v>14130</v>
      </c>
      <c r="J102" s="240">
        <f t="shared" si="253"/>
        <v>24240</v>
      </c>
      <c r="K102" s="280">
        <f t="shared" si="254"/>
        <v>39.553553945564914</v>
      </c>
      <c r="L102" s="240">
        <f t="shared" si="255"/>
        <v>1540510</v>
      </c>
      <c r="M102" s="280">
        <f t="shared" si="256"/>
        <v>31.543069790938478</v>
      </c>
      <c r="N102" s="280">
        <f t="shared" si="257"/>
        <v>3.8622590658673293</v>
      </c>
      <c r="O102" s="1089"/>
      <c r="P102" s="1084"/>
      <c r="Q102" s="77">
        <f t="shared" si="258"/>
        <v>22758</v>
      </c>
      <c r="R102" s="35"/>
      <c r="S102" s="35">
        <v>19635</v>
      </c>
      <c r="T102" s="35">
        <f t="shared" si="259"/>
        <v>3123</v>
      </c>
      <c r="U102" s="36">
        <f t="shared" si="260"/>
        <v>5.0959467397689444</v>
      </c>
      <c r="V102" s="74">
        <f t="shared" si="261"/>
        <v>72993</v>
      </c>
      <c r="W102" s="36">
        <f t="shared" si="262"/>
        <v>1.4945851005510982</v>
      </c>
      <c r="X102" s="1179"/>
      <c r="Y102" s="49">
        <f t="shared" si="263"/>
        <v>270</v>
      </c>
      <c r="Z102" s="50">
        <v>900</v>
      </c>
      <c r="AA102" s="50">
        <f>886+103</f>
        <v>989</v>
      </c>
      <c r="AB102" s="50">
        <f t="shared" si="264"/>
        <v>181</v>
      </c>
      <c r="AC102" s="51">
        <f t="shared" si="265"/>
        <v>0.29534625677175119</v>
      </c>
      <c r="AD102" s="50">
        <f t="shared" si="266"/>
        <v>18574</v>
      </c>
      <c r="AE102" s="51">
        <f t="shared" si="267"/>
        <v>0.3803162448130108</v>
      </c>
      <c r="AF102" s="1050"/>
      <c r="AG102" s="40">
        <f t="shared" si="268"/>
        <v>905</v>
      </c>
      <c r="AH102" s="41"/>
      <c r="AI102" s="41">
        <v>865</v>
      </c>
      <c r="AJ102" s="41">
        <f t="shared" si="269"/>
        <v>40</v>
      </c>
      <c r="AK102" s="42">
        <f t="shared" si="270"/>
        <v>6.5269890999282029E-2</v>
      </c>
      <c r="AL102" s="41">
        <f t="shared" si="271"/>
        <v>8518</v>
      </c>
      <c r="AM102" s="42">
        <f t="shared" si="272"/>
        <v>0.17441228455460461</v>
      </c>
      <c r="AN102" s="1058"/>
      <c r="AO102" s="311">
        <v>6.3</v>
      </c>
      <c r="AP102" s="67">
        <v>24</v>
      </c>
      <c r="AQ102" s="68">
        <f t="shared" si="273"/>
        <v>75.153959999999998</v>
      </c>
      <c r="AR102" s="68">
        <f t="shared" si="274"/>
        <v>10.910378467836765</v>
      </c>
      <c r="AS102" s="69">
        <f t="shared" si="275"/>
        <v>5560.2001199999995</v>
      </c>
      <c r="AT102" s="140">
        <f t="shared" si="276"/>
        <v>9.682814803014228</v>
      </c>
      <c r="AU102" s="1073"/>
      <c r="AV102" s="70">
        <v>3.2</v>
      </c>
      <c r="AW102" s="71">
        <v>12</v>
      </c>
      <c r="AX102" s="72">
        <f t="shared" si="277"/>
        <v>19.842432000000002</v>
      </c>
      <c r="AY102" s="72">
        <f t="shared" si="278"/>
        <v>2.8805992770349724</v>
      </c>
      <c r="AZ102" s="73">
        <f t="shared" si="279"/>
        <v>1775.2775879999992</v>
      </c>
      <c r="BA102" s="192">
        <f t="shared" si="280"/>
        <v>3.0915585298296402</v>
      </c>
      <c r="BB102" s="1075"/>
      <c r="BC102" s="90">
        <f t="shared" si="281"/>
        <v>19132</v>
      </c>
      <c r="BD102" s="59"/>
      <c r="BE102" s="56">
        <v>19132</v>
      </c>
      <c r="BF102" s="56"/>
      <c r="BG102" s="58">
        <f t="shared" si="282"/>
        <v>31803</v>
      </c>
      <c r="BH102" s="58">
        <f t="shared" si="283"/>
        <v>55.38335896806921</v>
      </c>
      <c r="BI102" s="1133"/>
      <c r="BJ102" s="63">
        <f t="shared" si="284"/>
        <v>1033</v>
      </c>
      <c r="BK102" s="64"/>
      <c r="BL102" s="64">
        <v>792</v>
      </c>
      <c r="BM102" s="64">
        <f t="shared" si="285"/>
        <v>241</v>
      </c>
      <c r="BN102" s="65">
        <f t="shared" si="286"/>
        <v>0.39325109327067426</v>
      </c>
      <c r="BO102" s="64">
        <f t="shared" si="287"/>
        <v>14896</v>
      </c>
      <c r="BP102" s="65">
        <f t="shared" si="288"/>
        <v>0.30500650278532404</v>
      </c>
      <c r="BQ102" s="1071"/>
      <c r="BR102" s="35">
        <f t="shared" si="289"/>
        <v>50740</v>
      </c>
      <c r="BS102" s="35"/>
      <c r="BT102" s="35">
        <f>32099+14000</f>
        <v>46099</v>
      </c>
      <c r="BU102" s="35">
        <f t="shared" si="290"/>
        <v>4641</v>
      </c>
      <c r="BV102" s="74">
        <f t="shared" si="291"/>
        <v>255517</v>
      </c>
      <c r="BW102" s="74">
        <f t="shared" si="292"/>
        <v>444.97027744062325</v>
      </c>
      <c r="BX102" s="1098"/>
      <c r="BY102" s="295">
        <f t="shared" si="293"/>
        <v>545</v>
      </c>
      <c r="BZ102" s="296"/>
      <c r="CA102" s="296">
        <v>470</v>
      </c>
      <c r="CB102" s="296">
        <f t="shared" si="294"/>
        <v>75</v>
      </c>
      <c r="CC102" s="297">
        <f t="shared" si="295"/>
        <v>0.1223810456236538</v>
      </c>
      <c r="CD102" s="296">
        <f t="shared" si="296"/>
        <v>5780</v>
      </c>
      <c r="CE102" s="297">
        <f t="shared" si="297"/>
        <v>0.11834973053834405</v>
      </c>
      <c r="CF102" s="1061"/>
      <c r="CH102">
        <f t="shared" si="206"/>
        <v>495040</v>
      </c>
    </row>
    <row r="103" spans="1:86">
      <c r="A103" s="30">
        <v>44051</v>
      </c>
      <c r="B103" s="32">
        <v>608092</v>
      </c>
      <c r="C103" s="114">
        <f t="shared" si="165"/>
        <v>49446395</v>
      </c>
      <c r="D103" s="29">
        <v>7350.8</v>
      </c>
      <c r="E103" s="93">
        <f t="shared" si="166"/>
        <v>581584.66</v>
      </c>
      <c r="F103" s="240">
        <f t="shared" si="252"/>
        <v>14130</v>
      </c>
      <c r="G103" s="240"/>
      <c r="H103" s="280"/>
      <c r="I103" s="240">
        <v>5960</v>
      </c>
      <c r="J103" s="240">
        <f t="shared" si="253"/>
        <v>8170</v>
      </c>
      <c r="K103" s="280">
        <f t="shared" si="254"/>
        <v>13.435467001703689</v>
      </c>
      <c r="L103" s="240">
        <f t="shared" si="255"/>
        <v>1548680</v>
      </c>
      <c r="M103" s="280">
        <f t="shared" si="256"/>
        <v>31.320382406037893</v>
      </c>
      <c r="N103" s="280">
        <f t="shared" si="257"/>
        <v>3.8349923357460383</v>
      </c>
      <c r="O103" s="1089"/>
      <c r="P103" s="1084"/>
      <c r="Q103" s="77">
        <f t="shared" si="258"/>
        <v>19635</v>
      </c>
      <c r="R103" s="35"/>
      <c r="S103" s="35">
        <v>14382</v>
      </c>
      <c r="T103" s="35">
        <f t="shared" si="259"/>
        <v>5253</v>
      </c>
      <c r="U103" s="36">
        <f t="shared" si="260"/>
        <v>8.6384954908138898</v>
      </c>
      <c r="V103" s="74">
        <f t="shared" si="261"/>
        <v>78246</v>
      </c>
      <c r="W103" s="36">
        <f t="shared" si="262"/>
        <v>1.5824409443802727</v>
      </c>
      <c r="X103" s="1179"/>
      <c r="Y103" s="49">
        <f t="shared" si="263"/>
        <v>989</v>
      </c>
      <c r="Z103" s="50"/>
      <c r="AA103" s="50">
        <f>850+105</f>
        <v>955</v>
      </c>
      <c r="AB103" s="50">
        <f t="shared" si="264"/>
        <v>34</v>
      </c>
      <c r="AC103" s="51">
        <f t="shared" si="265"/>
        <v>5.5912592173552683E-2</v>
      </c>
      <c r="AD103" s="50">
        <f t="shared" si="266"/>
        <v>18608</v>
      </c>
      <c r="AE103" s="51">
        <f t="shared" si="267"/>
        <v>0.37632672715574106</v>
      </c>
      <c r="AF103" s="1050"/>
      <c r="AG103" s="40">
        <f t="shared" si="268"/>
        <v>865</v>
      </c>
      <c r="AH103" s="41"/>
      <c r="AI103" s="41">
        <v>825</v>
      </c>
      <c r="AJ103" s="41">
        <f t="shared" si="269"/>
        <v>40</v>
      </c>
      <c r="AK103" s="42">
        <f t="shared" si="270"/>
        <v>6.5779520204179626E-2</v>
      </c>
      <c r="AL103" s="41">
        <f t="shared" si="271"/>
        <v>8558</v>
      </c>
      <c r="AM103" s="42">
        <f t="shared" si="272"/>
        <v>0.17307631830389253</v>
      </c>
      <c r="AN103" s="1058"/>
      <c r="AO103" s="311">
        <v>6.6</v>
      </c>
      <c r="AP103" s="67">
        <v>24</v>
      </c>
      <c r="AQ103" s="68">
        <f t="shared" si="273"/>
        <v>78.732719999999986</v>
      </c>
      <c r="AR103" s="68">
        <f t="shared" si="274"/>
        <v>10.710768895902484</v>
      </c>
      <c r="AS103" s="69">
        <f t="shared" si="275"/>
        <v>5638.9328399999995</v>
      </c>
      <c r="AT103" s="140">
        <f t="shared" si="276"/>
        <v>9.6958073825399715</v>
      </c>
      <c r="AU103" s="1073"/>
      <c r="AV103" s="70">
        <v>3.3</v>
      </c>
      <c r="AW103" s="71">
        <v>12</v>
      </c>
      <c r="AX103" s="72">
        <f t="shared" si="277"/>
        <v>20.462508</v>
      </c>
      <c r="AY103" s="72">
        <f t="shared" si="278"/>
        <v>2.7837117048484514</v>
      </c>
      <c r="AZ103" s="73">
        <f t="shared" si="279"/>
        <v>1795.7400959999993</v>
      </c>
      <c r="BA103" s="192">
        <f t="shared" si="280"/>
        <v>3.0876675736254788</v>
      </c>
      <c r="BB103" s="1075"/>
      <c r="BC103" s="90">
        <f t="shared" si="281"/>
        <v>19132</v>
      </c>
      <c r="BD103" s="59"/>
      <c r="BE103" s="56">
        <v>19132</v>
      </c>
      <c r="BF103" s="56"/>
      <c r="BG103" s="58">
        <f t="shared" si="282"/>
        <v>31803</v>
      </c>
      <c r="BH103" s="58">
        <f t="shared" si="283"/>
        <v>54.683354268663138</v>
      </c>
      <c r="BI103" s="1133"/>
      <c r="BJ103" s="63">
        <f t="shared" si="284"/>
        <v>792</v>
      </c>
      <c r="BK103" s="64"/>
      <c r="BL103" s="64">
        <v>564</v>
      </c>
      <c r="BM103" s="64">
        <f t="shared" si="285"/>
        <v>228</v>
      </c>
      <c r="BN103" s="65">
        <f t="shared" si="286"/>
        <v>0.37494326516382387</v>
      </c>
      <c r="BO103" s="64">
        <f t="shared" si="287"/>
        <v>15124</v>
      </c>
      <c r="BP103" s="65">
        <f t="shared" si="288"/>
        <v>0.3058665854204336</v>
      </c>
      <c r="BQ103" s="1071"/>
      <c r="BR103" s="35">
        <f t="shared" si="289"/>
        <v>46099</v>
      </c>
      <c r="BS103" s="35"/>
      <c r="BT103" s="35">
        <f>28402+14000</f>
        <v>42402</v>
      </c>
      <c r="BU103" s="35">
        <f t="shared" si="290"/>
        <v>3697</v>
      </c>
      <c r="BV103" s="74">
        <f t="shared" si="291"/>
        <v>259214</v>
      </c>
      <c r="BW103" s="74">
        <f t="shared" si="292"/>
        <v>445.70295234403187</v>
      </c>
      <c r="BX103" s="1098"/>
      <c r="BY103" s="295">
        <f t="shared" si="293"/>
        <v>470</v>
      </c>
      <c r="BZ103" s="296"/>
      <c r="CA103" s="296">
        <v>280</v>
      </c>
      <c r="CB103" s="296">
        <f t="shared" si="294"/>
        <v>190</v>
      </c>
      <c r="CC103" s="297">
        <f t="shared" si="295"/>
        <v>0.31245272096985327</v>
      </c>
      <c r="CD103" s="296">
        <f t="shared" si="296"/>
        <v>5970</v>
      </c>
      <c r="CE103" s="297">
        <f t="shared" si="297"/>
        <v>0.12073681003438168</v>
      </c>
      <c r="CF103" s="1061"/>
      <c r="CH103">
        <f t="shared" si="206"/>
        <v>0</v>
      </c>
    </row>
    <row r="104" spans="1:86">
      <c r="A104" s="30">
        <v>44052</v>
      </c>
      <c r="B104" s="318">
        <v>550142</v>
      </c>
      <c r="C104" s="114">
        <f t="shared" si="165"/>
        <v>49996537</v>
      </c>
      <c r="D104" s="29">
        <v>5778.48</v>
      </c>
      <c r="E104" s="93">
        <f t="shared" si="166"/>
        <v>587363.14</v>
      </c>
      <c r="F104" s="240">
        <f t="shared" si="252"/>
        <v>5960</v>
      </c>
      <c r="G104" s="240">
        <v>32500</v>
      </c>
      <c r="H104" s="280">
        <v>16.96</v>
      </c>
      <c r="I104" s="240">
        <v>5880</v>
      </c>
      <c r="J104" s="240">
        <f t="shared" si="253"/>
        <v>32580</v>
      </c>
      <c r="K104" s="280">
        <f t="shared" si="254"/>
        <v>59.22107383184705</v>
      </c>
      <c r="L104" s="240">
        <f t="shared" si="255"/>
        <v>1581260</v>
      </c>
      <c r="M104" s="280">
        <f t="shared" si="256"/>
        <v>31.627390513066935</v>
      </c>
      <c r="N104" s="280">
        <f t="shared" si="257"/>
        <v>3.8725836308395905</v>
      </c>
      <c r="O104" s="1089"/>
      <c r="P104" s="1084"/>
      <c r="Q104" s="77">
        <f t="shared" si="258"/>
        <v>14382</v>
      </c>
      <c r="R104" s="35"/>
      <c r="S104" s="35">
        <v>12947</v>
      </c>
      <c r="T104" s="35">
        <f t="shared" si="259"/>
        <v>1435</v>
      </c>
      <c r="U104" s="36">
        <f t="shared" si="260"/>
        <v>2.6084174631277017</v>
      </c>
      <c r="V104" s="74">
        <f t="shared" si="261"/>
        <v>79681</v>
      </c>
      <c r="W104" s="36">
        <f t="shared" si="262"/>
        <v>1.5937303817662412</v>
      </c>
      <c r="X104" s="1179"/>
      <c r="Y104" s="49">
        <f t="shared" si="263"/>
        <v>955</v>
      </c>
      <c r="Z104" s="50"/>
      <c r="AA104" s="50">
        <f>850+83</f>
        <v>933</v>
      </c>
      <c r="AB104" s="50">
        <f t="shared" si="264"/>
        <v>22</v>
      </c>
      <c r="AC104" s="51">
        <f t="shared" si="265"/>
        <v>3.9989675392898563E-2</v>
      </c>
      <c r="AD104" s="50">
        <f t="shared" si="266"/>
        <v>18630</v>
      </c>
      <c r="AE104" s="51">
        <f t="shared" si="267"/>
        <v>0.37262580806346646</v>
      </c>
      <c r="AF104" s="1050"/>
      <c r="AG104" s="40">
        <f t="shared" si="268"/>
        <v>825</v>
      </c>
      <c r="AH104" s="41"/>
      <c r="AI104" s="41">
        <v>805</v>
      </c>
      <c r="AJ104" s="41">
        <f t="shared" si="269"/>
        <v>20</v>
      </c>
      <c r="AK104" s="42">
        <f t="shared" si="270"/>
        <v>3.6354250357180512E-2</v>
      </c>
      <c r="AL104" s="41">
        <f t="shared" si="271"/>
        <v>8578</v>
      </c>
      <c r="AM104" s="42">
        <f t="shared" si="272"/>
        <v>0.17157188306862134</v>
      </c>
      <c r="AN104" s="1058"/>
      <c r="AO104" s="67">
        <v>5.9</v>
      </c>
      <c r="AP104" s="67">
        <v>24</v>
      </c>
      <c r="AQ104" s="68">
        <f t="shared" si="273"/>
        <v>70.382280000000009</v>
      </c>
      <c r="AR104" s="68">
        <f t="shared" si="274"/>
        <v>12.180068114798358</v>
      </c>
      <c r="AS104" s="69">
        <f t="shared" si="275"/>
        <v>5709.3151199999993</v>
      </c>
      <c r="AT104" s="140">
        <f t="shared" si="276"/>
        <v>9.7202475456665507</v>
      </c>
      <c r="AU104" s="1073"/>
      <c r="AV104" s="70">
        <v>2.9</v>
      </c>
      <c r="AW104" s="71">
        <v>12</v>
      </c>
      <c r="AX104" s="72">
        <f t="shared" si="277"/>
        <v>17.982203999999999</v>
      </c>
      <c r="AY104" s="72">
        <f t="shared" si="278"/>
        <v>3.1119263197242182</v>
      </c>
      <c r="AZ104" s="73">
        <f t="shared" si="279"/>
        <v>1813.7222999999992</v>
      </c>
      <c r="BA104" s="192">
        <f t="shared" si="280"/>
        <v>3.0879062312286041</v>
      </c>
      <c r="BB104" s="1075"/>
      <c r="BC104" s="90">
        <f t="shared" si="281"/>
        <v>19132</v>
      </c>
      <c r="BD104" s="59"/>
      <c r="BE104" s="56">
        <v>19132</v>
      </c>
      <c r="BF104" s="56"/>
      <c r="BG104" s="58">
        <f t="shared" si="282"/>
        <v>31803</v>
      </c>
      <c r="BH104" s="58">
        <f t="shared" si="283"/>
        <v>54.145379296358293</v>
      </c>
      <c r="BI104" s="1133"/>
      <c r="BJ104" s="63">
        <f t="shared" si="284"/>
        <v>564</v>
      </c>
      <c r="BK104" s="64"/>
      <c r="BL104" s="64">
        <v>348</v>
      </c>
      <c r="BM104" s="64">
        <f t="shared" si="285"/>
        <v>216</v>
      </c>
      <c r="BN104" s="65">
        <f t="shared" si="286"/>
        <v>0.39262590385754953</v>
      </c>
      <c r="BO104" s="64">
        <f t="shared" si="287"/>
        <v>15340</v>
      </c>
      <c r="BP104" s="65">
        <f t="shared" si="288"/>
        <v>0.30682125043980546</v>
      </c>
      <c r="BQ104" s="1071"/>
      <c r="BR104" s="35">
        <f t="shared" si="289"/>
        <v>42402</v>
      </c>
      <c r="BS104" s="317"/>
      <c r="BT104" s="35">
        <f>24705+14000</f>
        <v>38705</v>
      </c>
      <c r="BU104" s="35">
        <f t="shared" si="290"/>
        <v>3697</v>
      </c>
      <c r="BV104" s="74">
        <f t="shared" si="291"/>
        <v>262911</v>
      </c>
      <c r="BW104" s="74">
        <f t="shared" si="292"/>
        <v>447.6123578336904</v>
      </c>
      <c r="BX104" s="1098"/>
      <c r="BY104" s="295">
        <f t="shared" si="293"/>
        <v>280</v>
      </c>
      <c r="BZ104" s="296"/>
      <c r="CA104" s="296">
        <v>200</v>
      </c>
      <c r="CB104" s="296">
        <f t="shared" si="294"/>
        <v>80</v>
      </c>
      <c r="CC104" s="297">
        <f t="shared" si="295"/>
        <v>0.14541700142872205</v>
      </c>
      <c r="CD104" s="296">
        <f t="shared" si="296"/>
        <v>6050</v>
      </c>
      <c r="CE104" s="297">
        <f t="shared" si="297"/>
        <v>0.12100838104047086</v>
      </c>
      <c r="CF104" s="1061"/>
      <c r="CH104">
        <f t="shared" si="206"/>
        <v>556614</v>
      </c>
    </row>
    <row r="105" spans="1:86">
      <c r="A105" s="30">
        <v>44053</v>
      </c>
      <c r="B105" s="318">
        <v>545946</v>
      </c>
      <c r="C105" s="114">
        <f t="shared" si="165"/>
        <v>50542483</v>
      </c>
      <c r="D105" s="29">
        <v>6797.16</v>
      </c>
      <c r="E105" s="93">
        <f t="shared" si="166"/>
        <v>594160.30000000005</v>
      </c>
      <c r="F105" s="240">
        <f t="shared" si="252"/>
        <v>5880</v>
      </c>
      <c r="G105" s="240">
        <v>31840</v>
      </c>
      <c r="H105" s="280">
        <v>13.25</v>
      </c>
      <c r="I105" s="240">
        <v>5700</v>
      </c>
      <c r="J105" s="240">
        <f t="shared" ref="J105:J110" si="298">F105+G105-I105</f>
        <v>32020</v>
      </c>
      <c r="K105" s="280">
        <f t="shared" ref="K105:K110" si="299">J105*1000/B105</f>
        <v>58.650489242525815</v>
      </c>
      <c r="L105" s="240">
        <f t="shared" ref="L105:L110" si="300">L104+J105</f>
        <v>1613280</v>
      </c>
      <c r="M105" s="280">
        <f t="shared" ref="M105:M110" si="301">L105*1000/C105</f>
        <v>31.919286593023141</v>
      </c>
      <c r="N105" s="280">
        <f t="shared" ref="N105:N110" si="302">M105/8.167</f>
        <v>3.9083245491640923</v>
      </c>
      <c r="O105" s="1089"/>
      <c r="P105" s="1084"/>
      <c r="Q105" s="77">
        <f t="shared" si="258"/>
        <v>12947</v>
      </c>
      <c r="R105" s="35"/>
      <c r="S105" s="35">
        <v>11547</v>
      </c>
      <c r="T105" s="35">
        <f>Q105+R105-S105</f>
        <v>1400</v>
      </c>
      <c r="U105" s="36">
        <f>1000*T105/B105</f>
        <v>2.5643561817469127</v>
      </c>
      <c r="V105" s="74">
        <f>V104+T105</f>
        <v>81081</v>
      </c>
      <c r="W105" s="36">
        <f>1000*V105/C105</f>
        <v>1.6042148146936113</v>
      </c>
      <c r="X105" s="1179"/>
      <c r="Y105" s="49">
        <f t="shared" si="263"/>
        <v>933</v>
      </c>
      <c r="Z105" s="50"/>
      <c r="AA105" s="50">
        <f>832+47</f>
        <v>879</v>
      </c>
      <c r="AB105" s="50">
        <f t="shared" ref="AB105:AB110" si="303">Y105+Z105-AA105</f>
        <v>54</v>
      </c>
      <c r="AC105" s="51">
        <f t="shared" ref="AC105:AC110" si="304">AB105*1000/B105</f>
        <v>9.8910881295952352E-2</v>
      </c>
      <c r="AD105" s="50">
        <f t="shared" ref="AD105:AD110" si="305">AD104+AB105</f>
        <v>18684</v>
      </c>
      <c r="AE105" s="51">
        <f t="shared" ref="AE105:AE110" si="306">AD105*1000/C105</f>
        <v>0.36966921470795172</v>
      </c>
      <c r="AF105" s="1050"/>
      <c r="AG105" s="40">
        <f t="shared" si="268"/>
        <v>805</v>
      </c>
      <c r="AH105" s="41"/>
      <c r="AI105" s="41">
        <v>745</v>
      </c>
      <c r="AJ105" s="41">
        <f t="shared" ref="AJ105:AJ110" si="307">AG105+AH105-AI105</f>
        <v>60</v>
      </c>
      <c r="AK105" s="42">
        <f t="shared" ref="AK105:AK110" si="308">AJ105*1000/B105</f>
        <v>0.10990097921772483</v>
      </c>
      <c r="AL105" s="41">
        <f t="shared" ref="AL105:AL110" si="309">AL104+AJ105</f>
        <v>8638</v>
      </c>
      <c r="AM105" s="42">
        <f t="shared" ref="AM105:AM110" si="310">AL105*1000/C105</f>
        <v>0.17090573092738637</v>
      </c>
      <c r="AN105" s="1058"/>
      <c r="AO105" s="67">
        <v>5.9</v>
      </c>
      <c r="AP105" s="67">
        <v>24</v>
      </c>
      <c r="AQ105" s="68">
        <f t="shared" ref="AQ105:AQ110" si="311">AO105*AP105*0.49705</f>
        <v>70.382280000000009</v>
      </c>
      <c r="AR105" s="68">
        <f t="shared" ref="AR105:AR110" si="312">AQ105*1000/D105</f>
        <v>10.354659887364726</v>
      </c>
      <c r="AS105" s="69">
        <f t="shared" ref="AS105:AS110" si="313">AS104+AQ105</f>
        <v>5779.6973999999991</v>
      </c>
      <c r="AT105" s="140">
        <f t="shared" ref="AT105:AT110" si="314">AS105*1000/E105</f>
        <v>9.7275051867315927</v>
      </c>
      <c r="AU105" s="1073"/>
      <c r="AV105" s="70">
        <v>3.3</v>
      </c>
      <c r="AW105" s="71">
        <v>12</v>
      </c>
      <c r="AX105" s="72">
        <f t="shared" ref="AX105:AX110" si="315">AV105*AW105*0.51673</f>
        <v>20.462508</v>
      </c>
      <c r="AY105" s="72">
        <f t="shared" ref="AY105:AY110" si="316">AX105*1000/D105</f>
        <v>3.0104496583867379</v>
      </c>
      <c r="AZ105" s="73">
        <f t="shared" ref="AZ105:AZ110" si="317">AZ104+AX105</f>
        <v>1834.1848079999993</v>
      </c>
      <c r="BA105" s="192">
        <f t="shared" ref="BA105:BA110" si="318">AZ105*1000/E105</f>
        <v>3.0870201324457374</v>
      </c>
      <c r="BB105" s="1075"/>
      <c r="BC105" s="90">
        <f t="shared" si="281"/>
        <v>19132</v>
      </c>
      <c r="BD105" s="59"/>
      <c r="BE105" s="56">
        <v>19132</v>
      </c>
      <c r="BF105" s="56"/>
      <c r="BG105" s="58">
        <f t="shared" ref="BG105:BG111" si="319">BG104+BF105</f>
        <v>31803</v>
      </c>
      <c r="BH105" s="58">
        <f t="shared" ref="BH105:BH111" si="320">BG105*1000/E105</f>
        <v>53.525959240292558</v>
      </c>
      <c r="BI105" s="1133"/>
      <c r="BJ105" s="63">
        <f t="shared" si="284"/>
        <v>348</v>
      </c>
      <c r="BK105" s="64">
        <v>1100</v>
      </c>
      <c r="BL105" s="64">
        <v>1219</v>
      </c>
      <c r="BM105" s="64">
        <f t="shared" ref="BM105:BM110" si="321">BJ105+BK105-BL105</f>
        <v>229</v>
      </c>
      <c r="BN105" s="65">
        <f t="shared" ref="BN105:BN110" si="322">BM105*1000/B105</f>
        <v>0.41945540401431641</v>
      </c>
      <c r="BO105" s="64">
        <f t="shared" ref="BO105:BO110" si="323">BO104+BM105</f>
        <v>15569</v>
      </c>
      <c r="BP105" s="65">
        <f t="shared" ref="BP105:BP110" si="324">BO105*1000/C105</f>
        <v>0.30803789358745987</v>
      </c>
      <c r="BQ105" s="1071"/>
      <c r="BR105" s="35">
        <f t="shared" si="289"/>
        <v>38705</v>
      </c>
      <c r="BS105" s="35"/>
      <c r="BT105" s="35">
        <f>21933+14000</f>
        <v>35933</v>
      </c>
      <c r="BU105" s="35">
        <f t="shared" ref="BU105:BU110" si="325">BR105+BS105-BT105</f>
        <v>2772</v>
      </c>
      <c r="BV105" s="74">
        <f t="shared" ref="BV105:BV110" si="326">BV104+BU105</f>
        <v>265683</v>
      </c>
      <c r="BW105" s="74">
        <f t="shared" ref="BW105:BW110" si="327">BV105*1000/E105</f>
        <v>447.15710558244967</v>
      </c>
      <c r="BX105" s="1098"/>
      <c r="BY105" s="295">
        <f t="shared" si="293"/>
        <v>200</v>
      </c>
      <c r="BZ105" s="296">
        <v>1150</v>
      </c>
      <c r="CA105" s="296">
        <v>1150</v>
      </c>
      <c r="CB105" s="296">
        <f t="shared" ref="CB105:CB110" si="328">BY105+BZ105-CA105</f>
        <v>200</v>
      </c>
      <c r="CC105" s="297">
        <f t="shared" ref="CC105:CC110" si="329">CB105*1000/B105</f>
        <v>0.36633659739241609</v>
      </c>
      <c r="CD105" s="296">
        <f t="shared" ref="CD105:CD110" si="330">CD104+CB105</f>
        <v>6250</v>
      </c>
      <c r="CE105" s="297">
        <f t="shared" ref="CE105:CE110" si="331">CD105*1000/C105</f>
        <v>0.12365834895764816</v>
      </c>
      <c r="CF105" s="1061"/>
      <c r="CH105">
        <f t="shared" si="206"/>
        <v>0</v>
      </c>
    </row>
    <row r="106" spans="1:86">
      <c r="A106" s="30">
        <v>44054</v>
      </c>
      <c r="B106" s="318">
        <v>610170</v>
      </c>
      <c r="C106" s="114">
        <f t="shared" si="165"/>
        <v>51152653</v>
      </c>
      <c r="D106" s="29">
        <v>7550.5</v>
      </c>
      <c r="E106" s="93">
        <f t="shared" si="166"/>
        <v>601710.80000000005</v>
      </c>
      <c r="F106" s="240">
        <f t="shared" si="252"/>
        <v>5700</v>
      </c>
      <c r="G106" s="240">
        <v>31950</v>
      </c>
      <c r="H106" s="280">
        <v>10.76</v>
      </c>
      <c r="I106" s="240">
        <v>5520</v>
      </c>
      <c r="J106" s="240">
        <f t="shared" si="298"/>
        <v>32130</v>
      </c>
      <c r="K106" s="280">
        <f t="shared" si="299"/>
        <v>52.65745611878657</v>
      </c>
      <c r="L106" s="240">
        <f t="shared" si="300"/>
        <v>1645410</v>
      </c>
      <c r="M106" s="280">
        <f t="shared" si="301"/>
        <v>32.166660055735527</v>
      </c>
      <c r="N106" s="280">
        <f t="shared" si="302"/>
        <v>3.9386139409496175</v>
      </c>
      <c r="O106" s="1089"/>
      <c r="P106" s="1084"/>
      <c r="Q106" s="77">
        <f t="shared" si="258"/>
        <v>11547</v>
      </c>
      <c r="R106" s="35"/>
      <c r="S106" s="35">
        <v>8233</v>
      </c>
      <c r="T106" s="35">
        <f>Q106+R106-S106</f>
        <v>3314</v>
      </c>
      <c r="U106" s="36">
        <f>1000*T106/B106</f>
        <v>5.4312732517167346</v>
      </c>
      <c r="V106" s="74">
        <f>V105+T106</f>
        <v>84395</v>
      </c>
      <c r="W106" s="36">
        <f>1000*V106/C106</f>
        <v>1.6498655504730126</v>
      </c>
      <c r="X106" s="1179"/>
      <c r="Y106" s="49">
        <f t="shared" si="263"/>
        <v>879</v>
      </c>
      <c r="Z106" s="50"/>
      <c r="AA106" s="50">
        <f>815+78</f>
        <v>893</v>
      </c>
      <c r="AB106" s="50">
        <f t="shared" si="303"/>
        <v>-14</v>
      </c>
      <c r="AC106" s="51">
        <f t="shared" si="304"/>
        <v>-2.2944425324090009E-2</v>
      </c>
      <c r="AD106" s="50">
        <f t="shared" si="305"/>
        <v>18670</v>
      </c>
      <c r="AE106" s="51">
        <f t="shared" si="306"/>
        <v>0.36498595683785939</v>
      </c>
      <c r="AF106" s="1050"/>
      <c r="AG106" s="40">
        <f t="shared" si="268"/>
        <v>745</v>
      </c>
      <c r="AH106" s="41"/>
      <c r="AI106" s="41">
        <v>725</v>
      </c>
      <c r="AJ106" s="41">
        <f t="shared" si="307"/>
        <v>20</v>
      </c>
      <c r="AK106" s="42">
        <f t="shared" si="308"/>
        <v>3.2777750462985727E-2</v>
      </c>
      <c r="AL106" s="41">
        <f t="shared" si="309"/>
        <v>8658</v>
      </c>
      <c r="AM106" s="42">
        <f t="shared" si="310"/>
        <v>0.16925808325132227</v>
      </c>
      <c r="AN106" s="1058"/>
      <c r="AO106" s="67">
        <v>6.1</v>
      </c>
      <c r="AP106" s="67">
        <v>24</v>
      </c>
      <c r="AQ106" s="68">
        <f t="shared" si="311"/>
        <v>72.768119999999982</v>
      </c>
      <c r="AR106" s="68">
        <f t="shared" si="312"/>
        <v>9.6375233428249754</v>
      </c>
      <c r="AS106" s="69">
        <f t="shared" si="313"/>
        <v>5852.4655199999988</v>
      </c>
      <c r="AT106" s="140">
        <f t="shared" si="314"/>
        <v>9.7263760597283575</v>
      </c>
      <c r="AU106" s="1073"/>
      <c r="AV106" s="70">
        <v>3.5</v>
      </c>
      <c r="AW106" s="71">
        <v>12</v>
      </c>
      <c r="AX106" s="72">
        <f t="shared" si="315"/>
        <v>21.702660000000002</v>
      </c>
      <c r="AY106" s="72">
        <f t="shared" si="316"/>
        <v>2.8743341500562876</v>
      </c>
      <c r="AZ106" s="73">
        <f t="shared" si="317"/>
        <v>1855.8874679999992</v>
      </c>
      <c r="BA106" s="192">
        <f t="shared" si="318"/>
        <v>3.0843512664223396</v>
      </c>
      <c r="BB106" s="1075"/>
      <c r="BC106" s="90">
        <f t="shared" si="281"/>
        <v>19132</v>
      </c>
      <c r="BD106" s="59"/>
      <c r="BE106" s="56">
        <v>19132</v>
      </c>
      <c r="BF106" s="56"/>
      <c r="BG106" s="58">
        <f t="shared" si="319"/>
        <v>31803</v>
      </c>
      <c r="BH106" s="58">
        <f t="shared" si="320"/>
        <v>52.854294787462678</v>
      </c>
      <c r="BI106" s="1133"/>
      <c r="BJ106" s="63">
        <f t="shared" si="284"/>
        <v>1219</v>
      </c>
      <c r="BK106" s="64"/>
      <c r="BL106" s="64">
        <v>984</v>
      </c>
      <c r="BM106" s="64">
        <f t="shared" si="321"/>
        <v>235</v>
      </c>
      <c r="BN106" s="65">
        <f t="shared" si="322"/>
        <v>0.38513856794008228</v>
      </c>
      <c r="BO106" s="64">
        <f t="shared" si="323"/>
        <v>15804</v>
      </c>
      <c r="BP106" s="65">
        <f t="shared" si="324"/>
        <v>0.30895758231738246</v>
      </c>
      <c r="BQ106" s="1071"/>
      <c r="BR106" s="35">
        <f t="shared" si="289"/>
        <v>35933</v>
      </c>
      <c r="BS106" s="35"/>
      <c r="BT106" s="35">
        <f>29174+6000</f>
        <v>35174</v>
      </c>
      <c r="BU106" s="35">
        <f t="shared" si="325"/>
        <v>759</v>
      </c>
      <c r="BV106" s="74">
        <f t="shared" si="326"/>
        <v>266442</v>
      </c>
      <c r="BW106" s="74">
        <f t="shared" si="327"/>
        <v>442.80740847596547</v>
      </c>
      <c r="BX106" s="1098"/>
      <c r="BY106" s="295">
        <f t="shared" si="293"/>
        <v>1150</v>
      </c>
      <c r="BZ106" s="296"/>
      <c r="CA106" s="296">
        <v>1150</v>
      </c>
      <c r="CB106" s="296">
        <f t="shared" si="328"/>
        <v>0</v>
      </c>
      <c r="CC106" s="297">
        <f t="shared" si="329"/>
        <v>0</v>
      </c>
      <c r="CD106" s="296">
        <f t="shared" si="330"/>
        <v>6250</v>
      </c>
      <c r="CE106" s="297">
        <f t="shared" si="331"/>
        <v>0.1221833010303493</v>
      </c>
      <c r="CF106" s="1061"/>
      <c r="CH106">
        <f t="shared" si="206"/>
        <v>551200</v>
      </c>
    </row>
    <row r="107" spans="1:86">
      <c r="A107" s="30">
        <v>44055</v>
      </c>
      <c r="B107" s="32">
        <v>646187</v>
      </c>
      <c r="C107" s="114">
        <f t="shared" si="165"/>
        <v>51798840</v>
      </c>
      <c r="D107" s="29">
        <v>6961.98</v>
      </c>
      <c r="E107" s="93">
        <f t="shared" si="166"/>
        <v>608672.78</v>
      </c>
      <c r="F107" s="240">
        <f t="shared" si="252"/>
        <v>5520</v>
      </c>
      <c r="G107" s="240">
        <v>32400</v>
      </c>
      <c r="H107" s="280">
        <v>12.13</v>
      </c>
      <c r="I107" s="240">
        <v>5400</v>
      </c>
      <c r="J107" s="240">
        <f t="shared" si="298"/>
        <v>32520</v>
      </c>
      <c r="K107" s="280">
        <f t="shared" si="299"/>
        <v>50.325989226028994</v>
      </c>
      <c r="L107" s="240">
        <f t="shared" si="300"/>
        <v>1677930</v>
      </c>
      <c r="M107" s="280">
        <f t="shared" si="301"/>
        <v>32.393196449959113</v>
      </c>
      <c r="N107" s="280">
        <f t="shared" si="302"/>
        <v>3.966351959098704</v>
      </c>
      <c r="O107" s="1089"/>
      <c r="P107" s="1084"/>
      <c r="Q107" s="77">
        <f t="shared" si="258"/>
        <v>8233</v>
      </c>
      <c r="R107" s="35"/>
      <c r="S107" s="35">
        <v>3822</v>
      </c>
      <c r="T107" s="35">
        <f>Q107+R107-S107</f>
        <v>4411</v>
      </c>
      <c r="U107" s="36">
        <f>1000*T107/B107</f>
        <v>6.8261973701111289</v>
      </c>
      <c r="V107" s="74">
        <f>V106+T107</f>
        <v>88806</v>
      </c>
      <c r="W107" s="36">
        <f>1000*V107/C107</f>
        <v>1.7144399372650043</v>
      </c>
      <c r="X107" s="1179"/>
      <c r="Y107" s="49">
        <f t="shared" si="263"/>
        <v>893</v>
      </c>
      <c r="Z107" s="50"/>
      <c r="AA107" s="50">
        <f>743+95</f>
        <v>838</v>
      </c>
      <c r="AB107" s="50">
        <f t="shared" si="303"/>
        <v>55</v>
      </c>
      <c r="AC107" s="51">
        <f t="shared" si="304"/>
        <v>8.51146804253258E-2</v>
      </c>
      <c r="AD107" s="50">
        <f t="shared" si="305"/>
        <v>18725</v>
      </c>
      <c r="AE107" s="51">
        <f t="shared" si="306"/>
        <v>0.3614945817319461</v>
      </c>
      <c r="AF107" s="1050"/>
      <c r="AG107" s="40">
        <f t="shared" si="268"/>
        <v>725</v>
      </c>
      <c r="AH107" s="41"/>
      <c r="AI107" s="41">
        <v>666</v>
      </c>
      <c r="AJ107" s="41">
        <f t="shared" si="307"/>
        <v>59</v>
      </c>
      <c r="AK107" s="42">
        <f t="shared" si="308"/>
        <v>9.1304839001713128E-2</v>
      </c>
      <c r="AL107" s="41">
        <f t="shared" si="309"/>
        <v>8717</v>
      </c>
      <c r="AM107" s="42">
        <f t="shared" si="310"/>
        <v>0.1682856218401802</v>
      </c>
      <c r="AN107" s="1058"/>
      <c r="AO107" s="67">
        <v>6.4</v>
      </c>
      <c r="AP107" s="67">
        <v>24</v>
      </c>
      <c r="AQ107" s="68">
        <f t="shared" si="311"/>
        <v>76.346880000000013</v>
      </c>
      <c r="AR107" s="68">
        <f t="shared" si="312"/>
        <v>10.966259598562482</v>
      </c>
      <c r="AS107" s="69">
        <f t="shared" si="313"/>
        <v>5928.8123999999989</v>
      </c>
      <c r="AT107" s="140">
        <f t="shared" si="314"/>
        <v>9.74055780841719</v>
      </c>
      <c r="AU107" s="1073"/>
      <c r="AV107" s="70">
        <v>3.2</v>
      </c>
      <c r="AW107" s="71">
        <v>12</v>
      </c>
      <c r="AX107" s="72">
        <f t="shared" si="315"/>
        <v>19.842432000000002</v>
      </c>
      <c r="AY107" s="72">
        <f t="shared" si="316"/>
        <v>2.8501133298285835</v>
      </c>
      <c r="AZ107" s="73">
        <f t="shared" si="317"/>
        <v>1875.7298999999991</v>
      </c>
      <c r="BA107" s="192">
        <f t="shared" si="318"/>
        <v>3.0816720603145735</v>
      </c>
      <c r="BB107" s="1075"/>
      <c r="BC107" s="90">
        <f t="shared" si="281"/>
        <v>19132</v>
      </c>
      <c r="BD107" s="59"/>
      <c r="BE107" s="56">
        <v>19132</v>
      </c>
      <c r="BF107" s="56"/>
      <c r="BG107" s="58">
        <f t="shared" si="319"/>
        <v>31803</v>
      </c>
      <c r="BH107" s="58">
        <f t="shared" si="320"/>
        <v>52.249749035926989</v>
      </c>
      <c r="BI107" s="1133"/>
      <c r="BJ107" s="63">
        <f t="shared" si="284"/>
        <v>984</v>
      </c>
      <c r="BK107" s="64"/>
      <c r="BL107" s="64">
        <v>498</v>
      </c>
      <c r="BM107" s="64">
        <f t="shared" si="321"/>
        <v>486</v>
      </c>
      <c r="BN107" s="65">
        <f t="shared" si="322"/>
        <v>0.7521042670310607</v>
      </c>
      <c r="BO107" s="64">
        <f t="shared" si="323"/>
        <v>16290</v>
      </c>
      <c r="BP107" s="65">
        <f t="shared" si="324"/>
        <v>0.31448580701807222</v>
      </c>
      <c r="BQ107" s="1071"/>
      <c r="BR107" s="35">
        <f t="shared" si="289"/>
        <v>35174</v>
      </c>
      <c r="BS107" s="320"/>
      <c r="BT107" s="35">
        <f>28402+6000</f>
        <v>34402</v>
      </c>
      <c r="BU107" s="35">
        <f t="shared" si="325"/>
        <v>772</v>
      </c>
      <c r="BV107" s="74">
        <f t="shared" si="326"/>
        <v>267214</v>
      </c>
      <c r="BW107" s="74">
        <f t="shared" si="327"/>
        <v>439.01092472050414</v>
      </c>
      <c r="BX107" s="1098"/>
      <c r="BY107" s="295">
        <f t="shared" si="293"/>
        <v>1150</v>
      </c>
      <c r="BZ107" s="296"/>
      <c r="CA107" s="296">
        <v>750</v>
      </c>
      <c r="CB107" s="296">
        <f t="shared" si="328"/>
        <v>400</v>
      </c>
      <c r="CC107" s="297">
        <f t="shared" si="329"/>
        <v>0.61901585763873301</v>
      </c>
      <c r="CD107" s="296">
        <f t="shared" si="330"/>
        <v>6650</v>
      </c>
      <c r="CE107" s="297">
        <f t="shared" si="331"/>
        <v>0.12838125332536404</v>
      </c>
      <c r="CF107" s="1061"/>
      <c r="CH107">
        <f t="shared" si="206"/>
        <v>421880</v>
      </c>
    </row>
    <row r="108" spans="1:86">
      <c r="A108" s="30">
        <v>44056</v>
      </c>
      <c r="B108" s="32">
        <v>603859</v>
      </c>
      <c r="C108" s="114">
        <f t="shared" si="165"/>
        <v>52402699</v>
      </c>
      <c r="D108" s="29">
        <v>6478.7</v>
      </c>
      <c r="E108" s="93">
        <f t="shared" si="166"/>
        <v>615151.48</v>
      </c>
      <c r="F108" s="240">
        <f t="shared" si="252"/>
        <v>5400</v>
      </c>
      <c r="G108" s="240">
        <v>20920</v>
      </c>
      <c r="H108" s="280">
        <v>21.26</v>
      </c>
      <c r="I108" s="240">
        <v>5295</v>
      </c>
      <c r="J108" s="240">
        <f t="shared" si="298"/>
        <v>21025</v>
      </c>
      <c r="K108" s="280">
        <f t="shared" si="299"/>
        <v>34.817730629170057</v>
      </c>
      <c r="L108" s="240">
        <f t="shared" si="300"/>
        <v>1698955</v>
      </c>
      <c r="M108" s="280">
        <f t="shared" si="301"/>
        <v>32.421135407548377</v>
      </c>
      <c r="N108" s="280">
        <f t="shared" si="302"/>
        <v>3.969772916315462</v>
      </c>
      <c r="O108" s="1089"/>
      <c r="P108" s="1084"/>
      <c r="Q108" s="77">
        <f t="shared" si="258"/>
        <v>3822</v>
      </c>
      <c r="R108" s="35"/>
      <c r="S108" s="35">
        <v>857</v>
      </c>
      <c r="T108" s="35">
        <f>Q108+R108-S108</f>
        <v>2965</v>
      </c>
      <c r="U108" s="36">
        <f>1000*T108/B108</f>
        <v>4.9100866261826024</v>
      </c>
      <c r="V108" s="74">
        <f>V107+T108</f>
        <v>91771</v>
      </c>
      <c r="W108" s="36">
        <f>1000*V108/C108</f>
        <v>1.7512647583285739</v>
      </c>
      <c r="X108" s="1179"/>
      <c r="Y108" s="49">
        <f t="shared" si="263"/>
        <v>838</v>
      </c>
      <c r="Z108" s="50"/>
      <c r="AA108" s="50">
        <f>707+97</f>
        <v>804</v>
      </c>
      <c r="AB108" s="50">
        <f t="shared" si="303"/>
        <v>34</v>
      </c>
      <c r="AC108" s="51">
        <f t="shared" si="304"/>
        <v>5.6304534667861207E-2</v>
      </c>
      <c r="AD108" s="50">
        <f t="shared" si="305"/>
        <v>18759</v>
      </c>
      <c r="AE108" s="51">
        <f t="shared" si="306"/>
        <v>0.35797774461960441</v>
      </c>
      <c r="AF108" s="1050"/>
      <c r="AG108" s="40">
        <f t="shared" si="268"/>
        <v>666</v>
      </c>
      <c r="AH108" s="41"/>
      <c r="AI108" s="41">
        <v>626</v>
      </c>
      <c r="AJ108" s="41">
        <f t="shared" si="307"/>
        <v>40</v>
      </c>
      <c r="AK108" s="42">
        <f t="shared" si="308"/>
        <v>6.6240629021013187E-2</v>
      </c>
      <c r="AL108" s="41">
        <f t="shared" si="309"/>
        <v>8757</v>
      </c>
      <c r="AM108" s="42">
        <f t="shared" si="310"/>
        <v>0.16710971318481133</v>
      </c>
      <c r="AN108" s="1058"/>
      <c r="AO108" s="67">
        <v>5.8</v>
      </c>
      <c r="AP108" s="67">
        <v>24</v>
      </c>
      <c r="AQ108" s="68">
        <f t="shared" si="311"/>
        <v>69.189359999999994</v>
      </c>
      <c r="AR108" s="68">
        <f t="shared" si="312"/>
        <v>10.67951286523531</v>
      </c>
      <c r="AS108" s="69">
        <f t="shared" si="313"/>
        <v>5998.0017599999992</v>
      </c>
      <c r="AT108" s="140">
        <f t="shared" si="314"/>
        <v>9.7504467680058244</v>
      </c>
      <c r="AU108" s="1073"/>
      <c r="AV108" s="70">
        <v>3.6</v>
      </c>
      <c r="AW108" s="71">
        <v>12</v>
      </c>
      <c r="AX108" s="72">
        <f t="shared" si="315"/>
        <v>22.322736000000003</v>
      </c>
      <c r="AY108" s="72">
        <f t="shared" si="316"/>
        <v>3.4455579051352898</v>
      </c>
      <c r="AZ108" s="73">
        <f t="shared" si="317"/>
        <v>1898.0526359999992</v>
      </c>
      <c r="BA108" s="192">
        <f t="shared" si="318"/>
        <v>3.0855044614376923</v>
      </c>
      <c r="BB108" s="1075"/>
      <c r="BC108" s="90">
        <f t="shared" si="281"/>
        <v>19132</v>
      </c>
      <c r="BD108" s="59"/>
      <c r="BE108" s="56">
        <v>19132</v>
      </c>
      <c r="BF108" s="56"/>
      <c r="BG108" s="58">
        <f t="shared" si="319"/>
        <v>31803</v>
      </c>
      <c r="BH108" s="58">
        <f t="shared" si="320"/>
        <v>51.699461082333741</v>
      </c>
      <c r="BI108" s="1133"/>
      <c r="BJ108" s="63">
        <f t="shared" si="284"/>
        <v>498</v>
      </c>
      <c r="BK108" s="64"/>
      <c r="BL108" s="64">
        <v>240</v>
      </c>
      <c r="BM108" s="64">
        <f t="shared" si="321"/>
        <v>258</v>
      </c>
      <c r="BN108" s="65">
        <f t="shared" si="322"/>
        <v>0.42725205718553505</v>
      </c>
      <c r="BO108" s="64">
        <f t="shared" si="323"/>
        <v>16548</v>
      </c>
      <c r="BP108" s="65">
        <f t="shared" si="324"/>
        <v>0.31578526136602236</v>
      </c>
      <c r="BQ108" s="1071"/>
      <c r="BR108" s="35">
        <f t="shared" si="289"/>
        <v>34402</v>
      </c>
      <c r="BS108" s="320"/>
      <c r="BT108" s="35">
        <f>25659+6000</f>
        <v>31659</v>
      </c>
      <c r="BU108" s="35">
        <f t="shared" si="325"/>
        <v>2743</v>
      </c>
      <c r="BV108" s="74">
        <f t="shared" si="326"/>
        <v>269957</v>
      </c>
      <c r="BW108" s="74">
        <f t="shared" si="327"/>
        <v>438.84637975673894</v>
      </c>
      <c r="BX108" s="1098"/>
      <c r="BY108" s="295">
        <f t="shared" si="293"/>
        <v>750</v>
      </c>
      <c r="BZ108" s="296"/>
      <c r="CA108" s="296">
        <v>560</v>
      </c>
      <c r="CB108" s="296">
        <f t="shared" si="328"/>
        <v>190</v>
      </c>
      <c r="CC108" s="297">
        <f t="shared" si="329"/>
        <v>0.31464298784981259</v>
      </c>
      <c r="CD108" s="296">
        <f t="shared" si="330"/>
        <v>6840</v>
      </c>
      <c r="CE108" s="297">
        <f t="shared" si="331"/>
        <v>0.13052762797580331</v>
      </c>
      <c r="CF108" s="1061"/>
      <c r="CH108">
        <f t="shared" si="206"/>
        <v>343782</v>
      </c>
    </row>
    <row r="109" spans="1:86">
      <c r="A109" s="30">
        <v>44057</v>
      </c>
      <c r="B109" s="32">
        <v>558703</v>
      </c>
      <c r="C109" s="114">
        <f t="shared" si="165"/>
        <v>52961402</v>
      </c>
      <c r="D109" s="29">
        <v>6061.14</v>
      </c>
      <c r="E109" s="93">
        <f t="shared" si="166"/>
        <v>621212.62</v>
      </c>
      <c r="F109" s="240">
        <f t="shared" si="252"/>
        <v>5295</v>
      </c>
      <c r="G109" s="240">
        <v>31290</v>
      </c>
      <c r="H109" s="280">
        <v>14.65</v>
      </c>
      <c r="I109" s="240">
        <f>14000+5150</f>
        <v>19150</v>
      </c>
      <c r="J109" s="240">
        <f t="shared" si="298"/>
        <v>17435</v>
      </c>
      <c r="K109" s="280">
        <f t="shared" si="299"/>
        <v>31.20620436976354</v>
      </c>
      <c r="L109" s="240">
        <f t="shared" si="300"/>
        <v>1716390</v>
      </c>
      <c r="M109" s="280">
        <f t="shared" si="301"/>
        <v>32.408318797904933</v>
      </c>
      <c r="N109" s="280">
        <f t="shared" si="302"/>
        <v>3.968203599596539</v>
      </c>
      <c r="O109" s="1089"/>
      <c r="P109" s="1084"/>
      <c r="Q109" s="77">
        <f t="shared" si="258"/>
        <v>857</v>
      </c>
      <c r="R109" s="35">
        <v>36780</v>
      </c>
      <c r="S109" s="35">
        <v>36948</v>
      </c>
      <c r="T109" s="35">
        <f>Q109+R109-S109</f>
        <v>689</v>
      </c>
      <c r="U109" s="36">
        <f>1000*T109/B109</f>
        <v>1.23321335306952</v>
      </c>
      <c r="V109" s="74">
        <f>V108+T109</f>
        <v>92460</v>
      </c>
      <c r="W109" s="36">
        <f>1000*V109/C109</f>
        <v>1.7457997052268368</v>
      </c>
      <c r="X109" s="1179"/>
      <c r="Y109" s="49">
        <f t="shared" si="263"/>
        <v>804</v>
      </c>
      <c r="Z109" s="50"/>
      <c r="AA109" s="50">
        <f>671+95</f>
        <v>766</v>
      </c>
      <c r="AB109" s="50">
        <f t="shared" si="303"/>
        <v>38</v>
      </c>
      <c r="AC109" s="51">
        <f t="shared" si="304"/>
        <v>6.8014669690336371E-2</v>
      </c>
      <c r="AD109" s="50">
        <f t="shared" si="305"/>
        <v>18797</v>
      </c>
      <c r="AE109" s="51">
        <f t="shared" si="306"/>
        <v>0.35491885203492157</v>
      </c>
      <c r="AF109" s="1050"/>
      <c r="AG109" s="40">
        <f t="shared" si="268"/>
        <v>626</v>
      </c>
      <c r="AH109" s="41"/>
      <c r="AI109" s="41">
        <v>606</v>
      </c>
      <c r="AJ109" s="41">
        <f t="shared" si="307"/>
        <v>20</v>
      </c>
      <c r="AK109" s="42">
        <f t="shared" si="308"/>
        <v>3.5797194573861248E-2</v>
      </c>
      <c r="AL109" s="41">
        <f t="shared" si="309"/>
        <v>8777</v>
      </c>
      <c r="AM109" s="42">
        <f t="shared" si="310"/>
        <v>0.16572446477153305</v>
      </c>
      <c r="AN109" s="1058"/>
      <c r="AO109" s="67">
        <v>6.7</v>
      </c>
      <c r="AP109" s="67">
        <v>24</v>
      </c>
      <c r="AQ109" s="68">
        <f t="shared" si="311"/>
        <v>79.925640000000001</v>
      </c>
      <c r="AR109" s="68">
        <f t="shared" si="312"/>
        <v>13.186568863283144</v>
      </c>
      <c r="AS109" s="69">
        <f t="shared" si="313"/>
        <v>6077.9273999999996</v>
      </c>
      <c r="AT109" s="140">
        <f t="shared" si="314"/>
        <v>9.7839728368686387</v>
      </c>
      <c r="AU109" s="1073"/>
      <c r="AV109" s="70">
        <v>2.9</v>
      </c>
      <c r="AW109" s="71">
        <v>12</v>
      </c>
      <c r="AX109" s="72">
        <f t="shared" si="315"/>
        <v>17.982203999999999</v>
      </c>
      <c r="AY109" s="72">
        <f t="shared" si="316"/>
        <v>2.9668022847187157</v>
      </c>
      <c r="AZ109" s="73">
        <f t="shared" si="317"/>
        <v>1916.0348399999991</v>
      </c>
      <c r="BA109" s="192">
        <f t="shared" si="318"/>
        <v>3.0843462903248797</v>
      </c>
      <c r="BB109" s="1075"/>
      <c r="BC109" s="90">
        <f t="shared" si="281"/>
        <v>19132</v>
      </c>
      <c r="BD109" s="59"/>
      <c r="BE109" s="56">
        <v>19132</v>
      </c>
      <c r="BF109" s="56"/>
      <c r="BG109" s="58">
        <f t="shared" si="319"/>
        <v>31803</v>
      </c>
      <c r="BH109" s="58">
        <f t="shared" si="320"/>
        <v>51.195032064866936</v>
      </c>
      <c r="BI109" s="1133"/>
      <c r="BJ109" s="63">
        <f t="shared" si="284"/>
        <v>240</v>
      </c>
      <c r="BK109" s="64">
        <v>1100</v>
      </c>
      <c r="BL109" s="64">
        <v>1159</v>
      </c>
      <c r="BM109" s="64">
        <f t="shared" si="321"/>
        <v>181</v>
      </c>
      <c r="BN109" s="65">
        <f t="shared" si="322"/>
        <v>0.3239646108934443</v>
      </c>
      <c r="BO109" s="64">
        <f t="shared" si="323"/>
        <v>16729</v>
      </c>
      <c r="BP109" s="65">
        <f t="shared" si="324"/>
        <v>0.31587154735820627</v>
      </c>
      <c r="BQ109" s="1071"/>
      <c r="BR109" s="35">
        <f t="shared" si="289"/>
        <v>31659</v>
      </c>
      <c r="BS109" s="35"/>
      <c r="BT109" s="35">
        <f>23781+6000</f>
        <v>29781</v>
      </c>
      <c r="BU109" s="35">
        <f t="shared" si="325"/>
        <v>1878</v>
      </c>
      <c r="BV109" s="74">
        <f t="shared" si="326"/>
        <v>271835</v>
      </c>
      <c r="BW109" s="74">
        <f t="shared" si="327"/>
        <v>437.58769742958538</v>
      </c>
      <c r="BX109" s="1098"/>
      <c r="BY109" s="295">
        <f t="shared" si="293"/>
        <v>560</v>
      </c>
      <c r="BZ109" s="296">
        <v>1150</v>
      </c>
      <c r="CA109" s="296">
        <v>1360</v>
      </c>
      <c r="CB109" s="296">
        <f t="shared" si="328"/>
        <v>350</v>
      </c>
      <c r="CC109" s="297">
        <f t="shared" si="329"/>
        <v>0.62645090504257184</v>
      </c>
      <c r="CD109" s="296">
        <f t="shared" si="330"/>
        <v>7190</v>
      </c>
      <c r="CE109" s="297">
        <f t="shared" si="331"/>
        <v>0.13575924595047539</v>
      </c>
      <c r="CF109" s="1061"/>
      <c r="CH109">
        <f t="shared" si="206"/>
        <v>393012</v>
      </c>
    </row>
    <row r="110" spans="1:86">
      <c r="A110" s="30">
        <v>44058</v>
      </c>
      <c r="B110" s="32">
        <v>572624</v>
      </c>
      <c r="C110" s="114">
        <f t="shared" si="165"/>
        <v>53534026</v>
      </c>
      <c r="D110" s="91">
        <v>6561.9</v>
      </c>
      <c r="E110" s="93">
        <f t="shared" si="166"/>
        <v>627774.52</v>
      </c>
      <c r="F110" s="240">
        <f t="shared" si="252"/>
        <v>19150</v>
      </c>
      <c r="G110" s="240">
        <v>32600</v>
      </c>
      <c r="H110" s="280">
        <v>14.86</v>
      </c>
      <c r="I110" s="240">
        <f>16000+4890</f>
        <v>20890</v>
      </c>
      <c r="J110" s="240">
        <f t="shared" si="298"/>
        <v>30860</v>
      </c>
      <c r="K110" s="280">
        <f t="shared" si="299"/>
        <v>53.892257397524382</v>
      </c>
      <c r="L110" s="240">
        <f t="shared" si="300"/>
        <v>1747250</v>
      </c>
      <c r="M110" s="280">
        <f t="shared" si="301"/>
        <v>32.638120659933179</v>
      </c>
      <c r="N110" s="280">
        <f t="shared" si="302"/>
        <v>3.996341454626323</v>
      </c>
      <c r="O110" s="1089"/>
      <c r="P110" s="1084"/>
      <c r="Q110" s="77">
        <f t="shared" si="258"/>
        <v>36948</v>
      </c>
      <c r="R110" s="35"/>
      <c r="S110" s="35">
        <v>36948</v>
      </c>
      <c r="T110" s="35"/>
      <c r="U110" s="36"/>
      <c r="V110" s="74">
        <f t="shared" ref="V110:V126" si="332">V109+T110</f>
        <v>92460</v>
      </c>
      <c r="W110" s="36">
        <f t="shared" ref="W110:W126" si="333">1000*V110/C110</f>
        <v>1.7271258470267117</v>
      </c>
      <c r="X110" s="1179"/>
      <c r="Y110" s="49">
        <f t="shared" si="263"/>
        <v>766</v>
      </c>
      <c r="Z110" s="50"/>
      <c r="AA110" s="50">
        <f>617+124</f>
        <v>741</v>
      </c>
      <c r="AB110" s="50">
        <f t="shared" si="303"/>
        <v>25</v>
      </c>
      <c r="AC110" s="51">
        <f t="shared" si="304"/>
        <v>4.3658666070580346E-2</v>
      </c>
      <c r="AD110" s="50">
        <f t="shared" si="305"/>
        <v>18822</v>
      </c>
      <c r="AE110" s="51">
        <f t="shared" si="306"/>
        <v>0.35158947320718975</v>
      </c>
      <c r="AF110" s="1050"/>
      <c r="AG110" s="40">
        <f t="shared" si="268"/>
        <v>606</v>
      </c>
      <c r="AH110" s="41"/>
      <c r="AI110" s="41">
        <v>567</v>
      </c>
      <c r="AJ110" s="41">
        <f t="shared" si="307"/>
        <v>39</v>
      </c>
      <c r="AK110" s="42">
        <f t="shared" si="308"/>
        <v>6.8107519070105343E-2</v>
      </c>
      <c r="AL110" s="41">
        <f t="shared" si="309"/>
        <v>8816</v>
      </c>
      <c r="AM110" s="42">
        <f t="shared" si="310"/>
        <v>0.16468031005177902</v>
      </c>
      <c r="AN110" s="1058"/>
      <c r="AO110" s="67">
        <v>6.2</v>
      </c>
      <c r="AP110" s="67">
        <v>24</v>
      </c>
      <c r="AQ110" s="68">
        <f t="shared" si="311"/>
        <v>73.961040000000011</v>
      </c>
      <c r="AR110" s="68">
        <f t="shared" si="312"/>
        <v>11.271284231701186</v>
      </c>
      <c r="AS110" s="69">
        <f t="shared" si="313"/>
        <v>6151.8884399999997</v>
      </c>
      <c r="AT110" s="140">
        <f t="shared" si="314"/>
        <v>9.7995191649383919</v>
      </c>
      <c r="AU110" s="1073"/>
      <c r="AV110" s="319">
        <v>4</v>
      </c>
      <c r="AW110" s="71">
        <v>12</v>
      </c>
      <c r="AX110" s="72">
        <f t="shared" si="315"/>
        <v>24.803040000000003</v>
      </c>
      <c r="AY110" s="72">
        <f t="shared" si="316"/>
        <v>3.7798564440177396</v>
      </c>
      <c r="AZ110" s="73">
        <f t="shared" si="317"/>
        <v>1940.8378799999991</v>
      </c>
      <c r="BA110" s="192">
        <f t="shared" si="318"/>
        <v>3.0916162064048076</v>
      </c>
      <c r="BB110" s="1075"/>
      <c r="BC110" s="90">
        <f t="shared" si="281"/>
        <v>19132</v>
      </c>
      <c r="BD110" s="59"/>
      <c r="BE110" s="56">
        <v>19132</v>
      </c>
      <c r="BF110" s="56"/>
      <c r="BG110" s="58">
        <f t="shared" si="319"/>
        <v>31803</v>
      </c>
      <c r="BH110" s="58">
        <f t="shared" si="320"/>
        <v>50.659908911244116</v>
      </c>
      <c r="BI110" s="1133"/>
      <c r="BJ110" s="63">
        <f t="shared" si="284"/>
        <v>1159</v>
      </c>
      <c r="BK110" s="64"/>
      <c r="BL110" s="64">
        <v>996</v>
      </c>
      <c r="BM110" s="64">
        <f t="shared" si="321"/>
        <v>163</v>
      </c>
      <c r="BN110" s="65">
        <f t="shared" si="322"/>
        <v>0.28465450278018384</v>
      </c>
      <c r="BO110" s="64">
        <f t="shared" si="323"/>
        <v>16892</v>
      </c>
      <c r="BP110" s="65">
        <f t="shared" si="324"/>
        <v>0.31553763582062744</v>
      </c>
      <c r="BQ110" s="1071"/>
      <c r="BR110" s="35">
        <f t="shared" si="289"/>
        <v>29781</v>
      </c>
      <c r="BS110" s="35"/>
      <c r="BT110" s="35">
        <f>19160+6000</f>
        <v>25160</v>
      </c>
      <c r="BU110" s="35">
        <f t="shared" si="325"/>
        <v>4621</v>
      </c>
      <c r="BV110" s="74">
        <f t="shared" si="326"/>
        <v>276456</v>
      </c>
      <c r="BW110" s="74">
        <f t="shared" si="327"/>
        <v>440.37467465229395</v>
      </c>
      <c r="BX110" s="1098"/>
      <c r="BY110" s="295">
        <f t="shared" si="293"/>
        <v>1360</v>
      </c>
      <c r="BZ110" s="296"/>
      <c r="CA110" s="296">
        <v>1230</v>
      </c>
      <c r="CB110" s="296">
        <f t="shared" si="328"/>
        <v>130</v>
      </c>
      <c r="CC110" s="297">
        <f t="shared" si="329"/>
        <v>0.22702506356701779</v>
      </c>
      <c r="CD110" s="296">
        <f t="shared" si="330"/>
        <v>7320</v>
      </c>
      <c r="CE110" s="297">
        <f t="shared" si="331"/>
        <v>0.13673546615007062</v>
      </c>
      <c r="CF110" s="1061"/>
      <c r="CH110">
        <f t="shared" si="206"/>
        <v>444759.2</v>
      </c>
    </row>
    <row r="111" spans="1:86">
      <c r="A111" s="30">
        <v>44059</v>
      </c>
      <c r="B111" s="265">
        <v>305201</v>
      </c>
      <c r="C111" s="114">
        <f t="shared" si="165"/>
        <v>53839227</v>
      </c>
      <c r="D111" s="91"/>
      <c r="E111" s="93">
        <f t="shared" si="166"/>
        <v>627774.52</v>
      </c>
      <c r="F111" s="240">
        <f t="shared" si="252"/>
        <v>20890</v>
      </c>
      <c r="G111" s="240"/>
      <c r="H111" s="280"/>
      <c r="I111" s="240">
        <f>16000+4890</f>
        <v>20890</v>
      </c>
      <c r="J111" s="240"/>
      <c r="K111" s="280"/>
      <c r="L111" s="240">
        <f t="shared" ref="L111:L126" si="334">L110+J111</f>
        <v>1747250</v>
      </c>
      <c r="M111" s="280">
        <f t="shared" ref="M111:M126" si="335">L111*1000/C111</f>
        <v>32.453103385009598</v>
      </c>
      <c r="N111" s="280">
        <f t="shared" ref="N111:N126" si="336">M111/8.167</f>
        <v>3.9736872027684091</v>
      </c>
      <c r="O111" s="1089"/>
      <c r="P111" s="1084"/>
      <c r="Q111" s="77">
        <f t="shared" si="258"/>
        <v>36948</v>
      </c>
      <c r="R111" s="35"/>
      <c r="S111" s="35">
        <v>36948</v>
      </c>
      <c r="T111" s="35"/>
      <c r="U111" s="36"/>
      <c r="V111" s="74">
        <f t="shared" si="332"/>
        <v>92460</v>
      </c>
      <c r="W111" s="36">
        <f t="shared" si="333"/>
        <v>1.7173352061685432</v>
      </c>
      <c r="X111" s="1179"/>
      <c r="Y111" s="49">
        <f t="shared" si="263"/>
        <v>741</v>
      </c>
      <c r="Z111" s="50"/>
      <c r="AA111" s="50">
        <f>617+124</f>
        <v>741</v>
      </c>
      <c r="AB111" s="50"/>
      <c r="AC111" s="51"/>
      <c r="AD111" s="50">
        <f t="shared" ref="AD111:AD126" si="337">AD110+AB111</f>
        <v>18822</v>
      </c>
      <c r="AE111" s="51">
        <f t="shared" ref="AE111:AE126" si="338">AD111*1000/C111</f>
        <v>0.34959640115189616</v>
      </c>
      <c r="AF111" s="1050"/>
      <c r="AG111" s="40">
        <f t="shared" si="268"/>
        <v>567</v>
      </c>
      <c r="AH111" s="41"/>
      <c r="AI111" s="41">
        <v>567</v>
      </c>
      <c r="AJ111" s="41"/>
      <c r="AK111" s="42"/>
      <c r="AL111" s="41">
        <f t="shared" ref="AL111:AL126" si="339">AL110+AJ111</f>
        <v>8816</v>
      </c>
      <c r="AM111" s="42">
        <f t="shared" ref="AM111:AM126" si="340">AL111*1000/C111</f>
        <v>0.16374677890527664</v>
      </c>
      <c r="AN111" s="1058"/>
      <c r="AO111" s="67">
        <v>4.3</v>
      </c>
      <c r="AP111" s="67">
        <v>24</v>
      </c>
      <c r="AQ111" s="68">
        <f t="shared" ref="AQ111:AQ139" si="341">AO111*AP111*0.49705</f>
        <v>51.295559999999995</v>
      </c>
      <c r="AR111" s="68"/>
      <c r="AS111" s="69">
        <f t="shared" ref="AS111:AS126" si="342">AS110+AQ111</f>
        <v>6203.1839999999993</v>
      </c>
      <c r="AT111" s="140">
        <f t="shared" ref="AT111:AT126" si="343">AS111*1000/E111</f>
        <v>9.8812293305564527</v>
      </c>
      <c r="AU111" s="1073"/>
      <c r="AV111" s="70">
        <v>0.7</v>
      </c>
      <c r="AW111" s="71">
        <v>12</v>
      </c>
      <c r="AX111" s="72">
        <f t="shared" ref="AX111:AX126" si="344">AV111*AW111*0.51673</f>
        <v>4.3405319999999996</v>
      </c>
      <c r="AY111" s="72"/>
      <c r="AZ111" s="73">
        <f t="shared" ref="AZ111:AZ126" si="345">AZ110+AX111</f>
        <v>1945.1784119999991</v>
      </c>
      <c r="BA111" s="192">
        <f t="shared" ref="BA111:BA126" si="346">AZ111*1000/E111</f>
        <v>3.098530364054914</v>
      </c>
      <c r="BB111" s="1075"/>
      <c r="BC111" s="90">
        <f t="shared" si="281"/>
        <v>19132</v>
      </c>
      <c r="BD111" s="59"/>
      <c r="BE111" s="56">
        <v>14370</v>
      </c>
      <c r="BF111" s="56">
        <f>BC111-BE111+BD111</f>
        <v>4762</v>
      </c>
      <c r="BG111" s="58">
        <f t="shared" si="319"/>
        <v>36565</v>
      </c>
      <c r="BH111" s="58">
        <f t="shared" si="320"/>
        <v>58.245435001089241</v>
      </c>
      <c r="BI111" s="1133"/>
      <c r="BJ111" s="63">
        <f t="shared" si="284"/>
        <v>996</v>
      </c>
      <c r="BK111" s="64"/>
      <c r="BL111" s="64">
        <v>996</v>
      </c>
      <c r="BM111" s="64"/>
      <c r="BN111" s="65"/>
      <c r="BO111" s="64">
        <f t="shared" ref="BO111:BO126" si="347">BO110+BM111</f>
        <v>16892</v>
      </c>
      <c r="BP111" s="65">
        <f t="shared" ref="BP111:BP126" si="348">BO111*1000/C111</f>
        <v>0.31374893253946606</v>
      </c>
      <c r="BQ111" s="1071"/>
      <c r="BR111" s="35">
        <f t="shared" si="289"/>
        <v>25160</v>
      </c>
      <c r="BS111" s="35"/>
      <c r="BT111" s="35">
        <f>19160+6000</f>
        <v>25160</v>
      </c>
      <c r="BU111" s="35">
        <f t="shared" ref="BU111:BU126" si="349">BR111+BS111-BT111</f>
        <v>0</v>
      </c>
      <c r="BV111" s="74">
        <f t="shared" ref="BV111:BV126" si="350">BV110+BU111</f>
        <v>276456</v>
      </c>
      <c r="BW111" s="74">
        <f t="shared" ref="BW111:BW126" si="351">BV111*1000/E111</f>
        <v>440.37467465229395</v>
      </c>
      <c r="BX111" s="1098"/>
      <c r="BY111" s="295">
        <f t="shared" si="293"/>
        <v>1230</v>
      </c>
      <c r="BZ111" s="296"/>
      <c r="CA111" s="296">
        <v>1230</v>
      </c>
      <c r="CB111" s="296"/>
      <c r="CC111" s="297"/>
      <c r="CD111" s="296">
        <f t="shared" ref="CD111:CD126" si="352">CD110+CB111</f>
        <v>7320</v>
      </c>
      <c r="CE111" s="297">
        <f t="shared" ref="CE111:CE126" si="353">CD111*1000/C111</f>
        <v>0.13596034727615983</v>
      </c>
      <c r="CF111" s="1061"/>
      <c r="CH111">
        <f t="shared" si="206"/>
        <v>458398.5</v>
      </c>
    </row>
    <row r="112" spans="1:86">
      <c r="A112" s="30">
        <v>44060</v>
      </c>
      <c r="B112" s="265"/>
      <c r="C112" s="114">
        <f t="shared" si="165"/>
        <v>53839227</v>
      </c>
      <c r="D112" s="91"/>
      <c r="E112" s="93">
        <f t="shared" si="166"/>
        <v>627774.52</v>
      </c>
      <c r="F112" s="240">
        <f t="shared" si="252"/>
        <v>20890</v>
      </c>
      <c r="G112" s="240"/>
      <c r="H112" s="280"/>
      <c r="I112" s="240">
        <f>16000+4890</f>
        <v>20890</v>
      </c>
      <c r="J112" s="240"/>
      <c r="K112" s="280"/>
      <c r="L112" s="240">
        <f t="shared" si="334"/>
        <v>1747250</v>
      </c>
      <c r="M112" s="280">
        <f t="shared" si="335"/>
        <v>32.453103385009598</v>
      </c>
      <c r="N112" s="280">
        <f t="shared" si="336"/>
        <v>3.9736872027684091</v>
      </c>
      <c r="O112" s="1089"/>
      <c r="P112" s="1084"/>
      <c r="Q112" s="77">
        <f t="shared" si="258"/>
        <v>36948</v>
      </c>
      <c r="R112" s="35"/>
      <c r="S112" s="35">
        <v>36948</v>
      </c>
      <c r="T112" s="35"/>
      <c r="U112" s="36"/>
      <c r="V112" s="74">
        <f t="shared" si="332"/>
        <v>92460</v>
      </c>
      <c r="W112" s="36">
        <f t="shared" si="333"/>
        <v>1.7173352061685432</v>
      </c>
      <c r="X112" s="1179"/>
      <c r="Y112" s="49">
        <f t="shared" si="263"/>
        <v>741</v>
      </c>
      <c r="Z112" s="50"/>
      <c r="AA112" s="50">
        <f t="shared" ref="AA112:AA118" si="354">617+124</f>
        <v>741</v>
      </c>
      <c r="AB112" s="50"/>
      <c r="AC112" s="51"/>
      <c r="AD112" s="50">
        <f t="shared" si="337"/>
        <v>18822</v>
      </c>
      <c r="AE112" s="51">
        <f t="shared" si="338"/>
        <v>0.34959640115189616</v>
      </c>
      <c r="AF112" s="1050"/>
      <c r="AG112" s="40">
        <f t="shared" si="268"/>
        <v>567</v>
      </c>
      <c r="AH112" s="41"/>
      <c r="AI112" s="41">
        <v>567</v>
      </c>
      <c r="AJ112" s="41"/>
      <c r="AK112" s="42"/>
      <c r="AL112" s="41">
        <f t="shared" si="339"/>
        <v>8816</v>
      </c>
      <c r="AM112" s="42">
        <f t="shared" si="340"/>
        <v>0.16374677890527664</v>
      </c>
      <c r="AN112" s="1058"/>
      <c r="AO112" s="67"/>
      <c r="AP112" s="67">
        <v>24</v>
      </c>
      <c r="AQ112" s="68"/>
      <c r="AR112" s="68"/>
      <c r="AS112" s="69">
        <f t="shared" si="342"/>
        <v>6203.1839999999993</v>
      </c>
      <c r="AT112" s="140">
        <f t="shared" si="343"/>
        <v>9.8812293305564527</v>
      </c>
      <c r="AU112" s="1073"/>
      <c r="AV112" s="70"/>
      <c r="AW112" s="71">
        <v>12</v>
      </c>
      <c r="AX112" s="72"/>
      <c r="AY112" s="72"/>
      <c r="AZ112" s="73">
        <f t="shared" si="345"/>
        <v>1945.1784119999991</v>
      </c>
      <c r="BA112" s="192">
        <f t="shared" si="346"/>
        <v>3.098530364054914</v>
      </c>
      <c r="BB112" s="1075"/>
      <c r="BC112" s="90">
        <f t="shared" si="281"/>
        <v>14370</v>
      </c>
      <c r="BD112" s="59"/>
      <c r="BE112" s="56">
        <v>14370</v>
      </c>
      <c r="BF112" s="56"/>
      <c r="BG112" s="58">
        <f t="shared" ref="BG112:BG126" si="355">BG111+BF112</f>
        <v>36565</v>
      </c>
      <c r="BH112" s="58">
        <f t="shared" ref="BH112:BH126" si="356">BG112*1000/E112</f>
        <v>58.245435001089241</v>
      </c>
      <c r="BI112" s="1133"/>
      <c r="BJ112" s="63">
        <f t="shared" si="284"/>
        <v>996</v>
      </c>
      <c r="BK112" s="64"/>
      <c r="BL112" s="64">
        <v>996</v>
      </c>
      <c r="BM112" s="64"/>
      <c r="BN112" s="65"/>
      <c r="BO112" s="64">
        <f t="shared" si="347"/>
        <v>16892</v>
      </c>
      <c r="BP112" s="65">
        <f t="shared" si="348"/>
        <v>0.31374893253946606</v>
      </c>
      <c r="BQ112" s="1071"/>
      <c r="BR112" s="35">
        <f t="shared" si="289"/>
        <v>25160</v>
      </c>
      <c r="BS112" s="35"/>
      <c r="BT112" s="35">
        <f>19160+6000</f>
        <v>25160</v>
      </c>
      <c r="BU112" s="35">
        <f t="shared" si="349"/>
        <v>0</v>
      </c>
      <c r="BV112" s="74">
        <f t="shared" si="350"/>
        <v>276456</v>
      </c>
      <c r="BW112" s="74">
        <f t="shared" si="351"/>
        <v>440.37467465229395</v>
      </c>
      <c r="BX112" s="1098"/>
      <c r="BY112" s="295">
        <f t="shared" si="293"/>
        <v>1230</v>
      </c>
      <c r="BZ112" s="296"/>
      <c r="CA112" s="296">
        <v>1230</v>
      </c>
      <c r="CB112" s="296"/>
      <c r="CC112" s="297"/>
      <c r="CD112" s="296">
        <f t="shared" si="352"/>
        <v>7320</v>
      </c>
      <c r="CE112" s="297">
        <f t="shared" si="353"/>
        <v>0.13596034727615983</v>
      </c>
      <c r="CF112" s="1061"/>
      <c r="CH112">
        <f t="shared" si="206"/>
        <v>484436</v>
      </c>
    </row>
    <row r="113" spans="1:86">
      <c r="A113" s="30">
        <v>44061</v>
      </c>
      <c r="B113" s="265"/>
      <c r="C113" s="114">
        <f t="shared" si="165"/>
        <v>53839227</v>
      </c>
      <c r="D113" s="91"/>
      <c r="E113" s="93">
        <f t="shared" si="166"/>
        <v>627774.52</v>
      </c>
      <c r="F113" s="240">
        <f t="shared" si="252"/>
        <v>20890</v>
      </c>
      <c r="G113" s="240">
        <v>21600</v>
      </c>
      <c r="H113" s="280">
        <v>20.76</v>
      </c>
      <c r="I113" s="240">
        <f>37690+4800</f>
        <v>42490</v>
      </c>
      <c r="J113" s="240"/>
      <c r="K113" s="280"/>
      <c r="L113" s="240">
        <f t="shared" si="334"/>
        <v>1747250</v>
      </c>
      <c r="M113" s="280">
        <f t="shared" si="335"/>
        <v>32.453103385009598</v>
      </c>
      <c r="N113" s="280">
        <f t="shared" si="336"/>
        <v>3.9736872027684091</v>
      </c>
      <c r="O113" s="1089"/>
      <c r="P113" s="1084"/>
      <c r="Q113" s="77">
        <f t="shared" si="258"/>
        <v>36948</v>
      </c>
      <c r="R113" s="35"/>
      <c r="S113" s="35">
        <v>36948</v>
      </c>
      <c r="T113" s="35"/>
      <c r="U113" s="36"/>
      <c r="V113" s="74">
        <f t="shared" si="332"/>
        <v>92460</v>
      </c>
      <c r="W113" s="36">
        <f t="shared" si="333"/>
        <v>1.7173352061685432</v>
      </c>
      <c r="X113" s="1179"/>
      <c r="Y113" s="49">
        <f t="shared" si="263"/>
        <v>741</v>
      </c>
      <c r="Z113" s="322"/>
      <c r="AA113" s="50">
        <f t="shared" si="354"/>
        <v>741</v>
      </c>
      <c r="AB113" s="50"/>
      <c r="AC113" s="51"/>
      <c r="AD113" s="50">
        <f t="shared" si="337"/>
        <v>18822</v>
      </c>
      <c r="AE113" s="51">
        <f t="shared" si="338"/>
        <v>0.34959640115189616</v>
      </c>
      <c r="AF113" s="1050"/>
      <c r="AG113" s="40">
        <f t="shared" si="268"/>
        <v>567</v>
      </c>
      <c r="AH113" s="41"/>
      <c r="AI113" s="41">
        <v>567</v>
      </c>
      <c r="AJ113" s="41"/>
      <c r="AK113" s="42"/>
      <c r="AL113" s="41">
        <f t="shared" si="339"/>
        <v>8816</v>
      </c>
      <c r="AM113" s="42">
        <f t="shared" si="340"/>
        <v>0.16374677890527664</v>
      </c>
      <c r="AN113" s="1058"/>
      <c r="AO113" s="311"/>
      <c r="AP113" s="67">
        <v>24</v>
      </c>
      <c r="AQ113" s="68"/>
      <c r="AR113" s="68"/>
      <c r="AS113" s="69">
        <f t="shared" si="342"/>
        <v>6203.1839999999993</v>
      </c>
      <c r="AT113" s="140">
        <f t="shared" si="343"/>
        <v>9.8812293305564527</v>
      </c>
      <c r="AU113" s="1073"/>
      <c r="AV113" s="70"/>
      <c r="AW113" s="71">
        <v>12</v>
      </c>
      <c r="AX113" s="72"/>
      <c r="AY113" s="72"/>
      <c r="AZ113" s="73">
        <f t="shared" si="345"/>
        <v>1945.1784119999991</v>
      </c>
      <c r="BA113" s="192">
        <f t="shared" si="346"/>
        <v>3.098530364054914</v>
      </c>
      <c r="BB113" s="1075"/>
      <c r="BC113" s="90">
        <f t="shared" si="281"/>
        <v>14370</v>
      </c>
      <c r="BD113" s="59"/>
      <c r="BE113" s="56">
        <v>14370</v>
      </c>
      <c r="BF113" s="56"/>
      <c r="BG113" s="58">
        <f t="shared" si="355"/>
        <v>36565</v>
      </c>
      <c r="BH113" s="58">
        <f t="shared" si="356"/>
        <v>58.245435001089241</v>
      </c>
      <c r="BI113" s="1133"/>
      <c r="BJ113" s="63">
        <f t="shared" si="284"/>
        <v>996</v>
      </c>
      <c r="BK113" s="64"/>
      <c r="BL113" s="64">
        <v>996</v>
      </c>
      <c r="BM113" s="64"/>
      <c r="BN113" s="65"/>
      <c r="BO113" s="64">
        <f t="shared" si="347"/>
        <v>16892</v>
      </c>
      <c r="BP113" s="65">
        <f t="shared" si="348"/>
        <v>0.31374893253946606</v>
      </c>
      <c r="BQ113" s="1071"/>
      <c r="BR113" s="35">
        <f t="shared" si="289"/>
        <v>25160</v>
      </c>
      <c r="BS113" s="35">
        <v>36400</v>
      </c>
      <c r="BT113" s="35">
        <f t="shared" ref="BT113:BT118" si="357">19160+6000+36400</f>
        <v>61560</v>
      </c>
      <c r="BU113" s="35">
        <f t="shared" si="349"/>
        <v>0</v>
      </c>
      <c r="BV113" s="74">
        <f t="shared" si="350"/>
        <v>276456</v>
      </c>
      <c r="BW113" s="74">
        <f t="shared" si="351"/>
        <v>440.37467465229395</v>
      </c>
      <c r="BX113" s="1098"/>
      <c r="BY113" s="295">
        <f t="shared" si="293"/>
        <v>1230</v>
      </c>
      <c r="BZ113" s="296"/>
      <c r="CA113" s="296">
        <v>1230</v>
      </c>
      <c r="CB113" s="296"/>
      <c r="CC113" s="297"/>
      <c r="CD113" s="296">
        <f t="shared" si="352"/>
        <v>7320</v>
      </c>
      <c r="CE113" s="297">
        <f t="shared" si="353"/>
        <v>0.13596034727615983</v>
      </c>
      <c r="CF113" s="1061"/>
      <c r="CH113">
        <f t="shared" si="206"/>
        <v>0</v>
      </c>
    </row>
    <row r="114" spans="1:86">
      <c r="A114" s="30">
        <v>44062</v>
      </c>
      <c r="B114" s="265"/>
      <c r="C114" s="114">
        <f t="shared" si="165"/>
        <v>53839227</v>
      </c>
      <c r="D114" s="91"/>
      <c r="E114" s="93">
        <f t="shared" si="166"/>
        <v>627774.52</v>
      </c>
      <c r="F114" s="240">
        <f t="shared" si="252"/>
        <v>42490</v>
      </c>
      <c r="G114" s="240"/>
      <c r="H114" s="280"/>
      <c r="I114" s="240">
        <f t="shared" ref="I114:I119" si="358">37690+4800</f>
        <v>42490</v>
      </c>
      <c r="J114" s="240"/>
      <c r="K114" s="280"/>
      <c r="L114" s="240">
        <f t="shared" si="334"/>
        <v>1747250</v>
      </c>
      <c r="M114" s="280">
        <f t="shared" si="335"/>
        <v>32.453103385009598</v>
      </c>
      <c r="N114" s="280">
        <f t="shared" si="336"/>
        <v>3.9736872027684091</v>
      </c>
      <c r="O114" s="1089"/>
      <c r="P114" s="1084"/>
      <c r="Q114" s="77">
        <f t="shared" si="258"/>
        <v>36948</v>
      </c>
      <c r="R114" s="35"/>
      <c r="S114" s="35">
        <v>36948</v>
      </c>
      <c r="T114" s="35"/>
      <c r="U114" s="36"/>
      <c r="V114" s="74">
        <f t="shared" si="332"/>
        <v>92460</v>
      </c>
      <c r="W114" s="36">
        <f t="shared" si="333"/>
        <v>1.7173352061685432</v>
      </c>
      <c r="X114" s="1179"/>
      <c r="Y114" s="49">
        <f t="shared" si="263"/>
        <v>741</v>
      </c>
      <c r="Z114" s="50"/>
      <c r="AA114" s="50">
        <f t="shared" si="354"/>
        <v>741</v>
      </c>
      <c r="AB114" s="50"/>
      <c r="AC114" s="51"/>
      <c r="AD114" s="50">
        <f t="shared" si="337"/>
        <v>18822</v>
      </c>
      <c r="AE114" s="51">
        <f t="shared" si="338"/>
        <v>0.34959640115189616</v>
      </c>
      <c r="AF114" s="1050"/>
      <c r="AG114" s="40">
        <f t="shared" si="268"/>
        <v>567</v>
      </c>
      <c r="AH114" s="41"/>
      <c r="AI114" s="41">
        <v>567</v>
      </c>
      <c r="AJ114" s="41"/>
      <c r="AK114" s="42"/>
      <c r="AL114" s="41">
        <f t="shared" si="339"/>
        <v>8816</v>
      </c>
      <c r="AM114" s="42">
        <f t="shared" si="340"/>
        <v>0.16374677890527664</v>
      </c>
      <c r="AN114" s="1058"/>
      <c r="AO114" s="67"/>
      <c r="AP114" s="67">
        <v>24</v>
      </c>
      <c r="AQ114" s="68"/>
      <c r="AR114" s="68"/>
      <c r="AS114" s="69">
        <f t="shared" si="342"/>
        <v>6203.1839999999993</v>
      </c>
      <c r="AT114" s="140">
        <f t="shared" si="343"/>
        <v>9.8812293305564527</v>
      </c>
      <c r="AU114" s="1073"/>
      <c r="AV114" s="70"/>
      <c r="AW114" s="71">
        <v>12</v>
      </c>
      <c r="AX114" s="72"/>
      <c r="AY114" s="72"/>
      <c r="AZ114" s="73">
        <f t="shared" si="345"/>
        <v>1945.1784119999991</v>
      </c>
      <c r="BA114" s="192">
        <f t="shared" si="346"/>
        <v>3.098530364054914</v>
      </c>
      <c r="BB114" s="1075"/>
      <c r="BC114" s="90">
        <f t="shared" si="281"/>
        <v>14370</v>
      </c>
      <c r="BD114" s="59"/>
      <c r="BE114" s="56">
        <v>14370</v>
      </c>
      <c r="BF114" s="56"/>
      <c r="BG114" s="58">
        <f t="shared" si="355"/>
        <v>36565</v>
      </c>
      <c r="BH114" s="58">
        <f t="shared" si="356"/>
        <v>58.245435001089241</v>
      </c>
      <c r="BI114" s="1133"/>
      <c r="BJ114" s="63">
        <f t="shared" si="284"/>
        <v>996</v>
      </c>
      <c r="BK114" s="64"/>
      <c r="BL114" s="64">
        <v>996</v>
      </c>
      <c r="BM114" s="64"/>
      <c r="BN114" s="65"/>
      <c r="BO114" s="64">
        <f t="shared" si="347"/>
        <v>16892</v>
      </c>
      <c r="BP114" s="65">
        <f t="shared" si="348"/>
        <v>0.31374893253946606</v>
      </c>
      <c r="BQ114" s="1071"/>
      <c r="BR114" s="35">
        <f t="shared" si="289"/>
        <v>61560</v>
      </c>
      <c r="BS114" s="35"/>
      <c r="BT114" s="35">
        <f t="shared" si="357"/>
        <v>61560</v>
      </c>
      <c r="BU114" s="35">
        <f t="shared" si="349"/>
        <v>0</v>
      </c>
      <c r="BV114" s="74">
        <f t="shared" si="350"/>
        <v>276456</v>
      </c>
      <c r="BW114" s="74">
        <f t="shared" si="351"/>
        <v>440.37467465229395</v>
      </c>
      <c r="BX114" s="1098"/>
      <c r="BY114" s="295">
        <f t="shared" si="293"/>
        <v>1230</v>
      </c>
      <c r="BZ114" s="296"/>
      <c r="CA114" s="296">
        <v>1230</v>
      </c>
      <c r="CB114" s="296"/>
      <c r="CC114" s="297"/>
      <c r="CD114" s="296">
        <f t="shared" si="352"/>
        <v>7320</v>
      </c>
      <c r="CE114" s="297">
        <f t="shared" si="353"/>
        <v>0.13596034727615983</v>
      </c>
      <c r="CF114" s="1061"/>
      <c r="CH114">
        <f t="shared" si="206"/>
        <v>0</v>
      </c>
    </row>
    <row r="115" spans="1:86">
      <c r="A115" s="30">
        <v>44063</v>
      </c>
      <c r="B115" s="265"/>
      <c r="C115" s="114">
        <f t="shared" si="165"/>
        <v>53839227</v>
      </c>
      <c r="D115" s="91"/>
      <c r="E115" s="93">
        <f t="shared" si="166"/>
        <v>627774.52</v>
      </c>
      <c r="F115" s="240">
        <f t="shared" si="252"/>
        <v>42490</v>
      </c>
      <c r="G115" s="240"/>
      <c r="H115" s="280"/>
      <c r="I115" s="240">
        <f t="shared" si="358"/>
        <v>42490</v>
      </c>
      <c r="J115" s="240"/>
      <c r="K115" s="280"/>
      <c r="L115" s="240">
        <f t="shared" si="334"/>
        <v>1747250</v>
      </c>
      <c r="M115" s="280">
        <f t="shared" si="335"/>
        <v>32.453103385009598</v>
      </c>
      <c r="N115" s="280">
        <f t="shared" si="336"/>
        <v>3.9736872027684091</v>
      </c>
      <c r="O115" s="1089"/>
      <c r="P115" s="1084"/>
      <c r="Q115" s="77">
        <f t="shared" si="258"/>
        <v>36948</v>
      </c>
      <c r="R115" s="35"/>
      <c r="S115" s="35">
        <v>36948</v>
      </c>
      <c r="T115" s="35"/>
      <c r="U115" s="36"/>
      <c r="V115" s="74">
        <f t="shared" si="332"/>
        <v>92460</v>
      </c>
      <c r="W115" s="36">
        <f t="shared" si="333"/>
        <v>1.7173352061685432</v>
      </c>
      <c r="X115" s="1179"/>
      <c r="Y115" s="49">
        <f t="shared" si="263"/>
        <v>741</v>
      </c>
      <c r="Z115" s="50"/>
      <c r="AA115" s="50">
        <f t="shared" si="354"/>
        <v>741</v>
      </c>
      <c r="AB115" s="50"/>
      <c r="AC115" s="51"/>
      <c r="AD115" s="50">
        <f t="shared" si="337"/>
        <v>18822</v>
      </c>
      <c r="AE115" s="51">
        <f t="shared" si="338"/>
        <v>0.34959640115189616</v>
      </c>
      <c r="AF115" s="1050"/>
      <c r="AG115" s="40">
        <f t="shared" si="268"/>
        <v>567</v>
      </c>
      <c r="AH115" s="41"/>
      <c r="AI115" s="41">
        <v>567</v>
      </c>
      <c r="AJ115" s="41"/>
      <c r="AK115" s="42"/>
      <c r="AL115" s="41">
        <f t="shared" si="339"/>
        <v>8816</v>
      </c>
      <c r="AM115" s="42">
        <f t="shared" si="340"/>
        <v>0.16374677890527664</v>
      </c>
      <c r="AN115" s="1058"/>
      <c r="AO115" s="67"/>
      <c r="AP115" s="67">
        <v>24</v>
      </c>
      <c r="AQ115" s="68"/>
      <c r="AR115" s="68"/>
      <c r="AS115" s="69">
        <f t="shared" si="342"/>
        <v>6203.1839999999993</v>
      </c>
      <c r="AT115" s="140">
        <f t="shared" si="343"/>
        <v>9.8812293305564527</v>
      </c>
      <c r="AU115" s="1073"/>
      <c r="AV115" s="70"/>
      <c r="AW115" s="71">
        <v>12</v>
      </c>
      <c r="AX115" s="72"/>
      <c r="AY115" s="72"/>
      <c r="AZ115" s="73">
        <f t="shared" si="345"/>
        <v>1945.1784119999991</v>
      </c>
      <c r="BA115" s="192">
        <f t="shared" si="346"/>
        <v>3.098530364054914</v>
      </c>
      <c r="BB115" s="1075"/>
      <c r="BC115" s="90">
        <f t="shared" si="281"/>
        <v>14370</v>
      </c>
      <c r="BD115" s="59"/>
      <c r="BE115" s="56">
        <v>14370</v>
      </c>
      <c r="BF115" s="56"/>
      <c r="BG115" s="58">
        <f t="shared" si="355"/>
        <v>36565</v>
      </c>
      <c r="BH115" s="58">
        <f t="shared" si="356"/>
        <v>58.245435001089241</v>
      </c>
      <c r="BI115" s="1133"/>
      <c r="BJ115" s="63">
        <f t="shared" si="284"/>
        <v>996</v>
      </c>
      <c r="BK115" s="64"/>
      <c r="BL115" s="64">
        <v>996</v>
      </c>
      <c r="BM115" s="64"/>
      <c r="BN115" s="65"/>
      <c r="BO115" s="64">
        <f t="shared" si="347"/>
        <v>16892</v>
      </c>
      <c r="BP115" s="65">
        <f t="shared" si="348"/>
        <v>0.31374893253946606</v>
      </c>
      <c r="BQ115" s="1071"/>
      <c r="BR115" s="35">
        <f t="shared" si="289"/>
        <v>61560</v>
      </c>
      <c r="BS115" s="35"/>
      <c r="BT115" s="35">
        <f t="shared" si="357"/>
        <v>61560</v>
      </c>
      <c r="BU115" s="35">
        <f t="shared" si="349"/>
        <v>0</v>
      </c>
      <c r="BV115" s="74">
        <f t="shared" si="350"/>
        <v>276456</v>
      </c>
      <c r="BW115" s="74">
        <f t="shared" si="351"/>
        <v>440.37467465229395</v>
      </c>
      <c r="BX115" s="1098"/>
      <c r="BY115" s="295">
        <f t="shared" si="293"/>
        <v>1230</v>
      </c>
      <c r="BZ115" s="296"/>
      <c r="CA115" s="296">
        <v>1230</v>
      </c>
      <c r="CB115" s="296"/>
      <c r="CC115" s="297"/>
      <c r="CD115" s="296">
        <f t="shared" si="352"/>
        <v>7320</v>
      </c>
      <c r="CE115" s="297">
        <f t="shared" si="353"/>
        <v>0.13596034727615983</v>
      </c>
      <c r="CF115" s="1061"/>
      <c r="CH115">
        <f t="shared" si="206"/>
        <v>448416.00000000006</v>
      </c>
    </row>
    <row r="116" spans="1:86">
      <c r="A116" s="30">
        <v>44064</v>
      </c>
      <c r="B116" s="265"/>
      <c r="C116" s="114">
        <f t="shared" si="165"/>
        <v>53839227</v>
      </c>
      <c r="D116" s="91"/>
      <c r="E116" s="93">
        <f t="shared" si="166"/>
        <v>627774.52</v>
      </c>
      <c r="F116" s="240">
        <f t="shared" si="252"/>
        <v>42490</v>
      </c>
      <c r="G116" s="240"/>
      <c r="H116" s="280"/>
      <c r="I116" s="240">
        <f t="shared" si="358"/>
        <v>42490</v>
      </c>
      <c r="J116" s="240"/>
      <c r="K116" s="280"/>
      <c r="L116" s="240">
        <f t="shared" si="334"/>
        <v>1747250</v>
      </c>
      <c r="M116" s="280">
        <f t="shared" si="335"/>
        <v>32.453103385009598</v>
      </c>
      <c r="N116" s="280">
        <f t="shared" si="336"/>
        <v>3.9736872027684091</v>
      </c>
      <c r="O116" s="1089"/>
      <c r="P116" s="1084"/>
      <c r="Q116" s="77">
        <f t="shared" si="258"/>
        <v>36948</v>
      </c>
      <c r="R116" s="35"/>
      <c r="S116" s="35">
        <v>36948</v>
      </c>
      <c r="T116" s="35"/>
      <c r="U116" s="36"/>
      <c r="V116" s="74">
        <f t="shared" si="332"/>
        <v>92460</v>
      </c>
      <c r="W116" s="36">
        <f t="shared" si="333"/>
        <v>1.7173352061685432</v>
      </c>
      <c r="X116" s="1179"/>
      <c r="Y116" s="49">
        <f t="shared" si="263"/>
        <v>741</v>
      </c>
      <c r="Z116" s="50"/>
      <c r="AA116" s="50">
        <f t="shared" si="354"/>
        <v>741</v>
      </c>
      <c r="AB116" s="50"/>
      <c r="AC116" s="51"/>
      <c r="AD116" s="50">
        <f t="shared" si="337"/>
        <v>18822</v>
      </c>
      <c r="AE116" s="51">
        <f t="shared" si="338"/>
        <v>0.34959640115189616</v>
      </c>
      <c r="AF116" s="1050"/>
      <c r="AG116" s="40">
        <f t="shared" si="268"/>
        <v>567</v>
      </c>
      <c r="AH116" s="41"/>
      <c r="AI116" s="41">
        <v>567</v>
      </c>
      <c r="AJ116" s="41"/>
      <c r="AK116" s="42"/>
      <c r="AL116" s="41">
        <f t="shared" si="339"/>
        <v>8816</v>
      </c>
      <c r="AM116" s="42">
        <f t="shared" si="340"/>
        <v>0.16374677890527664</v>
      </c>
      <c r="AN116" s="1058"/>
      <c r="AO116" s="67"/>
      <c r="AP116" s="67">
        <v>24</v>
      </c>
      <c r="AQ116" s="68"/>
      <c r="AR116" s="68"/>
      <c r="AS116" s="69">
        <f t="shared" si="342"/>
        <v>6203.1839999999993</v>
      </c>
      <c r="AT116" s="140">
        <f t="shared" si="343"/>
        <v>9.8812293305564527</v>
      </c>
      <c r="AU116" s="1073"/>
      <c r="AV116" s="70"/>
      <c r="AW116" s="71">
        <v>12</v>
      </c>
      <c r="AX116" s="72"/>
      <c r="AY116" s="72"/>
      <c r="AZ116" s="73">
        <f t="shared" si="345"/>
        <v>1945.1784119999991</v>
      </c>
      <c r="BA116" s="192">
        <f t="shared" si="346"/>
        <v>3.098530364054914</v>
      </c>
      <c r="BB116" s="1075"/>
      <c r="BC116" s="90">
        <f t="shared" si="281"/>
        <v>14370</v>
      </c>
      <c r="BD116" s="59"/>
      <c r="BE116" s="56">
        <v>14370</v>
      </c>
      <c r="BF116" s="56"/>
      <c r="BG116" s="58">
        <f t="shared" si="355"/>
        <v>36565</v>
      </c>
      <c r="BH116" s="58">
        <f t="shared" si="356"/>
        <v>58.245435001089241</v>
      </c>
      <c r="BI116" s="1133"/>
      <c r="BJ116" s="63">
        <f t="shared" si="284"/>
        <v>996</v>
      </c>
      <c r="BK116" s="64"/>
      <c r="BL116" s="64">
        <v>996</v>
      </c>
      <c r="BM116" s="64"/>
      <c r="BN116" s="65"/>
      <c r="BO116" s="64">
        <f t="shared" si="347"/>
        <v>16892</v>
      </c>
      <c r="BP116" s="65">
        <f t="shared" si="348"/>
        <v>0.31374893253946606</v>
      </c>
      <c r="BQ116" s="1071"/>
      <c r="BR116" s="35">
        <f t="shared" si="289"/>
        <v>61560</v>
      </c>
      <c r="BS116" s="35"/>
      <c r="BT116" s="35">
        <f t="shared" si="357"/>
        <v>61560</v>
      </c>
      <c r="BU116" s="35">
        <f t="shared" si="349"/>
        <v>0</v>
      </c>
      <c r="BV116" s="74">
        <f t="shared" si="350"/>
        <v>276456</v>
      </c>
      <c r="BW116" s="74">
        <f t="shared" si="351"/>
        <v>440.37467465229395</v>
      </c>
      <c r="BX116" s="1098"/>
      <c r="BY116" s="295">
        <f t="shared" si="293"/>
        <v>1230</v>
      </c>
      <c r="BZ116" s="296"/>
      <c r="CA116" s="296">
        <v>1230</v>
      </c>
      <c r="CB116" s="296"/>
      <c r="CC116" s="297"/>
      <c r="CD116" s="296">
        <f t="shared" si="352"/>
        <v>7320</v>
      </c>
      <c r="CE116" s="297">
        <f t="shared" si="353"/>
        <v>0.13596034727615983</v>
      </c>
      <c r="CF116" s="1061"/>
      <c r="CH116">
        <f t="shared" si="206"/>
        <v>0</v>
      </c>
    </row>
    <row r="117" spans="1:86">
      <c r="A117" s="30">
        <v>44065</v>
      </c>
      <c r="B117" s="265"/>
      <c r="C117" s="114">
        <f t="shared" si="165"/>
        <v>53839227</v>
      </c>
      <c r="D117" s="91"/>
      <c r="E117" s="93">
        <f t="shared" si="166"/>
        <v>627774.52</v>
      </c>
      <c r="F117" s="240">
        <f t="shared" si="252"/>
        <v>42490</v>
      </c>
      <c r="G117" s="240"/>
      <c r="H117" s="280"/>
      <c r="I117" s="240">
        <f t="shared" si="358"/>
        <v>42490</v>
      </c>
      <c r="J117" s="240"/>
      <c r="K117" s="280"/>
      <c r="L117" s="240">
        <f t="shared" si="334"/>
        <v>1747250</v>
      </c>
      <c r="M117" s="280">
        <f t="shared" si="335"/>
        <v>32.453103385009598</v>
      </c>
      <c r="N117" s="280">
        <f t="shared" si="336"/>
        <v>3.9736872027684091</v>
      </c>
      <c r="O117" s="1089"/>
      <c r="P117" s="1084"/>
      <c r="Q117" s="77">
        <f t="shared" si="258"/>
        <v>36948</v>
      </c>
      <c r="R117" s="35"/>
      <c r="S117" s="35">
        <v>36948</v>
      </c>
      <c r="T117" s="35"/>
      <c r="U117" s="36"/>
      <c r="V117" s="74">
        <f t="shared" si="332"/>
        <v>92460</v>
      </c>
      <c r="W117" s="36">
        <f t="shared" si="333"/>
        <v>1.7173352061685432</v>
      </c>
      <c r="X117" s="1179"/>
      <c r="Y117" s="49">
        <f t="shared" si="263"/>
        <v>741</v>
      </c>
      <c r="Z117" s="50"/>
      <c r="AA117" s="50">
        <f t="shared" si="354"/>
        <v>741</v>
      </c>
      <c r="AB117" s="50"/>
      <c r="AC117" s="51"/>
      <c r="AD117" s="50">
        <f t="shared" si="337"/>
        <v>18822</v>
      </c>
      <c r="AE117" s="51">
        <f t="shared" si="338"/>
        <v>0.34959640115189616</v>
      </c>
      <c r="AF117" s="1050"/>
      <c r="AG117" s="40">
        <f t="shared" si="268"/>
        <v>567</v>
      </c>
      <c r="AH117" s="41"/>
      <c r="AI117" s="41">
        <v>567</v>
      </c>
      <c r="AJ117" s="41"/>
      <c r="AK117" s="42"/>
      <c r="AL117" s="41">
        <f t="shared" si="339"/>
        <v>8816</v>
      </c>
      <c r="AM117" s="42">
        <f t="shared" si="340"/>
        <v>0.16374677890527664</v>
      </c>
      <c r="AN117" s="1058"/>
      <c r="AO117" s="67"/>
      <c r="AP117" s="67">
        <v>24</v>
      </c>
      <c r="AQ117" s="68"/>
      <c r="AR117" s="68"/>
      <c r="AS117" s="69">
        <f t="shared" si="342"/>
        <v>6203.1839999999993</v>
      </c>
      <c r="AT117" s="140">
        <f t="shared" si="343"/>
        <v>9.8812293305564527</v>
      </c>
      <c r="AU117" s="1073"/>
      <c r="AV117" s="319"/>
      <c r="AW117" s="71">
        <v>12</v>
      </c>
      <c r="AX117" s="72"/>
      <c r="AY117" s="72"/>
      <c r="AZ117" s="73">
        <f t="shared" si="345"/>
        <v>1945.1784119999991</v>
      </c>
      <c r="BA117" s="192">
        <f t="shared" si="346"/>
        <v>3.098530364054914</v>
      </c>
      <c r="BB117" s="1075"/>
      <c r="BC117" s="90">
        <f t="shared" si="281"/>
        <v>14370</v>
      </c>
      <c r="BD117" s="59"/>
      <c r="BE117" s="56">
        <v>14370</v>
      </c>
      <c r="BF117" s="56"/>
      <c r="BG117" s="58">
        <f t="shared" si="355"/>
        <v>36565</v>
      </c>
      <c r="BH117" s="58">
        <f t="shared" si="356"/>
        <v>58.245435001089241</v>
      </c>
      <c r="BI117" s="1133"/>
      <c r="BJ117" s="63">
        <f t="shared" si="284"/>
        <v>996</v>
      </c>
      <c r="BK117" s="64"/>
      <c r="BL117" s="64">
        <v>996</v>
      </c>
      <c r="BM117" s="64"/>
      <c r="BN117" s="65"/>
      <c r="BO117" s="64">
        <f t="shared" si="347"/>
        <v>16892</v>
      </c>
      <c r="BP117" s="65">
        <f t="shared" si="348"/>
        <v>0.31374893253946606</v>
      </c>
      <c r="BQ117" s="1071"/>
      <c r="BR117" s="35">
        <f t="shared" si="289"/>
        <v>61560</v>
      </c>
      <c r="BS117" s="315"/>
      <c r="BT117" s="35">
        <f t="shared" si="357"/>
        <v>61560</v>
      </c>
      <c r="BU117" s="35">
        <f t="shared" si="349"/>
        <v>0</v>
      </c>
      <c r="BV117" s="74">
        <f t="shared" si="350"/>
        <v>276456</v>
      </c>
      <c r="BW117" s="74">
        <f t="shared" si="351"/>
        <v>440.37467465229395</v>
      </c>
      <c r="BX117" s="1098"/>
      <c r="BY117" s="295">
        <f t="shared" si="293"/>
        <v>1230</v>
      </c>
      <c r="BZ117" s="296"/>
      <c r="CA117" s="296">
        <v>1230</v>
      </c>
      <c r="CB117" s="296"/>
      <c r="CC117" s="297"/>
      <c r="CD117" s="296">
        <f t="shared" si="352"/>
        <v>7320</v>
      </c>
      <c r="CE117" s="297">
        <f t="shared" si="353"/>
        <v>0.13596034727615983</v>
      </c>
      <c r="CF117" s="1061"/>
      <c r="CH117">
        <f t="shared" si="206"/>
        <v>0</v>
      </c>
    </row>
    <row r="118" spans="1:86">
      <c r="A118" s="30">
        <v>44066</v>
      </c>
      <c r="B118" s="265"/>
      <c r="C118" s="114">
        <f t="shared" si="165"/>
        <v>53839227</v>
      </c>
      <c r="D118" s="91"/>
      <c r="E118" s="93">
        <f t="shared" si="166"/>
        <v>627774.52</v>
      </c>
      <c r="F118" s="240">
        <f t="shared" si="252"/>
        <v>42490</v>
      </c>
      <c r="G118" s="240"/>
      <c r="H118" s="280"/>
      <c r="I118" s="240">
        <f t="shared" si="358"/>
        <v>42490</v>
      </c>
      <c r="J118" s="240"/>
      <c r="K118" s="280"/>
      <c r="L118" s="240">
        <f t="shared" si="334"/>
        <v>1747250</v>
      </c>
      <c r="M118" s="280">
        <f t="shared" si="335"/>
        <v>32.453103385009598</v>
      </c>
      <c r="N118" s="280">
        <f t="shared" si="336"/>
        <v>3.9736872027684091</v>
      </c>
      <c r="O118" s="1089"/>
      <c r="P118" s="1084"/>
      <c r="Q118" s="77">
        <f t="shared" si="258"/>
        <v>36948</v>
      </c>
      <c r="R118" s="35"/>
      <c r="S118" s="35">
        <v>36948</v>
      </c>
      <c r="T118" s="35"/>
      <c r="U118" s="36"/>
      <c r="V118" s="74">
        <f t="shared" si="332"/>
        <v>92460</v>
      </c>
      <c r="W118" s="36">
        <f t="shared" si="333"/>
        <v>1.7173352061685432</v>
      </c>
      <c r="X118" s="1179"/>
      <c r="Y118" s="49">
        <f t="shared" si="263"/>
        <v>741</v>
      </c>
      <c r="Z118" s="50"/>
      <c r="AA118" s="50">
        <f t="shared" si="354"/>
        <v>741</v>
      </c>
      <c r="AB118" s="50"/>
      <c r="AC118" s="51"/>
      <c r="AD118" s="50">
        <f t="shared" si="337"/>
        <v>18822</v>
      </c>
      <c r="AE118" s="51">
        <f t="shared" si="338"/>
        <v>0.34959640115189616</v>
      </c>
      <c r="AF118" s="1050"/>
      <c r="AG118" s="40">
        <f t="shared" si="268"/>
        <v>567</v>
      </c>
      <c r="AH118" s="41"/>
      <c r="AI118" s="41">
        <v>567</v>
      </c>
      <c r="AJ118" s="41"/>
      <c r="AK118" s="42"/>
      <c r="AL118" s="41">
        <f t="shared" si="339"/>
        <v>8816</v>
      </c>
      <c r="AM118" s="42">
        <f t="shared" si="340"/>
        <v>0.16374677890527664</v>
      </c>
      <c r="AN118" s="1058"/>
      <c r="AO118" s="67"/>
      <c r="AP118" s="67">
        <v>24</v>
      </c>
      <c r="AQ118" s="68"/>
      <c r="AR118" s="68"/>
      <c r="AS118" s="69">
        <f t="shared" si="342"/>
        <v>6203.1839999999993</v>
      </c>
      <c r="AT118" s="140">
        <f t="shared" si="343"/>
        <v>9.8812293305564527</v>
      </c>
      <c r="AU118" s="1073"/>
      <c r="AV118" s="70"/>
      <c r="AW118" s="71">
        <v>12</v>
      </c>
      <c r="AX118" s="72"/>
      <c r="AY118" s="72"/>
      <c r="AZ118" s="73">
        <f t="shared" si="345"/>
        <v>1945.1784119999991</v>
      </c>
      <c r="BA118" s="192">
        <f t="shared" si="346"/>
        <v>3.098530364054914</v>
      </c>
      <c r="BB118" s="1075"/>
      <c r="BC118" s="90">
        <f t="shared" si="281"/>
        <v>14370</v>
      </c>
      <c r="BD118" s="59"/>
      <c r="BE118" s="56">
        <v>14370</v>
      </c>
      <c r="BF118" s="56"/>
      <c r="BG118" s="58">
        <f t="shared" si="355"/>
        <v>36565</v>
      </c>
      <c r="BH118" s="58">
        <f t="shared" si="356"/>
        <v>58.245435001089241</v>
      </c>
      <c r="BI118" s="1133"/>
      <c r="BJ118" s="63">
        <f t="shared" si="284"/>
        <v>996</v>
      </c>
      <c r="BK118" s="64"/>
      <c r="BL118" s="64">
        <v>996</v>
      </c>
      <c r="BM118" s="64"/>
      <c r="BN118" s="65"/>
      <c r="BO118" s="64">
        <f t="shared" si="347"/>
        <v>16892</v>
      </c>
      <c r="BP118" s="65">
        <f t="shared" si="348"/>
        <v>0.31374893253946606</v>
      </c>
      <c r="BQ118" s="1071"/>
      <c r="BR118" s="35">
        <f t="shared" si="289"/>
        <v>61560</v>
      </c>
      <c r="BS118" s="315"/>
      <c r="BT118" s="35">
        <f t="shared" si="357"/>
        <v>61560</v>
      </c>
      <c r="BU118" s="35">
        <f t="shared" si="349"/>
        <v>0</v>
      </c>
      <c r="BV118" s="74">
        <f t="shared" si="350"/>
        <v>276456</v>
      </c>
      <c r="BW118" s="74">
        <f t="shared" si="351"/>
        <v>440.37467465229395</v>
      </c>
      <c r="BX118" s="1098"/>
      <c r="BY118" s="295">
        <f t="shared" si="293"/>
        <v>1230</v>
      </c>
      <c r="BZ118" s="296"/>
      <c r="CA118" s="296">
        <v>1230</v>
      </c>
      <c r="CB118" s="296"/>
      <c r="CC118" s="297"/>
      <c r="CD118" s="296">
        <f t="shared" si="352"/>
        <v>7320</v>
      </c>
      <c r="CE118" s="297">
        <f t="shared" si="353"/>
        <v>0.13596034727615983</v>
      </c>
      <c r="CF118" s="1061"/>
      <c r="CH118">
        <f t="shared" si="206"/>
        <v>0</v>
      </c>
    </row>
    <row r="119" spans="1:86">
      <c r="A119" s="30">
        <v>44067</v>
      </c>
      <c r="B119" s="265">
        <v>312403</v>
      </c>
      <c r="C119" s="114">
        <f t="shared" si="165"/>
        <v>54151630</v>
      </c>
      <c r="D119" s="91">
        <v>3475.7</v>
      </c>
      <c r="E119" s="93">
        <f t="shared" si="166"/>
        <v>631250.22</v>
      </c>
      <c r="F119" s="240">
        <f t="shared" si="252"/>
        <v>42490</v>
      </c>
      <c r="G119" s="240"/>
      <c r="H119" s="280"/>
      <c r="I119" s="240">
        <f t="shared" si="358"/>
        <v>42490</v>
      </c>
      <c r="J119" s="240"/>
      <c r="K119" s="280"/>
      <c r="L119" s="240">
        <f t="shared" si="334"/>
        <v>1747250</v>
      </c>
      <c r="M119" s="280">
        <f t="shared" si="335"/>
        <v>32.265880085234741</v>
      </c>
      <c r="N119" s="280">
        <f t="shared" si="336"/>
        <v>3.9507628364435829</v>
      </c>
      <c r="O119" s="1089"/>
      <c r="P119" s="1084"/>
      <c r="Q119" s="77">
        <f t="shared" si="258"/>
        <v>36948</v>
      </c>
      <c r="R119" s="35"/>
      <c r="S119" s="35">
        <v>36948</v>
      </c>
      <c r="T119" s="35"/>
      <c r="U119" s="36"/>
      <c r="V119" s="74">
        <f t="shared" si="332"/>
        <v>92460</v>
      </c>
      <c r="W119" s="36">
        <f t="shared" si="333"/>
        <v>1.7074278281189319</v>
      </c>
      <c r="X119" s="1179"/>
      <c r="Y119" s="49">
        <f t="shared" si="263"/>
        <v>741</v>
      </c>
      <c r="Z119" s="50"/>
      <c r="AA119" s="50">
        <f>599+120</f>
        <v>719</v>
      </c>
      <c r="AB119" s="50">
        <f t="shared" ref="AB119:AB126" si="359">Y119+Z119-AA119</f>
        <v>22</v>
      </c>
      <c r="AC119" s="51">
        <f t="shared" ref="AC119:AC126" si="360">AB119*1000/B119</f>
        <v>7.0421858945016527E-2</v>
      </c>
      <c r="AD119" s="50">
        <f t="shared" si="337"/>
        <v>18844</v>
      </c>
      <c r="AE119" s="51">
        <f t="shared" si="338"/>
        <v>0.34798583163609292</v>
      </c>
      <c r="AF119" s="1050"/>
      <c r="AG119" s="40">
        <f t="shared" si="268"/>
        <v>567</v>
      </c>
      <c r="AH119" s="41"/>
      <c r="AI119" s="41">
        <v>509</v>
      </c>
      <c r="AJ119" s="41">
        <f t="shared" ref="AJ119:AJ126" si="361">AG119+AH119-AI119</f>
        <v>58</v>
      </c>
      <c r="AK119" s="42">
        <f t="shared" ref="AK119:AK126" si="362">AJ119*1000/B119</f>
        <v>0.18565762812777087</v>
      </c>
      <c r="AL119" s="41">
        <f t="shared" si="339"/>
        <v>8874</v>
      </c>
      <c r="AM119" s="42">
        <f t="shared" si="340"/>
        <v>0.16387318350343286</v>
      </c>
      <c r="AN119" s="1058"/>
      <c r="AO119" s="67">
        <v>1.8</v>
      </c>
      <c r="AP119" s="67">
        <v>24</v>
      </c>
      <c r="AQ119" s="68">
        <f t="shared" si="341"/>
        <v>21.472560000000001</v>
      </c>
      <c r="AR119" s="68">
        <f t="shared" ref="AR119:AR126" si="363">AQ119*1000/D119</f>
        <v>6.1779094858589643</v>
      </c>
      <c r="AS119" s="69">
        <f t="shared" si="342"/>
        <v>6224.6565599999994</v>
      </c>
      <c r="AT119" s="140">
        <f t="shared" si="343"/>
        <v>9.8608386385988105</v>
      </c>
      <c r="AU119" s="1073"/>
      <c r="AV119" s="319">
        <v>2</v>
      </c>
      <c r="AW119" s="71">
        <v>12</v>
      </c>
      <c r="AX119" s="72">
        <f t="shared" si="344"/>
        <v>12.401520000000001</v>
      </c>
      <c r="AY119" s="72">
        <f t="shared" ref="AY119:AY126" si="364">AX119*1000/D119</f>
        <v>3.5680639871105111</v>
      </c>
      <c r="AZ119" s="73">
        <f t="shared" si="345"/>
        <v>1957.579931999999</v>
      </c>
      <c r="BA119" s="192">
        <f t="shared" si="346"/>
        <v>3.1011156431755365</v>
      </c>
      <c r="BB119" s="1075"/>
      <c r="BC119" s="90">
        <f t="shared" si="281"/>
        <v>14370</v>
      </c>
      <c r="BD119" s="59"/>
      <c r="BE119" s="56">
        <v>11484</v>
      </c>
      <c r="BF119" s="56">
        <f>BC119-BE119+BD119</f>
        <v>2886</v>
      </c>
      <c r="BG119" s="58">
        <f t="shared" si="355"/>
        <v>39451</v>
      </c>
      <c r="BH119" s="58">
        <f t="shared" si="356"/>
        <v>62.496611882368931</v>
      </c>
      <c r="BI119" s="1133"/>
      <c r="BJ119" s="63">
        <f t="shared" si="284"/>
        <v>996</v>
      </c>
      <c r="BK119" s="64"/>
      <c r="BL119" s="64">
        <v>996</v>
      </c>
      <c r="BM119" s="64"/>
      <c r="BN119" s="65"/>
      <c r="BO119" s="64">
        <f t="shared" si="347"/>
        <v>16892</v>
      </c>
      <c r="BP119" s="65">
        <f t="shared" si="348"/>
        <v>0.31193890193148388</v>
      </c>
      <c r="BQ119" s="1071"/>
      <c r="BR119" s="35">
        <f t="shared" si="289"/>
        <v>61560</v>
      </c>
      <c r="BS119" s="35"/>
      <c r="BT119" s="35">
        <f>15462+6000+36400</f>
        <v>57862</v>
      </c>
      <c r="BU119" s="35">
        <f t="shared" si="349"/>
        <v>3698</v>
      </c>
      <c r="BV119" s="74">
        <f t="shared" si="350"/>
        <v>280154</v>
      </c>
      <c r="BW119" s="74">
        <f t="shared" si="351"/>
        <v>443.80816215794749</v>
      </c>
      <c r="BX119" s="1098"/>
      <c r="BY119" s="295">
        <f t="shared" si="293"/>
        <v>1230</v>
      </c>
      <c r="BZ119" s="296"/>
      <c r="CA119" s="296">
        <v>1190</v>
      </c>
      <c r="CB119" s="296">
        <f>BY119+BZ119-CA119</f>
        <v>40</v>
      </c>
      <c r="CC119" s="297">
        <f>CB119*1000/B119</f>
        <v>0.12803974353639369</v>
      </c>
      <c r="CD119" s="296">
        <f t="shared" si="352"/>
        <v>7360</v>
      </c>
      <c r="CE119" s="297">
        <f t="shared" si="353"/>
        <v>0.1359146529845916</v>
      </c>
      <c r="CF119" s="1061"/>
      <c r="CH119">
        <f t="shared" si="206"/>
        <v>0</v>
      </c>
    </row>
    <row r="120" spans="1:86">
      <c r="A120" s="30">
        <v>44068</v>
      </c>
      <c r="B120" s="32">
        <v>486807</v>
      </c>
      <c r="C120" s="114">
        <f t="shared" si="165"/>
        <v>54638437</v>
      </c>
      <c r="D120" s="91">
        <v>7085.8</v>
      </c>
      <c r="E120" s="93">
        <f t="shared" si="166"/>
        <v>638336.02</v>
      </c>
      <c r="F120" s="240">
        <f t="shared" si="252"/>
        <v>42490</v>
      </c>
      <c r="G120" s="240"/>
      <c r="H120" s="280"/>
      <c r="I120" s="240">
        <f>3200+4480</f>
        <v>7680</v>
      </c>
      <c r="J120" s="240">
        <f t="shared" ref="J120:J126" si="365">F120+G120-I120</f>
        <v>34810</v>
      </c>
      <c r="K120" s="280">
        <f t="shared" ref="K120:K126" si="366">J120*1000/B120</f>
        <v>71.506777840088574</v>
      </c>
      <c r="L120" s="240">
        <f t="shared" si="334"/>
        <v>1782060</v>
      </c>
      <c r="M120" s="280">
        <f t="shared" si="335"/>
        <v>32.615501062008782</v>
      </c>
      <c r="N120" s="280">
        <f t="shared" si="336"/>
        <v>3.9935718209879738</v>
      </c>
      <c r="O120" s="1089"/>
      <c r="P120" s="1084"/>
      <c r="Q120" s="77">
        <f t="shared" si="258"/>
        <v>36948</v>
      </c>
      <c r="R120" s="35"/>
      <c r="S120" s="35">
        <v>36948</v>
      </c>
      <c r="T120" s="35"/>
      <c r="U120" s="36"/>
      <c r="V120" s="74">
        <f t="shared" si="332"/>
        <v>92460</v>
      </c>
      <c r="W120" s="36">
        <f t="shared" si="333"/>
        <v>1.6922153172134116</v>
      </c>
      <c r="X120" s="1179"/>
      <c r="Y120" s="49">
        <f t="shared" si="263"/>
        <v>719</v>
      </c>
      <c r="Z120" s="50"/>
      <c r="AA120" s="50">
        <f>599+92</f>
        <v>691</v>
      </c>
      <c r="AB120" s="50">
        <f t="shared" si="359"/>
        <v>28</v>
      </c>
      <c r="AC120" s="51">
        <f t="shared" si="360"/>
        <v>5.751766100323126E-2</v>
      </c>
      <c r="AD120" s="50">
        <f t="shared" si="337"/>
        <v>18872</v>
      </c>
      <c r="AE120" s="51">
        <f t="shared" si="338"/>
        <v>0.34539787439380815</v>
      </c>
      <c r="AF120" s="1050"/>
      <c r="AG120" s="40">
        <f t="shared" si="268"/>
        <v>509</v>
      </c>
      <c r="AH120" s="41"/>
      <c r="AI120" s="41">
        <v>490</v>
      </c>
      <c r="AJ120" s="41">
        <f t="shared" si="361"/>
        <v>19</v>
      </c>
      <c r="AK120" s="42">
        <f t="shared" si="362"/>
        <v>3.902984139504978E-2</v>
      </c>
      <c r="AL120" s="41">
        <f t="shared" si="339"/>
        <v>8893</v>
      </c>
      <c r="AM120" s="42">
        <f t="shared" si="340"/>
        <v>0.16276087839042688</v>
      </c>
      <c r="AN120" s="1058"/>
      <c r="AO120" s="67">
        <v>6.6</v>
      </c>
      <c r="AP120" s="67">
        <v>24</v>
      </c>
      <c r="AQ120" s="68">
        <f t="shared" si="341"/>
        <v>78.732719999999986</v>
      </c>
      <c r="AR120" s="68">
        <f t="shared" si="363"/>
        <v>11.111338169296337</v>
      </c>
      <c r="AS120" s="69">
        <f t="shared" si="342"/>
        <v>6303.3892799999994</v>
      </c>
      <c r="AT120" s="140">
        <f t="shared" si="343"/>
        <v>9.8747197126679449</v>
      </c>
      <c r="AU120" s="1073"/>
      <c r="AV120" s="319">
        <v>4</v>
      </c>
      <c r="AW120" s="71">
        <v>12</v>
      </c>
      <c r="AX120" s="72">
        <f t="shared" si="344"/>
        <v>24.803040000000003</v>
      </c>
      <c r="AY120" s="72">
        <f t="shared" si="364"/>
        <v>3.5003866888706998</v>
      </c>
      <c r="AZ120" s="73">
        <f t="shared" si="345"/>
        <v>1982.382971999999</v>
      </c>
      <c r="BA120" s="192">
        <f t="shared" si="346"/>
        <v>3.1055477207756486</v>
      </c>
      <c r="BB120" s="1075"/>
      <c r="BC120" s="90">
        <f t="shared" si="281"/>
        <v>11484</v>
      </c>
      <c r="BD120" s="59"/>
      <c r="BE120" s="56">
        <v>11484</v>
      </c>
      <c r="BF120" s="56"/>
      <c r="BG120" s="58">
        <f t="shared" si="355"/>
        <v>39451</v>
      </c>
      <c r="BH120" s="58">
        <f t="shared" si="356"/>
        <v>61.80287303856047</v>
      </c>
      <c r="BI120" s="1133"/>
      <c r="BJ120" s="63">
        <f t="shared" si="284"/>
        <v>996</v>
      </c>
      <c r="BK120" s="64"/>
      <c r="BL120" s="64">
        <v>756</v>
      </c>
      <c r="BM120" s="64">
        <f t="shared" ref="BM120:BM126" si="367">BJ120+BK120-BL120</f>
        <v>240</v>
      </c>
      <c r="BN120" s="65">
        <f t="shared" ref="BN120:BN126" si="368">BM120*1000/B120</f>
        <v>0.49300852288483937</v>
      </c>
      <c r="BO120" s="64">
        <f t="shared" si="347"/>
        <v>17132</v>
      </c>
      <c r="BP120" s="65">
        <f t="shared" si="348"/>
        <v>0.31355216109128453</v>
      </c>
      <c r="BQ120" s="1071"/>
      <c r="BR120" s="35">
        <f t="shared" si="289"/>
        <v>57862</v>
      </c>
      <c r="BS120" s="35"/>
      <c r="BT120" s="35">
        <f>15462+6000+36400</f>
        <v>57862</v>
      </c>
      <c r="BU120" s="35">
        <f t="shared" si="349"/>
        <v>0</v>
      </c>
      <c r="BV120" s="74">
        <f t="shared" si="350"/>
        <v>280154</v>
      </c>
      <c r="BW120" s="74">
        <f t="shared" si="351"/>
        <v>438.88170371460473</v>
      </c>
      <c r="BX120" s="1098"/>
      <c r="BY120" s="295">
        <f t="shared" si="293"/>
        <v>1190</v>
      </c>
      <c r="BZ120" s="296"/>
      <c r="CA120" s="296">
        <v>1190</v>
      </c>
      <c r="CB120" s="296"/>
      <c r="CC120" s="297"/>
      <c r="CD120" s="296">
        <f t="shared" si="352"/>
        <v>7360</v>
      </c>
      <c r="CE120" s="297">
        <f t="shared" si="353"/>
        <v>0.13470370684285862</v>
      </c>
      <c r="CF120" s="1061"/>
      <c r="CH120">
        <f t="shared" si="206"/>
        <v>0</v>
      </c>
    </row>
    <row r="121" spans="1:86">
      <c r="A121" s="30">
        <v>44069</v>
      </c>
      <c r="B121" s="265">
        <v>619260</v>
      </c>
      <c r="C121" s="114">
        <f t="shared" si="165"/>
        <v>55257697</v>
      </c>
      <c r="D121" s="91">
        <v>6508.32</v>
      </c>
      <c r="E121" s="93">
        <f t="shared" si="166"/>
        <v>644844.34</v>
      </c>
      <c r="F121" s="240">
        <f t="shared" si="252"/>
        <v>7680</v>
      </c>
      <c r="G121" s="240">
        <v>32500</v>
      </c>
      <c r="H121" s="280">
        <v>17.86</v>
      </c>
      <c r="I121" s="240">
        <f>12000+4370</f>
        <v>16370</v>
      </c>
      <c r="J121" s="240">
        <f t="shared" si="365"/>
        <v>23810</v>
      </c>
      <c r="K121" s="280">
        <f t="shared" si="366"/>
        <v>38.449116687659462</v>
      </c>
      <c r="L121" s="240">
        <f t="shared" si="334"/>
        <v>1805870</v>
      </c>
      <c r="M121" s="280">
        <f t="shared" si="335"/>
        <v>32.680877018816041</v>
      </c>
      <c r="N121" s="280">
        <f t="shared" si="336"/>
        <v>4.001576713458558</v>
      </c>
      <c r="O121" s="1089"/>
      <c r="P121" s="1084"/>
      <c r="Q121" s="77">
        <f t="shared" si="258"/>
        <v>36948</v>
      </c>
      <c r="R121" s="35"/>
      <c r="S121" s="35">
        <v>35611</v>
      </c>
      <c r="T121" s="35">
        <f t="shared" ref="T121:T126" si="369">Q121+R121-S121</f>
        <v>1337</v>
      </c>
      <c r="U121" s="36">
        <f t="shared" ref="U121:U126" si="370">1000*T121/B121</f>
        <v>2.1590285179084714</v>
      </c>
      <c r="V121" s="74">
        <f t="shared" si="332"/>
        <v>93797</v>
      </c>
      <c r="W121" s="36">
        <f t="shared" si="333"/>
        <v>1.6974467828436643</v>
      </c>
      <c r="X121" s="1179"/>
      <c r="Y121" s="49">
        <f t="shared" si="263"/>
        <v>691</v>
      </c>
      <c r="Z121" s="50"/>
      <c r="AA121" s="50">
        <f>546+97</f>
        <v>643</v>
      </c>
      <c r="AB121" s="50">
        <f t="shared" si="359"/>
        <v>48</v>
      </c>
      <c r="AC121" s="51">
        <f t="shared" si="360"/>
        <v>7.7511869004941378E-2</v>
      </c>
      <c r="AD121" s="50">
        <f t="shared" si="337"/>
        <v>18920</v>
      </c>
      <c r="AE121" s="51">
        <f t="shared" si="338"/>
        <v>0.34239573900446846</v>
      </c>
      <c r="AF121" s="1050"/>
      <c r="AG121" s="40">
        <f t="shared" si="268"/>
        <v>490</v>
      </c>
      <c r="AH121" s="41"/>
      <c r="AI121" s="41">
        <v>471</v>
      </c>
      <c r="AJ121" s="41">
        <f t="shared" si="361"/>
        <v>19</v>
      </c>
      <c r="AK121" s="42">
        <f t="shared" si="362"/>
        <v>3.068178148112263E-2</v>
      </c>
      <c r="AL121" s="41">
        <f t="shared" si="339"/>
        <v>8912</v>
      </c>
      <c r="AM121" s="42">
        <f t="shared" si="340"/>
        <v>0.16128069904903927</v>
      </c>
      <c r="AN121" s="1058"/>
      <c r="AO121" s="67">
        <v>6.8</v>
      </c>
      <c r="AP121" s="67">
        <v>24</v>
      </c>
      <c r="AQ121" s="68">
        <f t="shared" si="341"/>
        <v>81.118559999999988</v>
      </c>
      <c r="AR121" s="68">
        <f t="shared" si="363"/>
        <v>12.463824765838186</v>
      </c>
      <c r="AS121" s="69">
        <f t="shared" si="342"/>
        <v>6384.5078399999993</v>
      </c>
      <c r="AT121" s="140">
        <f t="shared" si="343"/>
        <v>9.9008511728582427</v>
      </c>
      <c r="AU121" s="1073"/>
      <c r="AV121" s="70">
        <v>3.9</v>
      </c>
      <c r="AW121" s="71">
        <v>12</v>
      </c>
      <c r="AX121" s="72">
        <f t="shared" si="344"/>
        <v>24.182963999999998</v>
      </c>
      <c r="AY121" s="72">
        <f t="shared" si="364"/>
        <v>3.7156999041227232</v>
      </c>
      <c r="AZ121" s="73">
        <f t="shared" si="345"/>
        <v>2006.5659359999991</v>
      </c>
      <c r="BA121" s="192">
        <f t="shared" si="346"/>
        <v>3.1117058978915737</v>
      </c>
      <c r="BB121" s="1075"/>
      <c r="BC121" s="90">
        <f t="shared" si="281"/>
        <v>11484</v>
      </c>
      <c r="BD121" s="59"/>
      <c r="BE121" s="56">
        <v>11484</v>
      </c>
      <c r="BF121" s="56"/>
      <c r="BG121" s="58">
        <f t="shared" si="355"/>
        <v>39451</v>
      </c>
      <c r="BH121" s="58">
        <f t="shared" si="356"/>
        <v>61.179105642766444</v>
      </c>
      <c r="BI121" s="1133"/>
      <c r="BJ121" s="63">
        <f t="shared" si="284"/>
        <v>756</v>
      </c>
      <c r="BK121" s="64"/>
      <c r="BL121" s="64">
        <v>507</v>
      </c>
      <c r="BM121" s="64">
        <f t="shared" si="367"/>
        <v>249</v>
      </c>
      <c r="BN121" s="65">
        <f t="shared" si="368"/>
        <v>0.40209282046313344</v>
      </c>
      <c r="BO121" s="64">
        <f t="shared" si="347"/>
        <v>17381</v>
      </c>
      <c r="BP121" s="65">
        <f t="shared" si="348"/>
        <v>0.31454441541420014</v>
      </c>
      <c r="BQ121" s="1071"/>
      <c r="BR121" s="35">
        <f t="shared" si="289"/>
        <v>57862</v>
      </c>
      <c r="BS121" s="35"/>
      <c r="BT121" s="35">
        <f>12691+6000+36400</f>
        <v>55091</v>
      </c>
      <c r="BU121" s="35">
        <f t="shared" si="349"/>
        <v>2771</v>
      </c>
      <c r="BV121" s="74">
        <f t="shared" si="350"/>
        <v>282925</v>
      </c>
      <c r="BW121" s="74">
        <f t="shared" si="351"/>
        <v>438.74929568273797</v>
      </c>
      <c r="BX121" s="1098"/>
      <c r="BY121" s="295">
        <f t="shared" si="293"/>
        <v>1190</v>
      </c>
      <c r="BZ121" s="296"/>
      <c r="CA121" s="296">
        <v>1190</v>
      </c>
      <c r="CB121" s="296"/>
      <c r="CC121" s="297"/>
      <c r="CD121" s="296">
        <f t="shared" si="352"/>
        <v>7360</v>
      </c>
      <c r="CE121" s="297">
        <f t="shared" si="353"/>
        <v>0.13319411411590318</v>
      </c>
      <c r="CF121" s="1061"/>
      <c r="CH121">
        <f t="shared" si="206"/>
        <v>0</v>
      </c>
    </row>
    <row r="122" spans="1:86">
      <c r="A122" s="30">
        <v>44070</v>
      </c>
      <c r="B122" s="265">
        <v>617275</v>
      </c>
      <c r="C122" s="114">
        <f t="shared" si="165"/>
        <v>55874972</v>
      </c>
      <c r="D122" s="91">
        <v>7108.8</v>
      </c>
      <c r="E122" s="93">
        <f t="shared" si="166"/>
        <v>651953.14</v>
      </c>
      <c r="F122" s="240">
        <f t="shared" si="252"/>
        <v>16370</v>
      </c>
      <c r="G122" s="240">
        <v>21580</v>
      </c>
      <c r="H122" s="280">
        <v>25.6</v>
      </c>
      <c r="I122" s="240">
        <f>11600+4260</f>
        <v>15860</v>
      </c>
      <c r="J122" s="240">
        <f t="shared" si="365"/>
        <v>22090</v>
      </c>
      <c r="K122" s="280">
        <f t="shared" si="366"/>
        <v>35.786318901624071</v>
      </c>
      <c r="L122" s="240">
        <f t="shared" si="334"/>
        <v>1827960</v>
      </c>
      <c r="M122" s="280">
        <f t="shared" si="335"/>
        <v>32.715184179421158</v>
      </c>
      <c r="N122" s="280">
        <f t="shared" si="336"/>
        <v>4.0057774188099859</v>
      </c>
      <c r="O122" s="1089"/>
      <c r="P122" s="1084"/>
      <c r="Q122" s="77">
        <f t="shared" si="258"/>
        <v>35611</v>
      </c>
      <c r="R122" s="35"/>
      <c r="S122" s="35">
        <v>35344</v>
      </c>
      <c r="T122" s="35">
        <f t="shared" si="369"/>
        <v>267</v>
      </c>
      <c r="U122" s="36">
        <f t="shared" si="370"/>
        <v>0.43254627192094286</v>
      </c>
      <c r="V122" s="74">
        <f t="shared" si="332"/>
        <v>94064</v>
      </c>
      <c r="W122" s="36">
        <f t="shared" si="333"/>
        <v>1.6834728794137024</v>
      </c>
      <c r="X122" s="1179"/>
      <c r="Y122" s="49">
        <f t="shared" si="263"/>
        <v>643</v>
      </c>
      <c r="Z122" s="322"/>
      <c r="AA122" s="50">
        <f>510+105</f>
        <v>615</v>
      </c>
      <c r="AB122" s="50">
        <f t="shared" si="359"/>
        <v>28</v>
      </c>
      <c r="AC122" s="51">
        <f t="shared" si="360"/>
        <v>4.5360657729537075E-2</v>
      </c>
      <c r="AD122" s="50">
        <f t="shared" si="337"/>
        <v>18948</v>
      </c>
      <c r="AE122" s="51">
        <f t="shared" si="338"/>
        <v>0.33911426389618593</v>
      </c>
      <c r="AF122" s="1050"/>
      <c r="AG122" s="40">
        <f t="shared" si="268"/>
        <v>471</v>
      </c>
      <c r="AH122" s="41">
        <v>1000</v>
      </c>
      <c r="AI122" s="41">
        <v>1423</v>
      </c>
      <c r="AJ122" s="41">
        <f t="shared" si="361"/>
        <v>48</v>
      </c>
      <c r="AK122" s="42">
        <f t="shared" si="362"/>
        <v>7.7761127536349284E-2</v>
      </c>
      <c r="AL122" s="41">
        <f t="shared" si="339"/>
        <v>8960</v>
      </c>
      <c r="AM122" s="42">
        <f t="shared" si="340"/>
        <v>0.16035802219283438</v>
      </c>
      <c r="AN122" s="1058"/>
      <c r="AO122" s="67">
        <v>6.9</v>
      </c>
      <c r="AP122" s="67">
        <v>24</v>
      </c>
      <c r="AQ122" s="68">
        <f t="shared" si="341"/>
        <v>82.311480000000003</v>
      </c>
      <c r="AR122" s="68">
        <f t="shared" si="363"/>
        <v>11.578814989871708</v>
      </c>
      <c r="AS122" s="69">
        <f t="shared" si="342"/>
        <v>6466.8193199999996</v>
      </c>
      <c r="AT122" s="140">
        <f t="shared" si="343"/>
        <v>9.91914744056605</v>
      </c>
      <c r="AU122" s="1073"/>
      <c r="AV122" s="70">
        <v>4.0999999999999996</v>
      </c>
      <c r="AW122" s="71">
        <v>12</v>
      </c>
      <c r="AX122" s="72">
        <f t="shared" si="344"/>
        <v>25.423116</v>
      </c>
      <c r="AY122" s="72">
        <f t="shared" si="364"/>
        <v>3.5762879810938557</v>
      </c>
      <c r="AZ122" s="73">
        <f t="shared" si="345"/>
        <v>2031.989051999999</v>
      </c>
      <c r="BA122" s="192">
        <f t="shared" si="346"/>
        <v>3.1167716317770919</v>
      </c>
      <c r="BB122" s="1075"/>
      <c r="BC122" s="90">
        <f t="shared" si="281"/>
        <v>11484</v>
      </c>
      <c r="BD122" s="59"/>
      <c r="BE122" s="56">
        <v>11484</v>
      </c>
      <c r="BF122" s="56"/>
      <c r="BG122" s="58">
        <f t="shared" si="355"/>
        <v>39451</v>
      </c>
      <c r="BH122" s="58">
        <f t="shared" si="356"/>
        <v>60.512017780909837</v>
      </c>
      <c r="BI122" s="1133"/>
      <c r="BJ122" s="63">
        <f t="shared" si="284"/>
        <v>507</v>
      </c>
      <c r="BK122" s="64"/>
      <c r="BL122" s="64">
        <v>280</v>
      </c>
      <c r="BM122" s="64">
        <f t="shared" si="367"/>
        <v>227</v>
      </c>
      <c r="BN122" s="65">
        <f t="shared" si="368"/>
        <v>0.36774533230731843</v>
      </c>
      <c r="BO122" s="64">
        <f t="shared" si="347"/>
        <v>17608</v>
      </c>
      <c r="BP122" s="65">
        <f t="shared" si="348"/>
        <v>0.31513214897002545</v>
      </c>
      <c r="BQ122" s="1071"/>
      <c r="BR122" s="35">
        <f t="shared" si="289"/>
        <v>55091</v>
      </c>
      <c r="BS122" s="35"/>
      <c r="BT122" s="35">
        <v>46885</v>
      </c>
      <c r="BU122" s="35">
        <f t="shared" si="349"/>
        <v>8206</v>
      </c>
      <c r="BV122" s="74">
        <f t="shared" si="350"/>
        <v>291131</v>
      </c>
      <c r="BW122" s="74">
        <f t="shared" si="351"/>
        <v>446.55203286542957</v>
      </c>
      <c r="BX122" s="1098"/>
      <c r="BY122" s="295">
        <f t="shared" si="293"/>
        <v>1190</v>
      </c>
      <c r="BZ122" s="296"/>
      <c r="CA122" s="296">
        <v>1190</v>
      </c>
      <c r="CB122" s="296"/>
      <c r="CC122" s="297"/>
      <c r="CD122" s="296">
        <f t="shared" si="352"/>
        <v>7360</v>
      </c>
      <c r="CE122" s="297">
        <f t="shared" si="353"/>
        <v>0.13172266108697112</v>
      </c>
      <c r="CF122" s="1061"/>
      <c r="CH122">
        <f t="shared" si="206"/>
        <v>0</v>
      </c>
    </row>
    <row r="123" spans="1:86">
      <c r="A123" s="30">
        <v>44071</v>
      </c>
      <c r="B123" s="265">
        <v>589907</v>
      </c>
      <c r="C123" s="114">
        <f t="shared" si="165"/>
        <v>56464879</v>
      </c>
      <c r="D123" s="91">
        <v>7466.1</v>
      </c>
      <c r="E123" s="93">
        <f t="shared" si="166"/>
        <v>659419.24</v>
      </c>
      <c r="F123" s="240">
        <f t="shared" si="252"/>
        <v>15860</v>
      </c>
      <c r="G123" s="240">
        <v>21580</v>
      </c>
      <c r="H123" s="280">
        <v>21.98</v>
      </c>
      <c r="I123" s="240">
        <f>20800+4150</f>
        <v>24950</v>
      </c>
      <c r="J123" s="240">
        <f t="shared" si="365"/>
        <v>12490</v>
      </c>
      <c r="K123" s="280">
        <f t="shared" si="366"/>
        <v>21.172828937442681</v>
      </c>
      <c r="L123" s="240">
        <f t="shared" si="334"/>
        <v>1840450</v>
      </c>
      <c r="M123" s="280">
        <f t="shared" si="335"/>
        <v>32.594597431086321</v>
      </c>
      <c r="N123" s="280">
        <f t="shared" si="336"/>
        <v>3.9910122971821136</v>
      </c>
      <c r="O123" s="1089"/>
      <c r="P123" s="1084"/>
      <c r="Q123" s="77">
        <f t="shared" si="258"/>
        <v>35344</v>
      </c>
      <c r="R123" s="35"/>
      <c r="S123" s="35">
        <v>34270</v>
      </c>
      <c r="T123" s="35">
        <f t="shared" si="369"/>
        <v>1074</v>
      </c>
      <c r="U123" s="36">
        <f t="shared" si="370"/>
        <v>1.8206259630755357</v>
      </c>
      <c r="V123" s="74">
        <f t="shared" si="332"/>
        <v>95138</v>
      </c>
      <c r="W123" s="36">
        <f t="shared" si="333"/>
        <v>1.6849057623943549</v>
      </c>
      <c r="X123" s="1179"/>
      <c r="Y123" s="49">
        <f t="shared" si="263"/>
        <v>615</v>
      </c>
      <c r="Z123" s="50"/>
      <c r="AA123" s="50">
        <f>441+115</f>
        <v>556</v>
      </c>
      <c r="AB123" s="50">
        <f t="shared" si="359"/>
        <v>59</v>
      </c>
      <c r="AC123" s="51">
        <f t="shared" si="360"/>
        <v>0.10001576519688697</v>
      </c>
      <c r="AD123" s="50">
        <f t="shared" si="337"/>
        <v>19007</v>
      </c>
      <c r="AE123" s="51">
        <f t="shared" si="338"/>
        <v>0.33661632392765778</v>
      </c>
      <c r="AF123" s="1050"/>
      <c r="AG123" s="40">
        <f t="shared" si="268"/>
        <v>1423</v>
      </c>
      <c r="AH123" s="41"/>
      <c r="AI123" s="41">
        <v>1409</v>
      </c>
      <c r="AJ123" s="41">
        <f t="shared" si="361"/>
        <v>14</v>
      </c>
      <c r="AK123" s="42">
        <f t="shared" si="362"/>
        <v>2.3732554453498603E-2</v>
      </c>
      <c r="AL123" s="41">
        <f t="shared" si="339"/>
        <v>8974</v>
      </c>
      <c r="AM123" s="42">
        <f t="shared" si="340"/>
        <v>0.1589306513877414</v>
      </c>
      <c r="AN123" s="1058"/>
      <c r="AO123" s="67">
        <v>6.3</v>
      </c>
      <c r="AP123" s="67">
        <v>24</v>
      </c>
      <c r="AQ123" s="68">
        <f t="shared" si="341"/>
        <v>75.153959999999998</v>
      </c>
      <c r="AR123" s="68">
        <f t="shared" si="363"/>
        <v>10.066026439506569</v>
      </c>
      <c r="AS123" s="69">
        <f t="shared" si="342"/>
        <v>6541.9732799999992</v>
      </c>
      <c r="AT123" s="140">
        <f t="shared" si="343"/>
        <v>9.9208104391979823</v>
      </c>
      <c r="AU123" s="1073"/>
      <c r="AV123" s="70">
        <v>4.0999999999999996</v>
      </c>
      <c r="AW123" s="71">
        <v>12</v>
      </c>
      <c r="AX123" s="72">
        <f t="shared" si="344"/>
        <v>25.423116</v>
      </c>
      <c r="AY123" s="72">
        <f t="shared" si="364"/>
        <v>3.4051400329489292</v>
      </c>
      <c r="AZ123" s="73">
        <f t="shared" si="345"/>
        <v>2057.4121679999989</v>
      </c>
      <c r="BA123" s="192">
        <f t="shared" si="346"/>
        <v>3.1200366067571808</v>
      </c>
      <c r="BB123" s="1075"/>
      <c r="BC123" s="90">
        <f t="shared" si="281"/>
        <v>11484</v>
      </c>
      <c r="BD123" s="59"/>
      <c r="BE123" s="56">
        <v>11484</v>
      </c>
      <c r="BF123" s="56"/>
      <c r="BG123" s="58">
        <f t="shared" si="355"/>
        <v>39451</v>
      </c>
      <c r="BH123" s="58">
        <f t="shared" si="356"/>
        <v>59.826886458453956</v>
      </c>
      <c r="BI123" s="1133"/>
      <c r="BJ123" s="63">
        <f t="shared" si="284"/>
        <v>280</v>
      </c>
      <c r="BK123" s="64">
        <v>1100</v>
      </c>
      <c r="BL123" s="64">
        <v>1159</v>
      </c>
      <c r="BM123" s="64">
        <f t="shared" si="367"/>
        <v>221</v>
      </c>
      <c r="BN123" s="65">
        <f t="shared" si="368"/>
        <v>0.37463532387308507</v>
      </c>
      <c r="BO123" s="64">
        <f t="shared" si="347"/>
        <v>17829</v>
      </c>
      <c r="BP123" s="65">
        <f t="shared" si="348"/>
        <v>0.31575379803789183</v>
      </c>
      <c r="BQ123" s="1071"/>
      <c r="BR123" s="35">
        <f t="shared" si="289"/>
        <v>46885</v>
      </c>
      <c r="BS123" s="35"/>
      <c r="BT123" s="35">
        <v>37644</v>
      </c>
      <c r="BU123" s="35">
        <f t="shared" si="349"/>
        <v>9241</v>
      </c>
      <c r="BV123" s="74">
        <f t="shared" si="350"/>
        <v>300372</v>
      </c>
      <c r="BW123" s="74">
        <f t="shared" si="351"/>
        <v>455.5099120250116</v>
      </c>
      <c r="BX123" s="1098"/>
      <c r="BY123" s="295">
        <f t="shared" si="293"/>
        <v>1190</v>
      </c>
      <c r="BZ123" s="296"/>
      <c r="CA123" s="296">
        <v>1190</v>
      </c>
      <c r="CB123" s="296"/>
      <c r="CC123" s="297"/>
      <c r="CD123" s="296">
        <f t="shared" si="352"/>
        <v>7360</v>
      </c>
      <c r="CE123" s="297">
        <f t="shared" si="353"/>
        <v>0.13034651150142373</v>
      </c>
      <c r="CF123" s="1061"/>
      <c r="CH123">
        <f t="shared" si="206"/>
        <v>580450</v>
      </c>
    </row>
    <row r="124" spans="1:86">
      <c r="A124" s="30">
        <v>44072</v>
      </c>
      <c r="B124" s="265">
        <v>638247</v>
      </c>
      <c r="C124" s="114">
        <f t="shared" si="165"/>
        <v>57103126</v>
      </c>
      <c r="D124" s="91">
        <v>7514.16</v>
      </c>
      <c r="E124" s="93">
        <f t="shared" si="166"/>
        <v>666933.4</v>
      </c>
      <c r="F124" s="240">
        <f t="shared" si="252"/>
        <v>24950</v>
      </c>
      <c r="G124" s="240"/>
      <c r="H124" s="280"/>
      <c r="I124" s="240">
        <f>20000+3950</f>
        <v>23950</v>
      </c>
      <c r="J124" s="240">
        <f t="shared" si="365"/>
        <v>1000</v>
      </c>
      <c r="K124" s="280">
        <f t="shared" si="366"/>
        <v>1.5667915399524008</v>
      </c>
      <c r="L124" s="240">
        <f t="shared" si="334"/>
        <v>1841450</v>
      </c>
      <c r="M124" s="280">
        <f t="shared" si="335"/>
        <v>32.247796731828657</v>
      </c>
      <c r="N124" s="280">
        <f t="shared" si="336"/>
        <v>3.9485486386468298</v>
      </c>
      <c r="O124" s="1089"/>
      <c r="P124" s="1084"/>
      <c r="Q124" s="77">
        <f t="shared" si="258"/>
        <v>34270</v>
      </c>
      <c r="R124" s="35"/>
      <c r="S124" s="35">
        <v>29425</v>
      </c>
      <c r="T124" s="35">
        <f t="shared" si="369"/>
        <v>4845</v>
      </c>
      <c r="U124" s="36">
        <f t="shared" si="370"/>
        <v>7.5911050110693825</v>
      </c>
      <c r="V124" s="74">
        <f t="shared" si="332"/>
        <v>99983</v>
      </c>
      <c r="W124" s="36">
        <f t="shared" si="333"/>
        <v>1.7509199058559421</v>
      </c>
      <c r="X124" s="1179"/>
      <c r="Y124" s="49">
        <f t="shared" si="263"/>
        <v>556</v>
      </c>
      <c r="Z124" s="50"/>
      <c r="AA124" s="50">
        <f>407+95</f>
        <v>502</v>
      </c>
      <c r="AB124" s="50">
        <f t="shared" si="359"/>
        <v>54</v>
      </c>
      <c r="AC124" s="51">
        <f t="shared" si="360"/>
        <v>8.4606743157429651E-2</v>
      </c>
      <c r="AD124" s="50">
        <f t="shared" si="337"/>
        <v>19061</v>
      </c>
      <c r="AE124" s="51">
        <f t="shared" si="338"/>
        <v>0.33379958918536262</v>
      </c>
      <c r="AF124" s="1050"/>
      <c r="AG124" s="40">
        <f t="shared" si="268"/>
        <v>1409</v>
      </c>
      <c r="AH124" s="41"/>
      <c r="AI124" s="41">
        <v>1379</v>
      </c>
      <c r="AJ124" s="41">
        <f t="shared" si="361"/>
        <v>30</v>
      </c>
      <c r="AK124" s="42">
        <f t="shared" si="362"/>
        <v>4.7003746198572026E-2</v>
      </c>
      <c r="AL124" s="41">
        <f t="shared" si="339"/>
        <v>9004</v>
      </c>
      <c r="AM124" s="42">
        <f t="shared" si="340"/>
        <v>0.1576796338610254</v>
      </c>
      <c r="AN124" s="1058"/>
      <c r="AO124" s="311">
        <v>6</v>
      </c>
      <c r="AP124" s="67">
        <v>24</v>
      </c>
      <c r="AQ124" s="68">
        <f t="shared" si="341"/>
        <v>71.575199999999995</v>
      </c>
      <c r="AR124" s="68">
        <f t="shared" si="363"/>
        <v>9.5253760899421884</v>
      </c>
      <c r="AS124" s="69">
        <f t="shared" si="342"/>
        <v>6613.5484799999995</v>
      </c>
      <c r="AT124" s="140">
        <f t="shared" si="343"/>
        <v>9.9163551862899642</v>
      </c>
      <c r="AU124" s="1073"/>
      <c r="AV124" s="319">
        <v>4</v>
      </c>
      <c r="AW124" s="71">
        <v>12</v>
      </c>
      <c r="AX124" s="72">
        <f t="shared" si="344"/>
        <v>24.803040000000003</v>
      </c>
      <c r="AY124" s="72">
        <f t="shared" si="364"/>
        <v>3.3008400140534677</v>
      </c>
      <c r="AZ124" s="73">
        <f t="shared" si="345"/>
        <v>2082.2152079999987</v>
      </c>
      <c r="BA124" s="192">
        <f t="shared" si="346"/>
        <v>3.1220736703245011</v>
      </c>
      <c r="BB124" s="1075"/>
      <c r="BC124" s="90">
        <f t="shared" si="281"/>
        <v>11484</v>
      </c>
      <c r="BD124" s="56"/>
      <c r="BE124" s="56">
        <v>11484</v>
      </c>
      <c r="BF124" s="56"/>
      <c r="BG124" s="58">
        <f t="shared" si="355"/>
        <v>39451</v>
      </c>
      <c r="BH124" s="58">
        <f t="shared" si="356"/>
        <v>59.152832951536091</v>
      </c>
      <c r="BI124" s="1133"/>
      <c r="BJ124" s="63">
        <f t="shared" si="284"/>
        <v>1159</v>
      </c>
      <c r="BK124" s="64"/>
      <c r="BL124" s="64">
        <v>780</v>
      </c>
      <c r="BM124" s="64">
        <f t="shared" si="367"/>
        <v>379</v>
      </c>
      <c r="BN124" s="65">
        <f t="shared" si="368"/>
        <v>0.59381399364195997</v>
      </c>
      <c r="BO124" s="64">
        <f t="shared" si="347"/>
        <v>18208</v>
      </c>
      <c r="BP124" s="65">
        <f t="shared" si="348"/>
        <v>0.31886170294775107</v>
      </c>
      <c r="BQ124" s="1071"/>
      <c r="BR124" s="35">
        <f t="shared" si="289"/>
        <v>37644</v>
      </c>
      <c r="BS124" s="35"/>
      <c r="BT124" s="35">
        <v>33947</v>
      </c>
      <c r="BU124" s="35">
        <f t="shared" si="349"/>
        <v>3697</v>
      </c>
      <c r="BV124" s="74">
        <f t="shared" si="350"/>
        <v>304069</v>
      </c>
      <c r="BW124" s="74">
        <f t="shared" si="351"/>
        <v>455.92108597350199</v>
      </c>
      <c r="BX124" s="1098"/>
      <c r="BY124" s="295">
        <f t="shared" si="293"/>
        <v>1190</v>
      </c>
      <c r="BZ124" s="296"/>
      <c r="CA124" s="296">
        <v>1120</v>
      </c>
      <c r="CB124" s="296"/>
      <c r="CC124" s="297"/>
      <c r="CD124" s="296">
        <f t="shared" si="352"/>
        <v>7360</v>
      </c>
      <c r="CE124" s="297">
        <f t="shared" si="353"/>
        <v>0.12888961630576931</v>
      </c>
      <c r="CF124" s="1061"/>
      <c r="CH124">
        <f t="shared" si="206"/>
        <v>552448</v>
      </c>
    </row>
    <row r="125" spans="1:86">
      <c r="A125" s="30">
        <v>44073</v>
      </c>
      <c r="B125" s="265">
        <v>682902</v>
      </c>
      <c r="C125" s="114">
        <f t="shared" si="165"/>
        <v>57786028</v>
      </c>
      <c r="D125" s="91">
        <v>7621.02</v>
      </c>
      <c r="E125" s="93">
        <f t="shared" si="166"/>
        <v>674554.42</v>
      </c>
      <c r="F125" s="240">
        <f t="shared" si="252"/>
        <v>23950</v>
      </c>
      <c r="G125" s="240"/>
      <c r="H125" s="280"/>
      <c r="I125" s="240">
        <f>20000+3830</f>
        <v>23830</v>
      </c>
      <c r="J125" s="240">
        <f t="shared" si="365"/>
        <v>120</v>
      </c>
      <c r="K125" s="280">
        <f t="shared" si="366"/>
        <v>0.17572067441594841</v>
      </c>
      <c r="L125" s="240">
        <f t="shared" si="334"/>
        <v>1841570</v>
      </c>
      <c r="M125" s="280">
        <f t="shared" si="335"/>
        <v>31.868776306964723</v>
      </c>
      <c r="N125" s="280">
        <f t="shared" si="336"/>
        <v>3.902139868613288</v>
      </c>
      <c r="O125" s="1089"/>
      <c r="P125" s="1084"/>
      <c r="Q125" s="77">
        <f t="shared" si="258"/>
        <v>29425</v>
      </c>
      <c r="R125" s="35"/>
      <c r="S125" s="35">
        <v>25673</v>
      </c>
      <c r="T125" s="35">
        <f t="shared" si="369"/>
        <v>3752</v>
      </c>
      <c r="U125" s="36">
        <f t="shared" si="370"/>
        <v>5.4941997534053204</v>
      </c>
      <c r="V125" s="74">
        <f t="shared" si="332"/>
        <v>103735</v>
      </c>
      <c r="W125" s="36">
        <f t="shared" si="333"/>
        <v>1.7951571269096398</v>
      </c>
      <c r="X125" s="1179"/>
      <c r="Y125" s="49">
        <f t="shared" si="263"/>
        <v>502</v>
      </c>
      <c r="Z125" s="50"/>
      <c r="AA125" s="50">
        <f>357+50</f>
        <v>407</v>
      </c>
      <c r="AB125" s="50">
        <f t="shared" si="359"/>
        <v>95</v>
      </c>
      <c r="AC125" s="51">
        <f t="shared" si="360"/>
        <v>0.13911220057929249</v>
      </c>
      <c r="AD125" s="50">
        <f t="shared" si="337"/>
        <v>19156</v>
      </c>
      <c r="AE125" s="51">
        <f t="shared" si="338"/>
        <v>0.33149881836488226</v>
      </c>
      <c r="AF125" s="1050"/>
      <c r="AG125" s="40">
        <f t="shared" si="268"/>
        <v>1379</v>
      </c>
      <c r="AH125" s="41"/>
      <c r="AI125" s="41">
        <v>1363</v>
      </c>
      <c r="AJ125" s="41">
        <f t="shared" si="361"/>
        <v>16</v>
      </c>
      <c r="AK125" s="42">
        <f t="shared" si="362"/>
        <v>2.3429423255459787E-2</v>
      </c>
      <c r="AL125" s="41">
        <f t="shared" si="339"/>
        <v>9020</v>
      </c>
      <c r="AM125" s="42">
        <f t="shared" si="340"/>
        <v>0.15609309572203164</v>
      </c>
      <c r="AN125" s="1058"/>
      <c r="AO125" s="67">
        <v>6.2</v>
      </c>
      <c r="AP125" s="67">
        <v>24</v>
      </c>
      <c r="AQ125" s="68">
        <f t="shared" si="341"/>
        <v>73.961040000000011</v>
      </c>
      <c r="AR125" s="68">
        <f t="shared" si="363"/>
        <v>9.7048741507042369</v>
      </c>
      <c r="AS125" s="69">
        <f t="shared" si="342"/>
        <v>6687.5095199999996</v>
      </c>
      <c r="AT125" s="140">
        <f t="shared" si="343"/>
        <v>9.9139659035960346</v>
      </c>
      <c r="AU125" s="1073"/>
      <c r="AV125" s="319">
        <v>4.2</v>
      </c>
      <c r="AW125" s="71">
        <v>12</v>
      </c>
      <c r="AX125" s="72">
        <f t="shared" si="344"/>
        <v>26.043192000000005</v>
      </c>
      <c r="AY125" s="72">
        <f t="shared" si="364"/>
        <v>3.4172843005267017</v>
      </c>
      <c r="AZ125" s="73">
        <f t="shared" si="345"/>
        <v>2108.2583999999988</v>
      </c>
      <c r="BA125" s="192">
        <f t="shared" si="346"/>
        <v>3.1254089180825453</v>
      </c>
      <c r="BB125" s="1075"/>
      <c r="BC125" s="90">
        <f t="shared" si="281"/>
        <v>11484</v>
      </c>
      <c r="BD125" s="59"/>
      <c r="BE125" s="56">
        <v>11484</v>
      </c>
      <c r="BF125" s="56"/>
      <c r="BG125" s="58">
        <f t="shared" si="355"/>
        <v>39451</v>
      </c>
      <c r="BH125" s="58">
        <f t="shared" si="356"/>
        <v>58.484532648974408</v>
      </c>
      <c r="BI125" s="1133"/>
      <c r="BJ125" s="63">
        <f t="shared" si="284"/>
        <v>780</v>
      </c>
      <c r="BK125" s="64"/>
      <c r="BL125" s="64">
        <v>684</v>
      </c>
      <c r="BM125" s="64">
        <f t="shared" si="367"/>
        <v>96</v>
      </c>
      <c r="BN125" s="65">
        <f t="shared" si="368"/>
        <v>0.14057653953275873</v>
      </c>
      <c r="BO125" s="64">
        <f t="shared" si="347"/>
        <v>18304</v>
      </c>
      <c r="BP125" s="65">
        <f t="shared" si="348"/>
        <v>0.31675476985543982</v>
      </c>
      <c r="BQ125" s="1071"/>
      <c r="BR125" s="35">
        <f t="shared" si="289"/>
        <v>33947</v>
      </c>
      <c r="BS125" s="35"/>
      <c r="BT125" s="35">
        <v>30250</v>
      </c>
      <c r="BU125" s="35">
        <f t="shared" si="349"/>
        <v>3697</v>
      </c>
      <c r="BV125" s="74">
        <f t="shared" si="350"/>
        <v>307766</v>
      </c>
      <c r="BW125" s="74">
        <f t="shared" si="351"/>
        <v>456.25080923789659</v>
      </c>
      <c r="BX125" s="1098"/>
      <c r="BY125" s="295">
        <f t="shared" si="293"/>
        <v>1120</v>
      </c>
      <c r="BZ125" s="296"/>
      <c r="CA125" s="296">
        <v>1120</v>
      </c>
      <c r="CB125" s="296"/>
      <c r="CC125" s="297"/>
      <c r="CD125" s="296">
        <f t="shared" si="352"/>
        <v>7360</v>
      </c>
      <c r="CE125" s="297">
        <f t="shared" si="353"/>
        <v>0.12736642843837614</v>
      </c>
      <c r="CF125" s="1061"/>
      <c r="CH125">
        <f t="shared" si="206"/>
        <v>474328.4</v>
      </c>
    </row>
    <row r="126" spans="1:86" ht="15.75" thickBot="1">
      <c r="A126" s="30">
        <v>44074</v>
      </c>
      <c r="B126" s="265">
        <v>687511</v>
      </c>
      <c r="C126" s="171">
        <f t="shared" si="165"/>
        <v>58473539</v>
      </c>
      <c r="D126" s="110">
        <v>6887.2</v>
      </c>
      <c r="E126" s="94">
        <f t="shared" si="166"/>
        <v>681441.62</v>
      </c>
      <c r="F126" s="240">
        <f t="shared" si="252"/>
        <v>23830</v>
      </c>
      <c r="G126" s="240">
        <v>32510</v>
      </c>
      <c r="H126" s="280">
        <v>13.09</v>
      </c>
      <c r="I126" s="240">
        <f>26000+3700</f>
        <v>29700</v>
      </c>
      <c r="J126" s="240">
        <f t="shared" si="365"/>
        <v>26640</v>
      </c>
      <c r="K126" s="280">
        <f t="shared" si="366"/>
        <v>38.748470933555971</v>
      </c>
      <c r="L126" s="240">
        <f t="shared" si="334"/>
        <v>1868210</v>
      </c>
      <c r="M126" s="280">
        <f t="shared" si="335"/>
        <v>31.949665300743984</v>
      </c>
      <c r="N126" s="280">
        <f t="shared" si="336"/>
        <v>3.9120442391017489</v>
      </c>
      <c r="O126" s="1090"/>
      <c r="P126" s="1085"/>
      <c r="Q126" s="77">
        <f t="shared" si="258"/>
        <v>25673</v>
      </c>
      <c r="R126" s="35">
        <v>35540</v>
      </c>
      <c r="S126" s="35">
        <f>62062-849</f>
        <v>61213</v>
      </c>
      <c r="T126" s="76">
        <f t="shared" si="369"/>
        <v>0</v>
      </c>
      <c r="U126" s="80">
        <f t="shared" si="370"/>
        <v>0</v>
      </c>
      <c r="V126" s="81">
        <f t="shared" si="332"/>
        <v>103735</v>
      </c>
      <c r="W126" s="80">
        <f t="shared" si="333"/>
        <v>1.7740503101753426</v>
      </c>
      <c r="X126" s="1179"/>
      <c r="Y126" s="49">
        <f t="shared" si="263"/>
        <v>407</v>
      </c>
      <c r="Z126" s="50"/>
      <c r="AA126" s="50">
        <f>246+70</f>
        <v>316</v>
      </c>
      <c r="AB126" s="50">
        <f t="shared" si="359"/>
        <v>91</v>
      </c>
      <c r="AC126" s="51">
        <f t="shared" si="360"/>
        <v>0.13236151857933909</v>
      </c>
      <c r="AD126" s="50">
        <f t="shared" si="337"/>
        <v>19247</v>
      </c>
      <c r="AE126" s="51">
        <f t="shared" si="338"/>
        <v>0.32915743307412948</v>
      </c>
      <c r="AF126" s="1050"/>
      <c r="AG126" s="40">
        <f t="shared" si="268"/>
        <v>1363</v>
      </c>
      <c r="AH126" s="41"/>
      <c r="AI126" s="41">
        <v>1331</v>
      </c>
      <c r="AJ126" s="41">
        <f t="shared" si="361"/>
        <v>32</v>
      </c>
      <c r="AK126" s="42">
        <f t="shared" si="362"/>
        <v>4.6544709830097265E-2</v>
      </c>
      <c r="AL126" s="41">
        <f t="shared" si="339"/>
        <v>9052</v>
      </c>
      <c r="AM126" s="42">
        <f t="shared" si="340"/>
        <v>0.15480506490294696</v>
      </c>
      <c r="AN126" s="1058"/>
      <c r="AO126" s="67">
        <v>6.8</v>
      </c>
      <c r="AP126" s="67">
        <v>24</v>
      </c>
      <c r="AQ126" s="68">
        <f t="shared" si="341"/>
        <v>81.118559999999988</v>
      </c>
      <c r="AR126" s="68">
        <f t="shared" si="363"/>
        <v>11.778162388198394</v>
      </c>
      <c r="AS126" s="69">
        <f t="shared" si="342"/>
        <v>6768.6280799999995</v>
      </c>
      <c r="AT126" s="140">
        <f t="shared" si="343"/>
        <v>9.932806980589179</v>
      </c>
      <c r="AU126" s="1074"/>
      <c r="AV126" s="113">
        <v>3.9</v>
      </c>
      <c r="AW126" s="104">
        <v>12</v>
      </c>
      <c r="AX126" s="105">
        <f t="shared" si="344"/>
        <v>24.182963999999998</v>
      </c>
      <c r="AY126" s="105">
        <f t="shared" si="364"/>
        <v>3.5112910907190149</v>
      </c>
      <c r="AZ126" s="106">
        <f t="shared" si="345"/>
        <v>2132.4413639999989</v>
      </c>
      <c r="BA126" s="193">
        <f t="shared" si="346"/>
        <v>3.1293089553291429</v>
      </c>
      <c r="BB126" s="1076"/>
      <c r="BC126" s="90">
        <f t="shared" si="281"/>
        <v>11484</v>
      </c>
      <c r="BD126" s="59"/>
      <c r="BE126" s="56">
        <v>11484</v>
      </c>
      <c r="BF126" s="56"/>
      <c r="BG126" s="58">
        <f t="shared" si="355"/>
        <v>39451</v>
      </c>
      <c r="BH126" s="58">
        <f t="shared" si="356"/>
        <v>57.89344067361192</v>
      </c>
      <c r="BI126" s="1134"/>
      <c r="BJ126" s="63">
        <f t="shared" si="284"/>
        <v>684</v>
      </c>
      <c r="BK126" s="64"/>
      <c r="BL126" s="64">
        <v>480</v>
      </c>
      <c r="BM126" s="64">
        <f t="shared" si="367"/>
        <v>204</v>
      </c>
      <c r="BN126" s="65">
        <f t="shared" si="368"/>
        <v>0.29672252516687003</v>
      </c>
      <c r="BO126" s="64">
        <f t="shared" si="347"/>
        <v>18508</v>
      </c>
      <c r="BP126" s="65">
        <f t="shared" si="348"/>
        <v>0.31651923787270686</v>
      </c>
      <c r="BQ126" s="1072"/>
      <c r="BR126" s="35">
        <f t="shared" si="289"/>
        <v>30250</v>
      </c>
      <c r="BS126" s="35"/>
      <c r="BT126" s="35">
        <f>29326</f>
        <v>29326</v>
      </c>
      <c r="BU126" s="35">
        <f t="shared" si="349"/>
        <v>924</v>
      </c>
      <c r="BV126" s="74">
        <f t="shared" si="350"/>
        <v>308690</v>
      </c>
      <c r="BW126" s="74">
        <f t="shared" si="351"/>
        <v>452.9955185302594</v>
      </c>
      <c r="BX126" s="1099"/>
      <c r="BY126" s="295">
        <f t="shared" si="293"/>
        <v>1120</v>
      </c>
      <c r="BZ126" s="296"/>
      <c r="CA126" s="296">
        <v>1120</v>
      </c>
      <c r="CB126" s="296"/>
      <c r="CC126" s="297"/>
      <c r="CD126" s="296">
        <f t="shared" si="352"/>
        <v>7360</v>
      </c>
      <c r="CE126" s="297">
        <f t="shared" si="353"/>
        <v>0.12586889943500768</v>
      </c>
      <c r="CF126" s="1062"/>
      <c r="CH126">
        <f t="shared" si="206"/>
        <v>0</v>
      </c>
    </row>
    <row r="127" spans="1:86">
      <c r="A127" s="30">
        <v>44075</v>
      </c>
      <c r="B127" s="283">
        <v>647733</v>
      </c>
      <c r="C127" s="114">
        <f t="shared" si="165"/>
        <v>59121272</v>
      </c>
      <c r="D127" s="91">
        <v>7130.56</v>
      </c>
      <c r="E127" s="93">
        <f t="shared" si="166"/>
        <v>688572.18</v>
      </c>
      <c r="F127" s="241">
        <f>I126</f>
        <v>29700</v>
      </c>
      <c r="G127" s="241"/>
      <c r="H127" s="313"/>
      <c r="I127" s="241">
        <v>3550</v>
      </c>
      <c r="J127" s="241">
        <f>F127+G127-I127</f>
        <v>26150</v>
      </c>
      <c r="K127" s="313">
        <f>J127*1000/B127</f>
        <v>40.371572854864581</v>
      </c>
      <c r="L127" s="241">
        <f>L126+J127</f>
        <v>1894360</v>
      </c>
      <c r="M127" s="313">
        <f>L127*1000/C127</f>
        <v>32.041935768905645</v>
      </c>
      <c r="N127" s="313">
        <f>M127/8.167</f>
        <v>3.9233422026332367</v>
      </c>
      <c r="O127" s="1052">
        <f>1000*SUM(J127:J156)/SUM(B127:B156)</f>
        <v>27.079943072684632</v>
      </c>
      <c r="P127" s="1083">
        <f>O127/8.167</f>
        <v>3.3157760588569403</v>
      </c>
      <c r="Q127" s="117">
        <f>S126</f>
        <v>61213</v>
      </c>
      <c r="R127" s="118"/>
      <c r="S127" s="118">
        <v>61183</v>
      </c>
      <c r="T127" s="35">
        <f>Q127+R127-S127</f>
        <v>30</v>
      </c>
      <c r="U127" s="36">
        <f>1000*T127/B127</f>
        <v>4.6315379948219403E-2</v>
      </c>
      <c r="V127" s="74">
        <f>V126+T127</f>
        <v>103765</v>
      </c>
      <c r="W127" s="36">
        <f>1000*V127/C127</f>
        <v>1.7551212362277997</v>
      </c>
      <c r="X127" s="1135">
        <f>1000*SUM(T127:T156)/SUM(B127:B156)</f>
        <v>1.5973315495301823</v>
      </c>
      <c r="Y127" s="121">
        <f>AA126</f>
        <v>316</v>
      </c>
      <c r="Z127" s="122">
        <v>900</v>
      </c>
      <c r="AA127" s="122">
        <f>956+55</f>
        <v>1011</v>
      </c>
      <c r="AB127" s="122">
        <f>Y127+Z127-AA127</f>
        <v>205</v>
      </c>
      <c r="AC127" s="123">
        <f>AB127*1000/B127</f>
        <v>0.31648842964616591</v>
      </c>
      <c r="AD127" s="122">
        <f>AD126+AB127</f>
        <v>19452</v>
      </c>
      <c r="AE127" s="123">
        <f>AD127*1000/C127</f>
        <v>0.32901863139886434</v>
      </c>
      <c r="AF127" s="1046">
        <f>1000*SUM(AB127:AB156)/SUM(B127:B156)</f>
        <v>8.5621156202982482E-2</v>
      </c>
      <c r="AG127" s="124">
        <f>AI126</f>
        <v>1331</v>
      </c>
      <c r="AH127" s="125"/>
      <c r="AI127" s="125">
        <v>1298</v>
      </c>
      <c r="AJ127" s="125">
        <f>AG127+AH127-AI127</f>
        <v>33</v>
      </c>
      <c r="AK127" s="126">
        <f>AJ127*1000/B127</f>
        <v>5.0946917943041348E-2</v>
      </c>
      <c r="AL127" s="125">
        <f>AL126+AJ127</f>
        <v>9085</v>
      </c>
      <c r="AM127" s="126">
        <f>AL127*1000/C127</f>
        <v>0.15366719444060675</v>
      </c>
      <c r="AN127" s="1057">
        <f>1000*SUM(AJ127:AJ156)/SUM(B127:B156)</f>
        <v>4.097957577943153E-2</v>
      </c>
      <c r="AO127" s="361">
        <v>7</v>
      </c>
      <c r="AP127" s="135">
        <v>24</v>
      </c>
      <c r="AQ127" s="102">
        <f t="shared" si="341"/>
        <v>83.504400000000004</v>
      </c>
      <c r="AR127" s="102">
        <f>AQ127*1000/D127</f>
        <v>11.710777274155186</v>
      </c>
      <c r="AS127" s="103">
        <f>AS126+AQ127</f>
        <v>6852.1324799999993</v>
      </c>
      <c r="AT127" s="136">
        <f>AS127*1000/E127</f>
        <v>9.9512188831096822</v>
      </c>
      <c r="AU127" s="1064">
        <f>1000*SUM(AQ127:AQ156)/SUM(D127:D156)</f>
        <v>11.089332411344616</v>
      </c>
      <c r="AV127" s="70">
        <v>4.0999999999999996</v>
      </c>
      <c r="AW127" s="71">
        <v>12</v>
      </c>
      <c r="AX127" s="72">
        <f>AV127*AW127*0.51673</f>
        <v>25.423116</v>
      </c>
      <c r="AY127" s="72">
        <f>AX127*1000/D127</f>
        <v>3.565374388547323</v>
      </c>
      <c r="AZ127" s="73">
        <f>AZ126+AX127</f>
        <v>2157.8644799999988</v>
      </c>
      <c r="BA127" s="192">
        <f>AZ127*1000/E127</f>
        <v>3.1338246630876068</v>
      </c>
      <c r="BB127" s="1065">
        <f>1000*SUM(AX127:AX156)/SUM(D127:D156)</f>
        <v>3.6080736923295831</v>
      </c>
      <c r="BC127" s="127">
        <f>BE126</f>
        <v>11484</v>
      </c>
      <c r="BD127" s="128"/>
      <c r="BE127" s="129">
        <v>11484</v>
      </c>
      <c r="BF127" s="129"/>
      <c r="BG127" s="130">
        <f>BG126+BF127</f>
        <v>39451</v>
      </c>
      <c r="BH127" s="130">
        <f>BG127*1000/E127</f>
        <v>57.293920878418291</v>
      </c>
      <c r="BI127" s="1132">
        <f>1000*SUM(BF127:BF156)/SUM(D127:D156)</f>
        <v>43.126965082191887</v>
      </c>
      <c r="BJ127" s="131">
        <f>BL126</f>
        <v>480</v>
      </c>
      <c r="BK127" s="132">
        <v>1100</v>
      </c>
      <c r="BL127" s="132">
        <v>1339</v>
      </c>
      <c r="BM127" s="132">
        <f>BJ127+BK127-BL127</f>
        <v>241</v>
      </c>
      <c r="BN127" s="134">
        <f>BM127*1000/B127</f>
        <v>0.37206688558402923</v>
      </c>
      <c r="BO127" s="132">
        <f>BO126+BM127</f>
        <v>18749</v>
      </c>
      <c r="BP127" s="134">
        <f>BO127*1000/C127</f>
        <v>0.31712781822420871</v>
      </c>
      <c r="BQ127" s="1067">
        <f>1000*SUM(BM127:BM156)/SUM(B127:B156)</f>
        <v>0.31830376874917315</v>
      </c>
      <c r="BR127" s="117">
        <f>BT126</f>
        <v>29326</v>
      </c>
      <c r="BS127" s="118"/>
      <c r="BT127" s="118">
        <v>27478</v>
      </c>
      <c r="BU127" s="118">
        <f>BR127+BS127-BT127</f>
        <v>1848</v>
      </c>
      <c r="BV127" s="120">
        <f>BV126+BU127</f>
        <v>310538</v>
      </c>
      <c r="BW127" s="120">
        <f>BV127*1000/E127</f>
        <v>450.98830452313655</v>
      </c>
      <c r="BX127" s="1063">
        <f>1000*SUM(BU127:BU156)/SUM(D127:D156)</f>
        <v>500.62429999798292</v>
      </c>
      <c r="BY127" s="301">
        <f>CA126</f>
        <v>1120</v>
      </c>
      <c r="BZ127" s="302"/>
      <c r="CA127" s="302">
        <v>930</v>
      </c>
      <c r="CB127" s="302">
        <f>BY127+BZ127-CA127</f>
        <v>190</v>
      </c>
      <c r="CC127" s="304">
        <f>CB127*1000/B127</f>
        <v>0.29333073967205625</v>
      </c>
      <c r="CD127" s="302">
        <f>CD126+CB127</f>
        <v>7550</v>
      </c>
      <c r="CE127" s="304">
        <f>CD127*1000/C127</f>
        <v>0.12770361233093902</v>
      </c>
      <c r="CF127" s="1060">
        <f>1000*SUM(CB127:CB156)/SUM(B127:B156)</f>
        <v>0.20425848126088283</v>
      </c>
      <c r="CH127">
        <f t="shared" si="206"/>
        <v>0</v>
      </c>
    </row>
    <row r="128" spans="1:86">
      <c r="A128" s="30">
        <v>44076</v>
      </c>
      <c r="B128" s="265">
        <v>646183</v>
      </c>
      <c r="C128" s="114">
        <f t="shared" si="165"/>
        <v>59767455</v>
      </c>
      <c r="D128" s="91">
        <v>6999.34</v>
      </c>
      <c r="E128" s="93">
        <f t="shared" si="166"/>
        <v>695571.52</v>
      </c>
      <c r="F128" s="240">
        <f>I127</f>
        <v>3550</v>
      </c>
      <c r="G128" s="240"/>
      <c r="H128" s="280"/>
      <c r="I128" s="240">
        <v>3400</v>
      </c>
      <c r="J128" s="240">
        <f>F128+G128-I128</f>
        <v>150</v>
      </c>
      <c r="K128" s="280">
        <f>J128*1000/B128</f>
        <v>0.2321323835507898</v>
      </c>
      <c r="L128" s="240">
        <f>L127+J128</f>
        <v>1894510</v>
      </c>
      <c r="M128" s="280">
        <f>L128*1000/C128</f>
        <v>31.69802026872317</v>
      </c>
      <c r="N128" s="280">
        <f>M128/8.167</f>
        <v>3.8812318193612305</v>
      </c>
      <c r="O128" s="1089"/>
      <c r="P128" s="1084"/>
      <c r="Q128" s="77">
        <f>S127</f>
        <v>61183</v>
      </c>
      <c r="R128" s="35"/>
      <c r="S128" s="35">
        <v>57374</v>
      </c>
      <c r="T128" s="35">
        <f>Q128+R128-S128</f>
        <v>3809</v>
      </c>
      <c r="U128" s="36">
        <f>1000*T128/B128</f>
        <v>5.8946149929663889</v>
      </c>
      <c r="V128" s="74">
        <f>V127+T128</f>
        <v>107574</v>
      </c>
      <c r="W128" s="36">
        <f>1000*V128/C128</f>
        <v>1.799875868898885</v>
      </c>
      <c r="X128" s="1136"/>
      <c r="Y128" s="49">
        <f>AA127</f>
        <v>1011</v>
      </c>
      <c r="Z128" s="50"/>
      <c r="AA128" s="50">
        <f>921+70</f>
        <v>991</v>
      </c>
      <c r="AB128" s="50">
        <f>Y128+Z128-AA128</f>
        <v>20</v>
      </c>
      <c r="AC128" s="51">
        <f>AB128*1000/B128</f>
        <v>3.095098447343864E-2</v>
      </c>
      <c r="AD128" s="50">
        <f>AD127+AB128</f>
        <v>19472</v>
      </c>
      <c r="AE128" s="51">
        <f>AD128*1000/C128</f>
        <v>0.32579603732499568</v>
      </c>
      <c r="AF128" s="1047"/>
      <c r="AG128" s="40">
        <f>AI127</f>
        <v>1298</v>
      </c>
      <c r="AH128" s="41"/>
      <c r="AI128" s="41">
        <v>1281</v>
      </c>
      <c r="AJ128" s="41">
        <f>AG128+AH128-AI128</f>
        <v>17</v>
      </c>
      <c r="AK128" s="42">
        <f>AJ128*1000/B128</f>
        <v>2.6308336802422842E-2</v>
      </c>
      <c r="AL128" s="41">
        <f>AL127+AJ128</f>
        <v>9102</v>
      </c>
      <c r="AM128" s="42">
        <f>AL128*1000/C128</f>
        <v>0.15229023889339105</v>
      </c>
      <c r="AN128" s="1058"/>
      <c r="AO128" s="260">
        <v>6</v>
      </c>
      <c r="AP128" s="67">
        <v>24</v>
      </c>
      <c r="AQ128" s="68">
        <f t="shared" si="341"/>
        <v>71.575199999999995</v>
      </c>
      <c r="AR128" s="68">
        <f>AQ128*1000/D128</f>
        <v>10.225992736458009</v>
      </c>
      <c r="AS128" s="69">
        <f>AS127+AQ128</f>
        <v>6923.7076799999995</v>
      </c>
      <c r="AT128" s="140">
        <f>AS128*1000/E128</f>
        <v>9.9539838548881345</v>
      </c>
      <c r="AU128" s="1073"/>
      <c r="AV128" s="70">
        <v>3.8</v>
      </c>
      <c r="AW128" s="71">
        <v>12</v>
      </c>
      <c r="AX128" s="72">
        <f>AV128*AW128*0.51673</f>
        <v>23.562887999999997</v>
      </c>
      <c r="AY128" s="72">
        <f>AX128*1000/D128</f>
        <v>3.3664442647449615</v>
      </c>
      <c r="AZ128" s="73">
        <f>AZ127+AX128</f>
        <v>2181.4273679999988</v>
      </c>
      <c r="BA128" s="192">
        <f>AZ128*1000/E128</f>
        <v>3.1361654485221</v>
      </c>
      <c r="BB128" s="1075"/>
      <c r="BC128" s="90">
        <f>BE127</f>
        <v>11484</v>
      </c>
      <c r="BD128" s="59"/>
      <c r="BE128" s="56">
        <v>11484</v>
      </c>
      <c r="BF128" s="56"/>
      <c r="BG128" s="58">
        <f>BG127+BF128</f>
        <v>39451</v>
      </c>
      <c r="BH128" s="58">
        <f>BG128*1000/E128</f>
        <v>56.717388314001127</v>
      </c>
      <c r="BI128" s="1133"/>
      <c r="BJ128" s="63">
        <f>BL127</f>
        <v>1339</v>
      </c>
      <c r="BK128" s="64"/>
      <c r="BL128" s="64">
        <v>1135</v>
      </c>
      <c r="BM128" s="64">
        <f>BJ128+BK128-BL128</f>
        <v>204</v>
      </c>
      <c r="BN128" s="65">
        <f>BM128*1000/B128</f>
        <v>0.31570004162907411</v>
      </c>
      <c r="BO128" s="64">
        <f>BO127+BM128</f>
        <v>18953</v>
      </c>
      <c r="BP128" s="65">
        <f>BO128*1000/C128</f>
        <v>0.31711238164649974</v>
      </c>
      <c r="BQ128" s="1071"/>
      <c r="BR128" s="35">
        <f>BT127</f>
        <v>27478</v>
      </c>
      <c r="BS128" s="35"/>
      <c r="BT128" s="35">
        <v>24705</v>
      </c>
      <c r="BU128" s="35">
        <f>BR128+BS128-BT128</f>
        <v>2773</v>
      </c>
      <c r="BV128" s="74">
        <f>BV127+BU128</f>
        <v>313311</v>
      </c>
      <c r="BW128" s="74">
        <f>BV128*1000/E128</f>
        <v>450.43678614098519</v>
      </c>
      <c r="BX128" s="1098"/>
      <c r="BY128" s="295">
        <f>CA127</f>
        <v>930</v>
      </c>
      <c r="BZ128" s="296"/>
      <c r="CA128" s="296">
        <v>830</v>
      </c>
      <c r="CB128" s="296">
        <f>BY128+BZ128-CA128</f>
        <v>100</v>
      </c>
      <c r="CC128" s="297">
        <f>CB128*1000/B128</f>
        <v>0.15475492236719318</v>
      </c>
      <c r="CD128" s="296">
        <f>CD127+CB128</f>
        <v>7650</v>
      </c>
      <c r="CE128" s="297">
        <f>CD128*1000/C128</f>
        <v>0.12799608081020014</v>
      </c>
      <c r="CF128" s="1061"/>
      <c r="CH128">
        <f t="shared" si="206"/>
        <v>425555.9</v>
      </c>
    </row>
    <row r="129" spans="1:86">
      <c r="A129" s="30">
        <v>44077</v>
      </c>
      <c r="B129" s="265">
        <v>626643</v>
      </c>
      <c r="C129" s="114">
        <f t="shared" si="165"/>
        <v>60394098</v>
      </c>
      <c r="D129" s="91">
        <v>6309.94</v>
      </c>
      <c r="E129" s="93">
        <f t="shared" si="166"/>
        <v>701881.46</v>
      </c>
      <c r="F129" s="240">
        <f t="shared" ref="F129:F156" si="371">I128</f>
        <v>3400</v>
      </c>
      <c r="G129" s="240">
        <v>34440</v>
      </c>
      <c r="H129" s="280">
        <v>18.399999999999999</v>
      </c>
      <c r="I129" s="240">
        <f>9600+3240</f>
        <v>12840</v>
      </c>
      <c r="J129" s="240">
        <f t="shared" ref="J129:J136" si="372">F129+G129-I129</f>
        <v>25000</v>
      </c>
      <c r="K129" s="280">
        <f t="shared" ref="K129:K136" si="373">J129*1000/B129</f>
        <v>39.895123698820541</v>
      </c>
      <c r="L129" s="240">
        <f t="shared" ref="L129:L136" si="374">L128+J129</f>
        <v>1919510</v>
      </c>
      <c r="M129" s="280">
        <f t="shared" ref="M129:M136" si="375">L129*1000/C129</f>
        <v>31.783072577721089</v>
      </c>
      <c r="N129" s="280">
        <f t="shared" ref="N129:N136" si="376">M129/8.167</f>
        <v>3.8916459627428788</v>
      </c>
      <c r="O129" s="1089"/>
      <c r="P129" s="1084"/>
      <c r="Q129" s="77">
        <f t="shared" ref="Q129:Q156" si="377">S128</f>
        <v>57374</v>
      </c>
      <c r="R129" s="35"/>
      <c r="S129" s="35">
        <v>56998</v>
      </c>
      <c r="T129" s="35">
        <f t="shared" ref="T129:T136" si="378">Q129+R129-S129</f>
        <v>376</v>
      </c>
      <c r="U129" s="36">
        <f t="shared" ref="U129:U136" si="379">1000*T129/B129</f>
        <v>0.60002266043026098</v>
      </c>
      <c r="V129" s="74">
        <f t="shared" ref="V129:V136" si="380">V128+T129</f>
        <v>107950</v>
      </c>
      <c r="W129" s="36">
        <f t="shared" ref="W129:W136" si="381">1000*V129/C129</f>
        <v>1.7874263144057554</v>
      </c>
      <c r="X129" s="1136"/>
      <c r="Y129" s="49">
        <f t="shared" ref="Y129:Y156" si="382">AA128</f>
        <v>991</v>
      </c>
      <c r="Z129" s="50"/>
      <c r="AA129" s="50">
        <f>832+98</f>
        <v>930</v>
      </c>
      <c r="AB129" s="50">
        <f t="shared" ref="AB129:AB136" si="383">Y129+Z129-AA129</f>
        <v>61</v>
      </c>
      <c r="AC129" s="51">
        <f t="shared" ref="AC129:AC136" si="384">AB129*1000/B129</f>
        <v>9.7344101825122126E-2</v>
      </c>
      <c r="AD129" s="50">
        <f t="shared" ref="AD129:AD136" si="385">AD128+AB129</f>
        <v>19533</v>
      </c>
      <c r="AE129" s="51">
        <f t="shared" ref="AE129:AE136" si="386">AD129*1000/C129</f>
        <v>0.32342564334680518</v>
      </c>
      <c r="AF129" s="1047"/>
      <c r="AG129" s="40">
        <f t="shared" ref="AG129:AG156" si="387">AI128</f>
        <v>1281</v>
      </c>
      <c r="AH129" s="41"/>
      <c r="AI129" s="41">
        <v>1264</v>
      </c>
      <c r="AJ129" s="41">
        <f t="shared" ref="AJ129:AJ136" si="388">AG129+AH129-AI129</f>
        <v>17</v>
      </c>
      <c r="AK129" s="42">
        <f t="shared" ref="AK129:AK136" si="389">AJ129*1000/B129</f>
        <v>2.7128684115197966E-2</v>
      </c>
      <c r="AL129" s="41">
        <f t="shared" ref="AL129:AL136" si="390">AL128+AJ129</f>
        <v>9119</v>
      </c>
      <c r="AM129" s="42">
        <f t="shared" ref="AM129:AM136" si="391">AL129*1000/C129</f>
        <v>0.1509915753688382</v>
      </c>
      <c r="AN129" s="1058"/>
      <c r="AO129" s="220">
        <v>6.1</v>
      </c>
      <c r="AP129" s="67">
        <v>24</v>
      </c>
      <c r="AQ129" s="68">
        <f t="shared" si="341"/>
        <v>72.768119999999982</v>
      </c>
      <c r="AR129" s="68">
        <f>AQ129*1000/D129</f>
        <v>11.532299831694118</v>
      </c>
      <c r="AS129" s="69">
        <f>AS128+AQ129</f>
        <v>6996.4757999999993</v>
      </c>
      <c r="AT129" s="140">
        <f>AS129*1000/E129</f>
        <v>9.9681729732539157</v>
      </c>
      <c r="AU129" s="1073"/>
      <c r="AV129" s="70">
        <v>3.8</v>
      </c>
      <c r="AW129" s="71">
        <v>12</v>
      </c>
      <c r="AX129" s="72">
        <f>AV129*AW129*0.51673</f>
        <v>23.562887999999997</v>
      </c>
      <c r="AY129" s="72">
        <f>AX129*1000/D129</f>
        <v>3.7342491370757886</v>
      </c>
      <c r="AZ129" s="73">
        <f>AZ128+AX129</f>
        <v>2204.9902559999987</v>
      </c>
      <c r="BA129" s="192">
        <f>AZ129*1000/E129</f>
        <v>3.141542242759908</v>
      </c>
      <c r="BB129" s="1075"/>
      <c r="BC129" s="90">
        <f t="shared" ref="BC129:BC156" si="392">BE128</f>
        <v>11484</v>
      </c>
      <c r="BD129" s="59"/>
      <c r="BE129" s="56">
        <v>9322</v>
      </c>
      <c r="BF129" s="56">
        <f>BC129-BE129+BD129</f>
        <v>2162</v>
      </c>
      <c r="BG129" s="58">
        <f>BG128+BF129</f>
        <v>41613</v>
      </c>
      <c r="BH129" s="58">
        <f>BG129*1000/E129</f>
        <v>59.28778913749909</v>
      </c>
      <c r="BI129" s="1133"/>
      <c r="BJ129" s="63">
        <f t="shared" ref="BJ129:BJ156" si="393">BL128</f>
        <v>1135</v>
      </c>
      <c r="BK129" s="64"/>
      <c r="BL129" s="64">
        <v>960</v>
      </c>
      <c r="BM129" s="64">
        <f t="shared" ref="BM129:BM136" si="394">BJ129+BK129-BL129</f>
        <v>175</v>
      </c>
      <c r="BN129" s="65">
        <f t="shared" ref="BN129:BN136" si="395">BM129*1000/B129</f>
        <v>0.27926586589174379</v>
      </c>
      <c r="BO129" s="64">
        <f t="shared" ref="BO129:BO136" si="396">BO128+BM129</f>
        <v>19128</v>
      </c>
      <c r="BP129" s="65">
        <f t="shared" ref="BP129:BP136" si="397">BO129*1000/C129</f>
        <v>0.31671969005978035</v>
      </c>
      <c r="BQ129" s="1071"/>
      <c r="BR129" s="35">
        <f t="shared" ref="BR129:BR156" si="398">BT128</f>
        <v>24705</v>
      </c>
      <c r="BS129" s="35"/>
      <c r="BT129" s="35">
        <v>21008</v>
      </c>
      <c r="BU129" s="35">
        <f t="shared" ref="BU129:BU136" si="399">BR129+BS129-BT129</f>
        <v>3697</v>
      </c>
      <c r="BV129" s="74">
        <f t="shared" ref="BV129:BV136" si="400">BV128+BU129</f>
        <v>317008</v>
      </c>
      <c r="BW129" s="74">
        <f t="shared" ref="BW129:BW136" si="401">BV129*1000/E129</f>
        <v>451.65461415664123</v>
      </c>
      <c r="BX129" s="1098"/>
      <c r="BY129" s="295">
        <f t="shared" ref="BY129:BY156" si="402">CA128</f>
        <v>830</v>
      </c>
      <c r="BZ129" s="296"/>
      <c r="CA129" s="296">
        <v>690</v>
      </c>
      <c r="CB129" s="296">
        <f t="shared" ref="CB129:CB136" si="403">BY129+BZ129-CA129</f>
        <v>140</v>
      </c>
      <c r="CC129" s="297">
        <f t="shared" ref="CC129:CC136" si="404">CB129*1000/B129</f>
        <v>0.22341269271339503</v>
      </c>
      <c r="CD129" s="296">
        <f t="shared" ref="CD129:CD136" si="405">CD128+CB129</f>
        <v>7790</v>
      </c>
      <c r="CE129" s="297">
        <f t="shared" ref="CE129:CE136" si="406">CD129*1000/C129</f>
        <v>0.12898611384178632</v>
      </c>
      <c r="CF129" s="1061"/>
      <c r="CH129">
        <f t="shared" si="206"/>
        <v>0</v>
      </c>
    </row>
    <row r="130" spans="1:86">
      <c r="A130" s="30">
        <v>44078</v>
      </c>
      <c r="B130" s="265">
        <v>530914</v>
      </c>
      <c r="C130" s="114">
        <f t="shared" si="165"/>
        <v>60925012</v>
      </c>
      <c r="D130" s="91">
        <v>6764.7</v>
      </c>
      <c r="E130" s="93">
        <f t="shared" si="166"/>
        <v>708646.15999999992</v>
      </c>
      <c r="F130" s="240">
        <f t="shared" si="371"/>
        <v>12840</v>
      </c>
      <c r="G130" s="240"/>
      <c r="H130" s="280"/>
      <c r="I130" s="240">
        <v>1200</v>
      </c>
      <c r="J130" s="240">
        <f t="shared" si="372"/>
        <v>11640</v>
      </c>
      <c r="K130" s="280">
        <f t="shared" si="373"/>
        <v>21.92445480812335</v>
      </c>
      <c r="L130" s="240">
        <f t="shared" si="374"/>
        <v>1931150</v>
      </c>
      <c r="M130" s="280">
        <f t="shared" si="375"/>
        <v>31.697162406796078</v>
      </c>
      <c r="N130" s="280">
        <f t="shared" si="376"/>
        <v>3.8811267793309758</v>
      </c>
      <c r="O130" s="1089"/>
      <c r="P130" s="1084"/>
      <c r="Q130" s="77">
        <f t="shared" si="377"/>
        <v>56998</v>
      </c>
      <c r="R130" s="35"/>
      <c r="S130" s="35">
        <v>55013</v>
      </c>
      <c r="T130" s="35">
        <f t="shared" si="378"/>
        <v>1985</v>
      </c>
      <c r="U130" s="36">
        <f t="shared" si="379"/>
        <v>3.738835291591482</v>
      </c>
      <c r="V130" s="74">
        <f t="shared" si="380"/>
        <v>109935</v>
      </c>
      <c r="W130" s="36">
        <f t="shared" si="381"/>
        <v>1.804431322885911</v>
      </c>
      <c r="X130" s="1136"/>
      <c r="Y130" s="49">
        <f t="shared" si="382"/>
        <v>930</v>
      </c>
      <c r="Z130" s="50"/>
      <c r="AA130" s="50">
        <f>800+97</f>
        <v>897</v>
      </c>
      <c r="AB130" s="50">
        <f t="shared" si="383"/>
        <v>33</v>
      </c>
      <c r="AC130" s="51">
        <f t="shared" si="384"/>
        <v>6.2156959507566195E-2</v>
      </c>
      <c r="AD130" s="50">
        <f t="shared" si="385"/>
        <v>19566</v>
      </c>
      <c r="AE130" s="51">
        <f t="shared" si="386"/>
        <v>0.32114889037691119</v>
      </c>
      <c r="AF130" s="1047"/>
      <c r="AG130" s="40">
        <f t="shared" si="387"/>
        <v>1264</v>
      </c>
      <c r="AH130" s="41"/>
      <c r="AI130" s="41">
        <v>1229</v>
      </c>
      <c r="AJ130" s="41">
        <f t="shared" si="388"/>
        <v>35</v>
      </c>
      <c r="AK130" s="42">
        <f t="shared" si="389"/>
        <v>6.5924047962570204E-2</v>
      </c>
      <c r="AL130" s="41">
        <f t="shared" si="390"/>
        <v>9154</v>
      </c>
      <c r="AM130" s="42">
        <f t="shared" si="391"/>
        <v>0.1502502781616194</v>
      </c>
      <c r="AN130" s="1058"/>
      <c r="AO130" s="260">
        <v>6</v>
      </c>
      <c r="AP130" s="67">
        <v>24</v>
      </c>
      <c r="AQ130" s="68">
        <f t="shared" si="341"/>
        <v>71.575199999999995</v>
      </c>
      <c r="AR130" s="68">
        <f t="shared" ref="AR130:AR139" si="407">AQ130*1000/D130</f>
        <v>10.580690939731252</v>
      </c>
      <c r="AS130" s="69">
        <f t="shared" ref="AS130:AS139" si="408">AS129+AQ130</f>
        <v>7068.0509999999995</v>
      </c>
      <c r="AT130" s="140">
        <f t="shared" ref="AT130:AT139" si="409">AS130*1000/E130</f>
        <v>9.9740200384349791</v>
      </c>
      <c r="AU130" s="1073"/>
      <c r="AV130" s="70">
        <v>3.8</v>
      </c>
      <c r="AW130" s="71">
        <v>12</v>
      </c>
      <c r="AX130" s="72">
        <f t="shared" ref="AX130:AX140" si="410">AV130*AW130*0.51673</f>
        <v>23.562887999999997</v>
      </c>
      <c r="AY130" s="72">
        <f t="shared" ref="AY130:AY140" si="411">AX130*1000/D130</f>
        <v>3.4832125593152687</v>
      </c>
      <c r="AZ130" s="73">
        <f t="shared" ref="AZ130:AZ140" si="412">AZ129+AX130</f>
        <v>2228.5531439999986</v>
      </c>
      <c r="BA130" s="192">
        <f t="shared" ref="BA130:BA140" si="413">AZ130*1000/E130</f>
        <v>3.1448038101271849</v>
      </c>
      <c r="BB130" s="1075"/>
      <c r="BC130" s="90">
        <f t="shared" si="392"/>
        <v>9322</v>
      </c>
      <c r="BD130" s="59"/>
      <c r="BE130" s="56">
        <v>9322</v>
      </c>
      <c r="BF130" s="56"/>
      <c r="BG130" s="58">
        <f t="shared" ref="BG130:BG156" si="414">BG129+BF130</f>
        <v>41613</v>
      </c>
      <c r="BH130" s="58">
        <f t="shared" ref="BH130:BH156" si="415">BG130*1000/E130</f>
        <v>58.721830934637403</v>
      </c>
      <c r="BI130" s="1133"/>
      <c r="BJ130" s="63">
        <f t="shared" si="393"/>
        <v>960</v>
      </c>
      <c r="BK130" s="64">
        <v>1100</v>
      </c>
      <c r="BL130" s="64">
        <v>1872</v>
      </c>
      <c r="BM130" s="64">
        <f t="shared" si="394"/>
        <v>188</v>
      </c>
      <c r="BN130" s="65">
        <f t="shared" si="395"/>
        <v>0.35410631477037713</v>
      </c>
      <c r="BO130" s="64">
        <f t="shared" si="396"/>
        <v>19316</v>
      </c>
      <c r="BP130" s="65">
        <f t="shared" si="397"/>
        <v>0.31704548535829585</v>
      </c>
      <c r="BQ130" s="1071"/>
      <c r="BR130" s="35">
        <f t="shared" si="398"/>
        <v>21008</v>
      </c>
      <c r="BS130" s="35"/>
      <c r="BT130" s="35">
        <v>20084</v>
      </c>
      <c r="BU130" s="35">
        <f t="shared" si="399"/>
        <v>924</v>
      </c>
      <c r="BV130" s="74">
        <f t="shared" si="400"/>
        <v>317932</v>
      </c>
      <c r="BW130" s="74">
        <f t="shared" si="401"/>
        <v>448.64703704878616</v>
      </c>
      <c r="BX130" s="1098"/>
      <c r="BY130" s="295">
        <f t="shared" si="402"/>
        <v>690</v>
      </c>
      <c r="BZ130" s="296"/>
      <c r="CA130" s="296">
        <v>650</v>
      </c>
      <c r="CB130" s="296">
        <f t="shared" si="403"/>
        <v>40</v>
      </c>
      <c r="CC130" s="297">
        <f t="shared" si="404"/>
        <v>7.5341769100080239E-2</v>
      </c>
      <c r="CD130" s="296">
        <f t="shared" si="405"/>
        <v>7830</v>
      </c>
      <c r="CE130" s="297">
        <f t="shared" si="406"/>
        <v>0.12851864518303255</v>
      </c>
      <c r="CF130" s="1061"/>
      <c r="CH130">
        <f t="shared" si="206"/>
        <v>0</v>
      </c>
    </row>
    <row r="131" spans="1:86">
      <c r="A131" s="30">
        <v>44079</v>
      </c>
      <c r="B131" s="265">
        <v>618305</v>
      </c>
      <c r="C131" s="114">
        <f t="shared" ref="C131:C190" si="416">C130+B131</f>
        <v>61543317</v>
      </c>
      <c r="D131" s="91">
        <v>7121.78</v>
      </c>
      <c r="E131" s="93">
        <f t="shared" ref="E131:E190" si="417">E130+D131</f>
        <v>715767.94</v>
      </c>
      <c r="F131" s="240">
        <f t="shared" si="371"/>
        <v>1200</v>
      </c>
      <c r="G131" s="240">
        <v>36000</v>
      </c>
      <c r="H131" s="280">
        <v>18.37</v>
      </c>
      <c r="I131" s="240">
        <f>14000+3180</f>
        <v>17180</v>
      </c>
      <c r="J131" s="240">
        <f t="shared" si="372"/>
        <v>20020</v>
      </c>
      <c r="K131" s="280">
        <f t="shared" si="373"/>
        <v>32.378842157187798</v>
      </c>
      <c r="L131" s="240">
        <f t="shared" si="374"/>
        <v>1951170</v>
      </c>
      <c r="M131" s="280">
        <f t="shared" si="375"/>
        <v>31.704011013900988</v>
      </c>
      <c r="N131" s="280">
        <f t="shared" si="376"/>
        <v>3.8819653500552209</v>
      </c>
      <c r="O131" s="1089"/>
      <c r="P131" s="1084"/>
      <c r="Q131" s="77">
        <f t="shared" si="377"/>
        <v>55013</v>
      </c>
      <c r="R131" s="35"/>
      <c r="S131" s="35">
        <v>54175</v>
      </c>
      <c r="T131" s="35">
        <f t="shared" si="378"/>
        <v>838</v>
      </c>
      <c r="U131" s="36">
        <f t="shared" si="379"/>
        <v>1.3553181682179507</v>
      </c>
      <c r="V131" s="74">
        <f t="shared" si="380"/>
        <v>110773</v>
      </c>
      <c r="W131" s="36">
        <f t="shared" si="381"/>
        <v>1.7999192341225287</v>
      </c>
      <c r="X131" s="1136"/>
      <c r="Y131" s="49">
        <f t="shared" si="382"/>
        <v>897</v>
      </c>
      <c r="Z131" s="50"/>
      <c r="AA131" s="50">
        <f>743+82</f>
        <v>825</v>
      </c>
      <c r="AB131" s="50">
        <f t="shared" si="383"/>
        <v>72</v>
      </c>
      <c r="AC131" s="51">
        <f t="shared" si="384"/>
        <v>0.11644738438149457</v>
      </c>
      <c r="AD131" s="50">
        <f t="shared" si="385"/>
        <v>19638</v>
      </c>
      <c r="AE131" s="51">
        <f t="shared" si="386"/>
        <v>0.31909232321683278</v>
      </c>
      <c r="AF131" s="1047"/>
      <c r="AG131" s="40">
        <f t="shared" si="387"/>
        <v>1229</v>
      </c>
      <c r="AH131" s="41"/>
      <c r="AI131" s="41">
        <v>1229</v>
      </c>
      <c r="AJ131" s="41">
        <f t="shared" si="388"/>
        <v>0</v>
      </c>
      <c r="AK131" s="42">
        <f t="shared" si="389"/>
        <v>0</v>
      </c>
      <c r="AL131" s="41">
        <f t="shared" si="390"/>
        <v>9154</v>
      </c>
      <c r="AM131" s="42">
        <f t="shared" si="391"/>
        <v>0.1487407641677812</v>
      </c>
      <c r="AN131" s="1058"/>
      <c r="AO131" s="220">
        <v>5.2</v>
      </c>
      <c r="AP131" s="67">
        <v>24</v>
      </c>
      <c r="AQ131" s="68">
        <f t="shared" si="341"/>
        <v>62.031840000000003</v>
      </c>
      <c r="AR131" s="68">
        <f t="shared" si="407"/>
        <v>8.7101595387669946</v>
      </c>
      <c r="AS131" s="69">
        <f t="shared" si="408"/>
        <v>7130.0828399999991</v>
      </c>
      <c r="AT131" s="140">
        <f t="shared" si="409"/>
        <v>9.9614448224657828</v>
      </c>
      <c r="AU131" s="1073"/>
      <c r="AV131" s="70">
        <v>4</v>
      </c>
      <c r="AW131" s="71">
        <v>12</v>
      </c>
      <c r="AX131" s="72">
        <f t="shared" si="410"/>
        <v>24.803040000000003</v>
      </c>
      <c r="AY131" s="72">
        <f t="shared" si="411"/>
        <v>3.4827023581183365</v>
      </c>
      <c r="AZ131" s="73">
        <f t="shared" si="412"/>
        <v>2253.3561839999984</v>
      </c>
      <c r="BA131" s="192">
        <f t="shared" si="413"/>
        <v>3.1481658482775838</v>
      </c>
      <c r="BB131" s="1075"/>
      <c r="BC131" s="90">
        <f t="shared" si="392"/>
        <v>9322</v>
      </c>
      <c r="BD131" s="59"/>
      <c r="BE131" s="56">
        <v>9322</v>
      </c>
      <c r="BF131" s="56"/>
      <c r="BG131" s="58">
        <f t="shared" si="414"/>
        <v>41613</v>
      </c>
      <c r="BH131" s="58">
        <f t="shared" si="415"/>
        <v>58.137557823559412</v>
      </c>
      <c r="BI131" s="1133"/>
      <c r="BJ131" s="63">
        <f t="shared" si="393"/>
        <v>1872</v>
      </c>
      <c r="BK131" s="64"/>
      <c r="BL131" s="64">
        <v>1579</v>
      </c>
      <c r="BM131" s="64">
        <f t="shared" si="394"/>
        <v>293</v>
      </c>
      <c r="BN131" s="65">
        <f t="shared" si="395"/>
        <v>0.47387616144135986</v>
      </c>
      <c r="BO131" s="64">
        <f t="shared" si="396"/>
        <v>19609</v>
      </c>
      <c r="BP131" s="65">
        <f t="shared" si="397"/>
        <v>0.31862111039611335</v>
      </c>
      <c r="BQ131" s="1071"/>
      <c r="BR131" s="35">
        <f t="shared" si="398"/>
        <v>20084</v>
      </c>
      <c r="BS131" s="320"/>
      <c r="BT131" s="35">
        <v>17312</v>
      </c>
      <c r="BU131" s="35">
        <f t="shared" si="399"/>
        <v>2772</v>
      </c>
      <c r="BV131" s="74">
        <f t="shared" si="400"/>
        <v>320704</v>
      </c>
      <c r="BW131" s="74">
        <f t="shared" si="401"/>
        <v>448.05583217376295</v>
      </c>
      <c r="BX131" s="1098"/>
      <c r="BY131" s="295">
        <f t="shared" si="402"/>
        <v>650</v>
      </c>
      <c r="BZ131" s="296"/>
      <c r="CA131" s="296">
        <v>510</v>
      </c>
      <c r="CB131" s="296">
        <f t="shared" si="403"/>
        <v>140</v>
      </c>
      <c r="CC131" s="297">
        <f t="shared" si="404"/>
        <v>0.22642546963068388</v>
      </c>
      <c r="CD131" s="296">
        <f t="shared" si="405"/>
        <v>7970</v>
      </c>
      <c r="CE131" s="297">
        <f t="shared" si="406"/>
        <v>0.12950228210806383</v>
      </c>
      <c r="CF131" s="1061"/>
      <c r="CH131">
        <f t="shared" si="206"/>
        <v>633696</v>
      </c>
    </row>
    <row r="132" spans="1:86">
      <c r="A132" s="30">
        <v>44080</v>
      </c>
      <c r="B132" s="265">
        <v>668446</v>
      </c>
      <c r="C132" s="114">
        <f t="shared" si="416"/>
        <v>62211763</v>
      </c>
      <c r="D132" s="91">
        <v>6760.66</v>
      </c>
      <c r="E132" s="93">
        <f t="shared" si="417"/>
        <v>722528.6</v>
      </c>
      <c r="F132" s="240">
        <f t="shared" si="371"/>
        <v>17180</v>
      </c>
      <c r="G132" s="240">
        <v>26000</v>
      </c>
      <c r="H132" s="280">
        <v>20.22</v>
      </c>
      <c r="I132" s="240">
        <f>18800+3050</f>
        <v>21850</v>
      </c>
      <c r="J132" s="240">
        <f t="shared" si="372"/>
        <v>21330</v>
      </c>
      <c r="K132" s="280">
        <f t="shared" si="373"/>
        <v>31.909832656639431</v>
      </c>
      <c r="L132" s="240">
        <f t="shared" si="374"/>
        <v>1972500</v>
      </c>
      <c r="M132" s="280">
        <f t="shared" si="375"/>
        <v>31.706222503290896</v>
      </c>
      <c r="N132" s="280">
        <f t="shared" si="376"/>
        <v>3.8822361336220026</v>
      </c>
      <c r="O132" s="1089"/>
      <c r="P132" s="1084"/>
      <c r="Q132" s="77">
        <f t="shared" si="377"/>
        <v>54175</v>
      </c>
      <c r="R132" s="35"/>
      <c r="S132" s="35">
        <v>54175</v>
      </c>
      <c r="T132" s="35">
        <f t="shared" si="378"/>
        <v>0</v>
      </c>
      <c r="U132" s="36">
        <f t="shared" si="379"/>
        <v>0</v>
      </c>
      <c r="V132" s="74">
        <f t="shared" si="380"/>
        <v>110773</v>
      </c>
      <c r="W132" s="36">
        <f t="shared" si="381"/>
        <v>1.7805796630453954</v>
      </c>
      <c r="X132" s="1136"/>
      <c r="Y132" s="49">
        <f t="shared" si="382"/>
        <v>825</v>
      </c>
      <c r="Z132" s="50"/>
      <c r="AA132" s="50">
        <f>653+92</f>
        <v>745</v>
      </c>
      <c r="AB132" s="50">
        <f t="shared" si="383"/>
        <v>80</v>
      </c>
      <c r="AC132" s="51">
        <f t="shared" si="384"/>
        <v>0.11968057255185909</v>
      </c>
      <c r="AD132" s="50">
        <f t="shared" si="385"/>
        <v>19718</v>
      </c>
      <c r="AE132" s="51">
        <f t="shared" si="386"/>
        <v>0.31694970611908235</v>
      </c>
      <c r="AF132" s="1047"/>
      <c r="AG132" s="40">
        <f t="shared" si="387"/>
        <v>1229</v>
      </c>
      <c r="AH132" s="41"/>
      <c r="AI132" s="41">
        <v>1193</v>
      </c>
      <c r="AJ132" s="41">
        <f t="shared" si="388"/>
        <v>36</v>
      </c>
      <c r="AK132" s="42">
        <f t="shared" si="389"/>
        <v>5.385625764833659E-2</v>
      </c>
      <c r="AL132" s="41">
        <f t="shared" si="390"/>
        <v>9190</v>
      </c>
      <c r="AM132" s="42">
        <f t="shared" si="391"/>
        <v>0.14772125972382424</v>
      </c>
      <c r="AN132" s="1058"/>
      <c r="AO132" s="220">
        <v>6.2</v>
      </c>
      <c r="AP132" s="67">
        <v>24</v>
      </c>
      <c r="AQ132" s="68">
        <f t="shared" si="341"/>
        <v>73.961040000000011</v>
      </c>
      <c r="AR132" s="68">
        <f t="shared" si="407"/>
        <v>10.939914150393601</v>
      </c>
      <c r="AS132" s="69">
        <f t="shared" si="408"/>
        <v>7204.0438799999993</v>
      </c>
      <c r="AT132" s="140">
        <f t="shared" si="409"/>
        <v>9.9706003056487997</v>
      </c>
      <c r="AU132" s="1073"/>
      <c r="AV132" s="70">
        <v>3.9</v>
      </c>
      <c r="AW132" s="71">
        <v>12</v>
      </c>
      <c r="AX132" s="72">
        <f t="shared" si="410"/>
        <v>24.182963999999998</v>
      </c>
      <c r="AY132" s="72">
        <f t="shared" si="411"/>
        <v>3.5770123035324954</v>
      </c>
      <c r="AZ132" s="73">
        <f t="shared" si="412"/>
        <v>2277.5391479999985</v>
      </c>
      <c r="BA132" s="192">
        <f t="shared" si="413"/>
        <v>3.1521785407525718</v>
      </c>
      <c r="BB132" s="1075"/>
      <c r="BC132" s="90">
        <f t="shared" si="392"/>
        <v>9322</v>
      </c>
      <c r="BD132" s="59"/>
      <c r="BE132" s="56">
        <v>9322</v>
      </c>
      <c r="BF132" s="56"/>
      <c r="BG132" s="58">
        <f t="shared" si="414"/>
        <v>41613</v>
      </c>
      <c r="BH132" s="58">
        <f t="shared" si="415"/>
        <v>57.593567922432413</v>
      </c>
      <c r="BI132" s="1133"/>
      <c r="BJ132" s="63">
        <f t="shared" si="393"/>
        <v>1579</v>
      </c>
      <c r="BK132" s="64"/>
      <c r="BL132" s="64">
        <v>1357</v>
      </c>
      <c r="BM132" s="64">
        <f t="shared" si="394"/>
        <v>222</v>
      </c>
      <c r="BN132" s="65">
        <f t="shared" si="395"/>
        <v>0.33211358883140896</v>
      </c>
      <c r="BO132" s="64">
        <f t="shared" si="396"/>
        <v>19831</v>
      </c>
      <c r="BP132" s="65">
        <f t="shared" si="397"/>
        <v>0.31876608287085517</v>
      </c>
      <c r="BQ132" s="1071"/>
      <c r="BR132" s="35">
        <f t="shared" si="398"/>
        <v>17312</v>
      </c>
      <c r="BS132" s="35"/>
      <c r="BT132" s="35">
        <v>15463</v>
      </c>
      <c r="BU132" s="35">
        <f t="shared" si="399"/>
        <v>1849</v>
      </c>
      <c r="BV132" s="74">
        <f t="shared" si="400"/>
        <v>322553</v>
      </c>
      <c r="BW132" s="74">
        <f t="shared" si="401"/>
        <v>446.4224668753597</v>
      </c>
      <c r="BX132" s="1098"/>
      <c r="BY132" s="295">
        <f t="shared" si="402"/>
        <v>510</v>
      </c>
      <c r="BZ132" s="296"/>
      <c r="CA132" s="296">
        <v>430</v>
      </c>
      <c r="CB132" s="296">
        <f t="shared" si="403"/>
        <v>80</v>
      </c>
      <c r="CC132" s="297">
        <f t="shared" si="404"/>
        <v>0.11968057255185909</v>
      </c>
      <c r="CD132" s="296">
        <f t="shared" si="405"/>
        <v>8050</v>
      </c>
      <c r="CE132" s="297">
        <f t="shared" si="406"/>
        <v>0.12939675090062952</v>
      </c>
      <c r="CF132" s="1061"/>
      <c r="CH132">
        <f t="shared" si="206"/>
        <v>0</v>
      </c>
    </row>
    <row r="133" spans="1:86">
      <c r="A133" s="30">
        <v>44081</v>
      </c>
      <c r="B133" s="265">
        <v>622127</v>
      </c>
      <c r="C133" s="114">
        <f t="shared" si="416"/>
        <v>62833890</v>
      </c>
      <c r="D133" s="91">
        <v>6120.82</v>
      </c>
      <c r="E133" s="93">
        <f t="shared" si="417"/>
        <v>728649.41999999993</v>
      </c>
      <c r="F133" s="240">
        <f t="shared" si="371"/>
        <v>21850</v>
      </c>
      <c r="G133" s="240">
        <v>24700</v>
      </c>
      <c r="H133" s="280">
        <v>21.26</v>
      </c>
      <c r="I133" s="240">
        <f>22800+2950</f>
        <v>25750</v>
      </c>
      <c r="J133" s="240">
        <f t="shared" si="372"/>
        <v>20800</v>
      </c>
      <c r="K133" s="280">
        <f t="shared" si="373"/>
        <v>33.43368797689218</v>
      </c>
      <c r="L133" s="240">
        <f t="shared" si="374"/>
        <v>1993300</v>
      </c>
      <c r="M133" s="280">
        <f t="shared" si="375"/>
        <v>31.723326376896289</v>
      </c>
      <c r="N133" s="280">
        <f t="shared" si="376"/>
        <v>3.8843304000117902</v>
      </c>
      <c r="O133" s="1089"/>
      <c r="P133" s="1084"/>
      <c r="Q133" s="77">
        <f t="shared" si="377"/>
        <v>54175</v>
      </c>
      <c r="R133" s="35"/>
      <c r="S133" s="35">
        <v>54175</v>
      </c>
      <c r="T133" s="35">
        <f t="shared" si="378"/>
        <v>0</v>
      </c>
      <c r="U133" s="36">
        <f t="shared" si="379"/>
        <v>0</v>
      </c>
      <c r="V133" s="74">
        <f t="shared" si="380"/>
        <v>110773</v>
      </c>
      <c r="W133" s="36">
        <f t="shared" si="381"/>
        <v>1.7629498985340555</v>
      </c>
      <c r="X133" s="1136"/>
      <c r="Y133" s="49">
        <f t="shared" si="382"/>
        <v>745</v>
      </c>
      <c r="Z133" s="50"/>
      <c r="AA133" s="50">
        <f>581+92</f>
        <v>673</v>
      </c>
      <c r="AB133" s="50">
        <f t="shared" si="383"/>
        <v>72</v>
      </c>
      <c r="AC133" s="51">
        <f t="shared" si="384"/>
        <v>0.11573199684308831</v>
      </c>
      <c r="AD133" s="50">
        <f t="shared" si="385"/>
        <v>19790</v>
      </c>
      <c r="AE133" s="51">
        <f t="shared" si="386"/>
        <v>0.31495742186262859</v>
      </c>
      <c r="AF133" s="1047"/>
      <c r="AG133" s="40">
        <f t="shared" si="387"/>
        <v>1193</v>
      </c>
      <c r="AH133" s="41"/>
      <c r="AI133" s="41">
        <v>1177</v>
      </c>
      <c r="AJ133" s="41">
        <f t="shared" si="388"/>
        <v>16</v>
      </c>
      <c r="AK133" s="42">
        <f t="shared" si="389"/>
        <v>2.5718221520686292E-2</v>
      </c>
      <c r="AL133" s="41">
        <f t="shared" si="390"/>
        <v>9206</v>
      </c>
      <c r="AM133" s="42">
        <f t="shared" si="391"/>
        <v>0.14651329083715811</v>
      </c>
      <c r="AN133" s="1058"/>
      <c r="AO133" s="220">
        <v>6.5</v>
      </c>
      <c r="AP133" s="67">
        <v>24</v>
      </c>
      <c r="AQ133" s="68">
        <f t="shared" si="341"/>
        <v>77.5398</v>
      </c>
      <c r="AR133" s="68">
        <f t="shared" si="407"/>
        <v>12.668204586967107</v>
      </c>
      <c r="AS133" s="69">
        <f t="shared" si="408"/>
        <v>7281.5836799999988</v>
      </c>
      <c r="AT133" s="140">
        <f t="shared" si="409"/>
        <v>9.9932607920006298</v>
      </c>
      <c r="AU133" s="1073"/>
      <c r="AV133" s="70">
        <v>3.9</v>
      </c>
      <c r="AW133" s="71">
        <v>12</v>
      </c>
      <c r="AX133" s="72">
        <f t="shared" si="410"/>
        <v>24.182963999999998</v>
      </c>
      <c r="AY133" s="72">
        <f t="shared" si="411"/>
        <v>3.9509353321940526</v>
      </c>
      <c r="AZ133" s="73">
        <f t="shared" si="412"/>
        <v>2301.7221119999986</v>
      </c>
      <c r="BA133" s="192">
        <f t="shared" si="413"/>
        <v>3.1588882785359229</v>
      </c>
      <c r="BB133" s="1075"/>
      <c r="BC133" s="90">
        <f t="shared" si="392"/>
        <v>9322</v>
      </c>
      <c r="BD133" s="59"/>
      <c r="BE133" s="56">
        <v>9322</v>
      </c>
      <c r="BF133" s="56"/>
      <c r="BG133" s="58">
        <f t="shared" si="414"/>
        <v>41613</v>
      </c>
      <c r="BH133" s="58">
        <f t="shared" si="415"/>
        <v>57.109768920148191</v>
      </c>
      <c r="BI133" s="1133"/>
      <c r="BJ133" s="63">
        <f t="shared" si="393"/>
        <v>1357</v>
      </c>
      <c r="BK133" s="64"/>
      <c r="BL133" s="64">
        <v>1099</v>
      </c>
      <c r="BM133" s="64">
        <f t="shared" si="394"/>
        <v>258</v>
      </c>
      <c r="BN133" s="65">
        <f t="shared" si="395"/>
        <v>0.41470632202106644</v>
      </c>
      <c r="BO133" s="64">
        <f t="shared" si="396"/>
        <v>20089</v>
      </c>
      <c r="BP133" s="65">
        <f t="shared" si="397"/>
        <v>0.31971600039405484</v>
      </c>
      <c r="BQ133" s="1071"/>
      <c r="BR133" s="35">
        <f t="shared" si="398"/>
        <v>15463</v>
      </c>
      <c r="BS133" s="35">
        <v>36600</v>
      </c>
      <c r="BT133" s="35">
        <v>43000</v>
      </c>
      <c r="BU133" s="35">
        <f t="shared" si="399"/>
        <v>9063</v>
      </c>
      <c r="BV133" s="74">
        <f t="shared" si="400"/>
        <v>331616</v>
      </c>
      <c r="BW133" s="74">
        <f t="shared" si="401"/>
        <v>455.11049744608323</v>
      </c>
      <c r="BX133" s="1098"/>
      <c r="BY133" s="295">
        <f t="shared" si="402"/>
        <v>430</v>
      </c>
      <c r="BZ133" s="296"/>
      <c r="CA133" s="296">
        <v>320</v>
      </c>
      <c r="CB133" s="296">
        <f t="shared" si="403"/>
        <v>110</v>
      </c>
      <c r="CC133" s="297">
        <f t="shared" si="404"/>
        <v>0.17681277295471826</v>
      </c>
      <c r="CD133" s="296">
        <f t="shared" si="405"/>
        <v>8160</v>
      </c>
      <c r="CE133" s="297">
        <f t="shared" si="406"/>
        <v>0.12986622346634913</v>
      </c>
      <c r="CF133" s="1061"/>
      <c r="CH133">
        <f t="shared" si="206"/>
        <v>661320</v>
      </c>
    </row>
    <row r="134" spans="1:86">
      <c r="A134" s="30">
        <v>44082</v>
      </c>
      <c r="B134" s="265">
        <v>543572</v>
      </c>
      <c r="C134" s="114">
        <f t="shared" si="416"/>
        <v>63377462</v>
      </c>
      <c r="D134" s="91">
        <v>6239.98</v>
      </c>
      <c r="E134" s="93">
        <f t="shared" si="417"/>
        <v>734889.39999999991</v>
      </c>
      <c r="F134" s="240">
        <f t="shared" si="371"/>
        <v>25750</v>
      </c>
      <c r="G134" s="240"/>
      <c r="H134" s="280"/>
      <c r="I134" s="240">
        <f>12000+2800</f>
        <v>14800</v>
      </c>
      <c r="J134" s="240">
        <f t="shared" si="372"/>
        <v>10950</v>
      </c>
      <c r="K134" s="280">
        <f t="shared" si="373"/>
        <v>20.144525472246546</v>
      </c>
      <c r="L134" s="240">
        <f t="shared" si="374"/>
        <v>2004250</v>
      </c>
      <c r="M134" s="280">
        <f t="shared" si="375"/>
        <v>31.62401801447966</v>
      </c>
      <c r="N134" s="280">
        <f t="shared" si="376"/>
        <v>3.8721706886836857</v>
      </c>
      <c r="O134" s="1089"/>
      <c r="P134" s="1084"/>
      <c r="Q134" s="77">
        <f t="shared" si="377"/>
        <v>54175</v>
      </c>
      <c r="R134" s="35"/>
      <c r="S134" s="35">
        <v>54175</v>
      </c>
      <c r="T134" s="35">
        <f t="shared" si="378"/>
        <v>0</v>
      </c>
      <c r="U134" s="36">
        <f t="shared" si="379"/>
        <v>0</v>
      </c>
      <c r="V134" s="74">
        <f t="shared" si="380"/>
        <v>110773</v>
      </c>
      <c r="W134" s="36">
        <f t="shared" si="381"/>
        <v>1.7478295359949882</v>
      </c>
      <c r="X134" s="1136"/>
      <c r="Y134" s="49">
        <f t="shared" si="382"/>
        <v>673</v>
      </c>
      <c r="Z134" s="50"/>
      <c r="AA134" s="50">
        <f>563+39</f>
        <v>602</v>
      </c>
      <c r="AB134" s="50">
        <f t="shared" si="383"/>
        <v>71</v>
      </c>
      <c r="AC134" s="51">
        <f t="shared" si="384"/>
        <v>0.1306174710985849</v>
      </c>
      <c r="AD134" s="50">
        <f t="shared" si="385"/>
        <v>19861</v>
      </c>
      <c r="AE134" s="51">
        <f t="shared" si="386"/>
        <v>0.31337638607238644</v>
      </c>
      <c r="AF134" s="1047"/>
      <c r="AG134" s="40">
        <f t="shared" si="387"/>
        <v>1177</v>
      </c>
      <c r="AH134" s="41"/>
      <c r="AI134" s="41">
        <v>1156</v>
      </c>
      <c r="AJ134" s="41">
        <f t="shared" si="388"/>
        <v>21</v>
      </c>
      <c r="AK134" s="42">
        <f t="shared" si="389"/>
        <v>3.8633336522116667E-2</v>
      </c>
      <c r="AL134" s="41">
        <f t="shared" si="390"/>
        <v>9227</v>
      </c>
      <c r="AM134" s="42">
        <f t="shared" si="391"/>
        <v>0.14558803254065303</v>
      </c>
      <c r="AN134" s="1058"/>
      <c r="AO134" s="220">
        <v>6.2</v>
      </c>
      <c r="AP134" s="67">
        <v>24</v>
      </c>
      <c r="AQ134" s="68">
        <f t="shared" si="341"/>
        <v>73.961040000000011</v>
      </c>
      <c r="AR134" s="68">
        <f t="shared" si="407"/>
        <v>11.852768758874229</v>
      </c>
      <c r="AS134" s="69">
        <f t="shared" si="408"/>
        <v>7355.544719999999</v>
      </c>
      <c r="AT134" s="140">
        <f t="shared" si="409"/>
        <v>10.009049960443027</v>
      </c>
      <c r="AU134" s="1073"/>
      <c r="AV134" s="70">
        <v>3.8</v>
      </c>
      <c r="AW134" s="71">
        <v>12</v>
      </c>
      <c r="AX134" s="72">
        <f t="shared" si="410"/>
        <v>23.562887999999997</v>
      </c>
      <c r="AY134" s="72">
        <f t="shared" si="411"/>
        <v>3.7761159490895806</v>
      </c>
      <c r="AZ134" s="73">
        <f t="shared" si="412"/>
        <v>2325.2849999999985</v>
      </c>
      <c r="BA134" s="192">
        <f t="shared" si="413"/>
        <v>3.1641291873307722</v>
      </c>
      <c r="BB134" s="1075"/>
      <c r="BC134" s="90">
        <f t="shared" si="392"/>
        <v>9322</v>
      </c>
      <c r="BD134" s="59"/>
      <c r="BE134" s="56">
        <v>9322</v>
      </c>
      <c r="BF134" s="56"/>
      <c r="BG134" s="58">
        <f t="shared" si="414"/>
        <v>41613</v>
      </c>
      <c r="BH134" s="58">
        <f t="shared" si="415"/>
        <v>56.624847221908503</v>
      </c>
      <c r="BI134" s="1133"/>
      <c r="BJ134" s="63">
        <f t="shared" si="393"/>
        <v>1099</v>
      </c>
      <c r="BK134" s="64"/>
      <c r="BL134" s="64">
        <v>960</v>
      </c>
      <c r="BM134" s="64">
        <f t="shared" si="394"/>
        <v>139</v>
      </c>
      <c r="BN134" s="65">
        <f t="shared" si="395"/>
        <v>0.25571589412258172</v>
      </c>
      <c r="BO134" s="64">
        <f t="shared" si="396"/>
        <v>20228</v>
      </c>
      <c r="BP134" s="65">
        <f t="shared" si="397"/>
        <v>0.31916708813615791</v>
      </c>
      <c r="BQ134" s="1071"/>
      <c r="BR134" s="35">
        <f t="shared" si="398"/>
        <v>43000</v>
      </c>
      <c r="BS134" s="35"/>
      <c r="BT134" s="35">
        <v>40416</v>
      </c>
      <c r="BU134" s="35">
        <f t="shared" si="399"/>
        <v>2584</v>
      </c>
      <c r="BV134" s="74">
        <f t="shared" si="400"/>
        <v>334200</v>
      </c>
      <c r="BW134" s="74">
        <f t="shared" si="401"/>
        <v>454.76230845076827</v>
      </c>
      <c r="BX134" s="1098"/>
      <c r="BY134" s="295">
        <f t="shared" si="402"/>
        <v>320</v>
      </c>
      <c r="BZ134" s="296"/>
      <c r="CA134" s="296">
        <v>235</v>
      </c>
      <c r="CB134" s="296">
        <f t="shared" si="403"/>
        <v>85</v>
      </c>
      <c r="CC134" s="297">
        <f t="shared" si="404"/>
        <v>0.15637302877999604</v>
      </c>
      <c r="CD134" s="296">
        <f t="shared" si="405"/>
        <v>8245</v>
      </c>
      <c r="CE134" s="297">
        <f t="shared" si="406"/>
        <v>0.13009356543813635</v>
      </c>
      <c r="CF134" s="1061"/>
      <c r="CH134">
        <f t="shared" ref="CH134:CH190" si="418">G132*H132</f>
        <v>525720</v>
      </c>
    </row>
    <row r="135" spans="1:86">
      <c r="A135" s="30">
        <v>44083</v>
      </c>
      <c r="B135" s="265">
        <v>556985</v>
      </c>
      <c r="C135" s="114">
        <f t="shared" si="416"/>
        <v>63934447</v>
      </c>
      <c r="D135" s="91">
        <v>6915.81</v>
      </c>
      <c r="E135" s="93">
        <f t="shared" si="417"/>
        <v>741805.21</v>
      </c>
      <c r="F135" s="240">
        <f t="shared" si="371"/>
        <v>14800</v>
      </c>
      <c r="G135" s="240">
        <v>34520</v>
      </c>
      <c r="H135" s="280">
        <v>21.49</v>
      </c>
      <c r="I135" s="240">
        <f>28600+2600</f>
        <v>31200</v>
      </c>
      <c r="J135" s="240">
        <f t="shared" si="372"/>
        <v>18120</v>
      </c>
      <c r="K135" s="280">
        <f t="shared" si="373"/>
        <v>32.532294406492099</v>
      </c>
      <c r="L135" s="240">
        <f t="shared" si="374"/>
        <v>2022370</v>
      </c>
      <c r="M135" s="280">
        <f t="shared" si="375"/>
        <v>31.631930749318908</v>
      </c>
      <c r="N135" s="280">
        <f t="shared" si="376"/>
        <v>3.8731395554449501</v>
      </c>
      <c r="O135" s="1089"/>
      <c r="P135" s="1084"/>
      <c r="Q135" s="77">
        <f t="shared" si="377"/>
        <v>54175</v>
      </c>
      <c r="R135" s="35"/>
      <c r="S135" s="35">
        <v>54175</v>
      </c>
      <c r="T135" s="35">
        <f t="shared" si="378"/>
        <v>0</v>
      </c>
      <c r="U135" s="36">
        <f t="shared" si="379"/>
        <v>0</v>
      </c>
      <c r="V135" s="74">
        <f t="shared" si="380"/>
        <v>110773</v>
      </c>
      <c r="W135" s="36">
        <f t="shared" si="381"/>
        <v>1.7326027704595615</v>
      </c>
      <c r="X135" s="1136"/>
      <c r="Y135" s="49">
        <f t="shared" si="382"/>
        <v>602</v>
      </c>
      <c r="Z135" s="322"/>
      <c r="AA135" s="50">
        <f>493+93</f>
        <v>586</v>
      </c>
      <c r="AB135" s="50">
        <f t="shared" si="383"/>
        <v>16</v>
      </c>
      <c r="AC135" s="51">
        <f t="shared" si="384"/>
        <v>2.872608777615196E-2</v>
      </c>
      <c r="AD135" s="50">
        <f t="shared" si="385"/>
        <v>19877</v>
      </c>
      <c r="AE135" s="51">
        <f t="shared" si="386"/>
        <v>0.31089656566514134</v>
      </c>
      <c r="AF135" s="1047"/>
      <c r="AG135" s="40">
        <f t="shared" si="387"/>
        <v>1156</v>
      </c>
      <c r="AH135" s="41"/>
      <c r="AI135" s="41">
        <v>1137</v>
      </c>
      <c r="AJ135" s="41">
        <f t="shared" si="388"/>
        <v>19</v>
      </c>
      <c r="AK135" s="42">
        <f t="shared" si="389"/>
        <v>3.4112229234180454E-2</v>
      </c>
      <c r="AL135" s="41">
        <f t="shared" si="390"/>
        <v>9246</v>
      </c>
      <c r="AM135" s="42">
        <f t="shared" si="391"/>
        <v>0.14461687609497897</v>
      </c>
      <c r="AN135" s="1058"/>
      <c r="AO135" s="220">
        <v>6.1</v>
      </c>
      <c r="AP135" s="67">
        <v>24</v>
      </c>
      <c r="AQ135" s="68">
        <f t="shared" si="341"/>
        <v>72.768119999999982</v>
      </c>
      <c r="AR135" s="68">
        <f t="shared" si="407"/>
        <v>10.521995254351982</v>
      </c>
      <c r="AS135" s="69">
        <f t="shared" si="408"/>
        <v>7428.3128399999987</v>
      </c>
      <c r="AT135" s="140">
        <f t="shared" si="409"/>
        <v>10.013832121777629</v>
      </c>
      <c r="AU135" s="1073"/>
      <c r="AV135" s="70">
        <v>4.0999999999999996</v>
      </c>
      <c r="AW135" s="71">
        <v>12</v>
      </c>
      <c r="AX135" s="72">
        <f t="shared" si="410"/>
        <v>25.423116</v>
      </c>
      <c r="AY135" s="72">
        <f t="shared" si="411"/>
        <v>3.6760865321632608</v>
      </c>
      <c r="AZ135" s="73">
        <f t="shared" si="412"/>
        <v>2350.7081159999984</v>
      </c>
      <c r="BA135" s="192">
        <f t="shared" si="413"/>
        <v>3.1689021380693707</v>
      </c>
      <c r="BB135" s="1075"/>
      <c r="BC135" s="90">
        <f t="shared" si="392"/>
        <v>9322</v>
      </c>
      <c r="BD135" s="59"/>
      <c r="BE135" s="56">
        <v>9322</v>
      </c>
      <c r="BF135" s="56"/>
      <c r="BG135" s="58">
        <f t="shared" si="414"/>
        <v>41613</v>
      </c>
      <c r="BH135" s="58">
        <f t="shared" si="415"/>
        <v>56.09693682253863</v>
      </c>
      <c r="BI135" s="1133"/>
      <c r="BJ135" s="63">
        <f t="shared" si="393"/>
        <v>960</v>
      </c>
      <c r="BK135" s="64"/>
      <c r="BL135" s="64">
        <v>864</v>
      </c>
      <c r="BM135" s="64">
        <f t="shared" si="394"/>
        <v>96</v>
      </c>
      <c r="BN135" s="65">
        <f t="shared" si="395"/>
        <v>0.17235652665691176</v>
      </c>
      <c r="BO135" s="64">
        <f t="shared" si="396"/>
        <v>20324</v>
      </c>
      <c r="BP135" s="65">
        <f t="shared" si="397"/>
        <v>0.3178881018553269</v>
      </c>
      <c r="BQ135" s="1071"/>
      <c r="BR135" s="35">
        <f t="shared" si="398"/>
        <v>40416</v>
      </c>
      <c r="BS135" s="35"/>
      <c r="BT135" s="35">
        <v>38568</v>
      </c>
      <c r="BU135" s="35">
        <f t="shared" si="399"/>
        <v>1848</v>
      </c>
      <c r="BV135" s="74">
        <f t="shared" si="400"/>
        <v>336048</v>
      </c>
      <c r="BW135" s="74">
        <f t="shared" si="401"/>
        <v>453.01380398770726</v>
      </c>
      <c r="BX135" s="1098"/>
      <c r="BY135" s="295">
        <f t="shared" si="402"/>
        <v>235</v>
      </c>
      <c r="BZ135" s="296"/>
      <c r="CA135" s="296">
        <v>150</v>
      </c>
      <c r="CB135" s="296">
        <f t="shared" si="403"/>
        <v>85</v>
      </c>
      <c r="CC135" s="297">
        <f t="shared" si="404"/>
        <v>0.1526073413108073</v>
      </c>
      <c r="CD135" s="296">
        <f t="shared" si="405"/>
        <v>8330</v>
      </c>
      <c r="CE135" s="297">
        <f t="shared" si="406"/>
        <v>0.1302897012622945</v>
      </c>
      <c r="CF135" s="1061"/>
      <c r="CH135">
        <f t="shared" si="418"/>
        <v>525122</v>
      </c>
    </row>
    <row r="136" spans="1:86">
      <c r="A136" s="30">
        <v>44084</v>
      </c>
      <c r="B136" s="265">
        <v>647547</v>
      </c>
      <c r="C136" s="114">
        <f t="shared" si="416"/>
        <v>64581994</v>
      </c>
      <c r="D136" s="91">
        <v>6822.78</v>
      </c>
      <c r="E136" s="93">
        <f t="shared" si="417"/>
        <v>748627.99</v>
      </c>
      <c r="F136" s="240">
        <f t="shared" si="371"/>
        <v>31200</v>
      </c>
      <c r="G136" s="240">
        <v>24700</v>
      </c>
      <c r="H136" s="280">
        <v>18.62</v>
      </c>
      <c r="I136" s="240">
        <f>34000+1450</f>
        <v>35450</v>
      </c>
      <c r="J136" s="240">
        <f t="shared" si="372"/>
        <v>20450</v>
      </c>
      <c r="K136" s="280">
        <f t="shared" si="373"/>
        <v>31.580719237368097</v>
      </c>
      <c r="L136" s="240">
        <f t="shared" si="374"/>
        <v>2042820</v>
      </c>
      <c r="M136" s="280">
        <f t="shared" si="375"/>
        <v>31.631417264694552</v>
      </c>
      <c r="N136" s="280">
        <f t="shared" si="376"/>
        <v>3.8730766823429108</v>
      </c>
      <c r="O136" s="1089"/>
      <c r="P136" s="1084"/>
      <c r="Q136" s="77">
        <f t="shared" si="377"/>
        <v>54175</v>
      </c>
      <c r="R136" s="35"/>
      <c r="S136" s="35">
        <v>54175</v>
      </c>
      <c r="T136" s="35">
        <f t="shared" si="378"/>
        <v>0</v>
      </c>
      <c r="U136" s="36">
        <f t="shared" si="379"/>
        <v>0</v>
      </c>
      <c r="V136" s="74">
        <f t="shared" si="380"/>
        <v>110773</v>
      </c>
      <c r="W136" s="36">
        <f t="shared" si="381"/>
        <v>1.7152304092685648</v>
      </c>
      <c r="X136" s="1136"/>
      <c r="Y136" s="49">
        <f t="shared" si="382"/>
        <v>586</v>
      </c>
      <c r="Z136" s="50"/>
      <c r="AA136" s="50">
        <f>493+74</f>
        <v>567</v>
      </c>
      <c r="AB136" s="50">
        <f t="shared" si="383"/>
        <v>19</v>
      </c>
      <c r="AC136" s="51">
        <f t="shared" si="384"/>
        <v>2.9341499535941021E-2</v>
      </c>
      <c r="AD136" s="50">
        <f t="shared" si="385"/>
        <v>19896</v>
      </c>
      <c r="AE136" s="51">
        <f t="shared" si="386"/>
        <v>0.30807348562201409</v>
      </c>
      <c r="AF136" s="1047"/>
      <c r="AG136" s="40">
        <f t="shared" si="387"/>
        <v>1137</v>
      </c>
      <c r="AH136" s="41"/>
      <c r="AI136" s="41">
        <v>1100</v>
      </c>
      <c r="AJ136" s="41">
        <f t="shared" si="388"/>
        <v>37</v>
      </c>
      <c r="AK136" s="42">
        <f t="shared" si="389"/>
        <v>5.7138709622621985E-2</v>
      </c>
      <c r="AL136" s="41">
        <f t="shared" si="390"/>
        <v>9283</v>
      </c>
      <c r="AM136" s="42">
        <f t="shared" si="391"/>
        <v>0.14373975507786271</v>
      </c>
      <c r="AN136" s="1058"/>
      <c r="AO136" s="220">
        <v>6.5</v>
      </c>
      <c r="AP136" s="67">
        <v>24</v>
      </c>
      <c r="AQ136" s="68">
        <f t="shared" si="341"/>
        <v>77.5398</v>
      </c>
      <c r="AR136" s="68">
        <f t="shared" si="407"/>
        <v>11.364839552205993</v>
      </c>
      <c r="AS136" s="69">
        <f t="shared" si="408"/>
        <v>7505.8526399999982</v>
      </c>
      <c r="AT136" s="140">
        <f t="shared" si="409"/>
        <v>10.026144814596096</v>
      </c>
      <c r="AU136" s="1073"/>
      <c r="AV136" s="70">
        <v>3.9</v>
      </c>
      <c r="AW136" s="71">
        <v>12</v>
      </c>
      <c r="AX136" s="72">
        <f t="shared" si="410"/>
        <v>24.182963999999998</v>
      </c>
      <c r="AY136" s="72">
        <f t="shared" si="411"/>
        <v>3.5444443467325635</v>
      </c>
      <c r="AZ136" s="73">
        <f t="shared" si="412"/>
        <v>2374.8910799999985</v>
      </c>
      <c r="BA136" s="192">
        <f t="shared" si="413"/>
        <v>3.1723247216551425</v>
      </c>
      <c r="BB136" s="1075"/>
      <c r="BC136" s="90">
        <f t="shared" si="392"/>
        <v>9322</v>
      </c>
      <c r="BD136" s="59"/>
      <c r="BE136" s="56">
        <v>9322</v>
      </c>
      <c r="BF136" s="56"/>
      <c r="BG136" s="58">
        <f t="shared" si="414"/>
        <v>41613</v>
      </c>
      <c r="BH136" s="58">
        <f t="shared" si="415"/>
        <v>55.585685488462701</v>
      </c>
      <c r="BI136" s="1133"/>
      <c r="BJ136" s="63">
        <f t="shared" si="393"/>
        <v>864</v>
      </c>
      <c r="BK136" s="64"/>
      <c r="BL136" s="64">
        <v>624</v>
      </c>
      <c r="BM136" s="64">
        <f t="shared" si="394"/>
        <v>240</v>
      </c>
      <c r="BN136" s="65">
        <f t="shared" si="395"/>
        <v>0.37062946782241291</v>
      </c>
      <c r="BO136" s="64">
        <f t="shared" si="396"/>
        <v>20564</v>
      </c>
      <c r="BP136" s="65">
        <f t="shared" si="397"/>
        <v>0.31841692593139814</v>
      </c>
      <c r="BQ136" s="1071"/>
      <c r="BR136" s="35">
        <f t="shared" si="398"/>
        <v>38568</v>
      </c>
      <c r="BS136" s="35"/>
      <c r="BT136" s="35">
        <v>34400</v>
      </c>
      <c r="BU136" s="35">
        <f t="shared" si="399"/>
        <v>4168</v>
      </c>
      <c r="BV136" s="74">
        <f t="shared" si="400"/>
        <v>340216</v>
      </c>
      <c r="BW136" s="74">
        <f t="shared" si="401"/>
        <v>454.45268483749851</v>
      </c>
      <c r="BX136" s="1098"/>
      <c r="BY136" s="295">
        <f t="shared" si="402"/>
        <v>150</v>
      </c>
      <c r="BZ136" s="296">
        <v>1150</v>
      </c>
      <c r="CA136" s="296">
        <v>900</v>
      </c>
      <c r="CB136" s="296">
        <f t="shared" si="403"/>
        <v>400</v>
      </c>
      <c r="CC136" s="297">
        <f t="shared" si="404"/>
        <v>0.61771577970402147</v>
      </c>
      <c r="CD136" s="296">
        <f t="shared" si="405"/>
        <v>8730</v>
      </c>
      <c r="CE136" s="297">
        <f t="shared" si="406"/>
        <v>0.13517699685766904</v>
      </c>
      <c r="CF136" s="1061"/>
      <c r="CH136">
        <f t="shared" si="418"/>
        <v>0</v>
      </c>
    </row>
    <row r="137" spans="1:86">
      <c r="A137" s="30">
        <v>44085</v>
      </c>
      <c r="B137" s="265">
        <v>616319</v>
      </c>
      <c r="C137" s="114">
        <f t="shared" si="416"/>
        <v>65198313</v>
      </c>
      <c r="D137" s="91">
        <v>6795.7</v>
      </c>
      <c r="E137" s="93">
        <f t="shared" si="417"/>
        <v>755423.69</v>
      </c>
      <c r="F137" s="240">
        <f t="shared" si="371"/>
        <v>35450</v>
      </c>
      <c r="G137" s="240"/>
      <c r="H137" s="280"/>
      <c r="I137" s="240">
        <v>28715</v>
      </c>
      <c r="J137" s="240">
        <f>F137+G137-I137</f>
        <v>6735</v>
      </c>
      <c r="K137" s="280">
        <f>J137*1000/B137</f>
        <v>10.927782528203739</v>
      </c>
      <c r="L137" s="240">
        <f>L136+J137</f>
        <v>2049555</v>
      </c>
      <c r="M137" s="280">
        <f>L137*1000/C137</f>
        <v>31.435706012822756</v>
      </c>
      <c r="N137" s="280">
        <f>M137/8.167</f>
        <v>3.8491130173653429</v>
      </c>
      <c r="O137" s="1089"/>
      <c r="P137" s="1084"/>
      <c r="Q137" s="77">
        <f t="shared" si="377"/>
        <v>54175</v>
      </c>
      <c r="R137" s="35"/>
      <c r="S137" s="35">
        <v>54175</v>
      </c>
      <c r="T137" s="35">
        <f>Q137+R137-S137</f>
        <v>0</v>
      </c>
      <c r="U137" s="36">
        <f>1000*T137/B137</f>
        <v>0</v>
      </c>
      <c r="V137" s="74">
        <f>V136+T137</f>
        <v>110773</v>
      </c>
      <c r="W137" s="36">
        <f>1000*V137/C137</f>
        <v>1.6990163533832539</v>
      </c>
      <c r="X137" s="1136"/>
      <c r="Y137" s="49">
        <f t="shared" si="382"/>
        <v>567</v>
      </c>
      <c r="Z137" s="50"/>
      <c r="AA137" s="50">
        <f>390+82</f>
        <v>472</v>
      </c>
      <c r="AB137" s="50">
        <f>Y137+Z137-AA137</f>
        <v>95</v>
      </c>
      <c r="AC137" s="51">
        <f>AB137*1000/B137</f>
        <v>0.15414095622559096</v>
      </c>
      <c r="AD137" s="50">
        <f>AD136+AB137</f>
        <v>19991</v>
      </c>
      <c r="AE137" s="51">
        <f>AD137*1000/C137</f>
        <v>0.30661836296285766</v>
      </c>
      <c r="AF137" s="1047"/>
      <c r="AG137" s="40">
        <f t="shared" si="387"/>
        <v>1100</v>
      </c>
      <c r="AH137" s="41"/>
      <c r="AI137" s="41">
        <v>1081</v>
      </c>
      <c r="AJ137" s="41">
        <f>AG137+AH137-AI137</f>
        <v>19</v>
      </c>
      <c r="AK137" s="42">
        <f>AJ137*1000/B137</f>
        <v>3.0828191245118194E-2</v>
      </c>
      <c r="AL137" s="41">
        <f>AL136+AJ137</f>
        <v>9302</v>
      </c>
      <c r="AM137" s="42">
        <f>AL137*1000/C137</f>
        <v>0.14267240319546304</v>
      </c>
      <c r="AN137" s="1058"/>
      <c r="AO137" s="220">
        <v>6.4</v>
      </c>
      <c r="AP137" s="67">
        <v>24</v>
      </c>
      <c r="AQ137" s="68">
        <f t="shared" si="341"/>
        <v>76.346880000000013</v>
      </c>
      <c r="AR137" s="68">
        <f t="shared" si="407"/>
        <v>11.234586576805924</v>
      </c>
      <c r="AS137" s="69">
        <f t="shared" si="408"/>
        <v>7582.1995199999983</v>
      </c>
      <c r="AT137" s="140">
        <f t="shared" si="409"/>
        <v>10.037015810293161</v>
      </c>
      <c r="AU137" s="1073"/>
      <c r="AV137" s="70">
        <v>4.0999999999999996</v>
      </c>
      <c r="AW137" s="71">
        <v>12</v>
      </c>
      <c r="AX137" s="72">
        <f t="shared" si="410"/>
        <v>25.423116</v>
      </c>
      <c r="AY137" s="72">
        <f t="shared" si="411"/>
        <v>3.7410591991994941</v>
      </c>
      <c r="AZ137" s="73">
        <f t="shared" si="412"/>
        <v>2400.3141959999984</v>
      </c>
      <c r="BA137" s="192">
        <f t="shared" si="413"/>
        <v>3.1774409881162171</v>
      </c>
      <c r="BB137" s="1075"/>
      <c r="BC137" s="90">
        <f t="shared" si="392"/>
        <v>9322</v>
      </c>
      <c r="BD137" s="59"/>
      <c r="BE137" s="56">
        <v>9322</v>
      </c>
      <c r="BF137" s="56"/>
      <c r="BG137" s="58">
        <f t="shared" si="414"/>
        <v>41613</v>
      </c>
      <c r="BH137" s="58">
        <f t="shared" si="415"/>
        <v>55.085643395694945</v>
      </c>
      <c r="BI137" s="1133"/>
      <c r="BJ137" s="63">
        <f t="shared" si="393"/>
        <v>624</v>
      </c>
      <c r="BK137" s="64"/>
      <c r="BL137" s="64">
        <v>456</v>
      </c>
      <c r="BM137" s="64">
        <f>BJ137+BK137-BL137</f>
        <v>168</v>
      </c>
      <c r="BN137" s="65">
        <f>BM137*1000/B137</f>
        <v>0.27258611206209771</v>
      </c>
      <c r="BO137" s="64">
        <f>BO136+BM137</f>
        <v>20732</v>
      </c>
      <c r="BP137" s="65">
        <f>BO137*1000/C137</f>
        <v>0.31798368770676627</v>
      </c>
      <c r="BQ137" s="1071"/>
      <c r="BR137" s="35">
        <f t="shared" si="398"/>
        <v>34400</v>
      </c>
      <c r="BS137" s="35"/>
      <c r="BT137" s="35">
        <v>30250</v>
      </c>
      <c r="BU137" s="35">
        <f>BR137+BS137-BT137</f>
        <v>4150</v>
      </c>
      <c r="BV137" s="74">
        <f>BV136+BU137</f>
        <v>344366</v>
      </c>
      <c r="BW137" s="74">
        <f>BV137*1000/E137</f>
        <v>455.85808938557386</v>
      </c>
      <c r="BX137" s="1098"/>
      <c r="BY137" s="295">
        <f t="shared" si="402"/>
        <v>900</v>
      </c>
      <c r="BZ137" s="296"/>
      <c r="CA137" s="296">
        <v>830</v>
      </c>
      <c r="CB137" s="296">
        <f>BY137+BZ137-CA137</f>
        <v>70</v>
      </c>
      <c r="CC137" s="297">
        <f>CB137*1000/B137</f>
        <v>0.11357754669254071</v>
      </c>
      <c r="CD137" s="296">
        <f>CD136+CB137</f>
        <v>8800</v>
      </c>
      <c r="CE137" s="297">
        <f>CD137*1000/C137</f>
        <v>0.13497281747151954</v>
      </c>
      <c r="CF137" s="1061"/>
      <c r="CH137">
        <f t="shared" si="418"/>
        <v>741834.79999999993</v>
      </c>
    </row>
    <row r="138" spans="1:86">
      <c r="A138" s="30">
        <v>44086</v>
      </c>
      <c r="B138" s="265">
        <v>616765</v>
      </c>
      <c r="C138" s="114">
        <f t="shared" si="416"/>
        <v>65815078</v>
      </c>
      <c r="D138" s="91">
        <v>6760.6</v>
      </c>
      <c r="E138" s="93">
        <f t="shared" si="417"/>
        <v>762184.28999999992</v>
      </c>
      <c r="F138" s="240">
        <f t="shared" si="371"/>
        <v>28715</v>
      </c>
      <c r="G138" s="240"/>
      <c r="H138" s="280"/>
      <c r="I138" s="240">
        <v>14950</v>
      </c>
      <c r="J138" s="240">
        <f>F138+G138-I138</f>
        <v>13765</v>
      </c>
      <c r="K138" s="280">
        <f>J138*1000/B138</f>
        <v>22.318062795392088</v>
      </c>
      <c r="L138" s="240">
        <f>L137+J138</f>
        <v>2063320</v>
      </c>
      <c r="M138" s="280">
        <f>L138*1000/C138</f>
        <v>31.350262929111775</v>
      </c>
      <c r="N138" s="280">
        <f>M138/8.167</f>
        <v>3.8386510259718105</v>
      </c>
      <c r="O138" s="1089"/>
      <c r="P138" s="1084"/>
      <c r="Q138" s="77">
        <f t="shared" si="377"/>
        <v>54175</v>
      </c>
      <c r="R138" s="35"/>
      <c r="S138" s="35">
        <v>54175</v>
      </c>
      <c r="T138" s="35">
        <f>Q138+R138-S138</f>
        <v>0</v>
      </c>
      <c r="U138" s="36">
        <f>1000*T138/B138</f>
        <v>0</v>
      </c>
      <c r="V138" s="74">
        <f>V137+T138</f>
        <v>110773</v>
      </c>
      <c r="W138" s="36">
        <f>1000*V138/C138</f>
        <v>1.6830945638323183</v>
      </c>
      <c r="X138" s="1136"/>
      <c r="Y138" s="49">
        <f t="shared" si="382"/>
        <v>472</v>
      </c>
      <c r="Z138" s="50"/>
      <c r="AA138" s="50">
        <f>340+77</f>
        <v>417</v>
      </c>
      <c r="AB138" s="50">
        <f>Y138+Z138-AA138</f>
        <v>55</v>
      </c>
      <c r="AC138" s="51">
        <f>AB138*1000/B138</f>
        <v>8.9174969396771872E-2</v>
      </c>
      <c r="AD138" s="50">
        <f>AD137+AB138</f>
        <v>20046</v>
      </c>
      <c r="AE138" s="51">
        <f>AD138*1000/C138</f>
        <v>0.30458066159246971</v>
      </c>
      <c r="AF138" s="1047"/>
      <c r="AG138" s="40">
        <f t="shared" si="387"/>
        <v>1081</v>
      </c>
      <c r="AH138" s="41"/>
      <c r="AI138" s="41">
        <v>1062</v>
      </c>
      <c r="AJ138" s="41">
        <f>AG138+AH138-AI138</f>
        <v>19</v>
      </c>
      <c r="AK138" s="42">
        <f>AJ138*1000/B138</f>
        <v>3.0805898518884826E-2</v>
      </c>
      <c r="AL138" s="41">
        <f>AL137+AJ138</f>
        <v>9321</v>
      </c>
      <c r="AM138" s="42">
        <f>AL138*1000/C138</f>
        <v>0.14162408194669313</v>
      </c>
      <c r="AN138" s="1058"/>
      <c r="AO138" s="220">
        <v>6.4</v>
      </c>
      <c r="AP138" s="67">
        <v>24</v>
      </c>
      <c r="AQ138" s="68">
        <f t="shared" si="341"/>
        <v>76.346880000000013</v>
      </c>
      <c r="AR138" s="68">
        <f t="shared" si="407"/>
        <v>11.292914830044673</v>
      </c>
      <c r="AS138" s="69">
        <f t="shared" si="408"/>
        <v>7658.5463999999984</v>
      </c>
      <c r="AT138" s="140">
        <f t="shared" si="409"/>
        <v>10.048155676365356</v>
      </c>
      <c r="AU138" s="1073"/>
      <c r="AV138" s="70">
        <v>3.9</v>
      </c>
      <c r="AW138" s="71">
        <v>12</v>
      </c>
      <c r="AX138" s="72">
        <f t="shared" si="410"/>
        <v>24.182963999999998</v>
      </c>
      <c r="AY138" s="72">
        <f t="shared" si="411"/>
        <v>3.5770440493447326</v>
      </c>
      <c r="AZ138" s="73">
        <f t="shared" si="412"/>
        <v>2424.4971599999985</v>
      </c>
      <c r="BA138" s="192">
        <f t="shared" si="413"/>
        <v>3.1809854805587752</v>
      </c>
      <c r="BB138" s="1075"/>
      <c r="BC138" s="90">
        <f t="shared" si="392"/>
        <v>9322</v>
      </c>
      <c r="BD138" s="59"/>
      <c r="BE138" s="56">
        <v>9322</v>
      </c>
      <c r="BF138" s="56"/>
      <c r="BG138" s="58">
        <f t="shared" si="414"/>
        <v>41613</v>
      </c>
      <c r="BH138" s="58">
        <f t="shared" si="415"/>
        <v>54.597031906810891</v>
      </c>
      <c r="BI138" s="1133"/>
      <c r="BJ138" s="63">
        <f t="shared" si="393"/>
        <v>456</v>
      </c>
      <c r="BK138" s="64"/>
      <c r="BL138" s="64">
        <v>242</v>
      </c>
      <c r="BM138" s="64">
        <f>BJ138+BK138-BL138</f>
        <v>214</v>
      </c>
      <c r="BN138" s="65">
        <f>BM138*1000/B138</f>
        <v>0.34697169910743964</v>
      </c>
      <c r="BO138" s="64">
        <f>BO137+BM138</f>
        <v>20946</v>
      </c>
      <c r="BP138" s="65">
        <f>BO138*1000/C138</f>
        <v>0.31825533960470276</v>
      </c>
      <c r="BQ138" s="1071"/>
      <c r="BR138" s="35">
        <f t="shared" si="398"/>
        <v>30250</v>
      </c>
      <c r="BS138" s="35"/>
      <c r="BT138" s="35">
        <v>28402</v>
      </c>
      <c r="BU138" s="35">
        <f>BR138+BS138-BT138</f>
        <v>1848</v>
      </c>
      <c r="BV138" s="74">
        <f>BV137+BU138</f>
        <v>346214</v>
      </c>
      <c r="BW138" s="74">
        <f>BV138*1000/E138</f>
        <v>454.23922342980859</v>
      </c>
      <c r="BX138" s="1098"/>
      <c r="BY138" s="295">
        <f t="shared" si="402"/>
        <v>830</v>
      </c>
      <c r="BZ138" s="296"/>
      <c r="CA138" s="296">
        <v>620</v>
      </c>
      <c r="CB138" s="296">
        <f>BY138+BZ138-CA138</f>
        <v>210</v>
      </c>
      <c r="CC138" s="297">
        <f>CB138*1000/B138</f>
        <v>0.34048624678767442</v>
      </c>
      <c r="CD138" s="296">
        <f>CD137+CB138</f>
        <v>9010</v>
      </c>
      <c r="CE138" s="297">
        <f>CD138*1000/C138</f>
        <v>0.13689872098913261</v>
      </c>
      <c r="CF138" s="1061"/>
      <c r="CH138">
        <f t="shared" si="418"/>
        <v>459914</v>
      </c>
    </row>
    <row r="139" spans="1:86">
      <c r="A139" s="30">
        <v>44087</v>
      </c>
      <c r="B139" s="265">
        <v>625188</v>
      </c>
      <c r="C139" s="114">
        <f t="shared" si="416"/>
        <v>66440266</v>
      </c>
      <c r="D139" s="91">
        <v>6899.28</v>
      </c>
      <c r="E139" s="93">
        <f t="shared" si="417"/>
        <v>769083.57</v>
      </c>
      <c r="F139" s="240">
        <f t="shared" si="371"/>
        <v>14950</v>
      </c>
      <c r="G139" s="240"/>
      <c r="H139" s="280"/>
      <c r="I139" s="240">
        <v>1950</v>
      </c>
      <c r="J139" s="240">
        <f>F139+G139-I139</f>
        <v>13000</v>
      </c>
      <c r="K139" s="280">
        <f>J139*1000/B139</f>
        <v>20.793745241431377</v>
      </c>
      <c r="L139" s="240">
        <f>L138+J139</f>
        <v>2076320</v>
      </c>
      <c r="M139" s="280">
        <f>L139*1000/C139</f>
        <v>31.25092846557839</v>
      </c>
      <c r="N139" s="280">
        <f>M139/8.167</f>
        <v>3.8264881187190389</v>
      </c>
      <c r="O139" s="1089"/>
      <c r="P139" s="1084"/>
      <c r="Q139" s="77">
        <f t="shared" si="377"/>
        <v>54175</v>
      </c>
      <c r="R139" s="35"/>
      <c r="S139" s="35">
        <v>53314</v>
      </c>
      <c r="T139" s="35">
        <f>Q139+R139-S139</f>
        <v>861</v>
      </c>
      <c r="U139" s="36">
        <f>1000*T139/B139</f>
        <v>1.3771857425286473</v>
      </c>
      <c r="V139" s="74">
        <f>V138+T139</f>
        <v>111634</v>
      </c>
      <c r="W139" s="36">
        <f>1000*V139/C139</f>
        <v>1.6802160304415397</v>
      </c>
      <c r="X139" s="1136"/>
      <c r="Y139" s="49">
        <f t="shared" si="382"/>
        <v>417</v>
      </c>
      <c r="Z139" s="50"/>
      <c r="AA139" s="50">
        <f>261+98</f>
        <v>359</v>
      </c>
      <c r="AB139" s="50">
        <f>Y139+Z139-AA139</f>
        <v>58</v>
      </c>
      <c r="AC139" s="51">
        <f>AB139*1000/B139</f>
        <v>9.2772094154078458E-2</v>
      </c>
      <c r="AD139" s="50">
        <f>AD138+AB139</f>
        <v>20104</v>
      </c>
      <c r="AE139" s="51">
        <f>AD139*1000/C139</f>
        <v>0.3025875904831567</v>
      </c>
      <c r="AF139" s="1047"/>
      <c r="AG139" s="40">
        <f t="shared" si="387"/>
        <v>1062</v>
      </c>
      <c r="AH139" s="41"/>
      <c r="AI139" s="41">
        <v>1042</v>
      </c>
      <c r="AJ139" s="41">
        <f>AG139+AH139-AI139</f>
        <v>20</v>
      </c>
      <c r="AK139" s="42">
        <f>AJ139*1000/B139</f>
        <v>3.1990377294509813E-2</v>
      </c>
      <c r="AL139" s="41">
        <f>AL138+AJ139</f>
        <v>9341</v>
      </c>
      <c r="AM139" s="42">
        <f>AL139*1000/C139</f>
        <v>0.14059245337759485</v>
      </c>
      <c r="AN139" s="1058"/>
      <c r="AO139" s="220">
        <v>5.8</v>
      </c>
      <c r="AP139" s="67">
        <v>24</v>
      </c>
      <c r="AQ139" s="68">
        <f t="shared" si="341"/>
        <v>69.189359999999994</v>
      </c>
      <c r="AR139" s="68">
        <f t="shared" si="407"/>
        <v>10.028489929383936</v>
      </c>
      <c r="AS139" s="69">
        <f t="shared" si="408"/>
        <v>7727.7357599999987</v>
      </c>
      <c r="AT139" s="140">
        <f t="shared" si="409"/>
        <v>10.047979259263073</v>
      </c>
      <c r="AU139" s="1073"/>
      <c r="AV139" s="70">
        <v>4.0999999999999996</v>
      </c>
      <c r="AW139" s="71">
        <v>12</v>
      </c>
      <c r="AX139" s="72">
        <f t="shared" si="410"/>
        <v>25.423116</v>
      </c>
      <c r="AY139" s="72">
        <f t="shared" si="411"/>
        <v>3.6848940759035731</v>
      </c>
      <c r="AZ139" s="73">
        <f t="shared" si="412"/>
        <v>2449.9202759999985</v>
      </c>
      <c r="BA139" s="192">
        <f t="shared" si="413"/>
        <v>3.1855059340300285</v>
      </c>
      <c r="BB139" s="1075"/>
      <c r="BC139" s="90">
        <f t="shared" si="392"/>
        <v>9322</v>
      </c>
      <c r="BD139" s="59"/>
      <c r="BE139" s="56">
        <v>9322</v>
      </c>
      <c r="BF139" s="56"/>
      <c r="BG139" s="58">
        <f t="shared" si="414"/>
        <v>41613</v>
      </c>
      <c r="BH139" s="58">
        <f t="shared" si="415"/>
        <v>54.107253910000971</v>
      </c>
      <c r="BI139" s="1133"/>
      <c r="BJ139" s="63">
        <f t="shared" si="393"/>
        <v>242</v>
      </c>
      <c r="BK139" s="64"/>
      <c r="BL139" s="64">
        <v>55</v>
      </c>
      <c r="BM139" s="64">
        <f>BJ139+BK139-BL139</f>
        <v>187</v>
      </c>
      <c r="BN139" s="65">
        <f>BM139*1000/B139</f>
        <v>0.29911002770366674</v>
      </c>
      <c r="BO139" s="64">
        <f>BO138+BM139</f>
        <v>21133</v>
      </c>
      <c r="BP139" s="65">
        <f>BO139*1000/C139</f>
        <v>0.31807518651415395</v>
      </c>
      <c r="BQ139" s="1071"/>
      <c r="BR139" s="35">
        <f t="shared" si="398"/>
        <v>28402</v>
      </c>
      <c r="BS139" s="35"/>
      <c r="BT139" s="35">
        <v>26553</v>
      </c>
      <c r="BU139" s="35">
        <f>BR139+BS139-BT139</f>
        <v>1849</v>
      </c>
      <c r="BV139" s="74">
        <f>BV138+BU139</f>
        <v>348063</v>
      </c>
      <c r="BW139" s="74">
        <f>BV139*1000/E139</f>
        <v>452.56850305617638</v>
      </c>
      <c r="BX139" s="1098"/>
      <c r="BY139" s="295">
        <f t="shared" si="402"/>
        <v>620</v>
      </c>
      <c r="BZ139" s="296"/>
      <c r="CA139" s="296">
        <v>418</v>
      </c>
      <c r="CB139" s="296">
        <f>BY139+BZ139-CA139</f>
        <v>202</v>
      </c>
      <c r="CC139" s="297">
        <f>CB139*1000/B139</f>
        <v>0.3231028106745491</v>
      </c>
      <c r="CD139" s="296">
        <f>CD138+CB139</f>
        <v>9212</v>
      </c>
      <c r="CE139" s="297">
        <f>CD139*1000/C139</f>
        <v>0.13865085970607041</v>
      </c>
      <c r="CF139" s="1061"/>
      <c r="CH139">
        <f t="shared" si="418"/>
        <v>0</v>
      </c>
    </row>
    <row r="140" spans="1:86">
      <c r="A140" s="30">
        <v>44088</v>
      </c>
      <c r="B140" s="265">
        <v>620564</v>
      </c>
      <c r="C140" s="114">
        <f t="shared" si="416"/>
        <v>67060830</v>
      </c>
      <c r="D140" s="91">
        <v>6758.9</v>
      </c>
      <c r="E140" s="93">
        <f t="shared" si="417"/>
        <v>775842.47</v>
      </c>
      <c r="F140" s="240">
        <f t="shared" si="371"/>
        <v>1950</v>
      </c>
      <c r="G140" s="240">
        <v>34860</v>
      </c>
      <c r="H140" s="280">
        <v>17.73</v>
      </c>
      <c r="I140" s="240">
        <v>11010</v>
      </c>
      <c r="J140" s="240">
        <f>F140+G140-I140</f>
        <v>25800</v>
      </c>
      <c r="K140" s="280">
        <f>J140*1000/B140</f>
        <v>41.575083311310358</v>
      </c>
      <c r="L140" s="240">
        <f>L139+J140</f>
        <v>2102120</v>
      </c>
      <c r="M140" s="280">
        <f>L140*1000/C140</f>
        <v>31.346465589525213</v>
      </c>
      <c r="N140" s="280">
        <f>M140/8.167</f>
        <v>3.8381860645922878</v>
      </c>
      <c r="O140" s="1089"/>
      <c r="P140" s="1084"/>
      <c r="Q140" s="77">
        <f t="shared" si="377"/>
        <v>53314</v>
      </c>
      <c r="R140" s="35"/>
      <c r="S140" s="35">
        <v>53314</v>
      </c>
      <c r="T140" s="35">
        <f>Q140+R140-S140</f>
        <v>0</v>
      </c>
      <c r="U140" s="36">
        <f>1000*T140/B140</f>
        <v>0</v>
      </c>
      <c r="V140" s="74">
        <f>V139+T140</f>
        <v>111634</v>
      </c>
      <c r="W140" s="36">
        <f>1000*V140/C140</f>
        <v>1.6646677352487287</v>
      </c>
      <c r="X140" s="1136"/>
      <c r="Y140" s="49">
        <f t="shared" si="382"/>
        <v>359</v>
      </c>
      <c r="Z140" s="50">
        <v>900</v>
      </c>
      <c r="AA140" s="50">
        <f>1057+87</f>
        <v>1144</v>
      </c>
      <c r="AB140" s="50">
        <f>Y140+Z140-AA140</f>
        <v>115</v>
      </c>
      <c r="AC140" s="51">
        <f>AB140*1000/B140</f>
        <v>0.18531529382948414</v>
      </c>
      <c r="AD140" s="50">
        <f>AD139+AB140</f>
        <v>20219</v>
      </c>
      <c r="AE140" s="51">
        <f>AD140*1000/C140</f>
        <v>0.30150238224012438</v>
      </c>
      <c r="AF140" s="1047"/>
      <c r="AG140" s="40">
        <f t="shared" si="387"/>
        <v>1042</v>
      </c>
      <c r="AH140" s="41"/>
      <c r="AI140" s="41">
        <v>1004</v>
      </c>
      <c r="AJ140" s="41">
        <f>AG140+AH140-AI140</f>
        <v>38</v>
      </c>
      <c r="AK140" s="42">
        <f>AJ140*1000/B140</f>
        <v>6.1234618830612153E-2</v>
      </c>
      <c r="AL140" s="41">
        <f>AL139+AJ140</f>
        <v>9379</v>
      </c>
      <c r="AM140" s="42">
        <f>AL140*1000/C140</f>
        <v>0.13985809600030299</v>
      </c>
      <c r="AN140" s="1058"/>
      <c r="AO140" s="220">
        <v>5.7</v>
      </c>
      <c r="AP140" s="67">
        <v>24</v>
      </c>
      <c r="AQ140" s="68">
        <f t="shared" ref="AQ140:AQ156" si="419">AO140*AP140*0.49705</f>
        <v>67.996440000000007</v>
      </c>
      <c r="AR140" s="68">
        <f t="shared" ref="AR140:AR156" si="420">AQ140*1000/D140</f>
        <v>10.06028199855006</v>
      </c>
      <c r="AS140" s="69">
        <f>AS139+AQ140</f>
        <v>7795.7321999999986</v>
      </c>
      <c r="AT140" s="140">
        <f>AS140*1000/E140</f>
        <v>10.048086436928362</v>
      </c>
      <c r="AU140" s="1073"/>
      <c r="AV140" s="70">
        <v>4.2</v>
      </c>
      <c r="AW140" s="71">
        <v>12</v>
      </c>
      <c r="AX140" s="72">
        <f t="shared" si="410"/>
        <v>26.043192000000005</v>
      </c>
      <c r="AY140" s="72">
        <f t="shared" si="411"/>
        <v>3.8531701904156015</v>
      </c>
      <c r="AZ140" s="73">
        <f t="shared" si="412"/>
        <v>2475.9634679999986</v>
      </c>
      <c r="BA140" s="192">
        <f t="shared" si="413"/>
        <v>3.191322418841029</v>
      </c>
      <c r="BB140" s="1075"/>
      <c r="BC140" s="90">
        <f t="shared" si="392"/>
        <v>9322</v>
      </c>
      <c r="BD140" s="59"/>
      <c r="BE140" s="56">
        <v>9322</v>
      </c>
      <c r="BF140" s="56"/>
      <c r="BG140" s="58">
        <f t="shared" si="414"/>
        <v>41613</v>
      </c>
      <c r="BH140" s="58">
        <f t="shared" si="415"/>
        <v>53.63588822354621</v>
      </c>
      <c r="BI140" s="1133"/>
      <c r="BJ140" s="63">
        <f t="shared" si="393"/>
        <v>55</v>
      </c>
      <c r="BK140" s="64">
        <v>1100</v>
      </c>
      <c r="BL140" s="64">
        <v>996</v>
      </c>
      <c r="BM140" s="64">
        <f>BJ140+BK140-BL140</f>
        <v>159</v>
      </c>
      <c r="BN140" s="65">
        <f>BM140*1000/B140</f>
        <v>0.25621853668598243</v>
      </c>
      <c r="BO140" s="64">
        <f>BO139+BM140</f>
        <v>21292</v>
      </c>
      <c r="BP140" s="65">
        <f>BO140*1000/C140</f>
        <v>0.31750278068434284</v>
      </c>
      <c r="BQ140" s="1071"/>
      <c r="BR140" s="35">
        <f t="shared" si="398"/>
        <v>26553</v>
      </c>
      <c r="BS140" s="35"/>
      <c r="BT140" s="35">
        <v>23781</v>
      </c>
      <c r="BU140" s="35">
        <f>BR140+BS140-BT140</f>
        <v>2772</v>
      </c>
      <c r="BV140" s="74">
        <f>BV139+BU140</f>
        <v>350835</v>
      </c>
      <c r="BW140" s="74">
        <f>BV140*1000/E140</f>
        <v>452.19875627587135</v>
      </c>
      <c r="BX140" s="1098"/>
      <c r="BY140" s="295">
        <f t="shared" si="402"/>
        <v>418</v>
      </c>
      <c r="BZ140" s="296">
        <v>1150</v>
      </c>
      <c r="CA140" s="296">
        <v>1452</v>
      </c>
      <c r="CB140" s="296">
        <f>BY140+BZ140-CA140</f>
        <v>116</v>
      </c>
      <c r="CC140" s="297">
        <f>CB140*1000/B140</f>
        <v>0.18692673116713185</v>
      </c>
      <c r="CD140" s="296">
        <f>CD139+CB140</f>
        <v>9328</v>
      </c>
      <c r="CE140" s="297">
        <f>CD140*1000/C140</f>
        <v>0.13909759243958061</v>
      </c>
      <c r="CF140" s="1061"/>
      <c r="CH140">
        <f t="shared" si="418"/>
        <v>0</v>
      </c>
    </row>
    <row r="141" spans="1:86">
      <c r="A141" s="30">
        <v>44089</v>
      </c>
      <c r="B141" s="318">
        <v>623875</v>
      </c>
      <c r="C141" s="114">
        <f t="shared" si="416"/>
        <v>67684705</v>
      </c>
      <c r="D141" s="91">
        <v>6829.44</v>
      </c>
      <c r="E141" s="93">
        <f t="shared" si="417"/>
        <v>782671.90999999992</v>
      </c>
      <c r="F141" s="240">
        <f t="shared" si="371"/>
        <v>11010</v>
      </c>
      <c r="G141" s="240">
        <v>19600</v>
      </c>
      <c r="H141" s="280">
        <v>19.52</v>
      </c>
      <c r="I141" s="240">
        <f>8000+1650</f>
        <v>9650</v>
      </c>
      <c r="J141" s="240">
        <f t="shared" ref="J141:J156" si="421">F141+G141-I141</f>
        <v>20960</v>
      </c>
      <c r="K141" s="280">
        <f t="shared" ref="K141:K156" si="422">J141*1000/B141</f>
        <v>33.596473652574637</v>
      </c>
      <c r="L141" s="240">
        <f t="shared" ref="L141:L156" si="423">L140+J141</f>
        <v>2123080</v>
      </c>
      <c r="M141" s="280">
        <f t="shared" ref="M141:M156" si="424">L141*1000/C141</f>
        <v>31.367204747365008</v>
      </c>
      <c r="N141" s="280">
        <f t="shared" ref="N141:N156" si="425">M141/8.167</f>
        <v>3.8407254496589944</v>
      </c>
      <c r="O141" s="1089"/>
      <c r="P141" s="1084"/>
      <c r="Q141" s="77">
        <f t="shared" si="377"/>
        <v>53314</v>
      </c>
      <c r="R141" s="35"/>
      <c r="S141" s="35">
        <v>52876</v>
      </c>
      <c r="T141" s="35">
        <f t="shared" ref="T141:T156" si="426">Q141+R141-S141</f>
        <v>438</v>
      </c>
      <c r="U141" s="36">
        <f t="shared" ref="U141:U156" si="427">1000*T141/B141</f>
        <v>0.70206371468643558</v>
      </c>
      <c r="V141" s="74">
        <f t="shared" ref="V141:V156" si="428">V140+T141</f>
        <v>112072</v>
      </c>
      <c r="W141" s="36">
        <f t="shared" ref="W141:W156" si="429">1000*V141/C141</f>
        <v>1.6557950573914741</v>
      </c>
      <c r="X141" s="1136"/>
      <c r="Y141" s="49">
        <f t="shared" si="382"/>
        <v>1144</v>
      </c>
      <c r="Z141" s="50"/>
      <c r="AA141" s="50">
        <f>1024+88</f>
        <v>1112</v>
      </c>
      <c r="AB141" s="50">
        <f t="shared" ref="AB141:AB156" si="430">Y141+Z141-AA141</f>
        <v>32</v>
      </c>
      <c r="AC141" s="51">
        <f t="shared" ref="AC141:AC156" si="431">AB141*1000/B141</f>
        <v>5.1292326187136847E-2</v>
      </c>
      <c r="AD141" s="50">
        <f t="shared" ref="AD141:AD156" si="432">AD140+AB141</f>
        <v>20251</v>
      </c>
      <c r="AE141" s="51">
        <f t="shared" ref="AE141:AE156" si="433">AD141*1000/C141</f>
        <v>0.29919610346237013</v>
      </c>
      <c r="AF141" s="1047"/>
      <c r="AG141" s="40">
        <f t="shared" si="387"/>
        <v>1004</v>
      </c>
      <c r="AH141" s="41"/>
      <c r="AI141" s="41">
        <v>984</v>
      </c>
      <c r="AJ141" s="41">
        <f t="shared" ref="AJ141:AJ156" si="434">AG141+AH141-AI141</f>
        <v>20</v>
      </c>
      <c r="AK141" s="42">
        <f t="shared" ref="AK141:AK156" si="435">AJ141*1000/B141</f>
        <v>3.2057703866960531E-2</v>
      </c>
      <c r="AL141" s="41">
        <f t="shared" ref="AL141:AL156" si="436">AL140+AJ141</f>
        <v>9399</v>
      </c>
      <c r="AM141" s="42">
        <f t="shared" ref="AM141:AM156" si="437">AL141*1000/C141</f>
        <v>0.13886445985101065</v>
      </c>
      <c r="AN141" s="1058"/>
      <c r="AO141" s="220">
        <v>6.2</v>
      </c>
      <c r="AP141" s="67">
        <v>24</v>
      </c>
      <c r="AQ141" s="68">
        <f t="shared" si="419"/>
        <v>73.961040000000011</v>
      </c>
      <c r="AR141" s="68">
        <f t="shared" si="420"/>
        <v>10.829737138037673</v>
      </c>
      <c r="AS141" s="69">
        <f t="shared" ref="AS141:AS156" si="438">AS140+AQ141</f>
        <v>7869.6932399999987</v>
      </c>
      <c r="AT141" s="140">
        <f t="shared" ref="AT141:AT156" si="439">AS141*1000/E141</f>
        <v>10.054906966061933</v>
      </c>
      <c r="AU141" s="1073"/>
      <c r="AV141" s="319">
        <v>4</v>
      </c>
      <c r="AW141" s="71">
        <v>12</v>
      </c>
      <c r="AX141" s="72">
        <f t="shared" ref="AX141:AX156" si="440">AV141*AW141*0.51673</f>
        <v>24.803040000000003</v>
      </c>
      <c r="AY141" s="72">
        <f t="shared" ref="AY141:AY156" si="441">AX141*1000/D141</f>
        <v>3.6317824008996356</v>
      </c>
      <c r="AZ141" s="73">
        <f t="shared" ref="AZ141:AZ156" si="442">AZ140+AX141</f>
        <v>2500.7665079999983</v>
      </c>
      <c r="BA141" s="192">
        <f t="shared" ref="BA141:BA156" si="443">AZ141*1000/E141</f>
        <v>3.1951657853672031</v>
      </c>
      <c r="BB141" s="1075"/>
      <c r="BC141" s="90">
        <f t="shared" si="392"/>
        <v>9322</v>
      </c>
      <c r="BD141" s="59"/>
      <c r="BE141" s="56">
        <v>9322</v>
      </c>
      <c r="BF141" s="56"/>
      <c r="BG141" s="58">
        <f t="shared" si="414"/>
        <v>41613</v>
      </c>
      <c r="BH141" s="58">
        <f t="shared" si="415"/>
        <v>53.167872090873942</v>
      </c>
      <c r="BI141" s="1133"/>
      <c r="BJ141" s="63">
        <f t="shared" si="393"/>
        <v>996</v>
      </c>
      <c r="BK141" s="64"/>
      <c r="BL141" s="64">
        <v>852</v>
      </c>
      <c r="BM141" s="64">
        <f t="shared" ref="BM141:BM156" si="444">BJ141+BK141-BL141</f>
        <v>144</v>
      </c>
      <c r="BN141" s="65">
        <f t="shared" ref="BN141:BN156" si="445">BM141*1000/B141</f>
        <v>0.23081546784211582</v>
      </c>
      <c r="BO141" s="64">
        <f t="shared" ref="BO141:BO156" si="446">BO140+BM141</f>
        <v>21436</v>
      </c>
      <c r="BP141" s="65">
        <f t="shared" ref="BP141:BP156" si="447">BO141*1000/C141</f>
        <v>0.31670375160828435</v>
      </c>
      <c r="BQ141" s="1071"/>
      <c r="BR141" s="35">
        <f t="shared" si="398"/>
        <v>23781</v>
      </c>
      <c r="BS141" s="35"/>
      <c r="BT141" s="35">
        <v>19160</v>
      </c>
      <c r="BU141" s="35">
        <f t="shared" ref="BU141:BU156" si="448">BR141+BS141-BT141</f>
        <v>4621</v>
      </c>
      <c r="BV141" s="74">
        <f t="shared" ref="BV141:BV156" si="449">BV140+BU141</f>
        <v>355456</v>
      </c>
      <c r="BW141" s="74">
        <f t="shared" ref="BW141:BW156" si="450">BV141*1000/E141</f>
        <v>454.15709374314974</v>
      </c>
      <c r="BX141" s="1098"/>
      <c r="BY141" s="295">
        <f t="shared" si="402"/>
        <v>1452</v>
      </c>
      <c r="BZ141" s="296"/>
      <c r="CA141" s="296">
        <v>1152</v>
      </c>
      <c r="CB141" s="296">
        <f t="shared" ref="CB141:CB156" si="451">BY141+BZ141-CA141</f>
        <v>300</v>
      </c>
      <c r="CC141" s="297">
        <f t="shared" ref="CC141:CC156" si="452">CB141*1000/B141</f>
        <v>0.48086555800440794</v>
      </c>
      <c r="CD141" s="296">
        <f t="shared" ref="CD141:CD156" si="453">CD140+CB141</f>
        <v>9628</v>
      </c>
      <c r="CE141" s="297">
        <f t="shared" ref="CE141:CE156" si="454">CD141*1000/C141</f>
        <v>0.14224779438722529</v>
      </c>
      <c r="CF141" s="1061"/>
      <c r="CH141">
        <f t="shared" si="418"/>
        <v>0</v>
      </c>
    </row>
    <row r="142" spans="1:86">
      <c r="A142" s="30">
        <v>44090</v>
      </c>
      <c r="B142" s="265">
        <v>628577</v>
      </c>
      <c r="C142" s="114">
        <f t="shared" si="416"/>
        <v>68313282</v>
      </c>
      <c r="D142" s="91">
        <v>6812.22</v>
      </c>
      <c r="E142" s="93">
        <f t="shared" si="417"/>
        <v>789484.12999999989</v>
      </c>
      <c r="F142" s="240">
        <f t="shared" si="371"/>
        <v>9650</v>
      </c>
      <c r="G142" s="240">
        <v>20800</v>
      </c>
      <c r="H142" s="280">
        <v>22.5</v>
      </c>
      <c r="I142" s="240">
        <f>11600+1400</f>
        <v>13000</v>
      </c>
      <c r="J142" s="240">
        <f t="shared" si="421"/>
        <v>17450</v>
      </c>
      <c r="K142" s="280">
        <f t="shared" si="422"/>
        <v>27.761117571912429</v>
      </c>
      <c r="L142" s="240">
        <f t="shared" si="423"/>
        <v>2140530</v>
      </c>
      <c r="M142" s="280">
        <f t="shared" si="424"/>
        <v>31.334023740800507</v>
      </c>
      <c r="N142" s="280">
        <f t="shared" si="425"/>
        <v>3.8366626350925075</v>
      </c>
      <c r="O142" s="1089"/>
      <c r="P142" s="1084"/>
      <c r="Q142" s="77">
        <f t="shared" si="377"/>
        <v>52876</v>
      </c>
      <c r="R142" s="35"/>
      <c r="S142" s="35">
        <v>51758</v>
      </c>
      <c r="T142" s="35">
        <f t="shared" si="426"/>
        <v>1118</v>
      </c>
      <c r="U142" s="36">
        <f t="shared" si="427"/>
        <v>1.7786205985901489</v>
      </c>
      <c r="V142" s="74">
        <f t="shared" si="428"/>
        <v>113190</v>
      </c>
      <c r="W142" s="36">
        <f t="shared" si="429"/>
        <v>1.6569252228285563</v>
      </c>
      <c r="X142" s="1136"/>
      <c r="Y142" s="49">
        <f t="shared" si="382"/>
        <v>1112</v>
      </c>
      <c r="Z142" s="322"/>
      <c r="AA142" s="50">
        <f>973+108</f>
        <v>1081</v>
      </c>
      <c r="AB142" s="50">
        <f t="shared" si="430"/>
        <v>31</v>
      </c>
      <c r="AC142" s="51">
        <f t="shared" si="431"/>
        <v>4.9317744683626666E-2</v>
      </c>
      <c r="AD142" s="50">
        <f t="shared" si="432"/>
        <v>20282</v>
      </c>
      <c r="AE142" s="51">
        <f t="shared" si="433"/>
        <v>0.29689687577885659</v>
      </c>
      <c r="AF142" s="1047"/>
      <c r="AG142" s="40">
        <f t="shared" si="387"/>
        <v>984</v>
      </c>
      <c r="AH142" s="41"/>
      <c r="AI142" s="41">
        <v>964</v>
      </c>
      <c r="AJ142" s="41">
        <f t="shared" si="434"/>
        <v>20</v>
      </c>
      <c r="AK142" s="42">
        <f t="shared" si="435"/>
        <v>3.1817899795888172E-2</v>
      </c>
      <c r="AL142" s="41">
        <f t="shared" si="436"/>
        <v>9419</v>
      </c>
      <c r="AM142" s="42">
        <f t="shared" si="437"/>
        <v>0.13787948293861799</v>
      </c>
      <c r="AN142" s="1058"/>
      <c r="AO142" s="220">
        <v>6.2</v>
      </c>
      <c r="AP142" s="67">
        <v>24</v>
      </c>
      <c r="AQ142" s="68">
        <f t="shared" si="419"/>
        <v>73.961040000000011</v>
      </c>
      <c r="AR142" s="68">
        <f t="shared" si="420"/>
        <v>10.857112659309301</v>
      </c>
      <c r="AS142" s="69">
        <f t="shared" si="438"/>
        <v>7943.6542799999988</v>
      </c>
      <c r="AT142" s="140">
        <f t="shared" si="439"/>
        <v>10.061828956587132</v>
      </c>
      <c r="AU142" s="1073"/>
      <c r="AV142" s="319">
        <v>3.3</v>
      </c>
      <c r="AW142" s="71">
        <v>12</v>
      </c>
      <c r="AX142" s="72">
        <f t="shared" si="440"/>
        <v>20.462508</v>
      </c>
      <c r="AY142" s="72">
        <f t="shared" si="441"/>
        <v>3.0037943577864481</v>
      </c>
      <c r="AZ142" s="73">
        <f t="shared" si="442"/>
        <v>2521.2290159999984</v>
      </c>
      <c r="BA142" s="192">
        <f t="shared" si="443"/>
        <v>3.1935144991451554</v>
      </c>
      <c r="BB142" s="1075"/>
      <c r="BC142" s="90">
        <f t="shared" si="392"/>
        <v>9322</v>
      </c>
      <c r="BD142" s="59"/>
      <c r="BE142" s="56">
        <v>9322</v>
      </c>
      <c r="BF142" s="56"/>
      <c r="BG142" s="58">
        <f t="shared" si="414"/>
        <v>41613</v>
      </c>
      <c r="BH142" s="58">
        <f t="shared" si="415"/>
        <v>52.709102588293959</v>
      </c>
      <c r="BI142" s="1133"/>
      <c r="BJ142" s="63">
        <f t="shared" si="393"/>
        <v>852</v>
      </c>
      <c r="BK142" s="64"/>
      <c r="BL142" s="64">
        <v>720</v>
      </c>
      <c r="BM142" s="64">
        <f t="shared" si="444"/>
        <v>132</v>
      </c>
      <c r="BN142" s="65">
        <f t="shared" si="445"/>
        <v>0.20999813865286193</v>
      </c>
      <c r="BO142" s="64">
        <f t="shared" si="446"/>
        <v>21568</v>
      </c>
      <c r="BP142" s="65">
        <f t="shared" si="447"/>
        <v>0.31572191188237742</v>
      </c>
      <c r="BQ142" s="1071"/>
      <c r="BR142" s="35">
        <f t="shared" si="398"/>
        <v>19160</v>
      </c>
      <c r="BS142" s="315"/>
      <c r="BT142" s="35">
        <v>19160</v>
      </c>
      <c r="BU142" s="35">
        <f t="shared" si="448"/>
        <v>0</v>
      </c>
      <c r="BV142" s="74">
        <f t="shared" si="449"/>
        <v>355456</v>
      </c>
      <c r="BW142" s="74">
        <f t="shared" si="450"/>
        <v>450.23830941351542</v>
      </c>
      <c r="BX142" s="1098"/>
      <c r="BY142" s="295">
        <f t="shared" si="402"/>
        <v>1152</v>
      </c>
      <c r="BZ142" s="296"/>
      <c r="CA142" s="296">
        <v>960</v>
      </c>
      <c r="CB142" s="296">
        <f t="shared" si="451"/>
        <v>192</v>
      </c>
      <c r="CC142" s="297">
        <f t="shared" si="452"/>
        <v>0.30545183804052645</v>
      </c>
      <c r="CD142" s="296">
        <f t="shared" si="453"/>
        <v>9820</v>
      </c>
      <c r="CE142" s="297">
        <f t="shared" si="454"/>
        <v>0.14374949808442816</v>
      </c>
      <c r="CF142" s="1061"/>
      <c r="CH142">
        <f t="shared" si="418"/>
        <v>618067.80000000005</v>
      </c>
    </row>
    <row r="143" spans="1:86">
      <c r="A143" s="30">
        <v>44091</v>
      </c>
      <c r="B143" s="265">
        <v>606416</v>
      </c>
      <c r="C143" s="114">
        <f t="shared" si="416"/>
        <v>68919698</v>
      </c>
      <c r="D143" s="91">
        <v>6720.2</v>
      </c>
      <c r="E143" s="93">
        <f t="shared" si="417"/>
        <v>796204.32999999984</v>
      </c>
      <c r="F143" s="240">
        <f t="shared" si="371"/>
        <v>13000</v>
      </c>
      <c r="G143" s="240">
        <v>32400</v>
      </c>
      <c r="H143" s="280">
        <v>14.95</v>
      </c>
      <c r="I143" s="240">
        <f>12000+1310</f>
        <v>13310</v>
      </c>
      <c r="J143" s="240">
        <f t="shared" si="421"/>
        <v>32090</v>
      </c>
      <c r="K143" s="280">
        <f t="shared" si="422"/>
        <v>52.917469196063429</v>
      </c>
      <c r="L143" s="240">
        <f t="shared" si="423"/>
        <v>2172620</v>
      </c>
      <c r="M143" s="280">
        <f t="shared" si="424"/>
        <v>31.523933839640446</v>
      </c>
      <c r="N143" s="280">
        <f t="shared" si="425"/>
        <v>3.8599159837933694</v>
      </c>
      <c r="O143" s="1089"/>
      <c r="P143" s="1084"/>
      <c r="Q143" s="77">
        <f t="shared" si="377"/>
        <v>51758</v>
      </c>
      <c r="R143" s="35"/>
      <c r="S143" s="35">
        <v>51758</v>
      </c>
      <c r="T143" s="35">
        <f t="shared" si="426"/>
        <v>0</v>
      </c>
      <c r="U143" s="36">
        <f t="shared" si="427"/>
        <v>0</v>
      </c>
      <c r="V143" s="74">
        <f t="shared" si="428"/>
        <v>113190</v>
      </c>
      <c r="W143" s="36">
        <f t="shared" si="429"/>
        <v>1.6423461402863373</v>
      </c>
      <c r="X143" s="1136"/>
      <c r="Y143" s="49">
        <f t="shared" si="382"/>
        <v>1081</v>
      </c>
      <c r="Z143" s="50"/>
      <c r="AA143" s="50">
        <f>973+80</f>
        <v>1053</v>
      </c>
      <c r="AB143" s="50">
        <f t="shared" si="430"/>
        <v>28</v>
      </c>
      <c r="AC143" s="51">
        <f t="shared" si="431"/>
        <v>4.6172924197250734E-2</v>
      </c>
      <c r="AD143" s="50">
        <f t="shared" si="432"/>
        <v>20310</v>
      </c>
      <c r="AE143" s="51">
        <f t="shared" si="433"/>
        <v>0.29469078636995771</v>
      </c>
      <c r="AF143" s="1047"/>
      <c r="AG143" s="40">
        <f t="shared" si="387"/>
        <v>964</v>
      </c>
      <c r="AH143" s="41"/>
      <c r="AI143" s="41">
        <v>945</v>
      </c>
      <c r="AJ143" s="41">
        <f t="shared" si="434"/>
        <v>19</v>
      </c>
      <c r="AK143" s="42">
        <f t="shared" si="435"/>
        <v>3.1331627133848711E-2</v>
      </c>
      <c r="AL143" s="41">
        <f t="shared" si="436"/>
        <v>9438</v>
      </c>
      <c r="AM143" s="42">
        <f t="shared" si="437"/>
        <v>0.13694198137664504</v>
      </c>
      <c r="AN143" s="1058"/>
      <c r="AO143" s="260">
        <v>6.4</v>
      </c>
      <c r="AP143" s="67">
        <v>24</v>
      </c>
      <c r="AQ143" s="68">
        <f t="shared" si="419"/>
        <v>76.346880000000013</v>
      </c>
      <c r="AR143" s="68">
        <f t="shared" si="420"/>
        <v>11.360804737954231</v>
      </c>
      <c r="AS143" s="69">
        <f t="shared" si="438"/>
        <v>8020.0011599999989</v>
      </c>
      <c r="AT143" s="140">
        <f t="shared" si="439"/>
        <v>10.072792696317038</v>
      </c>
      <c r="AU143" s="1073"/>
      <c r="AV143" s="319">
        <v>4</v>
      </c>
      <c r="AW143" s="71">
        <v>12</v>
      </c>
      <c r="AX143" s="72">
        <f t="shared" si="440"/>
        <v>24.803040000000003</v>
      </c>
      <c r="AY143" s="72">
        <f t="shared" si="441"/>
        <v>3.6908187256331666</v>
      </c>
      <c r="AZ143" s="73">
        <f t="shared" si="442"/>
        <v>2546.0320559999982</v>
      </c>
      <c r="BA143" s="192">
        <f t="shared" si="443"/>
        <v>3.197711893880304</v>
      </c>
      <c r="BB143" s="1075"/>
      <c r="BC143" s="90">
        <f t="shared" si="392"/>
        <v>9322</v>
      </c>
      <c r="BD143" s="59"/>
      <c r="BE143" s="56">
        <v>9322</v>
      </c>
      <c r="BF143" s="56"/>
      <c r="BG143" s="58">
        <f t="shared" si="414"/>
        <v>41613</v>
      </c>
      <c r="BH143" s="58">
        <f t="shared" si="415"/>
        <v>52.264222175229825</v>
      </c>
      <c r="BI143" s="1133"/>
      <c r="BJ143" s="63">
        <f t="shared" si="393"/>
        <v>720</v>
      </c>
      <c r="BK143" s="64"/>
      <c r="BL143" s="64">
        <v>564</v>
      </c>
      <c r="BM143" s="64">
        <f t="shared" si="444"/>
        <v>156</v>
      </c>
      <c r="BN143" s="65">
        <f t="shared" si="445"/>
        <v>0.25724914909896834</v>
      </c>
      <c r="BO143" s="64">
        <f t="shared" si="446"/>
        <v>21724</v>
      </c>
      <c r="BP143" s="65">
        <f t="shared" si="447"/>
        <v>0.31520741718862438</v>
      </c>
      <c r="BQ143" s="1071"/>
      <c r="BR143" s="35">
        <f t="shared" si="398"/>
        <v>19160</v>
      </c>
      <c r="BS143" s="35"/>
      <c r="BT143" s="35">
        <v>12691</v>
      </c>
      <c r="BU143" s="35">
        <f t="shared" si="448"/>
        <v>6469</v>
      </c>
      <c r="BV143" s="74">
        <f t="shared" si="449"/>
        <v>361925</v>
      </c>
      <c r="BW143" s="74">
        <f t="shared" si="450"/>
        <v>454.56296375579882</v>
      </c>
      <c r="BX143" s="1098"/>
      <c r="BY143" s="295">
        <f t="shared" si="402"/>
        <v>960</v>
      </c>
      <c r="BZ143" s="296"/>
      <c r="CA143" s="296">
        <v>530</v>
      </c>
      <c r="CB143" s="296">
        <f t="shared" si="451"/>
        <v>430</v>
      </c>
      <c r="CC143" s="297">
        <f t="shared" si="452"/>
        <v>0.70908419302920767</v>
      </c>
      <c r="CD143" s="296">
        <f t="shared" si="453"/>
        <v>10250</v>
      </c>
      <c r="CE143" s="297">
        <f t="shared" si="454"/>
        <v>0.14872380897548332</v>
      </c>
      <c r="CF143" s="1061"/>
      <c r="CH143">
        <f t="shared" si="418"/>
        <v>382592</v>
      </c>
    </row>
    <row r="144" spans="1:86">
      <c r="A144" s="30">
        <v>44092</v>
      </c>
      <c r="B144" s="32">
        <v>557851</v>
      </c>
      <c r="C144" s="114">
        <f t="shared" si="416"/>
        <v>69477549</v>
      </c>
      <c r="D144" s="91">
        <v>6092.38</v>
      </c>
      <c r="E144" s="93">
        <f t="shared" si="417"/>
        <v>802296.70999999985</v>
      </c>
      <c r="F144" s="240">
        <f t="shared" si="371"/>
        <v>13310</v>
      </c>
      <c r="G144" s="240"/>
      <c r="H144" s="280"/>
      <c r="I144" s="240">
        <v>1280</v>
      </c>
      <c r="J144" s="240">
        <f t="shared" si="421"/>
        <v>12030</v>
      </c>
      <c r="K144" s="280">
        <f t="shared" si="422"/>
        <v>21.564898153808095</v>
      </c>
      <c r="L144" s="240">
        <f t="shared" si="423"/>
        <v>2184650</v>
      </c>
      <c r="M144" s="280">
        <f t="shared" si="424"/>
        <v>31.44397048318443</v>
      </c>
      <c r="N144" s="280">
        <f t="shared" si="425"/>
        <v>3.8501249520245415</v>
      </c>
      <c r="O144" s="1089"/>
      <c r="P144" s="1084"/>
      <c r="Q144" s="77">
        <f t="shared" si="377"/>
        <v>51758</v>
      </c>
      <c r="R144" s="35"/>
      <c r="S144" s="35">
        <v>48960</v>
      </c>
      <c r="T144" s="35">
        <f t="shared" si="426"/>
        <v>2798</v>
      </c>
      <c r="U144" s="36">
        <f t="shared" si="427"/>
        <v>5.0156762289571946</v>
      </c>
      <c r="V144" s="74">
        <f t="shared" si="428"/>
        <v>115988</v>
      </c>
      <c r="W144" s="36">
        <f t="shared" si="429"/>
        <v>1.6694313727158108</v>
      </c>
      <c r="X144" s="1136"/>
      <c r="Y144" s="49">
        <f t="shared" si="382"/>
        <v>1053</v>
      </c>
      <c r="Z144" s="50"/>
      <c r="AA144" s="50">
        <f>938+78</f>
        <v>1016</v>
      </c>
      <c r="AB144" s="50">
        <f t="shared" si="430"/>
        <v>37</v>
      </c>
      <c r="AC144" s="51">
        <f t="shared" si="431"/>
        <v>6.6325954421521158E-2</v>
      </c>
      <c r="AD144" s="50">
        <f t="shared" si="432"/>
        <v>20347</v>
      </c>
      <c r="AE144" s="51">
        <f t="shared" si="433"/>
        <v>0.29285719333593646</v>
      </c>
      <c r="AF144" s="1047"/>
      <c r="AG144" s="40">
        <f t="shared" si="387"/>
        <v>945</v>
      </c>
      <c r="AH144" s="41"/>
      <c r="AI144" s="41">
        <v>905</v>
      </c>
      <c r="AJ144" s="41">
        <f t="shared" si="434"/>
        <v>40</v>
      </c>
      <c r="AK144" s="42">
        <f t="shared" si="435"/>
        <v>7.1703734509752606E-2</v>
      </c>
      <c r="AL144" s="41">
        <f t="shared" si="436"/>
        <v>9478</v>
      </c>
      <c r="AM144" s="42">
        <f t="shared" si="437"/>
        <v>0.13641816869504134</v>
      </c>
      <c r="AN144" s="1058"/>
      <c r="AO144" s="220">
        <v>5.6</v>
      </c>
      <c r="AP144" s="67">
        <v>24</v>
      </c>
      <c r="AQ144" s="68">
        <f t="shared" si="419"/>
        <v>66.803519999999992</v>
      </c>
      <c r="AR144" s="68">
        <f t="shared" si="420"/>
        <v>10.965094101155868</v>
      </c>
      <c r="AS144" s="69">
        <f t="shared" si="438"/>
        <v>8086.8046799999993</v>
      </c>
      <c r="AT144" s="140">
        <f t="shared" si="439"/>
        <v>10.07956854266547</v>
      </c>
      <c r="AU144" s="1073"/>
      <c r="AV144" s="319">
        <v>3.9</v>
      </c>
      <c r="AW144" s="71">
        <v>12</v>
      </c>
      <c r="AX144" s="72">
        <f t="shared" si="440"/>
        <v>24.182963999999998</v>
      </c>
      <c r="AY144" s="72">
        <f t="shared" si="441"/>
        <v>3.9693787977768951</v>
      </c>
      <c r="AZ144" s="73">
        <f t="shared" si="442"/>
        <v>2570.2150199999983</v>
      </c>
      <c r="BA144" s="192">
        <f t="shared" si="443"/>
        <v>3.2035716811053589</v>
      </c>
      <c r="BB144" s="1075"/>
      <c r="BC144" s="90">
        <f t="shared" si="392"/>
        <v>9322</v>
      </c>
      <c r="BD144" s="59"/>
      <c r="BE144" s="56">
        <v>9322</v>
      </c>
      <c r="BF144" s="56"/>
      <c r="BG144" s="58">
        <f t="shared" si="414"/>
        <v>41613</v>
      </c>
      <c r="BH144" s="58">
        <f t="shared" si="415"/>
        <v>51.867344688475676</v>
      </c>
      <c r="BI144" s="1133"/>
      <c r="BJ144" s="63">
        <f t="shared" si="393"/>
        <v>564</v>
      </c>
      <c r="BK144" s="64">
        <v>1100</v>
      </c>
      <c r="BL144" s="64">
        <v>1495</v>
      </c>
      <c r="BM144" s="64">
        <f t="shared" si="444"/>
        <v>169</v>
      </c>
      <c r="BN144" s="65">
        <f t="shared" si="445"/>
        <v>0.30294827830370474</v>
      </c>
      <c r="BO144" s="64">
        <f t="shared" si="446"/>
        <v>21893</v>
      </c>
      <c r="BP144" s="65">
        <f t="shared" si="447"/>
        <v>0.31510898578186747</v>
      </c>
      <c r="BQ144" s="1071"/>
      <c r="BR144" s="35">
        <f t="shared" si="398"/>
        <v>12691</v>
      </c>
      <c r="BS144" s="35">
        <v>30520</v>
      </c>
      <c r="BT144" s="35">
        <v>46885</v>
      </c>
      <c r="BU144" s="35">
        <f t="shared" si="448"/>
        <v>-3674</v>
      </c>
      <c r="BV144" s="74">
        <f t="shared" si="449"/>
        <v>358251</v>
      </c>
      <c r="BW144" s="74">
        <f t="shared" si="450"/>
        <v>446.53180741573783</v>
      </c>
      <c r="BX144" s="1098"/>
      <c r="BY144" s="295">
        <f t="shared" si="402"/>
        <v>530</v>
      </c>
      <c r="BZ144" s="296"/>
      <c r="CA144" s="296">
        <v>250</v>
      </c>
      <c r="CB144" s="296">
        <f t="shared" si="451"/>
        <v>280</v>
      </c>
      <c r="CC144" s="297">
        <f t="shared" si="452"/>
        <v>0.5019261415682682</v>
      </c>
      <c r="CD144" s="296">
        <f t="shared" si="453"/>
        <v>10530</v>
      </c>
      <c r="CE144" s="297">
        <f t="shared" si="454"/>
        <v>0.15155975061814572</v>
      </c>
      <c r="CF144" s="1061"/>
      <c r="CH144">
        <f t="shared" si="418"/>
        <v>468000</v>
      </c>
    </row>
    <row r="145" spans="1:86">
      <c r="A145" s="30">
        <v>44093</v>
      </c>
      <c r="B145" s="265">
        <v>610878</v>
      </c>
      <c r="C145" s="114">
        <f t="shared" si="416"/>
        <v>70088427</v>
      </c>
      <c r="D145" s="91">
        <v>6416.16</v>
      </c>
      <c r="E145" s="93">
        <f t="shared" si="417"/>
        <v>808712.86999999988</v>
      </c>
      <c r="F145" s="240">
        <f t="shared" si="371"/>
        <v>1280</v>
      </c>
      <c r="G145" s="240">
        <v>32500</v>
      </c>
      <c r="H145" s="280">
        <v>15.03</v>
      </c>
      <c r="I145" s="240">
        <f>17200+1150</f>
        <v>18350</v>
      </c>
      <c r="J145" s="240">
        <f t="shared" si="421"/>
        <v>15430</v>
      </c>
      <c r="K145" s="280">
        <f t="shared" si="422"/>
        <v>25.258725964922618</v>
      </c>
      <c r="L145" s="240">
        <f t="shared" si="423"/>
        <v>2200080</v>
      </c>
      <c r="M145" s="280">
        <f t="shared" si="424"/>
        <v>31.390061015351364</v>
      </c>
      <c r="N145" s="280">
        <f t="shared" si="425"/>
        <v>3.8435240621221212</v>
      </c>
      <c r="O145" s="1089"/>
      <c r="P145" s="1084"/>
      <c r="Q145" s="77">
        <f t="shared" si="377"/>
        <v>48960</v>
      </c>
      <c r="R145" s="35"/>
      <c r="S145" s="35">
        <v>46020</v>
      </c>
      <c r="T145" s="35">
        <f t="shared" si="426"/>
        <v>2940</v>
      </c>
      <c r="U145" s="36">
        <f t="shared" si="427"/>
        <v>4.8127449343404081</v>
      </c>
      <c r="V145" s="74">
        <f t="shared" si="428"/>
        <v>118928</v>
      </c>
      <c r="W145" s="36">
        <f t="shared" si="429"/>
        <v>1.696827922818128</v>
      </c>
      <c r="X145" s="1136"/>
      <c r="Y145" s="49">
        <f t="shared" si="382"/>
        <v>1016</v>
      </c>
      <c r="Z145" s="50"/>
      <c r="AA145" s="50">
        <f>886+95</f>
        <v>981</v>
      </c>
      <c r="AB145" s="50">
        <f t="shared" si="430"/>
        <v>35</v>
      </c>
      <c r="AC145" s="51">
        <f t="shared" si="431"/>
        <v>5.7294582551671532E-2</v>
      </c>
      <c r="AD145" s="50">
        <f t="shared" si="432"/>
        <v>20382</v>
      </c>
      <c r="AE145" s="51">
        <f t="shared" si="433"/>
        <v>0.29080407240413597</v>
      </c>
      <c r="AF145" s="1047"/>
      <c r="AG145" s="40">
        <f t="shared" si="387"/>
        <v>905</v>
      </c>
      <c r="AH145" s="41"/>
      <c r="AI145" s="41">
        <v>885</v>
      </c>
      <c r="AJ145" s="41">
        <f t="shared" si="434"/>
        <v>20</v>
      </c>
      <c r="AK145" s="42">
        <f t="shared" si="435"/>
        <v>3.2739761458098017E-2</v>
      </c>
      <c r="AL145" s="41">
        <f t="shared" si="436"/>
        <v>9498</v>
      </c>
      <c r="AM145" s="42">
        <f t="shared" si="437"/>
        <v>0.13551452652803864</v>
      </c>
      <c r="AN145" s="1058"/>
      <c r="AO145" s="220">
        <v>5.5</v>
      </c>
      <c r="AP145" s="67">
        <v>24</v>
      </c>
      <c r="AQ145" s="68">
        <f t="shared" si="419"/>
        <v>65.610600000000005</v>
      </c>
      <c r="AR145" s="68">
        <f t="shared" si="420"/>
        <v>10.225836014064488</v>
      </c>
      <c r="AS145" s="69">
        <f t="shared" si="438"/>
        <v>8152.4152799999993</v>
      </c>
      <c r="AT145" s="140">
        <f t="shared" si="439"/>
        <v>10.080728998414481</v>
      </c>
      <c r="AU145" s="1073"/>
      <c r="AV145" s="319">
        <v>3.8</v>
      </c>
      <c r="AW145" s="71">
        <v>12</v>
      </c>
      <c r="AX145" s="72">
        <f t="shared" si="440"/>
        <v>23.562887999999997</v>
      </c>
      <c r="AY145" s="72">
        <f t="shared" si="441"/>
        <v>3.6724283683698662</v>
      </c>
      <c r="AZ145" s="73">
        <f t="shared" si="442"/>
        <v>2593.7779079999982</v>
      </c>
      <c r="BA145" s="192">
        <f t="shared" si="443"/>
        <v>3.2072914927148357</v>
      </c>
      <c r="BB145" s="1075"/>
      <c r="BC145" s="90">
        <f t="shared" si="392"/>
        <v>9322</v>
      </c>
      <c r="BD145" s="59"/>
      <c r="BE145" s="56">
        <v>9322</v>
      </c>
      <c r="BF145" s="56"/>
      <c r="BG145" s="58">
        <f t="shared" si="414"/>
        <v>41613</v>
      </c>
      <c r="BH145" s="58">
        <f t="shared" si="415"/>
        <v>51.455839944775462</v>
      </c>
      <c r="BI145" s="1133"/>
      <c r="BJ145" s="63">
        <f t="shared" si="393"/>
        <v>1495</v>
      </c>
      <c r="BK145" s="64"/>
      <c r="BL145" s="64">
        <v>1345</v>
      </c>
      <c r="BM145" s="64">
        <f t="shared" si="444"/>
        <v>150</v>
      </c>
      <c r="BN145" s="65">
        <f t="shared" si="445"/>
        <v>0.24554821093573512</v>
      </c>
      <c r="BO145" s="64">
        <f t="shared" si="446"/>
        <v>22043</v>
      </c>
      <c r="BP145" s="65">
        <f t="shared" si="447"/>
        <v>0.31450270670220637</v>
      </c>
      <c r="BQ145" s="1071"/>
      <c r="BR145" s="35">
        <f t="shared" si="398"/>
        <v>46885</v>
      </c>
      <c r="BS145" s="35"/>
      <c r="BT145" s="35">
        <v>36719</v>
      </c>
      <c r="BU145" s="35">
        <f t="shared" si="448"/>
        <v>10166</v>
      </c>
      <c r="BV145" s="74">
        <f t="shared" si="449"/>
        <v>368417</v>
      </c>
      <c r="BW145" s="74">
        <f t="shared" si="450"/>
        <v>455.55970934405934</v>
      </c>
      <c r="BX145" s="1098"/>
      <c r="BY145" s="295">
        <f t="shared" si="402"/>
        <v>250</v>
      </c>
      <c r="BZ145" s="296"/>
      <c r="CA145" s="296">
        <v>30</v>
      </c>
      <c r="CB145" s="296">
        <f t="shared" si="451"/>
        <v>220</v>
      </c>
      <c r="CC145" s="297">
        <f t="shared" si="452"/>
        <v>0.36013737603907819</v>
      </c>
      <c r="CD145" s="296">
        <f t="shared" si="453"/>
        <v>10750</v>
      </c>
      <c r="CE145" s="297">
        <f t="shared" si="454"/>
        <v>0.15337767531863714</v>
      </c>
      <c r="CF145" s="1061"/>
      <c r="CH145">
        <f t="shared" si="418"/>
        <v>484380</v>
      </c>
    </row>
    <row r="146" spans="1:86">
      <c r="A146" s="30">
        <v>44094</v>
      </c>
      <c r="B146" s="32">
        <v>594493</v>
      </c>
      <c r="C146" s="114">
        <f t="shared" si="416"/>
        <v>70682920</v>
      </c>
      <c r="D146" s="91">
        <v>6029.2</v>
      </c>
      <c r="E146" s="93">
        <f t="shared" si="417"/>
        <v>814742.06999999983</v>
      </c>
      <c r="F146" s="240">
        <f t="shared" si="371"/>
        <v>18350</v>
      </c>
      <c r="G146" s="240">
        <v>24225</v>
      </c>
      <c r="H146" s="280">
        <v>22.43</v>
      </c>
      <c r="I146" s="240">
        <f>33200+1050</f>
        <v>34250</v>
      </c>
      <c r="J146" s="240">
        <f t="shared" si="421"/>
        <v>8325</v>
      </c>
      <c r="K146" s="280">
        <f t="shared" si="422"/>
        <v>14.003529057533058</v>
      </c>
      <c r="L146" s="240">
        <f t="shared" si="423"/>
        <v>2208405</v>
      </c>
      <c r="M146" s="280">
        <f t="shared" si="424"/>
        <v>31.243828070487183</v>
      </c>
      <c r="N146" s="280">
        <f t="shared" si="425"/>
        <v>3.8256187180711625</v>
      </c>
      <c r="O146" s="1089"/>
      <c r="P146" s="1084"/>
      <c r="Q146" s="77">
        <f t="shared" si="377"/>
        <v>46020</v>
      </c>
      <c r="R146" s="35"/>
      <c r="S146" s="35">
        <v>42911</v>
      </c>
      <c r="T146" s="35">
        <f t="shared" si="426"/>
        <v>3109</v>
      </c>
      <c r="U146" s="36">
        <f t="shared" si="427"/>
        <v>5.2296662870715043</v>
      </c>
      <c r="V146" s="74">
        <f t="shared" si="428"/>
        <v>122037</v>
      </c>
      <c r="W146" s="36">
        <f t="shared" si="429"/>
        <v>1.7265415746831059</v>
      </c>
      <c r="X146" s="1136"/>
      <c r="Y146" s="49">
        <f t="shared" si="382"/>
        <v>981</v>
      </c>
      <c r="Z146" s="50"/>
      <c r="AA146" s="50">
        <f>886+60</f>
        <v>946</v>
      </c>
      <c r="AB146" s="50">
        <f t="shared" si="430"/>
        <v>35</v>
      </c>
      <c r="AC146" s="51">
        <f t="shared" si="431"/>
        <v>5.8873695737376219E-2</v>
      </c>
      <c r="AD146" s="50">
        <f t="shared" si="432"/>
        <v>20417</v>
      </c>
      <c r="AE146" s="51">
        <f t="shared" si="433"/>
        <v>0.28885337504449449</v>
      </c>
      <c r="AF146" s="1047"/>
      <c r="AG146" s="40">
        <f t="shared" si="387"/>
        <v>885</v>
      </c>
      <c r="AH146" s="41"/>
      <c r="AI146" s="41">
        <v>845</v>
      </c>
      <c r="AJ146" s="41">
        <f t="shared" si="434"/>
        <v>40</v>
      </c>
      <c r="AK146" s="42">
        <f t="shared" si="435"/>
        <v>6.7284223699858536E-2</v>
      </c>
      <c r="AL146" s="41">
        <f t="shared" si="436"/>
        <v>9538</v>
      </c>
      <c r="AM146" s="42">
        <f t="shared" si="437"/>
        <v>0.13494066176100253</v>
      </c>
      <c r="AN146" s="1058"/>
      <c r="AO146" s="220">
        <v>4.7</v>
      </c>
      <c r="AP146" s="67">
        <v>24</v>
      </c>
      <c r="AQ146" s="68">
        <f t="shared" si="419"/>
        <v>56.067240000000005</v>
      </c>
      <c r="AR146" s="68">
        <f t="shared" si="420"/>
        <v>9.2992834870297898</v>
      </c>
      <c r="AS146" s="69">
        <f t="shared" si="438"/>
        <v>8208.4825199999996</v>
      </c>
      <c r="AT146" s="140">
        <f t="shared" si="439"/>
        <v>10.074946197389808</v>
      </c>
      <c r="AU146" s="1073"/>
      <c r="AV146" s="319">
        <v>3.6</v>
      </c>
      <c r="AW146" s="71">
        <v>12</v>
      </c>
      <c r="AX146" s="72">
        <f t="shared" si="440"/>
        <v>22.322736000000003</v>
      </c>
      <c r="AY146" s="72">
        <f t="shared" si="441"/>
        <v>3.7024374709745906</v>
      </c>
      <c r="AZ146" s="73">
        <f t="shared" si="442"/>
        <v>2616.1006439999983</v>
      </c>
      <c r="BA146" s="192">
        <f t="shared" si="443"/>
        <v>3.2109556390036409</v>
      </c>
      <c r="BB146" s="1075"/>
      <c r="BC146" s="90">
        <f t="shared" si="392"/>
        <v>9322</v>
      </c>
      <c r="BD146" s="59"/>
      <c r="BE146" s="56">
        <v>7279</v>
      </c>
      <c r="BF146" s="56">
        <f>BC146-BE146+BD146</f>
        <v>2043</v>
      </c>
      <c r="BG146" s="58">
        <f t="shared" si="414"/>
        <v>43656</v>
      </c>
      <c r="BH146" s="58">
        <f t="shared" si="415"/>
        <v>53.582601914738497</v>
      </c>
      <c r="BI146" s="1133"/>
      <c r="BJ146" s="63">
        <f t="shared" si="393"/>
        <v>1345</v>
      </c>
      <c r="BK146" s="64"/>
      <c r="BL146" s="64">
        <v>1135</v>
      </c>
      <c r="BM146" s="64">
        <f t="shared" si="444"/>
        <v>210</v>
      </c>
      <c r="BN146" s="65">
        <f t="shared" si="445"/>
        <v>0.35324217442425732</v>
      </c>
      <c r="BO146" s="64">
        <f t="shared" si="446"/>
        <v>22253</v>
      </c>
      <c r="BP146" s="65">
        <f t="shared" si="447"/>
        <v>0.31482853283367468</v>
      </c>
      <c r="BQ146" s="1071"/>
      <c r="BR146" s="35">
        <f t="shared" si="398"/>
        <v>36719</v>
      </c>
      <c r="BS146" s="35"/>
      <c r="BT146" s="35">
        <v>33947</v>
      </c>
      <c r="BU146" s="35">
        <f t="shared" si="448"/>
        <v>2772</v>
      </c>
      <c r="BV146" s="74">
        <f t="shared" si="449"/>
        <v>371189</v>
      </c>
      <c r="BW146" s="74">
        <f t="shared" si="450"/>
        <v>455.59081047576205</v>
      </c>
      <c r="BX146" s="1098"/>
      <c r="BY146" s="295">
        <f t="shared" si="402"/>
        <v>30</v>
      </c>
      <c r="BZ146" s="296"/>
      <c r="CA146" s="296"/>
      <c r="CB146" s="296">
        <f t="shared" si="451"/>
        <v>30</v>
      </c>
      <c r="CC146" s="297">
        <f t="shared" si="452"/>
        <v>5.0463167774893902E-2</v>
      </c>
      <c r="CD146" s="296">
        <f t="shared" si="453"/>
        <v>10780</v>
      </c>
      <c r="CE146" s="297">
        <f t="shared" si="454"/>
        <v>0.15251209203015381</v>
      </c>
      <c r="CF146" s="1061"/>
      <c r="CH146">
        <f t="shared" si="418"/>
        <v>0</v>
      </c>
    </row>
    <row r="147" spans="1:86">
      <c r="A147" s="30">
        <v>44095</v>
      </c>
      <c r="B147" s="32">
        <v>549532</v>
      </c>
      <c r="C147" s="114">
        <f t="shared" si="416"/>
        <v>71232452</v>
      </c>
      <c r="D147" s="91">
        <v>4519.42</v>
      </c>
      <c r="E147" s="93">
        <f t="shared" si="417"/>
        <v>819261.48999999987</v>
      </c>
      <c r="F147" s="240">
        <f t="shared" si="371"/>
        <v>34250</v>
      </c>
      <c r="G147" s="240"/>
      <c r="H147" s="280"/>
      <c r="I147" s="240">
        <f>33200+890</f>
        <v>34090</v>
      </c>
      <c r="J147" s="240">
        <f t="shared" si="421"/>
        <v>160</v>
      </c>
      <c r="K147" s="280">
        <f t="shared" si="422"/>
        <v>0.29115683891019994</v>
      </c>
      <c r="L147" s="240">
        <f t="shared" si="423"/>
        <v>2208565</v>
      </c>
      <c r="M147" s="280">
        <f t="shared" si="424"/>
        <v>31.00503966927883</v>
      </c>
      <c r="N147" s="280">
        <f t="shared" si="425"/>
        <v>3.7963805154008607</v>
      </c>
      <c r="O147" s="1089"/>
      <c r="P147" s="1084"/>
      <c r="Q147" s="77">
        <f t="shared" si="377"/>
        <v>42911</v>
      </c>
      <c r="R147" s="35"/>
      <c r="S147" s="35">
        <v>37480</v>
      </c>
      <c r="T147" s="35">
        <f t="shared" si="426"/>
        <v>5431</v>
      </c>
      <c r="U147" s="36">
        <f t="shared" si="427"/>
        <v>9.8829549507580996</v>
      </c>
      <c r="V147" s="74">
        <f t="shared" si="428"/>
        <v>127468</v>
      </c>
      <c r="W147" s="36">
        <f t="shared" si="429"/>
        <v>1.7894652847272476</v>
      </c>
      <c r="X147" s="1136"/>
      <c r="Y147" s="49">
        <f t="shared" si="382"/>
        <v>946</v>
      </c>
      <c r="Z147" s="50"/>
      <c r="AA147" s="50">
        <f>797+124</f>
        <v>921</v>
      </c>
      <c r="AB147" s="50">
        <f t="shared" si="430"/>
        <v>25</v>
      </c>
      <c r="AC147" s="51">
        <f t="shared" si="431"/>
        <v>4.5493256079718741E-2</v>
      </c>
      <c r="AD147" s="50">
        <f t="shared" si="432"/>
        <v>20442</v>
      </c>
      <c r="AE147" s="51">
        <f t="shared" si="433"/>
        <v>0.2869759418080961</v>
      </c>
      <c r="AF147" s="1047"/>
      <c r="AG147" s="40">
        <f t="shared" si="387"/>
        <v>845</v>
      </c>
      <c r="AH147" s="41"/>
      <c r="AI147" s="41">
        <v>825</v>
      </c>
      <c r="AJ147" s="41">
        <f t="shared" si="434"/>
        <v>20</v>
      </c>
      <c r="AK147" s="42">
        <f t="shared" si="435"/>
        <v>3.6394604863774993E-2</v>
      </c>
      <c r="AL147" s="41">
        <f t="shared" si="436"/>
        <v>9558</v>
      </c>
      <c r="AM147" s="42">
        <f t="shared" si="437"/>
        <v>0.13418041540953835</v>
      </c>
      <c r="AN147" s="1058"/>
      <c r="AO147" s="220">
        <v>4.4000000000000004</v>
      </c>
      <c r="AP147" s="67">
        <v>24</v>
      </c>
      <c r="AQ147" s="68">
        <f t="shared" si="419"/>
        <v>52.488480000000003</v>
      </c>
      <c r="AR147" s="68">
        <f t="shared" si="420"/>
        <v>11.613985865442912</v>
      </c>
      <c r="AS147" s="69">
        <f t="shared" si="438"/>
        <v>8260.9709999999995</v>
      </c>
      <c r="AT147" s="140">
        <f t="shared" si="439"/>
        <v>10.083436242072114</v>
      </c>
      <c r="AU147" s="1073"/>
      <c r="AV147" s="319">
        <v>3</v>
      </c>
      <c r="AW147" s="71">
        <v>12</v>
      </c>
      <c r="AX147" s="72">
        <f t="shared" si="440"/>
        <v>18.60228</v>
      </c>
      <c r="AY147" s="72">
        <f t="shared" si="441"/>
        <v>4.1160768417186269</v>
      </c>
      <c r="AZ147" s="73">
        <f t="shared" si="442"/>
        <v>2634.7029239999983</v>
      </c>
      <c r="BA147" s="192">
        <f t="shared" si="443"/>
        <v>3.2159487003349794</v>
      </c>
      <c r="BB147" s="1075"/>
      <c r="BC147" s="90">
        <f t="shared" si="392"/>
        <v>7279</v>
      </c>
      <c r="BD147" s="59">
        <v>34340</v>
      </c>
      <c r="BE147" s="56">
        <v>41619</v>
      </c>
      <c r="BF147" s="56"/>
      <c r="BG147" s="58">
        <f t="shared" si="414"/>
        <v>43656</v>
      </c>
      <c r="BH147" s="58">
        <f t="shared" si="415"/>
        <v>53.287015846430187</v>
      </c>
      <c r="BI147" s="1133"/>
      <c r="BJ147" s="63">
        <f t="shared" si="393"/>
        <v>1135</v>
      </c>
      <c r="BK147" s="64"/>
      <c r="BL147" s="64">
        <v>1044</v>
      </c>
      <c r="BM147" s="64">
        <f t="shared" si="444"/>
        <v>91</v>
      </c>
      <c r="BN147" s="65">
        <f t="shared" si="445"/>
        <v>0.16559545213017623</v>
      </c>
      <c r="BO147" s="64">
        <f t="shared" si="446"/>
        <v>22344</v>
      </c>
      <c r="BP147" s="65">
        <f t="shared" si="447"/>
        <v>0.31367725485569414</v>
      </c>
      <c r="BQ147" s="1071"/>
      <c r="BR147" s="35">
        <f t="shared" si="398"/>
        <v>33947</v>
      </c>
      <c r="BS147" s="35"/>
      <c r="BT147" s="35">
        <v>28402</v>
      </c>
      <c r="BU147" s="35">
        <f t="shared" si="448"/>
        <v>5545</v>
      </c>
      <c r="BV147" s="74">
        <f t="shared" si="449"/>
        <v>376734</v>
      </c>
      <c r="BW147" s="74">
        <f t="shared" si="450"/>
        <v>459.8458545878924</v>
      </c>
      <c r="BX147" s="1098"/>
      <c r="BY147" s="295">
        <f t="shared" si="402"/>
        <v>0</v>
      </c>
      <c r="BZ147" s="296"/>
      <c r="CA147" s="296"/>
      <c r="CB147" s="296"/>
      <c r="CC147" s="297"/>
      <c r="CD147" s="296">
        <f t="shared" si="453"/>
        <v>10780</v>
      </c>
      <c r="CE147" s="297">
        <f t="shared" si="454"/>
        <v>0.15133551769353665</v>
      </c>
      <c r="CF147" s="1061"/>
      <c r="CH147">
        <f t="shared" si="418"/>
        <v>488475</v>
      </c>
    </row>
    <row r="148" spans="1:86">
      <c r="A148" s="30">
        <v>44096</v>
      </c>
      <c r="B148" s="32">
        <v>215275</v>
      </c>
      <c r="C148" s="114">
        <f t="shared" si="416"/>
        <v>71447727</v>
      </c>
      <c r="D148" s="91">
        <v>3011.86</v>
      </c>
      <c r="E148" s="93">
        <f t="shared" si="417"/>
        <v>822273.34999999986</v>
      </c>
      <c r="F148" s="240">
        <f t="shared" si="371"/>
        <v>34090</v>
      </c>
      <c r="G148" s="240"/>
      <c r="H148" s="280"/>
      <c r="I148" s="240">
        <f>26000+690</f>
        <v>26690</v>
      </c>
      <c r="J148" s="240">
        <f t="shared" si="421"/>
        <v>7400</v>
      </c>
      <c r="K148" s="280">
        <f t="shared" si="422"/>
        <v>34.374637092091511</v>
      </c>
      <c r="L148" s="240">
        <f t="shared" si="423"/>
        <v>2215965</v>
      </c>
      <c r="M148" s="280">
        <f t="shared" si="424"/>
        <v>31.015192407730481</v>
      </c>
      <c r="N148" s="280">
        <f t="shared" si="425"/>
        <v>3.7976236571238497</v>
      </c>
      <c r="O148" s="1089"/>
      <c r="P148" s="1084"/>
      <c r="Q148" s="77">
        <f t="shared" si="377"/>
        <v>37480</v>
      </c>
      <c r="R148" s="35"/>
      <c r="S148" s="35">
        <v>36147</v>
      </c>
      <c r="T148" s="35">
        <f t="shared" si="426"/>
        <v>1333</v>
      </c>
      <c r="U148" s="36">
        <f t="shared" si="427"/>
        <v>6.192079897805133</v>
      </c>
      <c r="V148" s="74">
        <f t="shared" si="428"/>
        <v>128801</v>
      </c>
      <c r="W148" s="36">
        <f t="shared" si="429"/>
        <v>1.8027305473272788</v>
      </c>
      <c r="X148" s="1136"/>
      <c r="Y148" s="49">
        <f t="shared" si="382"/>
        <v>921</v>
      </c>
      <c r="Z148" s="50"/>
      <c r="AA148" s="50">
        <f>797+114</f>
        <v>911</v>
      </c>
      <c r="AB148" s="50">
        <f t="shared" si="430"/>
        <v>10</v>
      </c>
      <c r="AC148" s="51">
        <f t="shared" si="431"/>
        <v>4.6452212286610152E-2</v>
      </c>
      <c r="AD148" s="50">
        <f t="shared" si="432"/>
        <v>20452</v>
      </c>
      <c r="AE148" s="51">
        <f t="shared" si="433"/>
        <v>0.28625123371664435</v>
      </c>
      <c r="AF148" s="1047"/>
      <c r="AG148" s="40">
        <f t="shared" si="387"/>
        <v>825</v>
      </c>
      <c r="AH148" s="41"/>
      <c r="AI148" s="41">
        <v>805</v>
      </c>
      <c r="AJ148" s="41">
        <f t="shared" si="434"/>
        <v>20</v>
      </c>
      <c r="AK148" s="42">
        <f t="shared" si="435"/>
        <v>9.2904424573220304E-2</v>
      </c>
      <c r="AL148" s="41">
        <f t="shared" si="436"/>
        <v>9578</v>
      </c>
      <c r="AM148" s="42">
        <f t="shared" si="437"/>
        <v>0.13405604911685995</v>
      </c>
      <c r="AN148" s="1058"/>
      <c r="AO148" s="220">
        <v>3.3</v>
      </c>
      <c r="AP148" s="67">
        <v>24</v>
      </c>
      <c r="AQ148" s="68">
        <f t="shared" si="419"/>
        <v>39.366359999999993</v>
      </c>
      <c r="AR148" s="68">
        <f t="shared" si="420"/>
        <v>13.070448161601133</v>
      </c>
      <c r="AS148" s="69">
        <f t="shared" si="438"/>
        <v>8300.3373599999995</v>
      </c>
      <c r="AT148" s="140">
        <f t="shared" si="439"/>
        <v>10.09437720436884</v>
      </c>
      <c r="AU148" s="1073"/>
      <c r="AV148" s="319">
        <v>1.9</v>
      </c>
      <c r="AW148" s="71">
        <v>12</v>
      </c>
      <c r="AX148" s="72">
        <f t="shared" si="440"/>
        <v>11.781443999999999</v>
      </c>
      <c r="AY148" s="72">
        <f t="shared" si="441"/>
        <v>3.9116838100044489</v>
      </c>
      <c r="AZ148" s="73">
        <f t="shared" si="442"/>
        <v>2646.4843679999985</v>
      </c>
      <c r="BA148" s="192">
        <f t="shared" si="443"/>
        <v>3.2184970703477118</v>
      </c>
      <c r="BB148" s="1075"/>
      <c r="BC148" s="90">
        <f t="shared" si="392"/>
        <v>41619</v>
      </c>
      <c r="BD148" s="59"/>
      <c r="BE148" s="56">
        <v>38272</v>
      </c>
      <c r="BF148" s="56">
        <f>BC148-BE148+BD148</f>
        <v>3347</v>
      </c>
      <c r="BG148" s="58">
        <f t="shared" si="414"/>
        <v>47003</v>
      </c>
      <c r="BH148" s="58">
        <f t="shared" si="415"/>
        <v>57.16225632266935</v>
      </c>
      <c r="BI148" s="1133"/>
      <c r="BJ148" s="63">
        <f t="shared" si="393"/>
        <v>1044</v>
      </c>
      <c r="BK148" s="64"/>
      <c r="BL148" s="64">
        <v>948</v>
      </c>
      <c r="BM148" s="64">
        <f t="shared" si="444"/>
        <v>96</v>
      </c>
      <c r="BN148" s="65">
        <f t="shared" si="445"/>
        <v>0.44594123795145746</v>
      </c>
      <c r="BO148" s="64">
        <f t="shared" si="446"/>
        <v>22440</v>
      </c>
      <c r="BP148" s="65">
        <f t="shared" si="447"/>
        <v>0.31407577178767354</v>
      </c>
      <c r="BQ148" s="1071"/>
      <c r="BR148" s="35">
        <f t="shared" si="398"/>
        <v>28402</v>
      </c>
      <c r="BS148" s="35"/>
      <c r="BT148" s="35">
        <v>26553</v>
      </c>
      <c r="BU148" s="35">
        <f t="shared" si="448"/>
        <v>1849</v>
      </c>
      <c r="BV148" s="74">
        <f t="shared" si="449"/>
        <v>378583</v>
      </c>
      <c r="BW148" s="74">
        <f t="shared" si="450"/>
        <v>460.41015436046916</v>
      </c>
      <c r="BX148" s="1098"/>
      <c r="BY148" s="295">
        <f t="shared" si="402"/>
        <v>0</v>
      </c>
      <c r="BZ148" s="296"/>
      <c r="CA148" s="296"/>
      <c r="CB148" s="296"/>
      <c r="CC148" s="297"/>
      <c r="CD148" s="296">
        <f t="shared" si="453"/>
        <v>10780</v>
      </c>
      <c r="CE148" s="297">
        <f t="shared" si="454"/>
        <v>0.15087953742741178</v>
      </c>
      <c r="CF148" s="1061"/>
      <c r="CH148">
        <f t="shared" si="418"/>
        <v>543366.75</v>
      </c>
    </row>
    <row r="149" spans="1:86">
      <c r="A149" s="30">
        <v>44097</v>
      </c>
      <c r="B149" s="32">
        <v>441775</v>
      </c>
      <c r="C149" s="114">
        <f t="shared" si="416"/>
        <v>71889502</v>
      </c>
      <c r="D149" s="91">
        <v>5910.86</v>
      </c>
      <c r="E149" s="93">
        <f t="shared" si="417"/>
        <v>828184.20999999985</v>
      </c>
      <c r="F149" s="240">
        <f t="shared" si="371"/>
        <v>26690</v>
      </c>
      <c r="G149" s="240"/>
      <c r="H149" s="280"/>
      <c r="I149" s="240">
        <f>4000+520</f>
        <v>4520</v>
      </c>
      <c r="J149" s="240">
        <f t="shared" si="421"/>
        <v>22170</v>
      </c>
      <c r="K149" s="280">
        <f t="shared" si="422"/>
        <v>50.183917152396582</v>
      </c>
      <c r="L149" s="240">
        <f t="shared" si="423"/>
        <v>2238135</v>
      </c>
      <c r="M149" s="280">
        <f t="shared" si="424"/>
        <v>31.132987956989883</v>
      </c>
      <c r="N149" s="280">
        <f t="shared" si="425"/>
        <v>3.8120470132227116</v>
      </c>
      <c r="O149" s="1089"/>
      <c r="P149" s="1084"/>
      <c r="Q149" s="77">
        <f t="shared" si="377"/>
        <v>36147</v>
      </c>
      <c r="R149" s="35"/>
      <c r="S149" s="35">
        <v>33733</v>
      </c>
      <c r="T149" s="35">
        <f t="shared" si="426"/>
        <v>2414</v>
      </c>
      <c r="U149" s="36">
        <f t="shared" si="427"/>
        <v>5.4643200724350631</v>
      </c>
      <c r="V149" s="74">
        <f t="shared" si="428"/>
        <v>131215</v>
      </c>
      <c r="W149" s="36">
        <f t="shared" si="429"/>
        <v>1.8252317285491837</v>
      </c>
      <c r="X149" s="1136"/>
      <c r="Y149" s="49">
        <f t="shared" si="382"/>
        <v>911</v>
      </c>
      <c r="Z149" s="50"/>
      <c r="AA149" s="50">
        <f>797+90</f>
        <v>887</v>
      </c>
      <c r="AB149" s="50">
        <f t="shared" si="430"/>
        <v>24</v>
      </c>
      <c r="AC149" s="51">
        <f t="shared" si="431"/>
        <v>5.4326297323298058E-2</v>
      </c>
      <c r="AD149" s="50">
        <f t="shared" si="432"/>
        <v>20476</v>
      </c>
      <c r="AE149" s="51">
        <f t="shared" si="433"/>
        <v>0.28482600978373729</v>
      </c>
      <c r="AF149" s="1047"/>
      <c r="AG149" s="40">
        <f t="shared" si="387"/>
        <v>805</v>
      </c>
      <c r="AH149" s="41"/>
      <c r="AI149" s="41">
        <v>765</v>
      </c>
      <c r="AJ149" s="41">
        <f t="shared" si="434"/>
        <v>40</v>
      </c>
      <c r="AK149" s="42">
        <f t="shared" si="435"/>
        <v>9.0543828872163432E-2</v>
      </c>
      <c r="AL149" s="41">
        <f t="shared" si="436"/>
        <v>9618</v>
      </c>
      <c r="AM149" s="42">
        <f t="shared" si="437"/>
        <v>0.13378865804356246</v>
      </c>
      <c r="AN149" s="1058"/>
      <c r="AO149" s="220">
        <v>5.5</v>
      </c>
      <c r="AP149" s="67">
        <v>24</v>
      </c>
      <c r="AQ149" s="68">
        <f t="shared" si="419"/>
        <v>65.610600000000005</v>
      </c>
      <c r="AR149" s="68">
        <f t="shared" si="420"/>
        <v>11.100009135726443</v>
      </c>
      <c r="AS149" s="69">
        <f t="shared" si="438"/>
        <v>8365.9479599999995</v>
      </c>
      <c r="AT149" s="140">
        <f t="shared" si="439"/>
        <v>10.101554532173466</v>
      </c>
      <c r="AU149" s="1073"/>
      <c r="AV149" s="319">
        <v>3.5</v>
      </c>
      <c r="AW149" s="71">
        <v>12</v>
      </c>
      <c r="AX149" s="72">
        <f t="shared" si="440"/>
        <v>21.702660000000002</v>
      </c>
      <c r="AY149" s="72">
        <f t="shared" si="441"/>
        <v>3.6716586080536504</v>
      </c>
      <c r="AZ149" s="73">
        <f t="shared" si="442"/>
        <v>2668.1870279999985</v>
      </c>
      <c r="BA149" s="192">
        <f t="shared" si="443"/>
        <v>3.2217313440448221</v>
      </c>
      <c r="BB149" s="1075"/>
      <c r="BC149" s="90">
        <f t="shared" si="392"/>
        <v>38272</v>
      </c>
      <c r="BD149" s="59"/>
      <c r="BE149" s="56">
        <v>38272</v>
      </c>
      <c r="BF149" s="56"/>
      <c r="BG149" s="58">
        <f t="shared" si="414"/>
        <v>47003</v>
      </c>
      <c r="BH149" s="58">
        <f t="shared" si="415"/>
        <v>56.754281755746113</v>
      </c>
      <c r="BI149" s="1133"/>
      <c r="BJ149" s="63">
        <f t="shared" si="393"/>
        <v>948</v>
      </c>
      <c r="BK149" s="64"/>
      <c r="BL149" s="64">
        <v>732</v>
      </c>
      <c r="BM149" s="64">
        <f t="shared" si="444"/>
        <v>216</v>
      </c>
      <c r="BN149" s="65">
        <f t="shared" si="445"/>
        <v>0.48893667590968254</v>
      </c>
      <c r="BO149" s="64">
        <f t="shared" si="446"/>
        <v>22656</v>
      </c>
      <c r="BP149" s="65">
        <f t="shared" si="447"/>
        <v>0.31515032612132993</v>
      </c>
      <c r="BQ149" s="1071"/>
      <c r="BR149" s="35">
        <f t="shared" si="398"/>
        <v>26553</v>
      </c>
      <c r="BS149" s="35"/>
      <c r="BT149" s="35">
        <v>23781</v>
      </c>
      <c r="BU149" s="35">
        <f t="shared" si="448"/>
        <v>2772</v>
      </c>
      <c r="BV149" s="74">
        <f t="shared" si="449"/>
        <v>381355</v>
      </c>
      <c r="BW149" s="74">
        <f t="shared" si="450"/>
        <v>460.47122777189878</v>
      </c>
      <c r="BX149" s="1098"/>
      <c r="BY149" s="295">
        <f t="shared" si="402"/>
        <v>0</v>
      </c>
      <c r="BZ149" s="296"/>
      <c r="CA149" s="296"/>
      <c r="CB149" s="296"/>
      <c r="CC149" s="297"/>
      <c r="CD149" s="296">
        <f t="shared" si="453"/>
        <v>10780</v>
      </c>
      <c r="CE149" s="297">
        <f t="shared" si="454"/>
        <v>0.14995235326571049</v>
      </c>
      <c r="CF149" s="1061"/>
      <c r="CH149">
        <f t="shared" si="418"/>
        <v>0</v>
      </c>
    </row>
    <row r="150" spans="1:86">
      <c r="A150" s="30">
        <v>44098</v>
      </c>
      <c r="B150" s="32">
        <v>508785</v>
      </c>
      <c r="C150" s="114">
        <f t="shared" si="416"/>
        <v>72398287</v>
      </c>
      <c r="D150" s="91">
        <v>6037.4</v>
      </c>
      <c r="E150" s="93">
        <f t="shared" si="417"/>
        <v>834221.60999999987</v>
      </c>
      <c r="F150" s="240">
        <f t="shared" si="371"/>
        <v>4520</v>
      </c>
      <c r="G150" s="240">
        <v>20800</v>
      </c>
      <c r="H150" s="280">
        <v>22.22</v>
      </c>
      <c r="I150" s="240">
        <f>22000+370</f>
        <v>22370</v>
      </c>
      <c r="J150" s="240">
        <f t="shared" si="421"/>
        <v>2950</v>
      </c>
      <c r="K150" s="280">
        <f t="shared" si="422"/>
        <v>5.7981269101879969</v>
      </c>
      <c r="L150" s="240">
        <f t="shared" si="423"/>
        <v>2241085</v>
      </c>
      <c r="M150" s="280">
        <f t="shared" si="424"/>
        <v>30.954945108024447</v>
      </c>
      <c r="N150" s="280">
        <f t="shared" si="425"/>
        <v>3.7902467378504281</v>
      </c>
      <c r="O150" s="1089"/>
      <c r="P150" s="1084"/>
      <c r="Q150" s="77">
        <f t="shared" si="377"/>
        <v>33733</v>
      </c>
      <c r="R150" s="35"/>
      <c r="S150" s="35">
        <v>33733</v>
      </c>
      <c r="T150" s="35">
        <f t="shared" si="426"/>
        <v>0</v>
      </c>
      <c r="U150" s="36">
        <f t="shared" si="427"/>
        <v>0</v>
      </c>
      <c r="V150" s="74">
        <f t="shared" si="428"/>
        <v>131215</v>
      </c>
      <c r="W150" s="36">
        <f t="shared" si="429"/>
        <v>1.8124047603502</v>
      </c>
      <c r="X150" s="1136"/>
      <c r="Y150" s="49">
        <f t="shared" si="382"/>
        <v>887</v>
      </c>
      <c r="Z150" s="50"/>
      <c r="AA150" s="50">
        <f>761+101</f>
        <v>862</v>
      </c>
      <c r="AB150" s="50">
        <f t="shared" si="430"/>
        <v>25</v>
      </c>
      <c r="AC150" s="51">
        <f t="shared" si="431"/>
        <v>4.913666873040675E-2</v>
      </c>
      <c r="AD150" s="50">
        <f t="shared" si="432"/>
        <v>20501</v>
      </c>
      <c r="AE150" s="51">
        <f t="shared" si="433"/>
        <v>0.28316968328269976</v>
      </c>
      <c r="AF150" s="1047"/>
      <c r="AG150" s="40">
        <f t="shared" si="387"/>
        <v>765</v>
      </c>
      <c r="AH150" s="41"/>
      <c r="AI150" s="41">
        <v>765</v>
      </c>
      <c r="AJ150" s="41">
        <f t="shared" si="434"/>
        <v>0</v>
      </c>
      <c r="AK150" s="42">
        <f t="shared" si="435"/>
        <v>0</v>
      </c>
      <c r="AL150" s="41">
        <f t="shared" si="436"/>
        <v>9618</v>
      </c>
      <c r="AM150" s="42">
        <f t="shared" si="437"/>
        <v>0.13284844709102026</v>
      </c>
      <c r="AN150" s="1058"/>
      <c r="AO150" s="220">
        <v>6.1</v>
      </c>
      <c r="AP150" s="67">
        <v>24</v>
      </c>
      <c r="AQ150" s="68">
        <f t="shared" si="419"/>
        <v>72.768119999999982</v>
      </c>
      <c r="AR150" s="68">
        <f t="shared" si="420"/>
        <v>12.052890317023882</v>
      </c>
      <c r="AS150" s="69">
        <f t="shared" si="438"/>
        <v>8438.7160800000001</v>
      </c>
      <c r="AT150" s="140">
        <f t="shared" si="439"/>
        <v>10.115676672533095</v>
      </c>
      <c r="AU150" s="1073"/>
      <c r="AV150" s="319">
        <v>3.2</v>
      </c>
      <c r="AW150" s="71">
        <v>12</v>
      </c>
      <c r="AX150" s="72">
        <f t="shared" si="440"/>
        <v>19.842432000000002</v>
      </c>
      <c r="AY150" s="72">
        <f t="shared" si="441"/>
        <v>3.2865856163249085</v>
      </c>
      <c r="AZ150" s="73">
        <f t="shared" si="442"/>
        <v>2688.0294599999984</v>
      </c>
      <c r="BA150" s="192">
        <f t="shared" si="443"/>
        <v>3.2222007051579484</v>
      </c>
      <c r="BB150" s="1075"/>
      <c r="BC150" s="90">
        <f t="shared" si="392"/>
        <v>38272</v>
      </c>
      <c r="BD150" s="59"/>
      <c r="BE150" s="56">
        <v>37849</v>
      </c>
      <c r="BF150" s="56">
        <f>BC150-BE150+BD150</f>
        <v>423</v>
      </c>
      <c r="BG150" s="58">
        <f t="shared" si="414"/>
        <v>47426</v>
      </c>
      <c r="BH150" s="58">
        <f t="shared" si="415"/>
        <v>56.850601125041592</v>
      </c>
      <c r="BI150" s="1133"/>
      <c r="BJ150" s="63">
        <f t="shared" si="393"/>
        <v>732</v>
      </c>
      <c r="BK150" s="64">
        <v>1100</v>
      </c>
      <c r="BL150" s="64">
        <v>1651</v>
      </c>
      <c r="BM150" s="64">
        <f t="shared" si="444"/>
        <v>181</v>
      </c>
      <c r="BN150" s="65">
        <f t="shared" si="445"/>
        <v>0.3557494816081449</v>
      </c>
      <c r="BO150" s="64">
        <f t="shared" si="446"/>
        <v>22837</v>
      </c>
      <c r="BP150" s="65">
        <f t="shared" si="447"/>
        <v>0.31543564007253377</v>
      </c>
      <c r="BQ150" s="1071"/>
      <c r="BR150" s="35">
        <f t="shared" si="398"/>
        <v>23781</v>
      </c>
      <c r="BS150" s="35"/>
      <c r="BT150" s="35">
        <v>21933</v>
      </c>
      <c r="BU150" s="35">
        <f t="shared" si="448"/>
        <v>1848</v>
      </c>
      <c r="BV150" s="74">
        <f t="shared" si="449"/>
        <v>383203</v>
      </c>
      <c r="BW150" s="74">
        <f t="shared" si="450"/>
        <v>459.35395991480016</v>
      </c>
      <c r="BX150" s="1098"/>
      <c r="BY150" s="295">
        <f t="shared" si="402"/>
        <v>0</v>
      </c>
      <c r="BZ150" s="296"/>
      <c r="CA150" s="296"/>
      <c r="CB150" s="296"/>
      <c r="CC150" s="297"/>
      <c r="CD150" s="296">
        <f t="shared" si="453"/>
        <v>10780</v>
      </c>
      <c r="CE150" s="297">
        <f t="shared" si="454"/>
        <v>0.14889855059692228</v>
      </c>
      <c r="CF150" s="1061"/>
      <c r="CH150">
        <f t="shared" si="418"/>
        <v>0</v>
      </c>
    </row>
    <row r="151" spans="1:86">
      <c r="A151" s="30">
        <v>44099</v>
      </c>
      <c r="B151" s="32">
        <v>621977</v>
      </c>
      <c r="C151" s="114">
        <f t="shared" si="416"/>
        <v>73020264</v>
      </c>
      <c r="D151" s="91">
        <v>6110.3</v>
      </c>
      <c r="E151" s="93">
        <f t="shared" si="417"/>
        <v>840331.90999999992</v>
      </c>
      <c r="F151" s="240">
        <f t="shared" si="371"/>
        <v>22370</v>
      </c>
      <c r="G151" s="240"/>
      <c r="H151" s="280"/>
      <c r="I151" s="240">
        <f>18000+190</f>
        <v>18190</v>
      </c>
      <c r="J151" s="240">
        <f t="shared" si="421"/>
        <v>4180</v>
      </c>
      <c r="K151" s="280">
        <f t="shared" si="422"/>
        <v>6.7205057421737457</v>
      </c>
      <c r="L151" s="240">
        <f t="shared" si="423"/>
        <v>2245265</v>
      </c>
      <c r="M151" s="280">
        <f t="shared" si="424"/>
        <v>30.748519342521138</v>
      </c>
      <c r="N151" s="280">
        <f t="shared" si="425"/>
        <v>3.764971145159929</v>
      </c>
      <c r="O151" s="1089"/>
      <c r="P151" s="1084"/>
      <c r="Q151" s="77">
        <f t="shared" si="377"/>
        <v>33733</v>
      </c>
      <c r="R151" s="35"/>
      <c r="S151" s="35">
        <v>33733</v>
      </c>
      <c r="T151" s="35">
        <f t="shared" si="426"/>
        <v>0</v>
      </c>
      <c r="U151" s="36">
        <f t="shared" si="427"/>
        <v>0</v>
      </c>
      <c r="V151" s="74">
        <f t="shared" si="428"/>
        <v>131215</v>
      </c>
      <c r="W151" s="36">
        <f t="shared" si="429"/>
        <v>1.7969669350962632</v>
      </c>
      <c r="X151" s="1136"/>
      <c r="Y151" s="49">
        <f t="shared" si="382"/>
        <v>862</v>
      </c>
      <c r="Z151" s="50"/>
      <c r="AA151" s="50">
        <f>761+78</f>
        <v>839</v>
      </c>
      <c r="AB151" s="50">
        <f t="shared" si="430"/>
        <v>23</v>
      </c>
      <c r="AC151" s="51">
        <f t="shared" si="431"/>
        <v>3.6978859346889034E-2</v>
      </c>
      <c r="AD151" s="50">
        <f t="shared" si="432"/>
        <v>20524</v>
      </c>
      <c r="AE151" s="51">
        <f t="shared" si="433"/>
        <v>0.2810726622407172</v>
      </c>
      <c r="AF151" s="1047"/>
      <c r="AG151" s="40">
        <f t="shared" si="387"/>
        <v>765</v>
      </c>
      <c r="AH151" s="41"/>
      <c r="AI151" s="41">
        <v>745</v>
      </c>
      <c r="AJ151" s="41">
        <f t="shared" si="434"/>
        <v>20</v>
      </c>
      <c r="AK151" s="42">
        <f t="shared" si="435"/>
        <v>3.215552986686003E-2</v>
      </c>
      <c r="AL151" s="41">
        <f t="shared" si="436"/>
        <v>9638</v>
      </c>
      <c r="AM151" s="42">
        <f t="shared" si="437"/>
        <v>0.13199075807230717</v>
      </c>
      <c r="AN151" s="1058"/>
      <c r="AO151" s="220">
        <v>6.1</v>
      </c>
      <c r="AP151" s="67">
        <v>24</v>
      </c>
      <c r="AQ151" s="68">
        <f t="shared" si="419"/>
        <v>72.768119999999982</v>
      </c>
      <c r="AR151" s="68">
        <f t="shared" si="420"/>
        <v>11.909091206651061</v>
      </c>
      <c r="AS151" s="69">
        <f t="shared" si="438"/>
        <v>8511.4842000000008</v>
      </c>
      <c r="AT151" s="140">
        <f t="shared" si="439"/>
        <v>10.128717116073817</v>
      </c>
      <c r="AU151" s="1073"/>
      <c r="AV151" s="319">
        <v>2.7</v>
      </c>
      <c r="AW151" s="71">
        <v>12</v>
      </c>
      <c r="AX151" s="72">
        <f t="shared" si="440"/>
        <v>16.742052000000005</v>
      </c>
      <c r="AY151" s="72">
        <f t="shared" si="441"/>
        <v>2.7399721781254609</v>
      </c>
      <c r="AZ151" s="73">
        <f t="shared" si="442"/>
        <v>2704.7715119999984</v>
      </c>
      <c r="BA151" s="192">
        <f t="shared" si="443"/>
        <v>3.2186942799780129</v>
      </c>
      <c r="BB151" s="1075"/>
      <c r="BC151" s="90">
        <f t="shared" si="392"/>
        <v>37849</v>
      </c>
      <c r="BD151" s="59"/>
      <c r="BE151" s="56">
        <v>37849</v>
      </c>
      <c r="BF151" s="56"/>
      <c r="BG151" s="58">
        <f t="shared" si="414"/>
        <v>47426</v>
      </c>
      <c r="BH151" s="58">
        <f t="shared" si="415"/>
        <v>56.437223715567349</v>
      </c>
      <c r="BI151" s="1133"/>
      <c r="BJ151" s="63">
        <f t="shared" si="393"/>
        <v>1651</v>
      </c>
      <c r="BK151" s="64"/>
      <c r="BL151" s="64">
        <v>1477</v>
      </c>
      <c r="BM151" s="64">
        <f t="shared" si="444"/>
        <v>174</v>
      </c>
      <c r="BN151" s="65">
        <f t="shared" si="445"/>
        <v>0.27975310984168222</v>
      </c>
      <c r="BO151" s="64">
        <f t="shared" si="446"/>
        <v>23011</v>
      </c>
      <c r="BP151" s="65">
        <f t="shared" si="447"/>
        <v>0.31513170097549908</v>
      </c>
      <c r="BQ151" s="1071"/>
      <c r="BR151" s="35">
        <f t="shared" si="398"/>
        <v>21933</v>
      </c>
      <c r="BS151" s="35"/>
      <c r="BT151" s="35">
        <v>20084</v>
      </c>
      <c r="BU151" s="35">
        <f t="shared" si="448"/>
        <v>1849</v>
      </c>
      <c r="BV151" s="74">
        <f t="shared" si="449"/>
        <v>385052</v>
      </c>
      <c r="BW151" s="74">
        <f t="shared" si="450"/>
        <v>458.21418348852188</v>
      </c>
      <c r="BX151" s="1098"/>
      <c r="BY151" s="295">
        <f t="shared" si="402"/>
        <v>0</v>
      </c>
      <c r="BZ151" s="296"/>
      <c r="CA151" s="296"/>
      <c r="CB151" s="296"/>
      <c r="CC151" s="297"/>
      <c r="CD151" s="296">
        <f t="shared" si="453"/>
        <v>10780</v>
      </c>
      <c r="CE151" s="297">
        <f t="shared" si="454"/>
        <v>0.14763025233652949</v>
      </c>
      <c r="CF151" s="1061"/>
      <c r="CH151">
        <f t="shared" si="418"/>
        <v>0</v>
      </c>
    </row>
    <row r="152" spans="1:86">
      <c r="A152" s="30">
        <v>44100</v>
      </c>
      <c r="B152" s="32">
        <v>608548</v>
      </c>
      <c r="C152" s="114">
        <f t="shared" si="416"/>
        <v>73628812</v>
      </c>
      <c r="D152" s="91">
        <v>5516.7</v>
      </c>
      <c r="E152" s="93">
        <f t="shared" si="417"/>
        <v>845848.60999999987</v>
      </c>
      <c r="F152" s="240">
        <f t="shared" si="371"/>
        <v>18190</v>
      </c>
      <c r="G152" s="240">
        <f>26000+20800</f>
        <v>46800</v>
      </c>
      <c r="H152" s="280">
        <f xml:space="preserve"> ((26000*27.52) + (20800*21.59))/(26000+20800)</f>
        <v>24.884444444444444</v>
      </c>
      <c r="I152" s="240">
        <f>36000+70</f>
        <v>36070</v>
      </c>
      <c r="J152" s="240">
        <f t="shared" si="421"/>
        <v>28920</v>
      </c>
      <c r="K152" s="280">
        <f t="shared" si="422"/>
        <v>47.522956282824033</v>
      </c>
      <c r="L152" s="240">
        <f t="shared" si="423"/>
        <v>2274185</v>
      </c>
      <c r="M152" s="280">
        <f t="shared" si="424"/>
        <v>30.8871614008929</v>
      </c>
      <c r="N152" s="280">
        <f t="shared" si="425"/>
        <v>3.7819470308427698</v>
      </c>
      <c r="O152" s="1089"/>
      <c r="P152" s="1084"/>
      <c r="Q152" s="77">
        <f t="shared" si="377"/>
        <v>33733</v>
      </c>
      <c r="R152" s="35"/>
      <c r="S152" s="35">
        <v>33733</v>
      </c>
      <c r="T152" s="35">
        <f t="shared" si="426"/>
        <v>0</v>
      </c>
      <c r="U152" s="36">
        <f t="shared" si="427"/>
        <v>0</v>
      </c>
      <c r="V152" s="74">
        <f t="shared" si="428"/>
        <v>131215</v>
      </c>
      <c r="W152" s="36">
        <f t="shared" si="429"/>
        <v>1.7821148601446943</v>
      </c>
      <c r="X152" s="1136"/>
      <c r="Y152" s="49">
        <f t="shared" si="382"/>
        <v>839</v>
      </c>
      <c r="Z152" s="50"/>
      <c r="AA152" s="50">
        <f>761+44</f>
        <v>805</v>
      </c>
      <c r="AB152" s="50">
        <f t="shared" si="430"/>
        <v>34</v>
      </c>
      <c r="AC152" s="51">
        <f t="shared" si="431"/>
        <v>5.5870695491563524E-2</v>
      </c>
      <c r="AD152" s="50">
        <f t="shared" si="432"/>
        <v>20558</v>
      </c>
      <c r="AE152" s="51">
        <f t="shared" si="433"/>
        <v>0.27921135003509223</v>
      </c>
      <c r="AF152" s="1047"/>
      <c r="AG152" s="40">
        <f t="shared" si="387"/>
        <v>745</v>
      </c>
      <c r="AH152" s="41"/>
      <c r="AI152" s="41">
        <v>725</v>
      </c>
      <c r="AJ152" s="41">
        <f t="shared" si="434"/>
        <v>20</v>
      </c>
      <c r="AK152" s="42">
        <f t="shared" si="435"/>
        <v>3.2865114995037366E-2</v>
      </c>
      <c r="AL152" s="41">
        <f t="shared" si="436"/>
        <v>9658</v>
      </c>
      <c r="AM152" s="42">
        <f t="shared" si="437"/>
        <v>0.13117147673114704</v>
      </c>
      <c r="AN152" s="1058"/>
      <c r="AO152" s="220">
        <v>5.3</v>
      </c>
      <c r="AP152" s="67">
        <v>24</v>
      </c>
      <c r="AQ152" s="68">
        <f t="shared" si="419"/>
        <v>63.224759999999996</v>
      </c>
      <c r="AR152" s="68">
        <f t="shared" si="420"/>
        <v>11.460612322584153</v>
      </c>
      <c r="AS152" s="69">
        <f t="shared" si="438"/>
        <v>8574.7089599999999</v>
      </c>
      <c r="AT152" s="140">
        <f t="shared" si="439"/>
        <v>10.137403855283276</v>
      </c>
      <c r="AU152" s="1073"/>
      <c r="AV152" s="319">
        <v>2.4</v>
      </c>
      <c r="AW152" s="71">
        <v>12</v>
      </c>
      <c r="AX152" s="72">
        <f t="shared" si="440"/>
        <v>14.881824</v>
      </c>
      <c r="AY152" s="72">
        <f t="shared" si="441"/>
        <v>2.6975953015389638</v>
      </c>
      <c r="AZ152" s="73">
        <f t="shared" si="442"/>
        <v>2719.6533359999985</v>
      </c>
      <c r="BA152" s="192">
        <f t="shared" si="443"/>
        <v>3.215295626010426</v>
      </c>
      <c r="BB152" s="1075"/>
      <c r="BC152" s="90">
        <f t="shared" si="392"/>
        <v>37849</v>
      </c>
      <c r="BD152" s="59"/>
      <c r="BE152" s="56">
        <v>37849</v>
      </c>
      <c r="BF152" s="56"/>
      <c r="BG152" s="58">
        <f t="shared" si="414"/>
        <v>47426</v>
      </c>
      <c r="BH152" s="58">
        <f t="shared" si="415"/>
        <v>56.069135113906505</v>
      </c>
      <c r="BI152" s="1133"/>
      <c r="BJ152" s="63">
        <f t="shared" si="393"/>
        <v>1477</v>
      </c>
      <c r="BK152" s="64"/>
      <c r="BL152" s="64">
        <v>1195</v>
      </c>
      <c r="BM152" s="64">
        <f t="shared" si="444"/>
        <v>282</v>
      </c>
      <c r="BN152" s="65">
        <f t="shared" si="445"/>
        <v>0.4633981214300269</v>
      </c>
      <c r="BO152" s="64">
        <f t="shared" si="446"/>
        <v>23293</v>
      </c>
      <c r="BP152" s="65">
        <f t="shared" si="447"/>
        <v>0.31635713475860511</v>
      </c>
      <c r="BQ152" s="1071"/>
      <c r="BR152" s="35">
        <f t="shared" si="398"/>
        <v>20084</v>
      </c>
      <c r="BS152" s="35"/>
      <c r="BT152" s="35">
        <v>19160</v>
      </c>
      <c r="BU152" s="35">
        <f t="shared" si="448"/>
        <v>924</v>
      </c>
      <c r="BV152" s="74">
        <f t="shared" si="449"/>
        <v>385976</v>
      </c>
      <c r="BW152" s="74">
        <f t="shared" si="450"/>
        <v>456.31806381995483</v>
      </c>
      <c r="BX152" s="1098"/>
      <c r="BY152" s="295">
        <f t="shared" si="402"/>
        <v>0</v>
      </c>
      <c r="BZ152" s="296"/>
      <c r="CA152" s="296"/>
      <c r="CB152" s="296"/>
      <c r="CC152" s="297"/>
      <c r="CD152" s="296">
        <f t="shared" si="453"/>
        <v>10780</v>
      </c>
      <c r="CE152" s="297">
        <f t="shared" si="454"/>
        <v>0.14641007653362653</v>
      </c>
      <c r="CF152" s="1061"/>
      <c r="CH152">
        <f t="shared" si="418"/>
        <v>462176</v>
      </c>
    </row>
    <row r="153" spans="1:86">
      <c r="A153" s="30">
        <v>44101</v>
      </c>
      <c r="B153" s="32">
        <v>592919</v>
      </c>
      <c r="C153" s="114">
        <f t="shared" si="416"/>
        <v>74221731</v>
      </c>
      <c r="D153" s="91">
        <v>5473.52</v>
      </c>
      <c r="E153" s="93">
        <f t="shared" si="417"/>
        <v>851322.12999999989</v>
      </c>
      <c r="F153" s="240">
        <f t="shared" si="371"/>
        <v>36070</v>
      </c>
      <c r="G153" s="240"/>
      <c r="H153" s="280"/>
      <c r="I153" s="240">
        <f>12800+800</f>
        <v>13600</v>
      </c>
      <c r="J153" s="240">
        <f t="shared" si="421"/>
        <v>22470</v>
      </c>
      <c r="K153" s="280">
        <f t="shared" si="422"/>
        <v>37.897250720587465</v>
      </c>
      <c r="L153" s="240">
        <f t="shared" si="423"/>
        <v>2296655</v>
      </c>
      <c r="M153" s="280">
        <f t="shared" si="424"/>
        <v>30.943161376821028</v>
      </c>
      <c r="N153" s="280">
        <f t="shared" si="425"/>
        <v>3.788803890880498</v>
      </c>
      <c r="O153" s="1089"/>
      <c r="P153" s="1084"/>
      <c r="Q153" s="77">
        <f t="shared" si="377"/>
        <v>33733</v>
      </c>
      <c r="R153" s="35"/>
      <c r="S153" s="35">
        <v>33733</v>
      </c>
      <c r="T153" s="35">
        <f t="shared" si="426"/>
        <v>0</v>
      </c>
      <c r="U153" s="36">
        <f t="shared" si="427"/>
        <v>0</v>
      </c>
      <c r="V153" s="74">
        <f t="shared" si="428"/>
        <v>131215</v>
      </c>
      <c r="W153" s="36">
        <f t="shared" si="429"/>
        <v>1.7678784667525471</v>
      </c>
      <c r="X153" s="1136"/>
      <c r="Y153" s="49">
        <f t="shared" si="382"/>
        <v>805</v>
      </c>
      <c r="Z153" s="50"/>
      <c r="AA153" s="50">
        <f>689+95</f>
        <v>784</v>
      </c>
      <c r="AB153" s="50">
        <f t="shared" si="430"/>
        <v>21</v>
      </c>
      <c r="AC153" s="51">
        <f t="shared" si="431"/>
        <v>3.5417991327651839E-2</v>
      </c>
      <c r="AD153" s="50">
        <f t="shared" si="432"/>
        <v>20579</v>
      </c>
      <c r="AE153" s="51">
        <f t="shared" si="433"/>
        <v>0.2772638110528573</v>
      </c>
      <c r="AF153" s="1047"/>
      <c r="AG153" s="40">
        <f t="shared" si="387"/>
        <v>725</v>
      </c>
      <c r="AH153" s="41"/>
      <c r="AI153" s="41">
        <v>705</v>
      </c>
      <c r="AJ153" s="41">
        <f t="shared" si="434"/>
        <v>20</v>
      </c>
      <c r="AK153" s="42">
        <f t="shared" si="435"/>
        <v>3.3731420312049371E-2</v>
      </c>
      <c r="AL153" s="41">
        <f t="shared" si="436"/>
        <v>9678</v>
      </c>
      <c r="AM153" s="42">
        <f t="shared" si="437"/>
        <v>0.13039307854461116</v>
      </c>
      <c r="AN153" s="1058"/>
      <c r="AO153" s="220">
        <v>5.2</v>
      </c>
      <c r="AP153" s="67">
        <v>24</v>
      </c>
      <c r="AQ153" s="68">
        <f t="shared" si="419"/>
        <v>62.031840000000003</v>
      </c>
      <c r="AR153" s="68">
        <f t="shared" si="420"/>
        <v>11.333079992399771</v>
      </c>
      <c r="AS153" s="69">
        <f t="shared" si="438"/>
        <v>8636.7407999999996</v>
      </c>
      <c r="AT153" s="140">
        <f t="shared" si="439"/>
        <v>10.14509137686812</v>
      </c>
      <c r="AU153" s="1073"/>
      <c r="AV153" s="319">
        <v>3</v>
      </c>
      <c r="AW153" s="71">
        <v>12</v>
      </c>
      <c r="AX153" s="72">
        <f t="shared" si="440"/>
        <v>18.60228</v>
      </c>
      <c r="AY153" s="72">
        <f t="shared" si="441"/>
        <v>3.398595419401043</v>
      </c>
      <c r="AZ153" s="73">
        <f t="shared" si="442"/>
        <v>2738.2556159999986</v>
      </c>
      <c r="BA153" s="192">
        <f t="shared" si="443"/>
        <v>3.2164741400531889</v>
      </c>
      <c r="BB153" s="1075"/>
      <c r="BC153" s="90">
        <f t="shared" si="392"/>
        <v>37849</v>
      </c>
      <c r="BD153" s="59"/>
      <c r="BE153" s="56">
        <v>37849</v>
      </c>
      <c r="BF153" s="56"/>
      <c r="BG153" s="58">
        <f t="shared" si="414"/>
        <v>47426</v>
      </c>
      <c r="BH153" s="58">
        <f t="shared" si="415"/>
        <v>55.708642273871121</v>
      </c>
      <c r="BI153" s="1133"/>
      <c r="BJ153" s="63">
        <f t="shared" si="393"/>
        <v>1195</v>
      </c>
      <c r="BK153" s="64"/>
      <c r="BL153" s="64">
        <v>1014</v>
      </c>
      <c r="BM153" s="64">
        <f t="shared" si="444"/>
        <v>181</v>
      </c>
      <c r="BN153" s="65">
        <f t="shared" si="445"/>
        <v>0.3052693538240468</v>
      </c>
      <c r="BO153" s="64">
        <f t="shared" si="446"/>
        <v>23474</v>
      </c>
      <c r="BP153" s="65">
        <f t="shared" si="447"/>
        <v>0.31626856021452798</v>
      </c>
      <c r="BQ153" s="1071"/>
      <c r="BR153" s="35">
        <f t="shared" si="398"/>
        <v>19160</v>
      </c>
      <c r="BS153" s="35"/>
      <c r="BT153" s="35">
        <v>15463</v>
      </c>
      <c r="BU153" s="35">
        <f t="shared" si="448"/>
        <v>3697</v>
      </c>
      <c r="BV153" s="74">
        <f t="shared" si="449"/>
        <v>389673</v>
      </c>
      <c r="BW153" s="74">
        <f t="shared" si="450"/>
        <v>457.72685364117109</v>
      </c>
      <c r="BX153" s="1098"/>
      <c r="BY153" s="295">
        <f t="shared" si="402"/>
        <v>0</v>
      </c>
      <c r="BZ153" s="296"/>
      <c r="CA153" s="296"/>
      <c r="CB153" s="296"/>
      <c r="CC153" s="297"/>
      <c r="CD153" s="296">
        <f t="shared" si="453"/>
        <v>10780</v>
      </c>
      <c r="CE153" s="297">
        <f t="shared" si="454"/>
        <v>0.14524048219786198</v>
      </c>
      <c r="CF153" s="1061"/>
      <c r="CH153">
        <f t="shared" si="418"/>
        <v>0</v>
      </c>
    </row>
    <row r="154" spans="1:86">
      <c r="A154" s="30">
        <v>44102</v>
      </c>
      <c r="B154" s="32">
        <v>434571</v>
      </c>
      <c r="C154" s="114">
        <f t="shared" si="416"/>
        <v>74656302</v>
      </c>
      <c r="D154" s="91">
        <v>3806.74</v>
      </c>
      <c r="E154" s="93">
        <f t="shared" si="417"/>
        <v>855128.86999999988</v>
      </c>
      <c r="F154" s="240">
        <f t="shared" si="371"/>
        <v>13600</v>
      </c>
      <c r="G154" s="240">
        <v>20800</v>
      </c>
      <c r="H154" s="280">
        <v>24.01</v>
      </c>
      <c r="I154" s="240">
        <f>32000+510</f>
        <v>32510</v>
      </c>
      <c r="J154" s="240">
        <f t="shared" si="421"/>
        <v>1890</v>
      </c>
      <c r="K154" s="280">
        <f t="shared" si="422"/>
        <v>4.3491167151052421</v>
      </c>
      <c r="L154" s="240">
        <f t="shared" si="423"/>
        <v>2298545</v>
      </c>
      <c r="M154" s="280">
        <f t="shared" si="424"/>
        <v>30.788358630460962</v>
      </c>
      <c r="N154" s="280">
        <f t="shared" si="425"/>
        <v>3.7698492262104768</v>
      </c>
      <c r="O154" s="1089"/>
      <c r="P154" s="1084"/>
      <c r="Q154" s="77">
        <f t="shared" si="377"/>
        <v>33733</v>
      </c>
      <c r="R154" s="35"/>
      <c r="S154" s="35">
        <v>33733</v>
      </c>
      <c r="T154" s="35">
        <f t="shared" si="426"/>
        <v>0</v>
      </c>
      <c r="U154" s="36">
        <f t="shared" si="427"/>
        <v>0</v>
      </c>
      <c r="V154" s="74">
        <f t="shared" si="428"/>
        <v>131215</v>
      </c>
      <c r="W154" s="36">
        <f t="shared" si="429"/>
        <v>1.7575877251460967</v>
      </c>
      <c r="X154" s="1136"/>
      <c r="Y154" s="49">
        <f t="shared" si="382"/>
        <v>784</v>
      </c>
      <c r="Z154" s="50"/>
      <c r="AA154" s="50">
        <f>635+80</f>
        <v>715</v>
      </c>
      <c r="AB154" s="50">
        <f t="shared" si="430"/>
        <v>69</v>
      </c>
      <c r="AC154" s="51">
        <f t="shared" si="431"/>
        <v>0.15877727690066756</v>
      </c>
      <c r="AD154" s="50">
        <f t="shared" si="432"/>
        <v>20648</v>
      </c>
      <c r="AE154" s="51">
        <f t="shared" si="433"/>
        <v>0.27657410622883516</v>
      </c>
      <c r="AF154" s="1047"/>
      <c r="AG154" s="40">
        <f t="shared" si="387"/>
        <v>705</v>
      </c>
      <c r="AH154" s="41"/>
      <c r="AI154" s="41">
        <v>666</v>
      </c>
      <c r="AJ154" s="41">
        <f t="shared" si="434"/>
        <v>39</v>
      </c>
      <c r="AK154" s="42">
        <f t="shared" si="435"/>
        <v>8.9743678248203396E-2</v>
      </c>
      <c r="AL154" s="41">
        <f t="shared" si="436"/>
        <v>9717</v>
      </c>
      <c r="AM154" s="42">
        <f t="shared" si="437"/>
        <v>0.13015646020077448</v>
      </c>
      <c r="AN154" s="1058"/>
      <c r="AO154" s="220">
        <v>3.3</v>
      </c>
      <c r="AP154" s="67">
        <v>24</v>
      </c>
      <c r="AQ154" s="68">
        <f t="shared" si="419"/>
        <v>39.366359999999993</v>
      </c>
      <c r="AR154" s="68">
        <f t="shared" si="420"/>
        <v>10.341226351156106</v>
      </c>
      <c r="AS154" s="69">
        <f t="shared" si="438"/>
        <v>8676.1071599999996</v>
      </c>
      <c r="AT154" s="140">
        <f t="shared" si="439"/>
        <v>10.145964502403015</v>
      </c>
      <c r="AU154" s="1073"/>
      <c r="AV154" s="319">
        <v>2.4</v>
      </c>
      <c r="AW154" s="71">
        <v>12</v>
      </c>
      <c r="AX154" s="72">
        <f t="shared" si="440"/>
        <v>14.881824</v>
      </c>
      <c r="AY154" s="72">
        <f t="shared" si="441"/>
        <v>3.9093355469509348</v>
      </c>
      <c r="AZ154" s="73">
        <f t="shared" si="442"/>
        <v>2753.1374399999986</v>
      </c>
      <c r="BA154" s="192">
        <f t="shared" si="443"/>
        <v>3.2195585210449029</v>
      </c>
      <c r="BB154" s="1075"/>
      <c r="BC154" s="90">
        <f t="shared" si="392"/>
        <v>37849</v>
      </c>
      <c r="BD154" s="59"/>
      <c r="BE154" s="56">
        <v>37849</v>
      </c>
      <c r="BF154" s="56"/>
      <c r="BG154" s="58">
        <f t="shared" si="414"/>
        <v>47426</v>
      </c>
      <c r="BH154" s="58">
        <f t="shared" si="415"/>
        <v>55.460646533896124</v>
      </c>
      <c r="BI154" s="1133"/>
      <c r="BJ154" s="63">
        <f t="shared" si="393"/>
        <v>1014</v>
      </c>
      <c r="BK154" s="64"/>
      <c r="BL154" s="64">
        <v>1008</v>
      </c>
      <c r="BM154" s="64">
        <f t="shared" si="444"/>
        <v>6</v>
      </c>
      <c r="BN154" s="65">
        <f t="shared" si="445"/>
        <v>1.3806719730492831E-2</v>
      </c>
      <c r="BO154" s="64">
        <f t="shared" si="446"/>
        <v>23480</v>
      </c>
      <c r="BP154" s="65">
        <f t="shared" si="447"/>
        <v>0.31450794334817173</v>
      </c>
      <c r="BQ154" s="1071"/>
      <c r="BR154" s="35">
        <f t="shared" si="398"/>
        <v>15463</v>
      </c>
      <c r="BS154" s="35">
        <v>31000</v>
      </c>
      <c r="BT154" s="35">
        <v>45961</v>
      </c>
      <c r="BU154" s="35">
        <f t="shared" si="448"/>
        <v>502</v>
      </c>
      <c r="BV154" s="74">
        <f t="shared" si="449"/>
        <v>390175</v>
      </c>
      <c r="BW154" s="74">
        <f t="shared" si="450"/>
        <v>456.27625693423266</v>
      </c>
      <c r="BX154" s="1098"/>
      <c r="BY154" s="295">
        <f t="shared" si="402"/>
        <v>0</v>
      </c>
      <c r="BZ154" s="296">
        <v>1150</v>
      </c>
      <c r="CA154" s="296">
        <v>1150</v>
      </c>
      <c r="CB154" s="296">
        <f t="shared" si="451"/>
        <v>0</v>
      </c>
      <c r="CC154" s="297">
        <f t="shared" si="452"/>
        <v>0</v>
      </c>
      <c r="CD154" s="296">
        <f t="shared" si="453"/>
        <v>10780</v>
      </c>
      <c r="CE154" s="297">
        <f t="shared" si="454"/>
        <v>0.14439504383702262</v>
      </c>
      <c r="CF154" s="1061"/>
      <c r="CH154">
        <f t="shared" si="418"/>
        <v>1164592</v>
      </c>
    </row>
    <row r="155" spans="1:86">
      <c r="A155" s="30">
        <v>44103</v>
      </c>
      <c r="B155" s="32">
        <v>455831</v>
      </c>
      <c r="C155" s="114">
        <f t="shared" si="416"/>
        <v>75112133</v>
      </c>
      <c r="D155" s="91">
        <v>4828.6400000000003</v>
      </c>
      <c r="E155" s="93">
        <f t="shared" si="417"/>
        <v>859957.50999999989</v>
      </c>
      <c r="F155" s="240">
        <f t="shared" si="371"/>
        <v>32510</v>
      </c>
      <c r="G155" s="240"/>
      <c r="H155" s="280"/>
      <c r="I155" s="240">
        <f>17200+400</f>
        <v>17600</v>
      </c>
      <c r="J155" s="240">
        <f t="shared" si="421"/>
        <v>14910</v>
      </c>
      <c r="K155" s="280">
        <f t="shared" si="422"/>
        <v>32.709491017504291</v>
      </c>
      <c r="L155" s="240">
        <f t="shared" si="423"/>
        <v>2313455</v>
      </c>
      <c r="M155" s="280">
        <f t="shared" si="424"/>
        <v>30.800017355385179</v>
      </c>
      <c r="N155" s="280">
        <f t="shared" si="425"/>
        <v>3.7712767669138216</v>
      </c>
      <c r="O155" s="1089"/>
      <c r="P155" s="1084"/>
      <c r="Q155" s="77">
        <f t="shared" si="377"/>
        <v>33733</v>
      </c>
      <c r="R155" s="35"/>
      <c r="S155" s="35">
        <v>33733</v>
      </c>
      <c r="T155" s="35">
        <f t="shared" si="426"/>
        <v>0</v>
      </c>
      <c r="U155" s="36">
        <f t="shared" si="427"/>
        <v>0</v>
      </c>
      <c r="V155" s="74">
        <f t="shared" si="428"/>
        <v>131215</v>
      </c>
      <c r="W155" s="36">
        <f t="shared" si="429"/>
        <v>1.7469214993535065</v>
      </c>
      <c r="X155" s="1136"/>
      <c r="Y155" s="49">
        <f t="shared" si="382"/>
        <v>715</v>
      </c>
      <c r="Z155" s="336"/>
      <c r="AA155" s="50">
        <f>599+87</f>
        <v>686</v>
      </c>
      <c r="AB155" s="50">
        <f t="shared" si="430"/>
        <v>29</v>
      </c>
      <c r="AC155" s="51">
        <f t="shared" si="431"/>
        <v>6.3620069718821226E-2</v>
      </c>
      <c r="AD155" s="50">
        <f t="shared" si="432"/>
        <v>20677</v>
      </c>
      <c r="AE155" s="51">
        <f t="shared" si="433"/>
        <v>0.27528175774212138</v>
      </c>
      <c r="AF155" s="1047"/>
      <c r="AG155" s="40">
        <f t="shared" si="387"/>
        <v>666</v>
      </c>
      <c r="AH155" s="41"/>
      <c r="AI155" s="41">
        <v>646</v>
      </c>
      <c r="AJ155" s="41">
        <f t="shared" si="434"/>
        <v>20</v>
      </c>
      <c r="AK155" s="42">
        <f t="shared" si="435"/>
        <v>4.387591015091119E-2</v>
      </c>
      <c r="AL155" s="41">
        <f t="shared" si="436"/>
        <v>9737</v>
      </c>
      <c r="AM155" s="42">
        <f t="shared" si="437"/>
        <v>0.12963285172583236</v>
      </c>
      <c r="AN155" s="1058"/>
      <c r="AO155" s="220">
        <v>5.8</v>
      </c>
      <c r="AP155" s="67">
        <v>24</v>
      </c>
      <c r="AQ155" s="68">
        <f t="shared" si="419"/>
        <v>69.189359999999994</v>
      </c>
      <c r="AR155" s="68">
        <f t="shared" si="420"/>
        <v>14.328953908346863</v>
      </c>
      <c r="AS155" s="69">
        <f t="shared" si="438"/>
        <v>8745.2965199999999</v>
      </c>
      <c r="AT155" s="140">
        <f t="shared" si="439"/>
        <v>10.169451883733187</v>
      </c>
      <c r="AU155" s="1073"/>
      <c r="AV155" s="319">
        <v>3.5</v>
      </c>
      <c r="AW155" s="71">
        <v>12</v>
      </c>
      <c r="AX155" s="72">
        <f t="shared" si="440"/>
        <v>21.702660000000002</v>
      </c>
      <c r="AY155" s="72">
        <f t="shared" si="441"/>
        <v>4.4945698995990586</v>
      </c>
      <c r="AZ155" s="73">
        <f t="shared" si="442"/>
        <v>2774.8400999999985</v>
      </c>
      <c r="BA155" s="192">
        <f t="shared" si="443"/>
        <v>3.2267176781792384</v>
      </c>
      <c r="BB155" s="1075"/>
      <c r="BC155" s="90">
        <f t="shared" si="392"/>
        <v>37849</v>
      </c>
      <c r="BD155" s="59"/>
      <c r="BE155" s="56">
        <v>37849</v>
      </c>
      <c r="BF155" s="56"/>
      <c r="BG155" s="58">
        <f t="shared" si="414"/>
        <v>47426</v>
      </c>
      <c r="BH155" s="58">
        <f t="shared" si="415"/>
        <v>55.149236384946512</v>
      </c>
      <c r="BI155" s="1133"/>
      <c r="BJ155" s="63">
        <f t="shared" si="393"/>
        <v>1008</v>
      </c>
      <c r="BK155" s="64"/>
      <c r="BL155" s="64">
        <v>660</v>
      </c>
      <c r="BM155" s="64">
        <f t="shared" si="444"/>
        <v>348</v>
      </c>
      <c r="BN155" s="65">
        <f t="shared" si="445"/>
        <v>0.76344083662585471</v>
      </c>
      <c r="BO155" s="64">
        <f t="shared" si="446"/>
        <v>23828</v>
      </c>
      <c r="BP155" s="65">
        <f t="shared" si="447"/>
        <v>0.31723237043474722</v>
      </c>
      <c r="BQ155" s="1071"/>
      <c r="BR155" s="35">
        <f t="shared" si="398"/>
        <v>45961</v>
      </c>
      <c r="BS155" s="35"/>
      <c r="BT155" s="35">
        <v>41340</v>
      </c>
      <c r="BU155" s="35">
        <f t="shared" si="448"/>
        <v>4621</v>
      </c>
      <c r="BV155" s="74">
        <f t="shared" si="449"/>
        <v>394796</v>
      </c>
      <c r="BW155" s="74">
        <f t="shared" si="450"/>
        <v>459.08779841924985</v>
      </c>
      <c r="BX155" s="1098"/>
      <c r="BY155" s="295">
        <f t="shared" si="402"/>
        <v>1150</v>
      </c>
      <c r="BZ155" s="296"/>
      <c r="CA155" s="296">
        <v>1100</v>
      </c>
      <c r="CB155" s="296">
        <f t="shared" si="451"/>
        <v>50</v>
      </c>
      <c r="CC155" s="297">
        <f t="shared" si="452"/>
        <v>0.10968977537727798</v>
      </c>
      <c r="CD155" s="296">
        <f t="shared" si="453"/>
        <v>10830</v>
      </c>
      <c r="CE155" s="297">
        <f t="shared" si="454"/>
        <v>0.14418442889912339</v>
      </c>
      <c r="CF155" s="1061"/>
      <c r="CH155">
        <f t="shared" si="418"/>
        <v>0</v>
      </c>
    </row>
    <row r="156" spans="1:86" ht="15.75" thickBot="1">
      <c r="A156" s="30">
        <v>44104</v>
      </c>
      <c r="B156" s="109">
        <v>565098</v>
      </c>
      <c r="C156" s="171">
        <f t="shared" si="416"/>
        <v>75677231</v>
      </c>
      <c r="D156" s="110">
        <v>6403.22</v>
      </c>
      <c r="E156" s="94">
        <f t="shared" si="417"/>
        <v>866360.72999999986</v>
      </c>
      <c r="F156" s="240">
        <f t="shared" si="371"/>
        <v>17600</v>
      </c>
      <c r="G156" s="231">
        <v>20800</v>
      </c>
      <c r="H156" s="230">
        <v>19.940000000000001</v>
      </c>
      <c r="I156" s="231">
        <f>17600+170</f>
        <v>17770</v>
      </c>
      <c r="J156" s="240">
        <f t="shared" si="421"/>
        <v>20630</v>
      </c>
      <c r="K156" s="280">
        <f t="shared" si="422"/>
        <v>36.506942158705215</v>
      </c>
      <c r="L156" s="240">
        <f t="shared" si="423"/>
        <v>2334085</v>
      </c>
      <c r="M156" s="280">
        <f t="shared" si="424"/>
        <v>30.84263217823073</v>
      </c>
      <c r="N156" s="280">
        <f t="shared" si="425"/>
        <v>3.7764946955100687</v>
      </c>
      <c r="O156" s="1090"/>
      <c r="P156" s="1085"/>
      <c r="Q156" s="79">
        <f t="shared" si="377"/>
        <v>33733</v>
      </c>
      <c r="R156" s="76"/>
      <c r="S156" s="76">
        <v>33733</v>
      </c>
      <c r="T156" s="76">
        <f t="shared" si="426"/>
        <v>0</v>
      </c>
      <c r="U156" s="80">
        <f t="shared" si="427"/>
        <v>0</v>
      </c>
      <c r="V156" s="81">
        <f t="shared" si="428"/>
        <v>131215</v>
      </c>
      <c r="W156" s="80">
        <f t="shared" si="429"/>
        <v>1.7338768644957425</v>
      </c>
      <c r="X156" s="1136"/>
      <c r="Y156" s="83">
        <f t="shared" si="382"/>
        <v>686</v>
      </c>
      <c r="Z156" s="82"/>
      <c r="AA156" s="82">
        <f>528+115</f>
        <v>643</v>
      </c>
      <c r="AB156" s="82">
        <f t="shared" si="430"/>
        <v>43</v>
      </c>
      <c r="AC156" s="84">
        <f t="shared" si="431"/>
        <v>7.6092996259055953E-2</v>
      </c>
      <c r="AD156" s="82">
        <f t="shared" si="432"/>
        <v>20720</v>
      </c>
      <c r="AE156" s="84">
        <f t="shared" si="433"/>
        <v>0.27379437284115216</v>
      </c>
      <c r="AF156" s="1047"/>
      <c r="AG156" s="95">
        <f t="shared" si="387"/>
        <v>646</v>
      </c>
      <c r="AH156" s="96"/>
      <c r="AI156" s="96">
        <v>626</v>
      </c>
      <c r="AJ156" s="96">
        <f t="shared" si="434"/>
        <v>20</v>
      </c>
      <c r="AK156" s="97">
        <f t="shared" si="435"/>
        <v>3.5392091283281836E-2</v>
      </c>
      <c r="AL156" s="96">
        <f t="shared" si="436"/>
        <v>9757</v>
      </c>
      <c r="AM156" s="97">
        <f t="shared" si="437"/>
        <v>0.12892913589822017</v>
      </c>
      <c r="AN156" s="1058"/>
      <c r="AO156" s="215">
        <v>6.2</v>
      </c>
      <c r="AP156" s="67">
        <v>24</v>
      </c>
      <c r="AQ156" s="68">
        <f t="shared" si="419"/>
        <v>73.961040000000011</v>
      </c>
      <c r="AR156" s="68">
        <f t="shared" si="420"/>
        <v>11.550601103819641</v>
      </c>
      <c r="AS156" s="69">
        <f t="shared" si="438"/>
        <v>8819.25756</v>
      </c>
      <c r="AT156" s="140">
        <f t="shared" si="439"/>
        <v>10.179659874472845</v>
      </c>
      <c r="AU156" s="1074"/>
      <c r="AV156" s="368">
        <v>4</v>
      </c>
      <c r="AW156" s="104">
        <v>12</v>
      </c>
      <c r="AX156" s="105">
        <f t="shared" si="440"/>
        <v>24.803040000000003</v>
      </c>
      <c r="AY156" s="105">
        <f t="shared" si="441"/>
        <v>3.8735261321647552</v>
      </c>
      <c r="AZ156" s="106">
        <f t="shared" si="442"/>
        <v>2799.6431399999983</v>
      </c>
      <c r="BA156" s="193">
        <f t="shared" si="443"/>
        <v>3.231498200524392</v>
      </c>
      <c r="BB156" s="1075"/>
      <c r="BC156" s="87">
        <f t="shared" si="392"/>
        <v>37849</v>
      </c>
      <c r="BD156" s="100"/>
      <c r="BE156" s="88">
        <v>37849</v>
      </c>
      <c r="BF156" s="88"/>
      <c r="BG156" s="89">
        <f t="shared" si="414"/>
        <v>47426</v>
      </c>
      <c r="BH156" s="89">
        <f t="shared" si="415"/>
        <v>54.741631698842127</v>
      </c>
      <c r="BI156" s="1134"/>
      <c r="BJ156" s="207">
        <f t="shared" si="393"/>
        <v>660</v>
      </c>
      <c r="BK156" s="85"/>
      <c r="BL156" s="85">
        <v>504</v>
      </c>
      <c r="BM156" s="85">
        <f t="shared" si="444"/>
        <v>156</v>
      </c>
      <c r="BN156" s="86">
        <f t="shared" si="445"/>
        <v>0.27605831200959835</v>
      </c>
      <c r="BO156" s="85">
        <f t="shared" si="446"/>
        <v>23984</v>
      </c>
      <c r="BP156" s="86">
        <f t="shared" si="447"/>
        <v>0.31692491497211361</v>
      </c>
      <c r="BQ156" s="1071"/>
      <c r="BR156" s="35">
        <f t="shared" si="398"/>
        <v>41340</v>
      </c>
      <c r="BS156" s="76"/>
      <c r="BT156" s="76">
        <v>34871</v>
      </c>
      <c r="BU156" s="35">
        <f t="shared" si="448"/>
        <v>6469</v>
      </c>
      <c r="BV156" s="74">
        <f t="shared" si="449"/>
        <v>401265</v>
      </c>
      <c r="BW156" s="74">
        <f t="shared" si="450"/>
        <v>463.161574740351</v>
      </c>
      <c r="BX156" s="1098"/>
      <c r="BY156" s="305">
        <f t="shared" si="402"/>
        <v>1100</v>
      </c>
      <c r="BZ156" s="299"/>
      <c r="CA156" s="299">
        <v>1056</v>
      </c>
      <c r="CB156" s="299">
        <f t="shared" si="451"/>
        <v>44</v>
      </c>
      <c r="CC156" s="300">
        <f t="shared" si="452"/>
        <v>7.7862600823220038E-2</v>
      </c>
      <c r="CD156" s="299">
        <f t="shared" si="453"/>
        <v>10874</v>
      </c>
      <c r="CE156" s="300">
        <f t="shared" si="454"/>
        <v>0.14368918968507186</v>
      </c>
      <c r="CF156" s="1061"/>
      <c r="CH156">
        <f t="shared" si="418"/>
        <v>499408.00000000006</v>
      </c>
    </row>
    <row r="157" spans="1:86">
      <c r="A157" s="30">
        <v>44105</v>
      </c>
      <c r="B157" s="32">
        <v>622955</v>
      </c>
      <c r="C157" s="217">
        <f t="shared" si="416"/>
        <v>76300186</v>
      </c>
      <c r="D157" s="91">
        <v>6383.5</v>
      </c>
      <c r="E157" s="205">
        <f t="shared" si="417"/>
        <v>872744.22999999986</v>
      </c>
      <c r="F157" s="242">
        <f>I156</f>
        <v>17770</v>
      </c>
      <c r="G157" s="241"/>
      <c r="H157" s="313"/>
      <c r="I157" s="241">
        <v>0</v>
      </c>
      <c r="J157" s="241">
        <f>F157+G157-I157</f>
        <v>17770</v>
      </c>
      <c r="K157" s="313">
        <f>J157*1000/B157</f>
        <v>28.52533489577899</v>
      </c>
      <c r="L157" s="241">
        <f>L156+J157</f>
        <v>2351855</v>
      </c>
      <c r="M157" s="313">
        <f>L157*1000/C157</f>
        <v>30.82371253983575</v>
      </c>
      <c r="N157" s="313">
        <f>M157/8.167</f>
        <v>3.7741780996492897</v>
      </c>
      <c r="O157" s="1052">
        <f>1000*SUM(J157:J187)/SUM(B157:B187)</f>
        <v>32.249106523955561</v>
      </c>
      <c r="P157" s="1083">
        <f>O157/8.167</f>
        <v>3.9487090148102806</v>
      </c>
      <c r="Q157" s="35">
        <f>S156</f>
        <v>33733</v>
      </c>
      <c r="R157" s="98"/>
      <c r="S157" s="35">
        <v>32657</v>
      </c>
      <c r="T157" s="35">
        <f>Q157+R157-S157</f>
        <v>1076</v>
      </c>
      <c r="U157" s="36">
        <f>1000*T157/B157</f>
        <v>1.7272515671276416</v>
      </c>
      <c r="V157" s="74">
        <f>V156+T157</f>
        <v>132291</v>
      </c>
      <c r="W157" s="36">
        <f>1000*V157/C157</f>
        <v>1.7338227720703066</v>
      </c>
      <c r="X157" s="1135">
        <f>1000*SUM(T157:T187)/SUM(B157:B187)</f>
        <v>3.6353430464059113</v>
      </c>
      <c r="Y157" s="49">
        <f>AA156</f>
        <v>643</v>
      </c>
      <c r="Z157" s="248"/>
      <c r="AA157" s="50">
        <f>528+69</f>
        <v>597</v>
      </c>
      <c r="AB157" s="50">
        <f>Y157+Z157-AA157</f>
        <v>46</v>
      </c>
      <c r="AC157" s="51">
        <f>AB157*1000/B157</f>
        <v>7.3841609747092488E-2</v>
      </c>
      <c r="AD157" s="50">
        <f>AD156+AB157</f>
        <v>20766</v>
      </c>
      <c r="AE157" s="51">
        <f>AD157*1000/C157</f>
        <v>0.27216185292130218</v>
      </c>
      <c r="AF157" s="1046">
        <f>1000*SUM(AB157:AB187)/SUM(B157:B187)</f>
        <v>6.8183062926964008E-2</v>
      </c>
      <c r="AG157" s="40">
        <f>AI156</f>
        <v>626</v>
      </c>
      <c r="AH157" s="44"/>
      <c r="AI157" s="41">
        <v>606</v>
      </c>
      <c r="AJ157" s="41">
        <f>AG157+AH157-AI157</f>
        <v>20</v>
      </c>
      <c r="AK157" s="42">
        <f>AJ157*1000/B157</f>
        <v>3.2105047716127169E-2</v>
      </c>
      <c r="AL157" s="41">
        <f>AL156+AJ157</f>
        <v>9777</v>
      </c>
      <c r="AM157" s="42">
        <f>AL157*1000/C157</f>
        <v>0.12813861292553075</v>
      </c>
      <c r="AN157" s="1057">
        <f>1000*SUM(AJ157:AJ186)/SUM(B157:B186)</f>
        <v>5.3434769967762009E-2</v>
      </c>
      <c r="AO157" s="361">
        <v>6</v>
      </c>
      <c r="AP157" s="135">
        <v>24</v>
      </c>
      <c r="AQ157" s="102">
        <f>AO157*AP157*0.49705</f>
        <v>71.575199999999995</v>
      </c>
      <c r="AR157" s="102">
        <f>AQ157*1000/D157</f>
        <v>11.212532309861361</v>
      </c>
      <c r="AS157" s="257">
        <f>AS156+AQ157</f>
        <v>8890.8327599999993</v>
      </c>
      <c r="AT157" s="102">
        <f>AS157*1000/E157</f>
        <v>10.187214597798029</v>
      </c>
      <c r="AU157" s="1064">
        <f>1000*SUM(AQ157:AQ187)/SUM(D157:D187)</f>
        <v>14.018458416461364</v>
      </c>
      <c r="AV157" s="216">
        <v>4.2</v>
      </c>
      <c r="AW157" s="71">
        <v>12</v>
      </c>
      <c r="AX157" s="72">
        <f>AV157*AW157*0.51673</f>
        <v>26.043192000000005</v>
      </c>
      <c r="AY157" s="72">
        <f>AX157*1000/D157</f>
        <v>4.0797668990365796</v>
      </c>
      <c r="AZ157" s="276">
        <f>AZ156+AX157</f>
        <v>2825.6863319999984</v>
      </c>
      <c r="BA157" s="72">
        <f>AZ157*1000/E157</f>
        <v>3.2377026795124144</v>
      </c>
      <c r="BB157" s="1065">
        <f>1000*SUM(AX157:AX187)/SUM(D157:D187)</f>
        <v>4.5701363084231925</v>
      </c>
      <c r="BC157" s="253">
        <f>BE156</f>
        <v>37849</v>
      </c>
      <c r="BD157" s="59"/>
      <c r="BE157" s="252">
        <v>34611</v>
      </c>
      <c r="BF157" s="57">
        <f>BC157-BE157+BD157</f>
        <v>3238</v>
      </c>
      <c r="BG157" s="58">
        <f>BG156+BF157</f>
        <v>50664</v>
      </c>
      <c r="BH157" s="58">
        <f>BG157*1000/E157</f>
        <v>58.051372049747044</v>
      </c>
      <c r="BI157" s="1132">
        <f>1000*SUM(BF157:BF187)/SUM(D157:D187)</f>
        <v>43.134036489371645</v>
      </c>
      <c r="BJ157" s="63">
        <f>BL156</f>
        <v>504</v>
      </c>
      <c r="BK157" s="64">
        <v>1100</v>
      </c>
      <c r="BL157" s="64">
        <v>1441</v>
      </c>
      <c r="BM157" s="64">
        <f>BJ157+BK157-BL157</f>
        <v>163</v>
      </c>
      <c r="BN157" s="65">
        <f>BM157*1000/B157</f>
        <v>0.26165613888643641</v>
      </c>
      <c r="BO157" s="64">
        <f>BO156+BM157</f>
        <v>24147</v>
      </c>
      <c r="BP157" s="65">
        <f>BO157*1000/C157</f>
        <v>0.31647367150585975</v>
      </c>
      <c r="BQ157" s="1067">
        <f>1000*SUM(BM157:BM187)/SUM(B157:B187)</f>
        <v>0.32520356535165007</v>
      </c>
      <c r="BR157" s="117">
        <f>BT156</f>
        <v>34871</v>
      </c>
      <c r="BS157" s="118"/>
      <c r="BT157" s="118">
        <v>32099</v>
      </c>
      <c r="BU157" s="118">
        <f>BR157+BS157-BT157</f>
        <v>2772</v>
      </c>
      <c r="BV157" s="118">
        <f>BV156+BU157</f>
        <v>404037</v>
      </c>
      <c r="BW157" s="120">
        <f>BV157*1000/E157</f>
        <v>462.95006728374483</v>
      </c>
      <c r="BX157" s="1063">
        <f>1000*SUM(BU157:BU187)/SUM(D157:D187)</f>
        <v>576.50986241375654</v>
      </c>
      <c r="BY157" s="295">
        <f>CA156</f>
        <v>1056</v>
      </c>
      <c r="BZ157" s="303"/>
      <c r="CA157" s="296">
        <v>852</v>
      </c>
      <c r="CB157" s="296">
        <f>BY157+BZ157-CA157</f>
        <v>204</v>
      </c>
      <c r="CC157" s="297">
        <f>CB157*1000/B157</f>
        <v>0.32747148670449711</v>
      </c>
      <c r="CD157" s="296">
        <f>CD156+CB157</f>
        <v>11078</v>
      </c>
      <c r="CE157" s="297">
        <f>CD157*1000/C157</f>
        <v>0.14518968538294258</v>
      </c>
      <c r="CF157" s="1060">
        <f>1000*SUM(CB157:CB187)/SUM(B157:B187)</f>
        <v>0.24871995563357741</v>
      </c>
      <c r="CH157">
        <f t="shared" si="418"/>
        <v>0</v>
      </c>
    </row>
    <row r="158" spans="1:86">
      <c r="A158" s="30">
        <v>44106</v>
      </c>
      <c r="B158" s="32">
        <v>645757</v>
      </c>
      <c r="C158" s="114">
        <f t="shared" si="416"/>
        <v>76945943</v>
      </c>
      <c r="D158" s="91">
        <v>6309.78</v>
      </c>
      <c r="E158" s="93">
        <f t="shared" si="417"/>
        <v>879054.00999999989</v>
      </c>
      <c r="F158" s="243">
        <f>I157</f>
        <v>0</v>
      </c>
      <c r="G158" s="240"/>
      <c r="H158" s="280"/>
      <c r="I158" s="240">
        <v>0</v>
      </c>
      <c r="J158" s="240">
        <f>F158+G158-I158</f>
        <v>0</v>
      </c>
      <c r="K158" s="280">
        <f>J158*1000/B158</f>
        <v>0</v>
      </c>
      <c r="L158" s="240">
        <f>L157+J158</f>
        <v>2351855</v>
      </c>
      <c r="M158" s="280">
        <f>L158*1000/C158</f>
        <v>30.565029269964239</v>
      </c>
      <c r="N158" s="280">
        <f>M158/8.167</f>
        <v>3.7425038900409255</v>
      </c>
      <c r="O158" s="1089"/>
      <c r="P158" s="1084"/>
      <c r="Q158" s="35">
        <f>S157</f>
        <v>32657</v>
      </c>
      <c r="R158" s="98"/>
      <c r="S158" s="35">
        <v>26741</v>
      </c>
      <c r="T158" s="35">
        <f>Q158+R158-S158</f>
        <v>5916</v>
      </c>
      <c r="U158" s="36">
        <f>1000*T158/B158</f>
        <v>9.1613408759022352</v>
      </c>
      <c r="V158" s="74">
        <f>V157+T158</f>
        <v>138207</v>
      </c>
      <c r="W158" s="36">
        <f>1000*V158/C158</f>
        <v>1.7961570761437027</v>
      </c>
      <c r="X158" s="1136"/>
      <c r="Y158" s="49">
        <f>AA157</f>
        <v>597</v>
      </c>
      <c r="Z158" s="248"/>
      <c r="AA158" s="50">
        <f>476+78</f>
        <v>554</v>
      </c>
      <c r="AB158" s="50">
        <f>Y158+Z158-AA158</f>
        <v>43</v>
      </c>
      <c r="AC158" s="51">
        <f>AB158*1000/B158</f>
        <v>6.6588515494218417E-2</v>
      </c>
      <c r="AD158" s="50">
        <f>AD157+AB158</f>
        <v>20809</v>
      </c>
      <c r="AE158" s="51">
        <f>AD158*1000/C158</f>
        <v>0.27043661028366367</v>
      </c>
      <c r="AF158" s="1047"/>
      <c r="AG158" s="40">
        <f>AI157</f>
        <v>606</v>
      </c>
      <c r="AH158" s="44"/>
      <c r="AI158" s="41">
        <v>567</v>
      </c>
      <c r="AJ158" s="41">
        <f>AG158+AH158-AI158</f>
        <v>39</v>
      </c>
      <c r="AK158" s="42">
        <f>AJ158*1000/B158</f>
        <v>6.0394234983128327E-2</v>
      </c>
      <c r="AL158" s="41">
        <f>AL157+AJ158</f>
        <v>9816</v>
      </c>
      <c r="AM158" s="42">
        <f>AL158*1000/C158</f>
        <v>0.12757007864599176</v>
      </c>
      <c r="AN158" s="1058"/>
      <c r="AO158" s="260">
        <v>6</v>
      </c>
      <c r="AP158" s="67">
        <v>24</v>
      </c>
      <c r="AQ158" s="68">
        <f>AO158*AP158*0.49705</f>
        <v>71.575199999999995</v>
      </c>
      <c r="AR158" s="68">
        <f>AQ158*1000/D158</f>
        <v>11.343533372003462</v>
      </c>
      <c r="AS158" s="258">
        <f>AS157+AQ158</f>
        <v>8962.4079599999986</v>
      </c>
      <c r="AT158" s="68">
        <f>AS158*1000/E158</f>
        <v>10.195514562296349</v>
      </c>
      <c r="AU158" s="1073"/>
      <c r="AV158" s="216">
        <v>4</v>
      </c>
      <c r="AW158" s="71">
        <v>12</v>
      </c>
      <c r="AX158" s="72">
        <f>AV158*AW158*0.51673</f>
        <v>24.803040000000003</v>
      </c>
      <c r="AY158" s="72">
        <f>AX158*1000/D158</f>
        <v>3.9308882401605136</v>
      </c>
      <c r="AZ158" s="276">
        <f>AZ157+AX158</f>
        <v>2850.4893719999982</v>
      </c>
      <c r="BA158" s="72">
        <f>AZ158*1000/E158</f>
        <v>3.2426783105170052</v>
      </c>
      <c r="BB158" s="1075"/>
      <c r="BC158" s="253">
        <f>BE157</f>
        <v>34611</v>
      </c>
      <c r="BD158" s="59"/>
      <c r="BE158" s="252">
        <v>34611</v>
      </c>
      <c r="BF158" s="57"/>
      <c r="BG158" s="58">
        <f>BG157+BF158</f>
        <v>50664</v>
      </c>
      <c r="BH158" s="58">
        <f>BG158*1000/E158</f>
        <v>57.634683902983397</v>
      </c>
      <c r="BI158" s="1133"/>
      <c r="BJ158" s="63">
        <f>BL157</f>
        <v>1441</v>
      </c>
      <c r="BK158" s="133"/>
      <c r="BL158" s="64">
        <v>1243</v>
      </c>
      <c r="BM158" s="64">
        <f>BJ158+BK158-BL158</f>
        <v>198</v>
      </c>
      <c r="BN158" s="65">
        <f>BM158*1000/B158</f>
        <v>0.3066168852989592</v>
      </c>
      <c r="BO158" s="64">
        <f>BO157+BM158</f>
        <v>24345</v>
      </c>
      <c r="BP158" s="65">
        <f>BO158*1000/C158</f>
        <v>0.31639094994261102</v>
      </c>
      <c r="BQ158" s="1071"/>
      <c r="BR158" s="77">
        <f>BT157</f>
        <v>32099</v>
      </c>
      <c r="BS158" s="35"/>
      <c r="BT158" s="35">
        <v>28402</v>
      </c>
      <c r="BU158" s="35">
        <f>BR158+BS158-BT158</f>
        <v>3697</v>
      </c>
      <c r="BV158" s="35">
        <f>BV157+BU158</f>
        <v>407734</v>
      </c>
      <c r="BW158" s="74">
        <f>BV158*1000/E158</f>
        <v>463.83270579699655</v>
      </c>
      <c r="BX158" s="1098"/>
      <c r="BY158" s="295">
        <f>CA157</f>
        <v>852</v>
      </c>
      <c r="BZ158" s="303"/>
      <c r="CA158" s="296">
        <v>654</v>
      </c>
      <c r="CB158" s="296">
        <f>BY158+BZ158-CA158</f>
        <v>198</v>
      </c>
      <c r="CC158" s="297">
        <f>CB158*1000/B158</f>
        <v>0.3066168852989592</v>
      </c>
      <c r="CD158" s="296">
        <f>CD157+CB158</f>
        <v>11276</v>
      </c>
      <c r="CE158" s="297">
        <f>CD158*1000/C158</f>
        <v>0.14654443834680148</v>
      </c>
      <c r="CF158" s="1061"/>
      <c r="CH158">
        <f t="shared" si="418"/>
        <v>414752</v>
      </c>
    </row>
    <row r="159" spans="1:86">
      <c r="A159" s="30">
        <v>44107</v>
      </c>
      <c r="B159" s="32">
        <v>651930</v>
      </c>
      <c r="C159" s="114">
        <f t="shared" si="416"/>
        <v>77597873</v>
      </c>
      <c r="D159" s="91">
        <v>6463.42</v>
      </c>
      <c r="E159" s="93">
        <f t="shared" si="417"/>
        <v>885517.42999999993</v>
      </c>
      <c r="F159" s="243">
        <f t="shared" ref="F159:F187" si="455">I158</f>
        <v>0</v>
      </c>
      <c r="G159" s="240">
        <v>18560</v>
      </c>
      <c r="H159" s="280">
        <v>19.600000000000001</v>
      </c>
      <c r="I159" s="240">
        <v>0</v>
      </c>
      <c r="J159" s="240">
        <f t="shared" ref="J159:J185" si="456">F159+G159-I159</f>
        <v>18560</v>
      </c>
      <c r="K159" s="280">
        <f t="shared" ref="K159:K185" si="457">J159*1000/B159</f>
        <v>28.46931419017379</v>
      </c>
      <c r="L159" s="240">
        <f t="shared" ref="L159:L185" si="458">L158+J159</f>
        <v>2370415</v>
      </c>
      <c r="M159" s="280">
        <f t="shared" ref="M159:M185" si="459">L159*1000/C159</f>
        <v>30.547422350094571</v>
      </c>
      <c r="N159" s="280">
        <f t="shared" ref="N159:N185" si="460">M159/8.167</f>
        <v>3.7403480286634716</v>
      </c>
      <c r="O159" s="1089"/>
      <c r="P159" s="1084"/>
      <c r="Q159" s="35">
        <f t="shared" ref="Q159:Q186" si="461">S158</f>
        <v>26741</v>
      </c>
      <c r="R159" s="98"/>
      <c r="S159" s="35">
        <v>23021</v>
      </c>
      <c r="T159" s="35">
        <f t="shared" ref="T159:T185" si="462">Q159+R159-S159</f>
        <v>3720</v>
      </c>
      <c r="U159" s="36">
        <f t="shared" ref="U159:U185" si="463">1000*T159/B159</f>
        <v>5.7061340941512126</v>
      </c>
      <c r="V159" s="74">
        <f t="shared" ref="V159:V185" si="464">V158+T159</f>
        <v>141927</v>
      </c>
      <c r="W159" s="36">
        <f t="shared" ref="W159:W185" si="465">1000*V159/C159</f>
        <v>1.8290063182530789</v>
      </c>
      <c r="X159" s="1136"/>
      <c r="Y159" s="49">
        <f t="shared" ref="Y159:Y186" si="466">AA158</f>
        <v>554</v>
      </c>
      <c r="Z159" s="248"/>
      <c r="AA159" s="50">
        <f>390+94</f>
        <v>484</v>
      </c>
      <c r="AB159" s="50">
        <f t="shared" ref="AB159:AB185" si="467">Y159+Z159-AA159</f>
        <v>70</v>
      </c>
      <c r="AC159" s="51">
        <f t="shared" ref="AC159:AC185" si="468">AB159*1000/B159</f>
        <v>0.10737349101897443</v>
      </c>
      <c r="AD159" s="50">
        <f t="shared" ref="AD159:AD185" si="469">AD158+AB159</f>
        <v>20879</v>
      </c>
      <c r="AE159" s="51">
        <f t="shared" ref="AE159:AE185" si="470">AD159*1000/C159</f>
        <v>0.26906665341200781</v>
      </c>
      <c r="AF159" s="1047"/>
      <c r="AG159" s="40">
        <f t="shared" ref="AG159:AG186" si="471">AI158</f>
        <v>567</v>
      </c>
      <c r="AH159" s="44"/>
      <c r="AI159" s="41">
        <v>548</v>
      </c>
      <c r="AJ159" s="41">
        <f t="shared" ref="AJ159:AJ185" si="472">AG159+AH159-AI159</f>
        <v>19</v>
      </c>
      <c r="AK159" s="42">
        <f t="shared" ref="AK159:AK185" si="473">AJ159*1000/B159</f>
        <v>2.9144233276578772E-2</v>
      </c>
      <c r="AL159" s="41">
        <f t="shared" ref="AL159:AL185" si="474">AL158+AJ159</f>
        <v>9835</v>
      </c>
      <c r="AM159" s="42">
        <f t="shared" ref="AM159:AM185" si="475">AL159*1000/C159</f>
        <v>0.12674316472566199</v>
      </c>
      <c r="AN159" s="1058"/>
      <c r="AO159" s="260">
        <v>6.5</v>
      </c>
      <c r="AP159" s="67">
        <v>24</v>
      </c>
      <c r="AQ159" s="68">
        <f t="shared" ref="AQ159:AQ185" si="476">AO159*AP159*0.49705</f>
        <v>77.5398</v>
      </c>
      <c r="AR159" s="68">
        <f t="shared" ref="AR159:AR185" si="477">AQ159*1000/D159</f>
        <v>11.99671381404891</v>
      </c>
      <c r="AS159" s="258">
        <f t="shared" ref="AS159:AS185" si="478">AS158+AQ159</f>
        <v>9039.9477599999991</v>
      </c>
      <c r="AT159" s="68">
        <f t="shared" ref="AT159:AT185" si="479">AS159*1000/E159</f>
        <v>10.208661573155032</v>
      </c>
      <c r="AU159" s="1073"/>
      <c r="AV159" s="216">
        <v>4.0999999999999996</v>
      </c>
      <c r="AW159" s="71">
        <v>12</v>
      </c>
      <c r="AX159" s="72">
        <f t="shared" ref="AX159:AX185" si="480">AV159*AW159*0.51673</f>
        <v>25.423116</v>
      </c>
      <c r="AY159" s="72">
        <f t="shared" ref="AY159:AY185" si="481">AX159*1000/D159</f>
        <v>3.9333844930392892</v>
      </c>
      <c r="AZ159" s="276">
        <f t="shared" ref="AZ159:AZ185" si="482">AZ158+AX159</f>
        <v>2875.9124879999981</v>
      </c>
      <c r="BA159" s="72">
        <f t="shared" ref="BA159:BA185" si="483">AZ159*1000/E159</f>
        <v>3.2477197970004932</v>
      </c>
      <c r="BB159" s="1075"/>
      <c r="BC159" s="253">
        <f t="shared" ref="BC159:BC185" si="484">BE158</f>
        <v>34611</v>
      </c>
      <c r="BD159" s="59"/>
      <c r="BE159" s="252">
        <v>34611</v>
      </c>
      <c r="BF159" s="57"/>
      <c r="BG159" s="58">
        <f t="shared" ref="BG159:BG185" si="485">BG158+BF159</f>
        <v>50664</v>
      </c>
      <c r="BH159" s="58">
        <f t="shared" ref="BH159:BH185" si="486">BG159*1000/E159</f>
        <v>57.214006504648928</v>
      </c>
      <c r="BI159" s="1133"/>
      <c r="BJ159" s="63">
        <f t="shared" ref="BJ159:BJ186" si="487">BL158</f>
        <v>1243</v>
      </c>
      <c r="BK159" s="133"/>
      <c r="BL159" s="64">
        <v>1080</v>
      </c>
      <c r="BM159" s="64">
        <f t="shared" ref="BM159:BM185" si="488">BJ159+BK159-BL159</f>
        <v>163</v>
      </c>
      <c r="BN159" s="65">
        <f t="shared" ref="BN159:BN185" si="489">BM159*1000/B159</f>
        <v>0.25002684337275477</v>
      </c>
      <c r="BO159" s="64">
        <f t="shared" ref="BO159:BO185" si="490">BO158+BM159</f>
        <v>24508</v>
      </c>
      <c r="BP159" s="65">
        <f t="shared" ref="BP159:BP185" si="491">BO159*1000/C159</f>
        <v>0.31583339919639292</v>
      </c>
      <c r="BQ159" s="1071"/>
      <c r="BR159" s="77">
        <f t="shared" ref="BR159:BR186" si="492">BT158</f>
        <v>28402</v>
      </c>
      <c r="BS159" s="35"/>
      <c r="BT159" s="35">
        <v>25629</v>
      </c>
      <c r="BU159" s="35">
        <f t="shared" ref="BU159:BU185" si="493">BR159+BS159-BT159</f>
        <v>2773</v>
      </c>
      <c r="BV159" s="35">
        <f t="shared" ref="BV159:BV185" si="494">BV158+BU159</f>
        <v>410507</v>
      </c>
      <c r="BW159" s="74">
        <f t="shared" ref="BW159:BW185" si="495">BV159*1000/E159</f>
        <v>463.57867851342013</v>
      </c>
      <c r="BX159" s="1098"/>
      <c r="BY159" s="295">
        <f t="shared" ref="BY159:BY185" si="496">CA158</f>
        <v>654</v>
      </c>
      <c r="BZ159" s="303"/>
      <c r="CA159" s="296">
        <v>384</v>
      </c>
      <c r="CB159" s="296">
        <f t="shared" ref="CB159:CB185" si="497">BY159+BZ159-CA159</f>
        <v>270</v>
      </c>
      <c r="CC159" s="297">
        <f t="shared" ref="CC159:CC185" si="498">CB159*1000/B159</f>
        <v>0.41415489393032995</v>
      </c>
      <c r="CD159" s="296">
        <f t="shared" ref="CD159:CD185" si="499">CD158+CB159</f>
        <v>11546</v>
      </c>
      <c r="CE159" s="297">
        <f t="shared" ref="CE159:CE185" si="500">CD159*1000/C159</f>
        <v>0.14879273817208882</v>
      </c>
      <c r="CF159" s="1061"/>
      <c r="CH159">
        <f t="shared" si="418"/>
        <v>0</v>
      </c>
    </row>
    <row r="160" spans="1:86">
      <c r="A160" s="30">
        <v>44108</v>
      </c>
      <c r="B160" s="32">
        <v>514303</v>
      </c>
      <c r="C160" s="114">
        <f t="shared" si="416"/>
        <v>78112176</v>
      </c>
      <c r="D160" s="91">
        <v>4374.54</v>
      </c>
      <c r="E160" s="93">
        <f t="shared" si="417"/>
        <v>889891.97</v>
      </c>
      <c r="F160" s="243">
        <f t="shared" si="455"/>
        <v>0</v>
      </c>
      <c r="G160" s="240">
        <v>17680</v>
      </c>
      <c r="H160" s="280">
        <v>9.8000000000000007</v>
      </c>
      <c r="I160" s="240">
        <v>0</v>
      </c>
      <c r="J160" s="240">
        <f t="shared" si="456"/>
        <v>17680</v>
      </c>
      <c r="K160" s="280">
        <f t="shared" si="457"/>
        <v>34.376622341304639</v>
      </c>
      <c r="L160" s="240">
        <f t="shared" si="458"/>
        <v>2388095</v>
      </c>
      <c r="M160" s="280">
        <f t="shared" si="459"/>
        <v>30.572634412335407</v>
      </c>
      <c r="N160" s="280">
        <f t="shared" si="460"/>
        <v>3.7434350939556027</v>
      </c>
      <c r="O160" s="1089"/>
      <c r="P160" s="1084"/>
      <c r="Q160" s="35">
        <f t="shared" si="461"/>
        <v>23021</v>
      </c>
      <c r="R160" s="98"/>
      <c r="S160" s="35">
        <v>19893</v>
      </c>
      <c r="T160" s="35">
        <f t="shared" si="462"/>
        <v>3128</v>
      </c>
      <c r="U160" s="36">
        <f t="shared" si="463"/>
        <v>6.0820177988462056</v>
      </c>
      <c r="V160" s="74">
        <f t="shared" si="464"/>
        <v>145055</v>
      </c>
      <c r="W160" s="36">
        <f t="shared" si="465"/>
        <v>1.8570088227986377</v>
      </c>
      <c r="X160" s="1136"/>
      <c r="Y160" s="49">
        <f t="shared" si="466"/>
        <v>484</v>
      </c>
      <c r="Z160" s="248">
        <v>900</v>
      </c>
      <c r="AA160" s="50">
        <f>1227+68</f>
        <v>1295</v>
      </c>
      <c r="AB160" s="50">
        <f t="shared" si="467"/>
        <v>89</v>
      </c>
      <c r="AC160" s="51">
        <f t="shared" si="468"/>
        <v>0.17304973916154484</v>
      </c>
      <c r="AD160" s="50">
        <f t="shared" si="469"/>
        <v>20968</v>
      </c>
      <c r="AE160" s="51">
        <f t="shared" si="470"/>
        <v>0.26843446276544647</v>
      </c>
      <c r="AF160" s="1047"/>
      <c r="AG160" s="40">
        <f t="shared" si="471"/>
        <v>548</v>
      </c>
      <c r="AH160" s="44"/>
      <c r="AI160" s="41">
        <v>509</v>
      </c>
      <c r="AJ160" s="41">
        <f t="shared" si="472"/>
        <v>39</v>
      </c>
      <c r="AK160" s="42">
        <f t="shared" si="473"/>
        <v>7.5830784576407295E-2</v>
      </c>
      <c r="AL160" s="41">
        <f t="shared" si="474"/>
        <v>9874</v>
      </c>
      <c r="AM160" s="42">
        <f t="shared" si="475"/>
        <v>0.12640794951096998</v>
      </c>
      <c r="AN160" s="1058"/>
      <c r="AO160" s="260">
        <v>5.5</v>
      </c>
      <c r="AP160" s="67">
        <v>24</v>
      </c>
      <c r="AQ160" s="68">
        <f t="shared" si="476"/>
        <v>65.610600000000005</v>
      </c>
      <c r="AR160" s="68">
        <f t="shared" si="477"/>
        <v>14.998285534021864</v>
      </c>
      <c r="AS160" s="258">
        <f t="shared" si="478"/>
        <v>9105.5583599999991</v>
      </c>
      <c r="AT160" s="68">
        <f t="shared" si="479"/>
        <v>10.232206455352102</v>
      </c>
      <c r="AU160" s="1073"/>
      <c r="AV160" s="216">
        <v>3.1</v>
      </c>
      <c r="AW160" s="71">
        <v>12</v>
      </c>
      <c r="AX160" s="72">
        <f t="shared" si="480"/>
        <v>19.222356000000001</v>
      </c>
      <c r="AY160" s="72">
        <f t="shared" si="481"/>
        <v>4.3941433842186832</v>
      </c>
      <c r="AZ160" s="276">
        <f t="shared" si="482"/>
        <v>2895.1348439999983</v>
      </c>
      <c r="BA160" s="72">
        <f t="shared" si="483"/>
        <v>3.2533553977343996</v>
      </c>
      <c r="BB160" s="1075"/>
      <c r="BC160" s="253">
        <f t="shared" si="484"/>
        <v>34611</v>
      </c>
      <c r="BD160" s="59"/>
      <c r="BE160" s="252">
        <v>34611</v>
      </c>
      <c r="BF160" s="57"/>
      <c r="BG160" s="58">
        <f t="shared" si="485"/>
        <v>50664</v>
      </c>
      <c r="BH160" s="58">
        <f t="shared" si="486"/>
        <v>56.932753309370803</v>
      </c>
      <c r="BI160" s="1133"/>
      <c r="BJ160" s="63">
        <f t="shared" si="487"/>
        <v>1080</v>
      </c>
      <c r="BK160" s="133"/>
      <c r="BL160" s="64">
        <v>960</v>
      </c>
      <c r="BM160" s="64">
        <f t="shared" si="488"/>
        <v>120</v>
      </c>
      <c r="BN160" s="65">
        <f t="shared" si="489"/>
        <v>0.23332549100433014</v>
      </c>
      <c r="BO160" s="64">
        <f t="shared" si="490"/>
        <v>24628</v>
      </c>
      <c r="BP160" s="65">
        <f t="shared" si="491"/>
        <v>0.31529015399596599</v>
      </c>
      <c r="BQ160" s="1071"/>
      <c r="BR160" s="77">
        <f t="shared" si="492"/>
        <v>25629</v>
      </c>
      <c r="BS160" s="35"/>
      <c r="BT160" s="35">
        <v>23781</v>
      </c>
      <c r="BU160" s="35">
        <f t="shared" si="493"/>
        <v>1848</v>
      </c>
      <c r="BV160" s="35">
        <f t="shared" si="494"/>
        <v>412355</v>
      </c>
      <c r="BW160" s="74">
        <f t="shared" si="495"/>
        <v>463.37647029223109</v>
      </c>
      <c r="BX160" s="1098"/>
      <c r="BY160" s="295">
        <f t="shared" si="496"/>
        <v>384</v>
      </c>
      <c r="BZ160" s="303"/>
      <c r="CA160" s="296">
        <v>132</v>
      </c>
      <c r="CB160" s="296">
        <f t="shared" si="497"/>
        <v>252</v>
      </c>
      <c r="CC160" s="297">
        <f t="shared" si="498"/>
        <v>0.48998353110909326</v>
      </c>
      <c r="CD160" s="296">
        <f t="shared" si="499"/>
        <v>11798</v>
      </c>
      <c r="CE160" s="297">
        <f t="shared" si="500"/>
        <v>0.15103919266056548</v>
      </c>
      <c r="CF160" s="1061"/>
      <c r="CH160">
        <f t="shared" si="418"/>
        <v>0</v>
      </c>
    </row>
    <row r="161" spans="1:86">
      <c r="A161" s="30">
        <v>44109</v>
      </c>
      <c r="B161" s="32">
        <v>545411</v>
      </c>
      <c r="C161" s="114">
        <f t="shared" si="416"/>
        <v>78657587</v>
      </c>
      <c r="D161" s="91">
        <v>5691.64</v>
      </c>
      <c r="E161" s="93">
        <f t="shared" si="417"/>
        <v>895583.61</v>
      </c>
      <c r="F161" s="243">
        <f t="shared" si="455"/>
        <v>0</v>
      </c>
      <c r="G161" s="240">
        <v>19090</v>
      </c>
      <c r="H161" s="280">
        <v>14.5</v>
      </c>
      <c r="I161" s="240">
        <v>0</v>
      </c>
      <c r="J161" s="240">
        <f t="shared" si="456"/>
        <v>19090</v>
      </c>
      <c r="K161" s="280">
        <f t="shared" si="457"/>
        <v>35.001127590019273</v>
      </c>
      <c r="L161" s="240">
        <f t="shared" si="458"/>
        <v>2407185</v>
      </c>
      <c r="M161" s="280">
        <f t="shared" si="459"/>
        <v>30.603341544153903</v>
      </c>
      <c r="N161" s="280">
        <f t="shared" si="460"/>
        <v>3.7471949974475209</v>
      </c>
      <c r="O161" s="1089"/>
      <c r="P161" s="1084"/>
      <c r="Q161" s="35">
        <f t="shared" si="461"/>
        <v>19893</v>
      </c>
      <c r="R161" s="98"/>
      <c r="S161" s="35">
        <v>17345</v>
      </c>
      <c r="T161" s="35">
        <f t="shared" si="462"/>
        <v>2548</v>
      </c>
      <c r="U161" s="36">
        <f t="shared" si="463"/>
        <v>4.671706291218916</v>
      </c>
      <c r="V161" s="74">
        <f t="shared" si="464"/>
        <v>147603</v>
      </c>
      <c r="W161" s="36">
        <f t="shared" si="465"/>
        <v>1.8765259097002303</v>
      </c>
      <c r="X161" s="1136"/>
      <c r="Y161" s="49">
        <f t="shared" si="466"/>
        <v>1295</v>
      </c>
      <c r="Z161" s="248"/>
      <c r="AA161" s="50">
        <f>1173+95</f>
        <v>1268</v>
      </c>
      <c r="AB161" s="50">
        <f t="shared" si="467"/>
        <v>27</v>
      </c>
      <c r="AC161" s="51">
        <f t="shared" si="468"/>
        <v>4.9503952065506562E-2</v>
      </c>
      <c r="AD161" s="50">
        <f t="shared" si="469"/>
        <v>20995</v>
      </c>
      <c r="AE161" s="51">
        <f t="shared" si="470"/>
        <v>0.2669164005755732</v>
      </c>
      <c r="AF161" s="1047"/>
      <c r="AG161" s="40">
        <f t="shared" si="471"/>
        <v>509</v>
      </c>
      <c r="AH161" s="44"/>
      <c r="AI161" s="41">
        <v>490</v>
      </c>
      <c r="AJ161" s="41">
        <f t="shared" si="472"/>
        <v>19</v>
      </c>
      <c r="AK161" s="42">
        <f t="shared" si="473"/>
        <v>3.4836114416467584E-2</v>
      </c>
      <c r="AL161" s="41">
        <f t="shared" si="474"/>
        <v>9893</v>
      </c>
      <c r="AM161" s="42">
        <f t="shared" si="475"/>
        <v>0.12577299123096669</v>
      </c>
      <c r="AN161" s="1058"/>
      <c r="AO161" s="260">
        <v>4.9000000000000004</v>
      </c>
      <c r="AP161" s="67">
        <v>24</v>
      </c>
      <c r="AQ161" s="68">
        <f t="shared" si="476"/>
        <v>58.45308</v>
      </c>
      <c r="AR161" s="68">
        <f t="shared" si="477"/>
        <v>10.26998896627334</v>
      </c>
      <c r="AS161" s="258">
        <f t="shared" si="478"/>
        <v>9164.0114399999984</v>
      </c>
      <c r="AT161" s="68">
        <f t="shared" si="479"/>
        <v>10.232446571906332</v>
      </c>
      <c r="AU161" s="1073"/>
      <c r="AV161" s="216">
        <v>3.7</v>
      </c>
      <c r="AW161" s="71">
        <v>12</v>
      </c>
      <c r="AX161" s="72">
        <f t="shared" si="480"/>
        <v>22.942812000000004</v>
      </c>
      <c r="AY161" s="72">
        <f t="shared" si="481"/>
        <v>4.0309668215136591</v>
      </c>
      <c r="AZ161" s="276">
        <f t="shared" si="482"/>
        <v>2918.0776559999986</v>
      </c>
      <c r="BA161" s="72">
        <f t="shared" si="483"/>
        <v>3.2582972973344146</v>
      </c>
      <c r="BB161" s="1075"/>
      <c r="BC161" s="253">
        <f t="shared" si="484"/>
        <v>34611</v>
      </c>
      <c r="BD161" s="59"/>
      <c r="BE161" s="252">
        <v>34611</v>
      </c>
      <c r="BF161" s="57"/>
      <c r="BG161" s="58">
        <f t="shared" si="485"/>
        <v>50664</v>
      </c>
      <c r="BH161" s="58">
        <f t="shared" si="486"/>
        <v>56.570932556481246</v>
      </c>
      <c r="BI161" s="1133"/>
      <c r="BJ161" s="63">
        <f t="shared" si="487"/>
        <v>960</v>
      </c>
      <c r="BK161" s="133"/>
      <c r="BL161" s="64">
        <v>696</v>
      </c>
      <c r="BM161" s="64">
        <f t="shared" si="488"/>
        <v>264</v>
      </c>
      <c r="BN161" s="65">
        <f t="shared" si="489"/>
        <v>0.48403864241828637</v>
      </c>
      <c r="BO161" s="64">
        <f t="shared" si="490"/>
        <v>24892</v>
      </c>
      <c r="BP161" s="65">
        <f t="shared" si="491"/>
        <v>0.31646025449522119</v>
      </c>
      <c r="BQ161" s="1071"/>
      <c r="BR161" s="77">
        <f t="shared" si="492"/>
        <v>23781</v>
      </c>
      <c r="BS161" s="35"/>
      <c r="BT161" s="35">
        <v>22160</v>
      </c>
      <c r="BU161" s="35">
        <f t="shared" si="493"/>
        <v>1621</v>
      </c>
      <c r="BV161" s="35">
        <f t="shared" si="494"/>
        <v>413976</v>
      </c>
      <c r="BW161" s="74">
        <f t="shared" si="495"/>
        <v>462.24159908419944</v>
      </c>
      <c r="BX161" s="1098"/>
      <c r="BY161" s="295">
        <f t="shared" si="496"/>
        <v>132</v>
      </c>
      <c r="BZ161" s="296">
        <v>1150</v>
      </c>
      <c r="CA161" s="296">
        <v>1068</v>
      </c>
      <c r="CB161" s="296">
        <f t="shared" si="497"/>
        <v>214</v>
      </c>
      <c r="CC161" s="297">
        <f t="shared" si="498"/>
        <v>0.39236465711179275</v>
      </c>
      <c r="CD161" s="296">
        <f t="shared" si="499"/>
        <v>12012</v>
      </c>
      <c r="CE161" s="297">
        <f t="shared" si="500"/>
        <v>0.15271254125809886</v>
      </c>
      <c r="CF161" s="1061"/>
      <c r="CH161">
        <f t="shared" si="418"/>
        <v>363776</v>
      </c>
    </row>
    <row r="162" spans="1:86">
      <c r="A162" s="30">
        <v>44110</v>
      </c>
      <c r="B162" s="32">
        <v>633140</v>
      </c>
      <c r="C162" s="114">
        <f t="shared" si="416"/>
        <v>79290727</v>
      </c>
      <c r="D162" s="91">
        <v>5960.04</v>
      </c>
      <c r="E162" s="93">
        <f t="shared" si="417"/>
        <v>901543.65</v>
      </c>
      <c r="F162" s="243">
        <f t="shared" si="455"/>
        <v>0</v>
      </c>
      <c r="G162" s="240"/>
      <c r="H162" s="280"/>
      <c r="I162" s="240">
        <v>0</v>
      </c>
      <c r="J162" s="240">
        <f t="shared" si="456"/>
        <v>0</v>
      </c>
      <c r="K162" s="280">
        <f t="shared" si="457"/>
        <v>0</v>
      </c>
      <c r="L162" s="240">
        <f t="shared" si="458"/>
        <v>2407185</v>
      </c>
      <c r="M162" s="280">
        <f t="shared" si="459"/>
        <v>30.358972493719222</v>
      </c>
      <c r="N162" s="280">
        <f t="shared" si="460"/>
        <v>3.7172734778644818</v>
      </c>
      <c r="O162" s="1089"/>
      <c r="P162" s="1084"/>
      <c r="Q162" s="35">
        <f t="shared" si="461"/>
        <v>17345</v>
      </c>
      <c r="R162" s="98"/>
      <c r="S162" s="35">
        <v>11547</v>
      </c>
      <c r="T162" s="35">
        <f t="shared" si="462"/>
        <v>5798</v>
      </c>
      <c r="U162" s="36">
        <f t="shared" si="463"/>
        <v>9.1575322993334805</v>
      </c>
      <c r="V162" s="74">
        <f t="shared" si="464"/>
        <v>153401</v>
      </c>
      <c r="W162" s="36">
        <f t="shared" si="465"/>
        <v>1.9346650712384059</v>
      </c>
      <c r="X162" s="1136"/>
      <c r="Y162" s="49">
        <f t="shared" si="466"/>
        <v>1268</v>
      </c>
      <c r="Z162" s="248"/>
      <c r="AA162" s="50">
        <f>1153+60</f>
        <v>1213</v>
      </c>
      <c r="AB162" s="50">
        <f t="shared" si="467"/>
        <v>55</v>
      </c>
      <c r="AC162" s="51">
        <f t="shared" si="468"/>
        <v>8.6868623053353133E-2</v>
      </c>
      <c r="AD162" s="50">
        <f t="shared" si="469"/>
        <v>21050</v>
      </c>
      <c r="AE162" s="51">
        <f t="shared" si="470"/>
        <v>0.26547871102253862</v>
      </c>
      <c r="AF162" s="1047"/>
      <c r="AG162" s="40">
        <f t="shared" si="471"/>
        <v>490</v>
      </c>
      <c r="AH162" s="44"/>
      <c r="AI162" s="41">
        <v>471</v>
      </c>
      <c r="AJ162" s="41">
        <f t="shared" si="472"/>
        <v>19</v>
      </c>
      <c r="AK162" s="42">
        <f t="shared" si="473"/>
        <v>3.0009160691158353E-2</v>
      </c>
      <c r="AL162" s="41">
        <f t="shared" si="474"/>
        <v>9912</v>
      </c>
      <c r="AM162" s="42">
        <f t="shared" si="475"/>
        <v>0.12500831276272698</v>
      </c>
      <c r="AN162" s="1058"/>
      <c r="AO162" s="260">
        <v>5</v>
      </c>
      <c r="AP162" s="67">
        <v>24</v>
      </c>
      <c r="AQ162" s="68">
        <f t="shared" si="476"/>
        <v>59.646000000000001</v>
      </c>
      <c r="AR162" s="68">
        <f t="shared" si="477"/>
        <v>10.007650955362715</v>
      </c>
      <c r="AS162" s="258">
        <f t="shared" si="478"/>
        <v>9223.657439999999</v>
      </c>
      <c r="AT162" s="68">
        <f t="shared" si="479"/>
        <v>10.230960464310296</v>
      </c>
      <c r="AU162" s="1073"/>
      <c r="AV162" s="216">
        <v>3.9</v>
      </c>
      <c r="AW162" s="71">
        <v>12</v>
      </c>
      <c r="AX162" s="72">
        <f t="shared" si="480"/>
        <v>24.182963999999998</v>
      </c>
      <c r="AY162" s="72">
        <f t="shared" si="481"/>
        <v>4.0575170636438678</v>
      </c>
      <c r="AZ162" s="276">
        <f t="shared" si="482"/>
        <v>2942.2606199999987</v>
      </c>
      <c r="BA162" s="72">
        <f t="shared" si="483"/>
        <v>3.2635808815247032</v>
      </c>
      <c r="BB162" s="1075"/>
      <c r="BC162" s="253">
        <f t="shared" si="484"/>
        <v>34611</v>
      </c>
      <c r="BD162" s="59"/>
      <c r="BE162" s="252">
        <v>34611</v>
      </c>
      <c r="BF162" s="57"/>
      <c r="BG162" s="58">
        <f t="shared" si="485"/>
        <v>50664</v>
      </c>
      <c r="BH162" s="58">
        <f t="shared" si="486"/>
        <v>56.196946204435022</v>
      </c>
      <c r="BI162" s="1133"/>
      <c r="BJ162" s="63">
        <f t="shared" si="487"/>
        <v>696</v>
      </c>
      <c r="BK162" s="133"/>
      <c r="BL162" s="64">
        <v>576</v>
      </c>
      <c r="BM162" s="64">
        <f t="shared" si="488"/>
        <v>120</v>
      </c>
      <c r="BN162" s="65">
        <f t="shared" si="489"/>
        <v>0.18953154120731591</v>
      </c>
      <c r="BO162" s="64">
        <f t="shared" si="490"/>
        <v>25012</v>
      </c>
      <c r="BP162" s="65">
        <f t="shared" si="491"/>
        <v>0.31544672304492805</v>
      </c>
      <c r="BQ162" s="1071"/>
      <c r="BR162" s="77">
        <f t="shared" si="492"/>
        <v>22160</v>
      </c>
      <c r="BS162" s="35"/>
      <c r="BT162" s="35">
        <v>19160</v>
      </c>
      <c r="BU162" s="35">
        <f t="shared" si="493"/>
        <v>3000</v>
      </c>
      <c r="BV162" s="35">
        <f t="shared" si="494"/>
        <v>416976</v>
      </c>
      <c r="BW162" s="74">
        <f t="shared" si="495"/>
        <v>462.51337913588543</v>
      </c>
      <c r="BX162" s="1098"/>
      <c r="BY162" s="295">
        <f t="shared" si="496"/>
        <v>1068</v>
      </c>
      <c r="BZ162" s="296"/>
      <c r="CA162" s="296">
        <v>900</v>
      </c>
      <c r="CB162" s="296">
        <f t="shared" si="497"/>
        <v>168</v>
      </c>
      <c r="CC162" s="297">
        <f t="shared" si="498"/>
        <v>0.26534415769024228</v>
      </c>
      <c r="CD162" s="296">
        <f t="shared" si="499"/>
        <v>12180</v>
      </c>
      <c r="CE162" s="297">
        <f t="shared" si="500"/>
        <v>0.15361190975080857</v>
      </c>
      <c r="CF162" s="1061"/>
      <c r="CH162">
        <f t="shared" si="418"/>
        <v>173264</v>
      </c>
    </row>
    <row r="163" spans="1:86">
      <c r="A163" s="30">
        <v>44111</v>
      </c>
      <c r="B163" s="32">
        <v>609676</v>
      </c>
      <c r="C163" s="114">
        <f t="shared" si="416"/>
        <v>79900403</v>
      </c>
      <c r="D163" s="91">
        <v>5450.96</v>
      </c>
      <c r="E163" s="93">
        <f t="shared" si="417"/>
        <v>906994.61</v>
      </c>
      <c r="F163" s="243">
        <f t="shared" si="455"/>
        <v>0</v>
      </c>
      <c r="G163" s="240">
        <v>36400</v>
      </c>
      <c r="H163" s="280">
        <v>20.28</v>
      </c>
      <c r="I163" s="240">
        <v>15200</v>
      </c>
      <c r="J163" s="240">
        <f t="shared" si="456"/>
        <v>21200</v>
      </c>
      <c r="K163" s="280">
        <f t="shared" si="457"/>
        <v>34.772567724496291</v>
      </c>
      <c r="L163" s="240">
        <f t="shared" si="458"/>
        <v>2428385</v>
      </c>
      <c r="M163" s="280">
        <f t="shared" si="459"/>
        <v>30.392650209786801</v>
      </c>
      <c r="N163" s="280">
        <f t="shared" si="460"/>
        <v>3.7213971115203628</v>
      </c>
      <c r="O163" s="1089"/>
      <c r="P163" s="1084"/>
      <c r="Q163" s="35">
        <f t="shared" si="461"/>
        <v>11547</v>
      </c>
      <c r="R163" s="98"/>
      <c r="S163" s="35">
        <v>9524</v>
      </c>
      <c r="T163" s="35">
        <f t="shared" si="462"/>
        <v>2023</v>
      </c>
      <c r="U163" s="36">
        <f t="shared" si="463"/>
        <v>3.3181558729554714</v>
      </c>
      <c r="V163" s="74">
        <f t="shared" si="464"/>
        <v>155424</v>
      </c>
      <c r="W163" s="36">
        <f t="shared" si="465"/>
        <v>1.9452217281056767</v>
      </c>
      <c r="X163" s="1136"/>
      <c r="Y163" s="49">
        <f t="shared" si="466"/>
        <v>1213</v>
      </c>
      <c r="Z163" s="248"/>
      <c r="AA163" s="50">
        <f>1106+110</f>
        <v>1216</v>
      </c>
      <c r="AB163" s="50">
        <f t="shared" si="467"/>
        <v>-3</v>
      </c>
      <c r="AC163" s="51">
        <f t="shared" si="468"/>
        <v>-4.9206463761079658E-3</v>
      </c>
      <c r="AD163" s="50">
        <f t="shared" si="469"/>
        <v>21047</v>
      </c>
      <c r="AE163" s="51">
        <f t="shared" si="470"/>
        <v>0.26341544234764375</v>
      </c>
      <c r="AF163" s="1047"/>
      <c r="AG163" s="40">
        <f t="shared" si="471"/>
        <v>471</v>
      </c>
      <c r="AH163" s="44"/>
      <c r="AI163" s="41">
        <v>433</v>
      </c>
      <c r="AJ163" s="41">
        <f t="shared" si="472"/>
        <v>38</v>
      </c>
      <c r="AK163" s="42">
        <f t="shared" si="473"/>
        <v>6.2328187430700899E-2</v>
      </c>
      <c r="AL163" s="41">
        <f t="shared" si="474"/>
        <v>9950</v>
      </c>
      <c r="AM163" s="42">
        <f t="shared" si="475"/>
        <v>0.12453003522397753</v>
      </c>
      <c r="AN163" s="1058"/>
      <c r="AO163" s="260">
        <v>5.3</v>
      </c>
      <c r="AP163" s="67">
        <v>24</v>
      </c>
      <c r="AQ163" s="68">
        <f t="shared" si="476"/>
        <v>63.224759999999996</v>
      </c>
      <c r="AR163" s="68">
        <f t="shared" si="477"/>
        <v>11.598830297782408</v>
      </c>
      <c r="AS163" s="258">
        <f t="shared" si="478"/>
        <v>9286.8821999999982</v>
      </c>
      <c r="AT163" s="68">
        <f t="shared" si="479"/>
        <v>10.239181244969027</v>
      </c>
      <c r="AU163" s="1073"/>
      <c r="AV163" s="216">
        <v>3.8</v>
      </c>
      <c r="AW163" s="71">
        <v>12</v>
      </c>
      <c r="AX163" s="72">
        <f t="shared" si="480"/>
        <v>23.562887999999997</v>
      </c>
      <c r="AY163" s="72">
        <f t="shared" si="481"/>
        <v>4.3227042575986614</v>
      </c>
      <c r="AZ163" s="276">
        <f t="shared" si="482"/>
        <v>2965.8235079999986</v>
      </c>
      <c r="BA163" s="72">
        <f t="shared" si="483"/>
        <v>3.2699461223920596</v>
      </c>
      <c r="BB163" s="1075"/>
      <c r="BC163" s="253">
        <f t="shared" si="484"/>
        <v>34611</v>
      </c>
      <c r="BD163" s="59"/>
      <c r="BE163" s="252">
        <v>34611</v>
      </c>
      <c r="BF163" s="57"/>
      <c r="BG163" s="58">
        <f t="shared" si="485"/>
        <v>50664</v>
      </c>
      <c r="BH163" s="58">
        <f t="shared" si="486"/>
        <v>55.859207366182694</v>
      </c>
      <c r="BI163" s="1133"/>
      <c r="BJ163" s="63">
        <f t="shared" si="487"/>
        <v>576</v>
      </c>
      <c r="BK163" s="64"/>
      <c r="BL163" s="64">
        <v>456</v>
      </c>
      <c r="BM163" s="64">
        <f t="shared" si="488"/>
        <v>120</v>
      </c>
      <c r="BN163" s="65">
        <f t="shared" si="489"/>
        <v>0.19682585504431863</v>
      </c>
      <c r="BO163" s="64">
        <f t="shared" si="490"/>
        <v>25132</v>
      </c>
      <c r="BP163" s="65">
        <f t="shared" si="491"/>
        <v>0.31454159248733704</v>
      </c>
      <c r="BQ163" s="1071"/>
      <c r="BR163" s="77">
        <f t="shared" si="492"/>
        <v>19160</v>
      </c>
      <c r="BS163" s="315"/>
      <c r="BT163" s="35">
        <v>18236</v>
      </c>
      <c r="BU163" s="35">
        <f t="shared" si="493"/>
        <v>924</v>
      </c>
      <c r="BV163" s="35">
        <f t="shared" si="494"/>
        <v>417900</v>
      </c>
      <c r="BW163" s="74">
        <f t="shared" si="495"/>
        <v>460.75246246501951</v>
      </c>
      <c r="BX163" s="1098"/>
      <c r="BY163" s="295">
        <f t="shared" si="496"/>
        <v>900</v>
      </c>
      <c r="BZ163" s="296"/>
      <c r="CA163" s="296">
        <v>756</v>
      </c>
      <c r="CB163" s="296">
        <f t="shared" si="497"/>
        <v>144</v>
      </c>
      <c r="CC163" s="297">
        <f t="shared" si="498"/>
        <v>0.23619102605318235</v>
      </c>
      <c r="CD163" s="296">
        <f t="shared" si="499"/>
        <v>12324</v>
      </c>
      <c r="CE163" s="297">
        <f t="shared" si="500"/>
        <v>0.15424202553771851</v>
      </c>
      <c r="CF163" s="1061"/>
      <c r="CH163">
        <f t="shared" si="418"/>
        <v>276805</v>
      </c>
    </row>
    <row r="164" spans="1:86">
      <c r="A164" s="30">
        <v>44112</v>
      </c>
      <c r="B164" s="32">
        <v>407171</v>
      </c>
      <c r="C164" s="114">
        <f t="shared" si="416"/>
        <v>80307574</v>
      </c>
      <c r="D164" s="91">
        <v>3035.72</v>
      </c>
      <c r="E164" s="93">
        <f t="shared" si="417"/>
        <v>910030.33</v>
      </c>
      <c r="F164" s="243">
        <f t="shared" si="455"/>
        <v>15200</v>
      </c>
      <c r="G164" s="240">
        <v>32500</v>
      </c>
      <c r="H164" s="280">
        <v>21.06</v>
      </c>
      <c r="I164" s="240">
        <v>29200</v>
      </c>
      <c r="J164" s="240">
        <f t="shared" si="456"/>
        <v>18500</v>
      </c>
      <c r="K164" s="280">
        <f t="shared" si="457"/>
        <v>45.435455864980561</v>
      </c>
      <c r="L164" s="240">
        <f t="shared" si="458"/>
        <v>2446885</v>
      </c>
      <c r="M164" s="280">
        <f t="shared" si="459"/>
        <v>30.468919407277824</v>
      </c>
      <c r="N164" s="280">
        <f t="shared" si="460"/>
        <v>3.7307358157558252</v>
      </c>
      <c r="O164" s="1089"/>
      <c r="P164" s="1084"/>
      <c r="Q164" s="35">
        <f t="shared" si="461"/>
        <v>9524</v>
      </c>
      <c r="R164" s="98"/>
      <c r="S164" s="35">
        <v>9524</v>
      </c>
      <c r="T164" s="35">
        <f t="shared" si="462"/>
        <v>0</v>
      </c>
      <c r="U164" s="36">
        <f t="shared" si="463"/>
        <v>0</v>
      </c>
      <c r="V164" s="74">
        <f t="shared" si="464"/>
        <v>155424</v>
      </c>
      <c r="W164" s="36">
        <f t="shared" si="465"/>
        <v>1.9353591729716553</v>
      </c>
      <c r="X164" s="1136"/>
      <c r="Y164" s="49">
        <f t="shared" si="466"/>
        <v>1216</v>
      </c>
      <c r="Z164" s="248"/>
      <c r="AA164" s="50">
        <f>1106+92</f>
        <v>1198</v>
      </c>
      <c r="AB164" s="50">
        <f t="shared" si="467"/>
        <v>18</v>
      </c>
      <c r="AC164" s="51">
        <f t="shared" si="468"/>
        <v>4.4207470571332438E-2</v>
      </c>
      <c r="AD164" s="50">
        <f t="shared" si="469"/>
        <v>21065</v>
      </c>
      <c r="AE164" s="51">
        <f t="shared" si="470"/>
        <v>0.2623040262678088</v>
      </c>
      <c r="AF164" s="1047"/>
      <c r="AG164" s="40">
        <f t="shared" si="471"/>
        <v>433</v>
      </c>
      <c r="AH164" s="44"/>
      <c r="AI164" s="41">
        <v>415</v>
      </c>
      <c r="AJ164" s="41">
        <f t="shared" si="472"/>
        <v>18</v>
      </c>
      <c r="AK164" s="42">
        <f t="shared" si="473"/>
        <v>4.4207470571332438E-2</v>
      </c>
      <c r="AL164" s="41">
        <f t="shared" si="474"/>
        <v>9968</v>
      </c>
      <c r="AM164" s="42">
        <f t="shared" si="475"/>
        <v>0.12412278821920333</v>
      </c>
      <c r="AN164" s="1058"/>
      <c r="AO164" s="260">
        <v>4.7</v>
      </c>
      <c r="AP164" s="67">
        <v>24</v>
      </c>
      <c r="AQ164" s="68">
        <f t="shared" si="476"/>
        <v>56.067240000000005</v>
      </c>
      <c r="AR164" s="68">
        <f t="shared" si="477"/>
        <v>18.469173705084792</v>
      </c>
      <c r="AS164" s="258">
        <f t="shared" si="478"/>
        <v>9342.9494399999985</v>
      </c>
      <c r="AT164" s="68">
        <f t="shared" si="479"/>
        <v>10.266635223026025</v>
      </c>
      <c r="AU164" s="1073"/>
      <c r="AV164" s="216">
        <v>2</v>
      </c>
      <c r="AW164" s="71">
        <v>12</v>
      </c>
      <c r="AX164" s="72">
        <f t="shared" si="480"/>
        <v>12.401520000000001</v>
      </c>
      <c r="AY164" s="72">
        <f t="shared" si="481"/>
        <v>4.085198898449133</v>
      </c>
      <c r="AZ164" s="276">
        <f t="shared" si="482"/>
        <v>2978.2250279999985</v>
      </c>
      <c r="BA164" s="72">
        <f t="shared" si="483"/>
        <v>3.2726656791757684</v>
      </c>
      <c r="BB164" s="1075"/>
      <c r="BC164" s="253">
        <f t="shared" si="484"/>
        <v>34611</v>
      </c>
      <c r="BD164" s="59"/>
      <c r="BE164" s="252">
        <v>34611</v>
      </c>
      <c r="BF164" s="57"/>
      <c r="BG164" s="58">
        <f t="shared" si="485"/>
        <v>50664</v>
      </c>
      <c r="BH164" s="58">
        <f t="shared" si="486"/>
        <v>55.672869716331327</v>
      </c>
      <c r="BI164" s="1133"/>
      <c r="BJ164" s="63">
        <f t="shared" si="487"/>
        <v>456</v>
      </c>
      <c r="BK164" s="133"/>
      <c r="BL164" s="64">
        <v>264</v>
      </c>
      <c r="BM164" s="64">
        <f t="shared" si="488"/>
        <v>192</v>
      </c>
      <c r="BN164" s="65">
        <f t="shared" si="489"/>
        <v>0.47154635276087936</v>
      </c>
      <c r="BO164" s="64">
        <f t="shared" si="490"/>
        <v>25324</v>
      </c>
      <c r="BP164" s="65">
        <f t="shared" si="491"/>
        <v>0.31533762930007075</v>
      </c>
      <c r="BQ164" s="1071"/>
      <c r="BR164" s="77">
        <f t="shared" si="492"/>
        <v>18236</v>
      </c>
      <c r="BS164" s="35"/>
      <c r="BT164" s="35">
        <v>15463</v>
      </c>
      <c r="BU164" s="35">
        <f t="shared" si="493"/>
        <v>2773</v>
      </c>
      <c r="BV164" s="35">
        <f t="shared" si="494"/>
        <v>420673</v>
      </c>
      <c r="BW164" s="74">
        <f t="shared" si="495"/>
        <v>462.26261491746106</v>
      </c>
      <c r="BX164" s="1098"/>
      <c r="BY164" s="295">
        <f t="shared" si="496"/>
        <v>756</v>
      </c>
      <c r="BZ164" s="296"/>
      <c r="CA164" s="296">
        <v>588</v>
      </c>
      <c r="CB164" s="296">
        <f t="shared" si="497"/>
        <v>168</v>
      </c>
      <c r="CC164" s="297">
        <f t="shared" si="498"/>
        <v>0.41260305866576941</v>
      </c>
      <c r="CD164" s="296">
        <f t="shared" si="499"/>
        <v>12492</v>
      </c>
      <c r="CE164" s="297">
        <f t="shared" si="500"/>
        <v>0.15555195329396951</v>
      </c>
      <c r="CF164" s="1061"/>
      <c r="CH164">
        <f t="shared" si="418"/>
        <v>0</v>
      </c>
    </row>
    <row r="165" spans="1:86">
      <c r="A165" s="30">
        <v>44113</v>
      </c>
      <c r="B165" s="32">
        <v>292429</v>
      </c>
      <c r="C165" s="114">
        <f t="shared" si="416"/>
        <v>80600003</v>
      </c>
      <c r="D165" s="91">
        <v>3025.22</v>
      </c>
      <c r="E165" s="93">
        <f t="shared" si="417"/>
        <v>913055.54999999993</v>
      </c>
      <c r="F165" s="243">
        <f t="shared" si="455"/>
        <v>29200</v>
      </c>
      <c r="G165" s="240"/>
      <c r="H165" s="280"/>
      <c r="I165" s="240">
        <v>16800</v>
      </c>
      <c r="J165" s="240">
        <f t="shared" si="456"/>
        <v>12400</v>
      </c>
      <c r="K165" s="280">
        <f t="shared" si="457"/>
        <v>42.40345519767191</v>
      </c>
      <c r="L165" s="240">
        <f t="shared" si="458"/>
        <v>2459285</v>
      </c>
      <c r="M165" s="280">
        <f t="shared" si="459"/>
        <v>30.512219707981895</v>
      </c>
      <c r="N165" s="280">
        <f t="shared" si="460"/>
        <v>3.7360376769905592</v>
      </c>
      <c r="O165" s="1089"/>
      <c r="P165" s="1084"/>
      <c r="Q165" s="35">
        <f t="shared" si="461"/>
        <v>9524</v>
      </c>
      <c r="R165" s="98"/>
      <c r="S165" s="35">
        <v>9524</v>
      </c>
      <c r="T165" s="35">
        <f t="shared" si="462"/>
        <v>0</v>
      </c>
      <c r="U165" s="36">
        <f t="shared" si="463"/>
        <v>0</v>
      </c>
      <c r="V165" s="74">
        <f t="shared" si="464"/>
        <v>155424</v>
      </c>
      <c r="W165" s="36">
        <f t="shared" si="465"/>
        <v>1.9283373972082856</v>
      </c>
      <c r="X165" s="1136"/>
      <c r="Y165" s="49">
        <f t="shared" si="466"/>
        <v>1198</v>
      </c>
      <c r="Z165" s="248"/>
      <c r="AA165" s="50">
        <f>1106+72</f>
        <v>1178</v>
      </c>
      <c r="AB165" s="50">
        <f t="shared" si="467"/>
        <v>20</v>
      </c>
      <c r="AC165" s="51">
        <f t="shared" si="468"/>
        <v>6.8392669673664377E-2</v>
      </c>
      <c r="AD165" s="50">
        <f t="shared" si="469"/>
        <v>21085</v>
      </c>
      <c r="AE165" s="51">
        <f t="shared" si="470"/>
        <v>0.26160048654092483</v>
      </c>
      <c r="AF165" s="1047"/>
      <c r="AG165" s="40">
        <f t="shared" si="471"/>
        <v>415</v>
      </c>
      <c r="AH165" s="44"/>
      <c r="AI165" s="41">
        <v>396</v>
      </c>
      <c r="AJ165" s="41">
        <f t="shared" si="472"/>
        <v>19</v>
      </c>
      <c r="AK165" s="42">
        <f t="shared" si="473"/>
        <v>6.4973036189981154E-2</v>
      </c>
      <c r="AL165" s="41">
        <f t="shared" si="474"/>
        <v>9987</v>
      </c>
      <c r="AM165" s="42">
        <f t="shared" si="475"/>
        <v>0.1239081839736408</v>
      </c>
      <c r="AN165" s="1058"/>
      <c r="AO165" s="260">
        <v>3</v>
      </c>
      <c r="AP165" s="67">
        <v>24</v>
      </c>
      <c r="AQ165" s="68">
        <f t="shared" si="476"/>
        <v>35.787599999999998</v>
      </c>
      <c r="AR165" s="68">
        <f t="shared" si="477"/>
        <v>11.829751224704319</v>
      </c>
      <c r="AS165" s="258">
        <f t="shared" si="478"/>
        <v>9378.7370399999982</v>
      </c>
      <c r="AT165" s="68">
        <f t="shared" si="479"/>
        <v>10.271814283369723</v>
      </c>
      <c r="AU165" s="1073"/>
      <c r="AV165" s="216">
        <v>2.2000000000000002</v>
      </c>
      <c r="AW165" s="71">
        <v>12</v>
      </c>
      <c r="AX165" s="72">
        <f t="shared" si="480"/>
        <v>13.641672000000002</v>
      </c>
      <c r="AY165" s="72">
        <f t="shared" si="481"/>
        <v>4.5093156861319184</v>
      </c>
      <c r="AZ165" s="276">
        <f t="shared" si="482"/>
        <v>2991.8666999999987</v>
      </c>
      <c r="BA165" s="72">
        <f t="shared" si="483"/>
        <v>3.2767630622255117</v>
      </c>
      <c r="BB165" s="1075"/>
      <c r="BC165" s="253">
        <f t="shared" si="484"/>
        <v>34611</v>
      </c>
      <c r="BD165" s="59"/>
      <c r="BE165" s="252">
        <v>34611</v>
      </c>
      <c r="BF165" s="57"/>
      <c r="BG165" s="58">
        <f t="shared" si="485"/>
        <v>50664</v>
      </c>
      <c r="BH165" s="58">
        <f t="shared" si="486"/>
        <v>55.488409221103801</v>
      </c>
      <c r="BI165" s="1133"/>
      <c r="BJ165" s="63">
        <f t="shared" si="487"/>
        <v>264</v>
      </c>
      <c r="BK165" s="64">
        <v>1100</v>
      </c>
      <c r="BL165" s="64">
        <v>1255</v>
      </c>
      <c r="BM165" s="64">
        <f t="shared" si="488"/>
        <v>109</v>
      </c>
      <c r="BN165" s="65">
        <f t="shared" si="489"/>
        <v>0.37274004972147085</v>
      </c>
      <c r="BO165" s="64">
        <f t="shared" si="490"/>
        <v>25433</v>
      </c>
      <c r="BP165" s="65">
        <f t="shared" si="491"/>
        <v>0.31554589396231164</v>
      </c>
      <c r="BQ165" s="1071"/>
      <c r="BR165" s="77">
        <f t="shared" si="492"/>
        <v>15463</v>
      </c>
      <c r="BS165" s="35"/>
      <c r="BT165" s="35">
        <v>12480</v>
      </c>
      <c r="BU165" s="35">
        <f t="shared" si="493"/>
        <v>2983</v>
      </c>
      <c r="BV165" s="35">
        <f t="shared" si="494"/>
        <v>423656</v>
      </c>
      <c r="BW165" s="74">
        <f t="shared" si="495"/>
        <v>463.998055759039</v>
      </c>
      <c r="BX165" s="1098"/>
      <c r="BY165" s="295">
        <f t="shared" si="496"/>
        <v>588</v>
      </c>
      <c r="BZ165" s="296">
        <v>1150</v>
      </c>
      <c r="CA165" s="296">
        <v>1610</v>
      </c>
      <c r="CB165" s="296">
        <f t="shared" si="497"/>
        <v>128</v>
      </c>
      <c r="CC165" s="297">
        <f t="shared" si="498"/>
        <v>0.43771308591145203</v>
      </c>
      <c r="CD165" s="296">
        <f t="shared" si="499"/>
        <v>12620</v>
      </c>
      <c r="CE165" s="297">
        <f t="shared" si="500"/>
        <v>0.15657567655425522</v>
      </c>
      <c r="CF165" s="1061"/>
      <c r="CH165">
        <f t="shared" si="418"/>
        <v>738192</v>
      </c>
    </row>
    <row r="166" spans="1:86">
      <c r="A166" s="30">
        <v>44114</v>
      </c>
      <c r="B166" s="32">
        <v>350644</v>
      </c>
      <c r="C166" s="114">
        <f t="shared" si="416"/>
        <v>80950647</v>
      </c>
      <c r="D166" s="91">
        <v>3985.9</v>
      </c>
      <c r="E166" s="93">
        <f t="shared" si="417"/>
        <v>917041.45</v>
      </c>
      <c r="F166" s="243">
        <f t="shared" si="455"/>
        <v>16800</v>
      </c>
      <c r="G166" s="240">
        <v>30520</v>
      </c>
      <c r="H166" s="280">
        <v>10.01</v>
      </c>
      <c r="I166" s="240">
        <v>24000</v>
      </c>
      <c r="J166" s="240">
        <f t="shared" si="456"/>
        <v>23320</v>
      </c>
      <c r="K166" s="280">
        <f t="shared" si="457"/>
        <v>66.50620002053364</v>
      </c>
      <c r="L166" s="240">
        <f t="shared" si="458"/>
        <v>2482605</v>
      </c>
      <c r="M166" s="280">
        <f t="shared" si="459"/>
        <v>30.668130422725344</v>
      </c>
      <c r="N166" s="280">
        <f t="shared" si="460"/>
        <v>3.7551280057212373</v>
      </c>
      <c r="O166" s="1089"/>
      <c r="P166" s="1084"/>
      <c r="Q166" s="35">
        <f t="shared" si="461"/>
        <v>9524</v>
      </c>
      <c r="R166" s="99">
        <v>35470</v>
      </c>
      <c r="S166" s="35">
        <v>44741</v>
      </c>
      <c r="T166" s="35">
        <f t="shared" si="462"/>
        <v>253</v>
      </c>
      <c r="U166" s="36">
        <f t="shared" si="463"/>
        <v>0.72152952852465746</v>
      </c>
      <c r="V166" s="74">
        <f t="shared" si="464"/>
        <v>155677</v>
      </c>
      <c r="W166" s="36">
        <f t="shared" si="465"/>
        <v>1.9231100154147007</v>
      </c>
      <c r="X166" s="1136"/>
      <c r="Y166" s="49">
        <f t="shared" si="466"/>
        <v>1178</v>
      </c>
      <c r="Z166" s="50"/>
      <c r="AA166" s="50">
        <f>1057+92</f>
        <v>1149</v>
      </c>
      <c r="AB166" s="50">
        <f t="shared" si="467"/>
        <v>29</v>
      </c>
      <c r="AC166" s="51">
        <f t="shared" si="468"/>
        <v>8.2704965720217655E-2</v>
      </c>
      <c r="AD166" s="50">
        <f t="shared" si="469"/>
        <v>21114</v>
      </c>
      <c r="AE166" s="51">
        <f t="shared" si="470"/>
        <v>0.26082558673064093</v>
      </c>
      <c r="AF166" s="1047"/>
      <c r="AG166" s="40">
        <f t="shared" si="471"/>
        <v>396</v>
      </c>
      <c r="AH166" s="41"/>
      <c r="AI166" s="41">
        <v>378</v>
      </c>
      <c r="AJ166" s="41">
        <f t="shared" si="472"/>
        <v>18</v>
      </c>
      <c r="AK166" s="42">
        <f t="shared" si="473"/>
        <v>5.1334116653928202E-2</v>
      </c>
      <c r="AL166" s="41">
        <f t="shared" si="474"/>
        <v>10005</v>
      </c>
      <c r="AM166" s="42">
        <f t="shared" si="475"/>
        <v>0.1235938237775913</v>
      </c>
      <c r="AN166" s="1058"/>
      <c r="AO166" s="260">
        <v>5.5</v>
      </c>
      <c r="AP166" s="67">
        <v>24</v>
      </c>
      <c r="AQ166" s="68">
        <f t="shared" si="476"/>
        <v>65.610600000000005</v>
      </c>
      <c r="AR166" s="68">
        <f t="shared" si="477"/>
        <v>16.460673875410823</v>
      </c>
      <c r="AS166" s="258">
        <f t="shared" si="478"/>
        <v>9444.3476399999981</v>
      </c>
      <c r="AT166" s="68">
        <f t="shared" si="479"/>
        <v>10.298714022141528</v>
      </c>
      <c r="AU166" s="1073"/>
      <c r="AV166" s="216">
        <v>3.1</v>
      </c>
      <c r="AW166" s="71">
        <v>12</v>
      </c>
      <c r="AX166" s="72">
        <f t="shared" si="480"/>
        <v>19.222356000000001</v>
      </c>
      <c r="AY166" s="72">
        <f t="shared" si="481"/>
        <v>4.8225886249027825</v>
      </c>
      <c r="AZ166" s="276">
        <f t="shared" si="482"/>
        <v>3011.0890559999989</v>
      </c>
      <c r="BA166" s="72">
        <f t="shared" si="483"/>
        <v>3.2834819582037422</v>
      </c>
      <c r="BB166" s="1075"/>
      <c r="BC166" s="253">
        <f t="shared" si="484"/>
        <v>34611</v>
      </c>
      <c r="BD166" s="59"/>
      <c r="BE166" s="252">
        <v>34611</v>
      </c>
      <c r="BF166" s="57"/>
      <c r="BG166" s="58">
        <f t="shared" si="485"/>
        <v>50664</v>
      </c>
      <c r="BH166" s="58">
        <f t="shared" si="486"/>
        <v>55.247230100667757</v>
      </c>
      <c r="BI166" s="1133"/>
      <c r="BJ166" s="63">
        <f t="shared" si="487"/>
        <v>1255</v>
      </c>
      <c r="BK166" s="133"/>
      <c r="BL166" s="64">
        <v>1128</v>
      </c>
      <c r="BM166" s="64">
        <f t="shared" si="488"/>
        <v>127</v>
      </c>
      <c r="BN166" s="65">
        <f t="shared" si="489"/>
        <v>0.36219071194716007</v>
      </c>
      <c r="BO166" s="64">
        <f t="shared" si="490"/>
        <v>25560</v>
      </c>
      <c r="BP166" s="65">
        <f t="shared" si="491"/>
        <v>0.31574793960572051</v>
      </c>
      <c r="BQ166" s="1071"/>
      <c r="BR166" s="77">
        <f t="shared" si="492"/>
        <v>12480</v>
      </c>
      <c r="BS166" s="35"/>
      <c r="BT166" s="35">
        <v>8540</v>
      </c>
      <c r="BU166" s="35">
        <f t="shared" si="493"/>
        <v>3940</v>
      </c>
      <c r="BV166" s="35">
        <f t="shared" si="494"/>
        <v>427596</v>
      </c>
      <c r="BW166" s="74">
        <f t="shared" si="495"/>
        <v>466.2777238695154</v>
      </c>
      <c r="BX166" s="1098"/>
      <c r="BY166" s="295">
        <f t="shared" si="496"/>
        <v>1610</v>
      </c>
      <c r="BZ166" s="303"/>
      <c r="CA166" s="296">
        <v>1522</v>
      </c>
      <c r="CB166" s="296">
        <f t="shared" si="497"/>
        <v>88</v>
      </c>
      <c r="CC166" s="297">
        <f t="shared" si="498"/>
        <v>0.25096679253031567</v>
      </c>
      <c r="CD166" s="296">
        <f t="shared" si="499"/>
        <v>12708</v>
      </c>
      <c r="CE166" s="297">
        <f t="shared" si="500"/>
        <v>0.15698453898706949</v>
      </c>
      <c r="CF166" s="1061"/>
      <c r="CH166">
        <f t="shared" si="418"/>
        <v>684450</v>
      </c>
    </row>
    <row r="167" spans="1:86">
      <c r="A167" s="30">
        <v>44115</v>
      </c>
      <c r="B167" s="32">
        <v>403295</v>
      </c>
      <c r="C167" s="114">
        <f t="shared" si="416"/>
        <v>81353942</v>
      </c>
      <c r="D167" s="91">
        <v>4271.08</v>
      </c>
      <c r="E167" s="93">
        <f t="shared" si="417"/>
        <v>921312.52999999991</v>
      </c>
      <c r="F167" s="243">
        <f t="shared" si="455"/>
        <v>24000</v>
      </c>
      <c r="G167" s="240"/>
      <c r="H167" s="280"/>
      <c r="I167" s="240">
        <v>0</v>
      </c>
      <c r="J167" s="240">
        <f t="shared" si="456"/>
        <v>24000</v>
      </c>
      <c r="K167" s="280">
        <f t="shared" si="457"/>
        <v>59.509788120358543</v>
      </c>
      <c r="L167" s="240">
        <f t="shared" si="458"/>
        <v>2506605</v>
      </c>
      <c r="M167" s="280">
        <f t="shared" si="459"/>
        <v>30.811106854539389</v>
      </c>
      <c r="N167" s="280">
        <f t="shared" si="460"/>
        <v>3.7726346093472989</v>
      </c>
      <c r="O167" s="1089"/>
      <c r="P167" s="1084"/>
      <c r="Q167" s="35">
        <f t="shared" si="461"/>
        <v>44741</v>
      </c>
      <c r="R167" s="98"/>
      <c r="S167" s="35">
        <v>44009</v>
      </c>
      <c r="T167" s="35">
        <f t="shared" si="462"/>
        <v>732</v>
      </c>
      <c r="U167" s="36">
        <f t="shared" si="463"/>
        <v>1.8150485376709358</v>
      </c>
      <c r="V167" s="74">
        <f t="shared" si="464"/>
        <v>156409</v>
      </c>
      <c r="W167" s="36">
        <f t="shared" si="465"/>
        <v>1.9225743234421264</v>
      </c>
      <c r="X167" s="1136"/>
      <c r="Y167" s="49">
        <f t="shared" si="466"/>
        <v>1149</v>
      </c>
      <c r="Z167" s="248"/>
      <c r="AA167" s="50">
        <f>1057+72</f>
        <v>1129</v>
      </c>
      <c r="AB167" s="50">
        <f t="shared" si="467"/>
        <v>20</v>
      </c>
      <c r="AC167" s="51">
        <f t="shared" si="468"/>
        <v>4.9591490100298792E-2</v>
      </c>
      <c r="AD167" s="50">
        <f t="shared" si="469"/>
        <v>21134</v>
      </c>
      <c r="AE167" s="51">
        <f t="shared" si="470"/>
        <v>0.25977843827162056</v>
      </c>
      <c r="AF167" s="1047"/>
      <c r="AG167" s="40">
        <f t="shared" si="471"/>
        <v>378</v>
      </c>
      <c r="AH167" s="44"/>
      <c r="AI167" s="41">
        <v>342</v>
      </c>
      <c r="AJ167" s="41">
        <f t="shared" si="472"/>
        <v>36</v>
      </c>
      <c r="AK167" s="42">
        <f t="shared" si="473"/>
        <v>8.9264682180537819E-2</v>
      </c>
      <c r="AL167" s="41">
        <f t="shared" si="474"/>
        <v>10041</v>
      </c>
      <c r="AM167" s="42">
        <f t="shared" si="475"/>
        <v>0.12342364430232526</v>
      </c>
      <c r="AN167" s="1058"/>
      <c r="AO167" s="260">
        <v>5.7</v>
      </c>
      <c r="AP167" s="67">
        <v>24</v>
      </c>
      <c r="AQ167" s="68">
        <f t="shared" si="476"/>
        <v>67.996440000000007</v>
      </c>
      <c r="AR167" s="68">
        <f t="shared" si="477"/>
        <v>15.920198170017889</v>
      </c>
      <c r="AS167" s="258">
        <f t="shared" si="478"/>
        <v>9512.3440799999989</v>
      </c>
      <c r="AT167" s="68">
        <f t="shared" si="479"/>
        <v>10.324774460627383</v>
      </c>
      <c r="AU167" s="1073"/>
      <c r="AV167" s="216">
        <v>3.5</v>
      </c>
      <c r="AW167" s="71">
        <v>12</v>
      </c>
      <c r="AX167" s="72">
        <f t="shared" si="480"/>
        <v>21.702660000000002</v>
      </c>
      <c r="AY167" s="72">
        <f t="shared" si="481"/>
        <v>5.081304962679229</v>
      </c>
      <c r="AZ167" s="276">
        <f t="shared" si="482"/>
        <v>3032.7917159999988</v>
      </c>
      <c r="BA167" s="72">
        <f t="shared" si="483"/>
        <v>3.2918164219475003</v>
      </c>
      <c r="BB167" s="1075"/>
      <c r="BC167" s="253">
        <f t="shared" si="484"/>
        <v>34611</v>
      </c>
      <c r="BD167" s="59"/>
      <c r="BE167" s="252">
        <v>34611</v>
      </c>
      <c r="BF167" s="57"/>
      <c r="BG167" s="58">
        <f t="shared" si="485"/>
        <v>50664</v>
      </c>
      <c r="BH167" s="58">
        <f t="shared" si="486"/>
        <v>54.991111430992916</v>
      </c>
      <c r="BI167" s="1133"/>
      <c r="BJ167" s="63">
        <f t="shared" si="487"/>
        <v>1128</v>
      </c>
      <c r="BK167" s="133"/>
      <c r="BL167" s="64">
        <v>960</v>
      </c>
      <c r="BM167" s="64">
        <f t="shared" si="488"/>
        <v>168</v>
      </c>
      <c r="BN167" s="65">
        <f t="shared" si="489"/>
        <v>0.41656851684250984</v>
      </c>
      <c r="BO167" s="64">
        <f t="shared" si="490"/>
        <v>25728</v>
      </c>
      <c r="BP167" s="65">
        <f t="shared" si="491"/>
        <v>0.31624773634202014</v>
      </c>
      <c r="BQ167" s="1071"/>
      <c r="BR167" s="77">
        <f t="shared" si="492"/>
        <v>8540</v>
      </c>
      <c r="BS167" s="35"/>
      <c r="BT167" s="35">
        <v>7997</v>
      </c>
      <c r="BU167" s="35">
        <f t="shared" si="493"/>
        <v>543</v>
      </c>
      <c r="BV167" s="35">
        <f t="shared" si="494"/>
        <v>428139</v>
      </c>
      <c r="BW167" s="74">
        <f t="shared" si="495"/>
        <v>464.70550009777901</v>
      </c>
      <c r="BX167" s="1098"/>
      <c r="BY167" s="295">
        <f t="shared" si="496"/>
        <v>1522</v>
      </c>
      <c r="BZ167" s="303"/>
      <c r="CA167" s="296">
        <v>1330</v>
      </c>
      <c r="CB167" s="296">
        <f t="shared" si="497"/>
        <v>192</v>
      </c>
      <c r="CC167" s="297">
        <f t="shared" si="498"/>
        <v>0.47607830496286835</v>
      </c>
      <c r="CD167" s="296">
        <f t="shared" si="499"/>
        <v>12900</v>
      </c>
      <c r="CE167" s="297">
        <f t="shared" si="500"/>
        <v>0.1585663789961155</v>
      </c>
      <c r="CF167" s="1061"/>
      <c r="CH167">
        <f t="shared" si="418"/>
        <v>0</v>
      </c>
    </row>
    <row r="168" spans="1:86">
      <c r="A168" s="30">
        <v>44116</v>
      </c>
      <c r="B168" s="32">
        <v>411429</v>
      </c>
      <c r="C168" s="114">
        <f t="shared" si="416"/>
        <v>81765371</v>
      </c>
      <c r="D168" s="91">
        <v>5456.1</v>
      </c>
      <c r="E168" s="93">
        <f t="shared" si="417"/>
        <v>926768.62999999989</v>
      </c>
      <c r="F168" s="243">
        <f t="shared" si="455"/>
        <v>0</v>
      </c>
      <c r="G168" s="240"/>
      <c r="H168" s="280"/>
      <c r="I168" s="240">
        <v>0</v>
      </c>
      <c r="J168" s="240">
        <f t="shared" si="456"/>
        <v>0</v>
      </c>
      <c r="K168" s="280">
        <f t="shared" si="457"/>
        <v>0</v>
      </c>
      <c r="L168" s="240">
        <f t="shared" si="458"/>
        <v>2506605</v>
      </c>
      <c r="M168" s="280">
        <f t="shared" si="459"/>
        <v>30.656070771084742</v>
      </c>
      <c r="N168" s="280">
        <f t="shared" si="460"/>
        <v>3.7536513739542969</v>
      </c>
      <c r="O168" s="1089"/>
      <c r="P168" s="1084"/>
      <c r="Q168" s="35">
        <f t="shared" si="461"/>
        <v>44009</v>
      </c>
      <c r="R168" s="35"/>
      <c r="S168" s="35">
        <v>40125</v>
      </c>
      <c r="T168" s="35">
        <f t="shared" si="462"/>
        <v>3884</v>
      </c>
      <c r="U168" s="36">
        <f t="shared" si="463"/>
        <v>9.4402679441653365</v>
      </c>
      <c r="V168" s="74">
        <f t="shared" si="464"/>
        <v>160293</v>
      </c>
      <c r="W168" s="36">
        <f t="shared" si="465"/>
        <v>1.9604020386576611</v>
      </c>
      <c r="X168" s="1136"/>
      <c r="Y168" s="49">
        <f t="shared" si="466"/>
        <v>1129</v>
      </c>
      <c r="Z168" s="248"/>
      <c r="AA168" s="50">
        <f>1024+93</f>
        <v>1117</v>
      </c>
      <c r="AB168" s="50">
        <f t="shared" si="467"/>
        <v>12</v>
      </c>
      <c r="AC168" s="51">
        <f t="shared" si="468"/>
        <v>2.9166636284753869E-2</v>
      </c>
      <c r="AD168" s="50">
        <f t="shared" si="469"/>
        <v>21146</v>
      </c>
      <c r="AE168" s="51">
        <f t="shared" si="470"/>
        <v>0.25861804014807199</v>
      </c>
      <c r="AF168" s="1047"/>
      <c r="AG168" s="40">
        <f t="shared" si="471"/>
        <v>342</v>
      </c>
      <c r="AH168" s="44"/>
      <c r="AI168" s="41">
        <v>325</v>
      </c>
      <c r="AJ168" s="41">
        <f t="shared" si="472"/>
        <v>17</v>
      </c>
      <c r="AK168" s="42">
        <f t="shared" si="473"/>
        <v>4.1319401403401318E-2</v>
      </c>
      <c r="AL168" s="41">
        <f t="shared" si="474"/>
        <v>10058</v>
      </c>
      <c r="AM168" s="42">
        <f t="shared" si="475"/>
        <v>0.12301051015838967</v>
      </c>
      <c r="AN168" s="1058"/>
      <c r="AO168" s="260">
        <v>6.2</v>
      </c>
      <c r="AP168" s="67">
        <v>24</v>
      </c>
      <c r="AQ168" s="68">
        <f t="shared" si="476"/>
        <v>73.961040000000011</v>
      </c>
      <c r="AR168" s="68">
        <f t="shared" si="477"/>
        <v>13.555660636718535</v>
      </c>
      <c r="AS168" s="258">
        <f t="shared" si="478"/>
        <v>9586.3051199999991</v>
      </c>
      <c r="AT168" s="68">
        <f t="shared" si="479"/>
        <v>10.343795430365399</v>
      </c>
      <c r="AU168" s="1073"/>
      <c r="AV168" s="216">
        <v>4.0999999999999996</v>
      </c>
      <c r="AW168" s="71">
        <v>12</v>
      </c>
      <c r="AX168" s="72">
        <f t="shared" si="480"/>
        <v>25.423116</v>
      </c>
      <c r="AY168" s="72">
        <f t="shared" si="481"/>
        <v>4.6595766206631106</v>
      </c>
      <c r="AZ168" s="276">
        <f t="shared" si="482"/>
        <v>3058.2148319999988</v>
      </c>
      <c r="BA168" s="72">
        <f t="shared" si="483"/>
        <v>3.2998687407017639</v>
      </c>
      <c r="BB168" s="1075"/>
      <c r="BC168" s="253">
        <f t="shared" si="484"/>
        <v>34611</v>
      </c>
      <c r="BD168" s="59"/>
      <c r="BE168" s="252">
        <v>34611</v>
      </c>
      <c r="BF168" s="57"/>
      <c r="BG168" s="58">
        <f t="shared" si="485"/>
        <v>50664</v>
      </c>
      <c r="BH168" s="58">
        <f t="shared" si="486"/>
        <v>54.66736611488458</v>
      </c>
      <c r="BI168" s="1133"/>
      <c r="BJ168" s="63">
        <f t="shared" si="487"/>
        <v>960</v>
      </c>
      <c r="BK168" s="133"/>
      <c r="BL168" s="64">
        <v>780</v>
      </c>
      <c r="BM168" s="64">
        <f t="shared" si="488"/>
        <v>180</v>
      </c>
      <c r="BN168" s="65">
        <f t="shared" si="489"/>
        <v>0.43749954427130805</v>
      </c>
      <c r="BO168" s="64">
        <f t="shared" si="490"/>
        <v>25908</v>
      </c>
      <c r="BP168" s="65">
        <f t="shared" si="491"/>
        <v>0.31685785416420359</v>
      </c>
      <c r="BQ168" s="1071"/>
      <c r="BR168" s="77">
        <f t="shared" si="492"/>
        <v>7997</v>
      </c>
      <c r="BS168" s="35"/>
      <c r="BT168" s="35">
        <v>5257</v>
      </c>
      <c r="BU168" s="35">
        <f t="shared" si="493"/>
        <v>2740</v>
      </c>
      <c r="BV168" s="35">
        <f t="shared" si="494"/>
        <v>430879</v>
      </c>
      <c r="BW168" s="74">
        <f t="shared" si="495"/>
        <v>464.92618119799766</v>
      </c>
      <c r="BX168" s="1098"/>
      <c r="BY168" s="295">
        <f t="shared" si="496"/>
        <v>1330</v>
      </c>
      <c r="BZ168" s="303"/>
      <c r="CA168" s="296">
        <v>1044</v>
      </c>
      <c r="CB168" s="296">
        <f t="shared" si="497"/>
        <v>286</v>
      </c>
      <c r="CC168" s="297">
        <f t="shared" si="498"/>
        <v>0.69513816478663393</v>
      </c>
      <c r="CD168" s="296">
        <f t="shared" si="499"/>
        <v>13186</v>
      </c>
      <c r="CE168" s="297">
        <f t="shared" si="500"/>
        <v>0.16126631407322789</v>
      </c>
      <c r="CF168" s="1061"/>
      <c r="CH168">
        <f t="shared" si="418"/>
        <v>305505.2</v>
      </c>
    </row>
    <row r="169" spans="1:86">
      <c r="A169" s="30">
        <v>44117</v>
      </c>
      <c r="B169" s="32">
        <v>591383</v>
      </c>
      <c r="C169" s="114">
        <f t="shared" si="416"/>
        <v>82356754</v>
      </c>
      <c r="D169" s="91">
        <v>5583.54</v>
      </c>
      <c r="E169" s="93">
        <f t="shared" si="417"/>
        <v>932352.16999999993</v>
      </c>
      <c r="F169" s="243">
        <f t="shared" si="455"/>
        <v>0</v>
      </c>
      <c r="G169" s="240">
        <v>32000</v>
      </c>
      <c r="H169" s="280">
        <v>24.72</v>
      </c>
      <c r="I169" s="240">
        <v>14000</v>
      </c>
      <c r="J169" s="240">
        <f t="shared" si="456"/>
        <v>18000</v>
      </c>
      <c r="K169" s="280">
        <f t="shared" si="457"/>
        <v>30.437127884974711</v>
      </c>
      <c r="L169" s="240">
        <f t="shared" si="458"/>
        <v>2524605</v>
      </c>
      <c r="M169" s="280">
        <f t="shared" si="459"/>
        <v>30.654498597649926</v>
      </c>
      <c r="N169" s="280">
        <f t="shared" si="460"/>
        <v>3.7534588707787346</v>
      </c>
      <c r="O169" s="1089"/>
      <c r="P169" s="1084"/>
      <c r="Q169" s="35">
        <f t="shared" si="461"/>
        <v>40125</v>
      </c>
      <c r="R169" s="98"/>
      <c r="S169" s="35">
        <v>38542</v>
      </c>
      <c r="T169" s="35">
        <f t="shared" si="462"/>
        <v>1583</v>
      </c>
      <c r="U169" s="36">
        <f t="shared" si="463"/>
        <v>2.6767763023286095</v>
      </c>
      <c r="V169" s="74">
        <f t="shared" si="464"/>
        <v>161876</v>
      </c>
      <c r="W169" s="36">
        <f t="shared" si="465"/>
        <v>1.9655461408787431</v>
      </c>
      <c r="X169" s="1136"/>
      <c r="Y169" s="49">
        <f t="shared" si="466"/>
        <v>1117</v>
      </c>
      <c r="Z169" s="248"/>
      <c r="AA169" s="50">
        <f>1007+60</f>
        <v>1067</v>
      </c>
      <c r="AB169" s="50">
        <f t="shared" si="467"/>
        <v>50</v>
      </c>
      <c r="AC169" s="51">
        <f t="shared" si="468"/>
        <v>8.4547577458263093E-2</v>
      </c>
      <c r="AD169" s="50">
        <f t="shared" si="469"/>
        <v>21196</v>
      </c>
      <c r="AE169" s="51">
        <f t="shared" si="470"/>
        <v>0.25736808422536905</v>
      </c>
      <c r="AF169" s="1047"/>
      <c r="AG169" s="40">
        <f t="shared" si="471"/>
        <v>325</v>
      </c>
      <c r="AH169" s="44"/>
      <c r="AI169" s="41">
        <v>307</v>
      </c>
      <c r="AJ169" s="41">
        <f t="shared" si="472"/>
        <v>18</v>
      </c>
      <c r="AK169" s="42">
        <f t="shared" si="473"/>
        <v>3.0437127884974713E-2</v>
      </c>
      <c r="AL169" s="41">
        <f t="shared" si="474"/>
        <v>10076</v>
      </c>
      <c r="AM169" s="42">
        <f t="shared" si="475"/>
        <v>0.12234576413732867</v>
      </c>
      <c r="AN169" s="1058"/>
      <c r="AO169" s="260">
        <v>6.4</v>
      </c>
      <c r="AP169" s="67">
        <v>24</v>
      </c>
      <c r="AQ169" s="68">
        <f t="shared" si="476"/>
        <v>76.346880000000013</v>
      </c>
      <c r="AR169" s="68">
        <f t="shared" si="477"/>
        <v>13.67356193382693</v>
      </c>
      <c r="AS169" s="258">
        <f t="shared" si="478"/>
        <v>9662.6519999999982</v>
      </c>
      <c r="AT169" s="68">
        <f t="shared" si="479"/>
        <v>10.363736269311197</v>
      </c>
      <c r="AU169" s="1073"/>
      <c r="AV169" s="216">
        <v>4.0999999999999996</v>
      </c>
      <c r="AW169" s="71">
        <v>12</v>
      </c>
      <c r="AX169" s="72">
        <f t="shared" si="480"/>
        <v>25.423116</v>
      </c>
      <c r="AY169" s="72">
        <f t="shared" si="481"/>
        <v>4.5532253731503669</v>
      </c>
      <c r="AZ169" s="276">
        <f t="shared" si="482"/>
        <v>3083.6379479999987</v>
      </c>
      <c r="BA169" s="72">
        <f t="shared" si="483"/>
        <v>3.3073746672354489</v>
      </c>
      <c r="BB169" s="1075"/>
      <c r="BC169" s="253">
        <f t="shared" si="484"/>
        <v>34611</v>
      </c>
      <c r="BD169" s="59"/>
      <c r="BE169" s="252">
        <v>34611</v>
      </c>
      <c r="BF169" s="57"/>
      <c r="BG169" s="58">
        <f t="shared" si="485"/>
        <v>50664</v>
      </c>
      <c r="BH169" s="58">
        <f t="shared" si="486"/>
        <v>54.339981854710551</v>
      </c>
      <c r="BI169" s="1133"/>
      <c r="BJ169" s="63">
        <f t="shared" si="487"/>
        <v>780</v>
      </c>
      <c r="BK169" s="64"/>
      <c r="BL169" s="64">
        <v>624</v>
      </c>
      <c r="BM169" s="64">
        <f t="shared" si="488"/>
        <v>156</v>
      </c>
      <c r="BN169" s="65">
        <f t="shared" si="489"/>
        <v>0.26378844166978083</v>
      </c>
      <c r="BO169" s="64">
        <f t="shared" si="490"/>
        <v>26064</v>
      </c>
      <c r="BP169" s="65">
        <f t="shared" si="491"/>
        <v>0.31647677614880254</v>
      </c>
      <c r="BQ169" s="1071"/>
      <c r="BR169" s="77">
        <f t="shared" si="492"/>
        <v>5257</v>
      </c>
      <c r="BS169" s="35"/>
      <c r="BT169" s="35">
        <v>3763</v>
      </c>
      <c r="BU169" s="35">
        <f t="shared" si="493"/>
        <v>1494</v>
      </c>
      <c r="BV169" s="35">
        <f t="shared" si="494"/>
        <v>432373</v>
      </c>
      <c r="BW169" s="74">
        <f t="shared" si="495"/>
        <v>463.74429524843606</v>
      </c>
      <c r="BX169" s="1098"/>
      <c r="BY169" s="295">
        <f t="shared" si="496"/>
        <v>1044</v>
      </c>
      <c r="BZ169" s="296"/>
      <c r="CA169" s="296">
        <v>858</v>
      </c>
      <c r="CB169" s="296">
        <f t="shared" si="497"/>
        <v>186</v>
      </c>
      <c r="CC169" s="297">
        <f t="shared" si="498"/>
        <v>0.31451698814473866</v>
      </c>
      <c r="CD169" s="296">
        <f t="shared" si="499"/>
        <v>13372</v>
      </c>
      <c r="CE169" s="297">
        <f t="shared" si="500"/>
        <v>0.16236676836486294</v>
      </c>
      <c r="CF169" s="1061"/>
      <c r="CH169">
        <f t="shared" si="418"/>
        <v>0</v>
      </c>
    </row>
    <row r="170" spans="1:86">
      <c r="A170" s="30">
        <v>44118</v>
      </c>
      <c r="B170" s="32">
        <v>576643</v>
      </c>
      <c r="C170" s="114">
        <f t="shared" si="416"/>
        <v>82933397</v>
      </c>
      <c r="D170" s="91">
        <v>5580.8</v>
      </c>
      <c r="E170" s="93">
        <f t="shared" si="417"/>
        <v>937932.97</v>
      </c>
      <c r="F170" s="243">
        <f t="shared" si="455"/>
        <v>14000</v>
      </c>
      <c r="G170" s="240"/>
      <c r="H170" s="280"/>
      <c r="I170" s="240">
        <v>0</v>
      </c>
      <c r="J170" s="240">
        <f t="shared" si="456"/>
        <v>14000</v>
      </c>
      <c r="K170" s="280">
        <f t="shared" si="457"/>
        <v>24.278453046338896</v>
      </c>
      <c r="L170" s="240">
        <f t="shared" si="458"/>
        <v>2538605</v>
      </c>
      <c r="M170" s="280">
        <f t="shared" si="459"/>
        <v>30.610165407791026</v>
      </c>
      <c r="N170" s="280">
        <f t="shared" si="460"/>
        <v>3.7480305384830448</v>
      </c>
      <c r="O170" s="1089"/>
      <c r="P170" s="1084"/>
      <c r="Q170" s="35">
        <f t="shared" si="461"/>
        <v>38542</v>
      </c>
      <c r="R170" s="98"/>
      <c r="S170" s="35">
        <v>36147</v>
      </c>
      <c r="T170" s="35">
        <f t="shared" si="462"/>
        <v>2395</v>
      </c>
      <c r="U170" s="36">
        <f t="shared" si="463"/>
        <v>4.1533496461415469</v>
      </c>
      <c r="V170" s="74">
        <f t="shared" si="464"/>
        <v>164271</v>
      </c>
      <c r="W170" s="36">
        <f t="shared" si="465"/>
        <v>1.980758125704172</v>
      </c>
      <c r="X170" s="1136"/>
      <c r="Y170" s="49">
        <f t="shared" si="466"/>
        <v>1067</v>
      </c>
      <c r="Z170" s="248"/>
      <c r="AA170" s="50">
        <f>956+100</f>
        <v>1056</v>
      </c>
      <c r="AB170" s="50">
        <f t="shared" si="467"/>
        <v>11</v>
      </c>
      <c r="AC170" s="51">
        <f t="shared" si="468"/>
        <v>1.9075927393551989E-2</v>
      </c>
      <c r="AD170" s="50">
        <f t="shared" si="469"/>
        <v>21207</v>
      </c>
      <c r="AE170" s="51">
        <f t="shared" si="470"/>
        <v>0.25571121848535883</v>
      </c>
      <c r="AF170" s="1047"/>
      <c r="AG170" s="40">
        <f t="shared" si="471"/>
        <v>307</v>
      </c>
      <c r="AH170" s="44"/>
      <c r="AI170" s="41">
        <v>273</v>
      </c>
      <c r="AJ170" s="41">
        <f t="shared" si="472"/>
        <v>34</v>
      </c>
      <c r="AK170" s="42">
        <f t="shared" si="473"/>
        <v>5.8961957398251608E-2</v>
      </c>
      <c r="AL170" s="41">
        <f t="shared" si="474"/>
        <v>10110</v>
      </c>
      <c r="AM170" s="42">
        <f t="shared" si="475"/>
        <v>0.12190505110986832</v>
      </c>
      <c r="AN170" s="1058"/>
      <c r="AO170" s="260">
        <v>6.1</v>
      </c>
      <c r="AP170" s="67">
        <v>24</v>
      </c>
      <c r="AQ170" s="68">
        <f t="shared" si="476"/>
        <v>72.768119999999982</v>
      </c>
      <c r="AR170" s="68">
        <f t="shared" si="477"/>
        <v>13.039012327981647</v>
      </c>
      <c r="AS170" s="258">
        <f t="shared" si="478"/>
        <v>9735.4201199999989</v>
      </c>
      <c r="AT170" s="68">
        <f t="shared" si="479"/>
        <v>10.379654443749855</v>
      </c>
      <c r="AU170" s="1073"/>
      <c r="AV170" s="216">
        <v>4.3</v>
      </c>
      <c r="AW170" s="71">
        <v>12</v>
      </c>
      <c r="AX170" s="72">
        <f t="shared" si="480"/>
        <v>26.663267999999999</v>
      </c>
      <c r="AY170" s="72">
        <f t="shared" si="481"/>
        <v>4.7776784690366974</v>
      </c>
      <c r="AZ170" s="276">
        <f t="shared" si="482"/>
        <v>3110.3012159999985</v>
      </c>
      <c r="BA170" s="72">
        <f t="shared" si="483"/>
        <v>3.3161231297797311</v>
      </c>
      <c r="BB170" s="1075"/>
      <c r="BC170" s="253">
        <f t="shared" si="484"/>
        <v>34611</v>
      </c>
      <c r="BD170" s="59"/>
      <c r="BE170" s="252">
        <v>34611</v>
      </c>
      <c r="BF170" s="57"/>
      <c r="BG170" s="58">
        <f t="shared" si="485"/>
        <v>50664</v>
      </c>
      <c r="BH170" s="58">
        <f t="shared" si="486"/>
        <v>54.016653236957865</v>
      </c>
      <c r="BI170" s="1133"/>
      <c r="BJ170" s="63">
        <f t="shared" si="487"/>
        <v>624</v>
      </c>
      <c r="BK170" s="64"/>
      <c r="BL170" s="64">
        <v>480</v>
      </c>
      <c r="BM170" s="64">
        <f t="shared" si="488"/>
        <v>144</v>
      </c>
      <c r="BN170" s="65">
        <f t="shared" si="489"/>
        <v>0.2497212313337715</v>
      </c>
      <c r="BO170" s="64">
        <f t="shared" si="490"/>
        <v>26208</v>
      </c>
      <c r="BP170" s="65">
        <f t="shared" si="491"/>
        <v>0.31601261913822243</v>
      </c>
      <c r="BQ170" s="1071"/>
      <c r="BR170" s="77">
        <f t="shared" si="492"/>
        <v>3763</v>
      </c>
      <c r="BS170" s="35"/>
      <c r="BT170" s="35">
        <v>3337</v>
      </c>
      <c r="BU170" s="35">
        <f t="shared" si="493"/>
        <v>426</v>
      </c>
      <c r="BV170" s="35">
        <f t="shared" si="494"/>
        <v>432799</v>
      </c>
      <c r="BW170" s="74">
        <f t="shared" si="495"/>
        <v>461.43915806691388</v>
      </c>
      <c r="BX170" s="1098"/>
      <c r="BY170" s="295">
        <f t="shared" si="496"/>
        <v>858</v>
      </c>
      <c r="BZ170" s="303"/>
      <c r="CA170" s="296">
        <v>660</v>
      </c>
      <c r="CB170" s="296">
        <f t="shared" si="497"/>
        <v>198</v>
      </c>
      <c r="CC170" s="297">
        <f t="shared" si="498"/>
        <v>0.3433666930839358</v>
      </c>
      <c r="CD170" s="296">
        <f t="shared" si="499"/>
        <v>13570</v>
      </c>
      <c r="CE170" s="297">
        <f t="shared" si="500"/>
        <v>0.16362527631660861</v>
      </c>
      <c r="CF170" s="1061"/>
      <c r="CH170">
        <f t="shared" si="418"/>
        <v>0</v>
      </c>
    </row>
    <row r="171" spans="1:86">
      <c r="A171" s="30">
        <v>44119</v>
      </c>
      <c r="B171" s="32">
        <v>310556</v>
      </c>
      <c r="C171" s="114">
        <f t="shared" si="416"/>
        <v>83243953</v>
      </c>
      <c r="D171" s="91">
        <v>423.84</v>
      </c>
      <c r="E171" s="93">
        <f t="shared" si="417"/>
        <v>938356.80999999994</v>
      </c>
      <c r="F171" s="243">
        <f t="shared" si="455"/>
        <v>0</v>
      </c>
      <c r="G171" s="240">
        <v>32100</v>
      </c>
      <c r="H171" s="280">
        <v>10.53</v>
      </c>
      <c r="I171" s="240">
        <v>28000</v>
      </c>
      <c r="J171" s="240">
        <f t="shared" si="456"/>
        <v>4100</v>
      </c>
      <c r="K171" s="280">
        <f t="shared" si="457"/>
        <v>13.202127796597072</v>
      </c>
      <c r="L171" s="240">
        <f t="shared" si="458"/>
        <v>2542705</v>
      </c>
      <c r="M171" s="280">
        <f t="shared" si="459"/>
        <v>30.545221705172988</v>
      </c>
      <c r="N171" s="280">
        <f t="shared" si="460"/>
        <v>3.7400785729365729</v>
      </c>
      <c r="O171" s="1089"/>
      <c r="P171" s="1084"/>
      <c r="Q171" s="35">
        <f t="shared" si="461"/>
        <v>36147</v>
      </c>
      <c r="R171" s="98"/>
      <c r="S171" s="35">
        <v>36147</v>
      </c>
      <c r="T171" s="35">
        <f t="shared" si="462"/>
        <v>0</v>
      </c>
      <c r="U171" s="36">
        <f t="shared" si="463"/>
        <v>0</v>
      </c>
      <c r="V171" s="74">
        <f t="shared" si="464"/>
        <v>164271</v>
      </c>
      <c r="W171" s="36">
        <f t="shared" si="465"/>
        <v>1.9733685640805645</v>
      </c>
      <c r="X171" s="1136"/>
      <c r="Y171" s="49">
        <f t="shared" si="466"/>
        <v>1056</v>
      </c>
      <c r="Z171" s="248"/>
      <c r="AA171" s="50">
        <f>956+88</f>
        <v>1044</v>
      </c>
      <c r="AB171" s="50">
        <f t="shared" si="467"/>
        <v>12</v>
      </c>
      <c r="AC171" s="51">
        <f t="shared" si="468"/>
        <v>3.8640374038820695E-2</v>
      </c>
      <c r="AD171" s="50">
        <f t="shared" si="469"/>
        <v>21219</v>
      </c>
      <c r="AE171" s="51">
        <f t="shared" si="470"/>
        <v>0.25490139806311218</v>
      </c>
      <c r="AF171" s="1047"/>
      <c r="AG171" s="40">
        <f t="shared" si="471"/>
        <v>273</v>
      </c>
      <c r="AH171" s="44"/>
      <c r="AI171" s="41">
        <v>273</v>
      </c>
      <c r="AJ171" s="41">
        <f t="shared" si="472"/>
        <v>0</v>
      </c>
      <c r="AK171" s="42">
        <f t="shared" si="473"/>
        <v>0</v>
      </c>
      <c r="AL171" s="41">
        <f t="shared" si="474"/>
        <v>10110</v>
      </c>
      <c r="AM171" s="42">
        <f t="shared" si="475"/>
        <v>0.12145026318007748</v>
      </c>
      <c r="AN171" s="1058"/>
      <c r="AO171" s="260">
        <v>1.8</v>
      </c>
      <c r="AP171" s="67">
        <v>24</v>
      </c>
      <c r="AQ171" s="68">
        <f t="shared" si="476"/>
        <v>21.472560000000001</v>
      </c>
      <c r="AR171" s="68">
        <f t="shared" si="477"/>
        <v>50.66194790486977</v>
      </c>
      <c r="AS171" s="258">
        <f t="shared" si="478"/>
        <v>9756.892679999999</v>
      </c>
      <c r="AT171" s="68">
        <f t="shared" si="479"/>
        <v>10.397849278676839</v>
      </c>
      <c r="AU171" s="1073"/>
      <c r="AV171" s="216">
        <v>0</v>
      </c>
      <c r="AW171" s="71">
        <v>12</v>
      </c>
      <c r="AX171" s="72">
        <f t="shared" si="480"/>
        <v>0</v>
      </c>
      <c r="AY171" s="72">
        <f t="shared" si="481"/>
        <v>0</v>
      </c>
      <c r="AZ171" s="276">
        <f t="shared" si="482"/>
        <v>3110.3012159999985</v>
      </c>
      <c r="BA171" s="72">
        <f t="shared" si="483"/>
        <v>3.3146252926964945</v>
      </c>
      <c r="BB171" s="1075"/>
      <c r="BC171" s="253">
        <f t="shared" si="484"/>
        <v>34611</v>
      </c>
      <c r="BD171" s="59"/>
      <c r="BE171" s="252">
        <v>34611</v>
      </c>
      <c r="BF171" s="57"/>
      <c r="BG171" s="58">
        <f t="shared" si="485"/>
        <v>50664</v>
      </c>
      <c r="BH171" s="58">
        <f t="shared" si="486"/>
        <v>53.992254822555189</v>
      </c>
      <c r="BI171" s="1133"/>
      <c r="BJ171" s="63">
        <f t="shared" si="487"/>
        <v>480</v>
      </c>
      <c r="BK171" s="133"/>
      <c r="BL171" s="64">
        <v>456</v>
      </c>
      <c r="BM171" s="64">
        <f t="shared" si="488"/>
        <v>24</v>
      </c>
      <c r="BN171" s="65">
        <f t="shared" si="489"/>
        <v>7.728074807764139E-2</v>
      </c>
      <c r="BO171" s="64">
        <f t="shared" si="490"/>
        <v>26232</v>
      </c>
      <c r="BP171" s="65">
        <f t="shared" si="491"/>
        <v>0.31512198850047402</v>
      </c>
      <c r="BQ171" s="1071"/>
      <c r="BR171" s="77">
        <f t="shared" si="492"/>
        <v>3337</v>
      </c>
      <c r="BS171" s="35"/>
      <c r="BT171" s="35">
        <v>3337</v>
      </c>
      <c r="BU171" s="35">
        <f t="shared" si="493"/>
        <v>0</v>
      </c>
      <c r="BV171" s="35">
        <f t="shared" si="494"/>
        <v>432799</v>
      </c>
      <c r="BW171" s="74">
        <f t="shared" si="495"/>
        <v>461.23073375467914</v>
      </c>
      <c r="BX171" s="1098"/>
      <c r="BY171" s="295">
        <f t="shared" si="496"/>
        <v>660</v>
      </c>
      <c r="BZ171" s="303"/>
      <c r="CA171" s="296">
        <v>612</v>
      </c>
      <c r="CB171" s="296">
        <f t="shared" si="497"/>
        <v>48</v>
      </c>
      <c r="CC171" s="297">
        <f t="shared" si="498"/>
        <v>0.15456149615528278</v>
      </c>
      <c r="CD171" s="296">
        <f t="shared" si="499"/>
        <v>13618</v>
      </c>
      <c r="CE171" s="297">
        <f t="shared" si="500"/>
        <v>0.16359146231318447</v>
      </c>
      <c r="CF171" s="1061"/>
      <c r="CH171">
        <f t="shared" si="418"/>
        <v>791040</v>
      </c>
    </row>
    <row r="172" spans="1:86">
      <c r="A172" s="30">
        <v>44120</v>
      </c>
      <c r="B172" s="32">
        <v>133661</v>
      </c>
      <c r="C172" s="114">
        <f t="shared" si="416"/>
        <v>83377614</v>
      </c>
      <c r="D172" s="91">
        <v>3940.24</v>
      </c>
      <c r="E172" s="93">
        <f t="shared" si="417"/>
        <v>942297.04999999993</v>
      </c>
      <c r="F172" s="243">
        <f t="shared" si="455"/>
        <v>28000</v>
      </c>
      <c r="G172" s="240"/>
      <c r="H172" s="280"/>
      <c r="I172" s="240">
        <v>16000</v>
      </c>
      <c r="J172" s="240">
        <f t="shared" si="456"/>
        <v>12000</v>
      </c>
      <c r="K172" s="280">
        <f t="shared" si="457"/>
        <v>89.779367205093479</v>
      </c>
      <c r="L172" s="240">
        <f t="shared" si="458"/>
        <v>2554705</v>
      </c>
      <c r="M172" s="280">
        <f t="shared" si="459"/>
        <v>30.640178789476995</v>
      </c>
      <c r="N172" s="280">
        <f t="shared" si="460"/>
        <v>3.7517054964463079</v>
      </c>
      <c r="O172" s="1089"/>
      <c r="P172" s="1084"/>
      <c r="Q172" s="35">
        <f t="shared" si="461"/>
        <v>36147</v>
      </c>
      <c r="R172" s="98"/>
      <c r="S172" s="35">
        <v>36147</v>
      </c>
      <c r="T172" s="35">
        <f t="shared" si="462"/>
        <v>0</v>
      </c>
      <c r="U172" s="36">
        <f t="shared" si="463"/>
        <v>0</v>
      </c>
      <c r="V172" s="74">
        <f t="shared" si="464"/>
        <v>164271</v>
      </c>
      <c r="W172" s="36">
        <f t="shared" si="465"/>
        <v>1.9702050960585176</v>
      </c>
      <c r="X172" s="1136"/>
      <c r="Y172" s="49">
        <f t="shared" si="466"/>
        <v>1044</v>
      </c>
      <c r="Z172" s="248"/>
      <c r="AA172" s="50">
        <f>956+72</f>
        <v>1028</v>
      </c>
      <c r="AB172" s="50">
        <f t="shared" si="467"/>
        <v>16</v>
      </c>
      <c r="AC172" s="51">
        <f t="shared" si="468"/>
        <v>0.11970582294012465</v>
      </c>
      <c r="AD172" s="50">
        <f t="shared" si="469"/>
        <v>21235</v>
      </c>
      <c r="AE172" s="51">
        <f t="shared" si="470"/>
        <v>0.25468466871695322</v>
      </c>
      <c r="AF172" s="1047"/>
      <c r="AG172" s="40">
        <f t="shared" si="471"/>
        <v>273</v>
      </c>
      <c r="AH172" s="44"/>
      <c r="AI172" s="41">
        <v>240</v>
      </c>
      <c r="AJ172" s="41">
        <f t="shared" si="472"/>
        <v>33</v>
      </c>
      <c r="AK172" s="42">
        <f t="shared" si="473"/>
        <v>0.24689325981400709</v>
      </c>
      <c r="AL172" s="41">
        <f t="shared" si="474"/>
        <v>10143</v>
      </c>
      <c r="AM172" s="42">
        <f t="shared" si="475"/>
        <v>0.12165135836101043</v>
      </c>
      <c r="AN172" s="1058"/>
      <c r="AO172" s="260">
        <v>3</v>
      </c>
      <c r="AP172" s="67">
        <v>24</v>
      </c>
      <c r="AQ172" s="68">
        <f t="shared" si="476"/>
        <v>35.787599999999998</v>
      </c>
      <c r="AR172" s="68">
        <f t="shared" si="477"/>
        <v>9.0825939536677964</v>
      </c>
      <c r="AS172" s="258">
        <f t="shared" si="478"/>
        <v>9792.6802799999987</v>
      </c>
      <c r="AT172" s="68">
        <f t="shared" si="479"/>
        <v>10.392349503800315</v>
      </c>
      <c r="AU172" s="1073"/>
      <c r="AV172" s="216">
        <v>2.8</v>
      </c>
      <c r="AW172" s="71">
        <v>12</v>
      </c>
      <c r="AX172" s="72">
        <f t="shared" si="480"/>
        <v>17.362127999999998</v>
      </c>
      <c r="AY172" s="72">
        <f t="shared" si="481"/>
        <v>4.4063630641788309</v>
      </c>
      <c r="AZ172" s="276">
        <f t="shared" si="482"/>
        <v>3127.6633439999987</v>
      </c>
      <c r="BA172" s="72">
        <f t="shared" si="483"/>
        <v>3.3191904230200007</v>
      </c>
      <c r="BB172" s="1075"/>
      <c r="BC172" s="253">
        <f t="shared" si="484"/>
        <v>34611</v>
      </c>
      <c r="BD172" s="59"/>
      <c r="BE172" s="252">
        <v>34611</v>
      </c>
      <c r="BF172" s="57"/>
      <c r="BG172" s="58">
        <f t="shared" si="485"/>
        <v>50664</v>
      </c>
      <c r="BH172" s="58">
        <f t="shared" si="486"/>
        <v>53.766484783115899</v>
      </c>
      <c r="BI172" s="1133"/>
      <c r="BJ172" s="63">
        <f t="shared" si="487"/>
        <v>456</v>
      </c>
      <c r="BK172" s="133"/>
      <c r="BL172" s="64">
        <v>420</v>
      </c>
      <c r="BM172" s="64">
        <f t="shared" si="488"/>
        <v>36</v>
      </c>
      <c r="BN172" s="65">
        <f t="shared" si="489"/>
        <v>0.26933810161528043</v>
      </c>
      <c r="BO172" s="64">
        <f t="shared" si="490"/>
        <v>26268</v>
      </c>
      <c r="BP172" s="65">
        <f t="shared" si="491"/>
        <v>0.31504859325909712</v>
      </c>
      <c r="BQ172" s="1071"/>
      <c r="BR172" s="77">
        <f t="shared" si="492"/>
        <v>3337</v>
      </c>
      <c r="BS172" s="35"/>
      <c r="BT172" s="35">
        <v>3337</v>
      </c>
      <c r="BU172" s="35">
        <f t="shared" si="493"/>
        <v>0</v>
      </c>
      <c r="BV172" s="35">
        <f t="shared" si="494"/>
        <v>432799</v>
      </c>
      <c r="BW172" s="74">
        <f t="shared" si="495"/>
        <v>459.30208526069356</v>
      </c>
      <c r="BX172" s="1098"/>
      <c r="BY172" s="295">
        <f t="shared" si="496"/>
        <v>612</v>
      </c>
      <c r="BZ172" s="303"/>
      <c r="CA172" s="296">
        <v>600</v>
      </c>
      <c r="CB172" s="296">
        <f t="shared" si="497"/>
        <v>12</v>
      </c>
      <c r="CC172" s="297">
        <f t="shared" si="498"/>
        <v>8.9779367205093483E-2</v>
      </c>
      <c r="CD172" s="296">
        <f t="shared" si="499"/>
        <v>13630</v>
      </c>
      <c r="CE172" s="297">
        <f t="shared" si="500"/>
        <v>0.16347313560687884</v>
      </c>
      <c r="CF172" s="1061"/>
      <c r="CH172">
        <f t="shared" si="418"/>
        <v>0</v>
      </c>
    </row>
    <row r="173" spans="1:86">
      <c r="A173" s="30">
        <v>44121</v>
      </c>
      <c r="B173" s="32">
        <v>515727</v>
      </c>
      <c r="C173" s="114">
        <f t="shared" si="416"/>
        <v>83893341</v>
      </c>
      <c r="D173" s="91">
        <v>5538.92</v>
      </c>
      <c r="E173" s="93">
        <f t="shared" si="417"/>
        <v>947835.97</v>
      </c>
      <c r="F173" s="243">
        <f t="shared" si="455"/>
        <v>16000</v>
      </c>
      <c r="G173" s="240">
        <v>17360</v>
      </c>
      <c r="H173" s="280">
        <v>6.32</v>
      </c>
      <c r="I173" s="240">
        <v>0</v>
      </c>
      <c r="J173" s="240">
        <f t="shared" si="456"/>
        <v>33360</v>
      </c>
      <c r="K173" s="280">
        <f t="shared" si="457"/>
        <v>64.68538587275826</v>
      </c>
      <c r="L173" s="240">
        <f t="shared" si="458"/>
        <v>2588065</v>
      </c>
      <c r="M173" s="280">
        <f t="shared" si="459"/>
        <v>30.849468731970038</v>
      </c>
      <c r="N173" s="280">
        <f t="shared" si="460"/>
        <v>3.7773317903722345</v>
      </c>
      <c r="O173" s="1089"/>
      <c r="P173" s="1084"/>
      <c r="Q173" s="35">
        <f t="shared" si="461"/>
        <v>36147</v>
      </c>
      <c r="R173" s="98"/>
      <c r="S173" s="35">
        <v>35076</v>
      </c>
      <c r="T173" s="35">
        <f t="shared" si="462"/>
        <v>1071</v>
      </c>
      <c r="U173" s="36">
        <f t="shared" si="463"/>
        <v>2.0766801040085161</v>
      </c>
      <c r="V173" s="74">
        <f t="shared" si="464"/>
        <v>165342</v>
      </c>
      <c r="W173" s="36">
        <f t="shared" si="465"/>
        <v>1.9708596418874293</v>
      </c>
      <c r="X173" s="1136"/>
      <c r="Y173" s="49">
        <f t="shared" si="466"/>
        <v>1028</v>
      </c>
      <c r="Z173" s="248"/>
      <c r="AA173" s="50">
        <f>886+89</f>
        <v>975</v>
      </c>
      <c r="AB173" s="50">
        <f t="shared" si="467"/>
        <v>53</v>
      </c>
      <c r="AC173" s="51">
        <f t="shared" si="468"/>
        <v>0.10276754949808717</v>
      </c>
      <c r="AD173" s="50">
        <f t="shared" si="469"/>
        <v>21288</v>
      </c>
      <c r="AE173" s="51">
        <f t="shared" si="470"/>
        <v>0.25375077147064629</v>
      </c>
      <c r="AF173" s="1047"/>
      <c r="AG173" s="40">
        <f t="shared" si="471"/>
        <v>240</v>
      </c>
      <c r="AH173" s="44"/>
      <c r="AI173" s="41">
        <v>224</v>
      </c>
      <c r="AJ173" s="41">
        <f t="shared" si="472"/>
        <v>16</v>
      </c>
      <c r="AK173" s="42">
        <f t="shared" si="473"/>
        <v>3.1024165886214993E-2</v>
      </c>
      <c r="AL173" s="41">
        <f t="shared" si="474"/>
        <v>10159</v>
      </c>
      <c r="AM173" s="42">
        <f t="shared" si="475"/>
        <v>0.12109423559612437</v>
      </c>
      <c r="AN173" s="1058"/>
      <c r="AO173" s="260">
        <v>7.7</v>
      </c>
      <c r="AP173" s="67">
        <v>24</v>
      </c>
      <c r="AQ173" s="68">
        <f t="shared" si="476"/>
        <v>91.85484000000001</v>
      </c>
      <c r="AR173" s="68">
        <f t="shared" si="477"/>
        <v>16.583528918995039</v>
      </c>
      <c r="AS173" s="258">
        <f t="shared" si="478"/>
        <v>9884.5351199999986</v>
      </c>
      <c r="AT173" s="68">
        <f t="shared" si="479"/>
        <v>10.42852923169818</v>
      </c>
      <c r="AU173" s="1073"/>
      <c r="AV173" s="216">
        <v>4.3</v>
      </c>
      <c r="AW173" s="71">
        <v>12</v>
      </c>
      <c r="AX173" s="72">
        <f t="shared" si="480"/>
        <v>26.663267999999999</v>
      </c>
      <c r="AY173" s="72">
        <f t="shared" si="481"/>
        <v>4.8138026907772637</v>
      </c>
      <c r="AZ173" s="276">
        <f t="shared" si="482"/>
        <v>3154.3266119999985</v>
      </c>
      <c r="BA173" s="72">
        <f t="shared" si="483"/>
        <v>3.3279245690580814</v>
      </c>
      <c r="BB173" s="1075"/>
      <c r="BC173" s="253">
        <f t="shared" si="484"/>
        <v>34611</v>
      </c>
      <c r="BD173" s="59"/>
      <c r="BE173" s="252">
        <v>34611</v>
      </c>
      <c r="BF173" s="57"/>
      <c r="BG173" s="58">
        <f t="shared" si="485"/>
        <v>50664</v>
      </c>
      <c r="BH173" s="58">
        <f t="shared" si="486"/>
        <v>53.452286686271258</v>
      </c>
      <c r="BI173" s="1133"/>
      <c r="BJ173" s="63">
        <f t="shared" si="487"/>
        <v>420</v>
      </c>
      <c r="BK173" s="64">
        <v>1100</v>
      </c>
      <c r="BL173" s="64">
        <v>1219</v>
      </c>
      <c r="BM173" s="64">
        <f t="shared" si="488"/>
        <v>301</v>
      </c>
      <c r="BN173" s="65">
        <f t="shared" si="489"/>
        <v>0.58364212073441957</v>
      </c>
      <c r="BO173" s="64">
        <f t="shared" si="490"/>
        <v>26569</v>
      </c>
      <c r="BP173" s="65">
        <f t="shared" si="491"/>
        <v>0.31669974855334465</v>
      </c>
      <c r="BQ173" s="1071"/>
      <c r="BR173" s="77">
        <f t="shared" si="492"/>
        <v>3337</v>
      </c>
      <c r="BS173" s="35"/>
      <c r="BT173" s="35">
        <v>0</v>
      </c>
      <c r="BU173" s="35">
        <f t="shared" si="493"/>
        <v>3337</v>
      </c>
      <c r="BV173" s="35">
        <f t="shared" si="494"/>
        <v>436136</v>
      </c>
      <c r="BW173" s="74">
        <f t="shared" si="495"/>
        <v>460.13868834287859</v>
      </c>
      <c r="BX173" s="1098"/>
      <c r="BY173" s="295">
        <f t="shared" si="496"/>
        <v>600</v>
      </c>
      <c r="BZ173" s="303"/>
      <c r="CA173" s="296">
        <v>594</v>
      </c>
      <c r="CB173" s="296">
        <f t="shared" si="497"/>
        <v>6</v>
      </c>
      <c r="CC173" s="297">
        <f t="shared" si="498"/>
        <v>1.1634062207330622E-2</v>
      </c>
      <c r="CD173" s="296">
        <f t="shared" si="499"/>
        <v>13636</v>
      </c>
      <c r="CE173" s="297">
        <f t="shared" si="500"/>
        <v>0.16253971814044216</v>
      </c>
      <c r="CF173" s="1061"/>
      <c r="CH173">
        <f t="shared" si="418"/>
        <v>338013</v>
      </c>
    </row>
    <row r="174" spans="1:86">
      <c r="A174" s="30">
        <v>44122</v>
      </c>
      <c r="B174" s="32">
        <v>549584</v>
      </c>
      <c r="C174" s="114">
        <f t="shared" si="416"/>
        <v>84442925</v>
      </c>
      <c r="D174" s="91">
        <v>5223.22</v>
      </c>
      <c r="E174" s="93">
        <f t="shared" si="417"/>
        <v>953059.19</v>
      </c>
      <c r="F174" s="243">
        <f t="shared" si="455"/>
        <v>0</v>
      </c>
      <c r="G174" s="240">
        <v>30500</v>
      </c>
      <c r="H174" s="280">
        <v>22.35</v>
      </c>
      <c r="I174" s="240">
        <v>0</v>
      </c>
      <c r="J174" s="240">
        <f t="shared" si="456"/>
        <v>30500</v>
      </c>
      <c r="K174" s="280">
        <f t="shared" si="457"/>
        <v>55.496521004978312</v>
      </c>
      <c r="L174" s="240">
        <f t="shared" si="458"/>
        <v>2618565</v>
      </c>
      <c r="M174" s="280">
        <f t="shared" si="459"/>
        <v>31.009880342254842</v>
      </c>
      <c r="N174" s="280">
        <f t="shared" si="460"/>
        <v>3.7969732266750142</v>
      </c>
      <c r="O174" s="1089"/>
      <c r="P174" s="1084"/>
      <c r="Q174" s="35">
        <f t="shared" si="461"/>
        <v>35076</v>
      </c>
      <c r="R174" s="98"/>
      <c r="S174" s="35">
        <v>32387</v>
      </c>
      <c r="T174" s="35">
        <f t="shared" si="462"/>
        <v>2689</v>
      </c>
      <c r="U174" s="36">
        <f t="shared" si="463"/>
        <v>4.8927916387667763</v>
      </c>
      <c r="V174" s="74">
        <f t="shared" si="464"/>
        <v>168031</v>
      </c>
      <c r="W174" s="36">
        <f t="shared" si="465"/>
        <v>1.9898765941610856</v>
      </c>
      <c r="X174" s="1136"/>
      <c r="Y174" s="49">
        <f t="shared" si="466"/>
        <v>975</v>
      </c>
      <c r="Z174" s="248"/>
      <c r="AA174" s="50">
        <f>850+95</f>
        <v>945</v>
      </c>
      <c r="AB174" s="50">
        <f t="shared" si="467"/>
        <v>30</v>
      </c>
      <c r="AC174" s="51">
        <f t="shared" si="468"/>
        <v>5.4586741972109817E-2</v>
      </c>
      <c r="AD174" s="50">
        <f t="shared" si="469"/>
        <v>21318</v>
      </c>
      <c r="AE174" s="51">
        <f t="shared" si="470"/>
        <v>0.25245454252088023</v>
      </c>
      <c r="AF174" s="1047"/>
      <c r="AG174" s="40">
        <f t="shared" si="471"/>
        <v>224</v>
      </c>
      <c r="AH174" s="44"/>
      <c r="AI174" s="41">
        <v>192</v>
      </c>
      <c r="AJ174" s="41">
        <f t="shared" si="472"/>
        <v>32</v>
      </c>
      <c r="AK174" s="42">
        <f t="shared" si="473"/>
        <v>5.82258581035838E-2</v>
      </c>
      <c r="AL174" s="41">
        <f t="shared" si="474"/>
        <v>10191</v>
      </c>
      <c r="AM174" s="42">
        <f t="shared" si="475"/>
        <v>0.12068506627405434</v>
      </c>
      <c r="AN174" s="1058"/>
      <c r="AO174" s="260">
        <v>6.1</v>
      </c>
      <c r="AP174" s="67">
        <v>24</v>
      </c>
      <c r="AQ174" s="68">
        <f t="shared" si="476"/>
        <v>72.768119999999982</v>
      </c>
      <c r="AR174" s="68">
        <f t="shared" si="477"/>
        <v>13.931659014937141</v>
      </c>
      <c r="AS174" s="258">
        <f t="shared" si="478"/>
        <v>9957.3032399999993</v>
      </c>
      <c r="AT174" s="68">
        <f t="shared" si="479"/>
        <v>10.447728057687581</v>
      </c>
      <c r="AU174" s="1073"/>
      <c r="AV174" s="216">
        <v>4.3</v>
      </c>
      <c r="AW174" s="71">
        <v>12</v>
      </c>
      <c r="AX174" s="72">
        <f t="shared" si="480"/>
        <v>26.663267999999999</v>
      </c>
      <c r="AY174" s="72">
        <f t="shared" si="481"/>
        <v>5.1047568358215809</v>
      </c>
      <c r="AZ174" s="276">
        <f t="shared" si="482"/>
        <v>3180.9898799999983</v>
      </c>
      <c r="BA174" s="72">
        <f t="shared" si="483"/>
        <v>3.337662459348405</v>
      </c>
      <c r="BB174" s="1075"/>
      <c r="BC174" s="253">
        <f t="shared" si="484"/>
        <v>34611</v>
      </c>
      <c r="BD174" s="59"/>
      <c r="BE174" s="252">
        <v>32178</v>
      </c>
      <c r="BF174" s="57">
        <f>BC174-BE174+BD174</f>
        <v>2433</v>
      </c>
      <c r="BG174" s="58">
        <f t="shared" si="485"/>
        <v>53097</v>
      </c>
      <c r="BH174" s="58">
        <f t="shared" si="486"/>
        <v>55.712174602712771</v>
      </c>
      <c r="BI174" s="1133"/>
      <c r="BJ174" s="63">
        <f t="shared" si="487"/>
        <v>1219</v>
      </c>
      <c r="BK174" s="133"/>
      <c r="BL174" s="64">
        <v>1099</v>
      </c>
      <c r="BM174" s="64">
        <f t="shared" si="488"/>
        <v>120</v>
      </c>
      <c r="BN174" s="65">
        <f t="shared" si="489"/>
        <v>0.21834696788843927</v>
      </c>
      <c r="BO174" s="64">
        <f t="shared" si="490"/>
        <v>26689</v>
      </c>
      <c r="BP174" s="65">
        <f t="shared" si="491"/>
        <v>0.3160596343624999</v>
      </c>
      <c r="BQ174" s="1071"/>
      <c r="BR174" s="77">
        <f t="shared" si="492"/>
        <v>0</v>
      </c>
      <c r="BS174" s="35"/>
      <c r="BT174" s="35">
        <v>0</v>
      </c>
      <c r="BU174" s="35">
        <f t="shared" si="493"/>
        <v>0</v>
      </c>
      <c r="BV174" s="35">
        <f t="shared" si="494"/>
        <v>436136</v>
      </c>
      <c r="BW174" s="74">
        <f t="shared" si="495"/>
        <v>457.61690834752881</v>
      </c>
      <c r="BX174" s="1098"/>
      <c r="BY174" s="295">
        <f t="shared" si="496"/>
        <v>594</v>
      </c>
      <c r="BZ174" s="303"/>
      <c r="CA174" s="296">
        <v>456</v>
      </c>
      <c r="CB174" s="296">
        <f t="shared" si="497"/>
        <v>138</v>
      </c>
      <c r="CC174" s="297">
        <f t="shared" si="498"/>
        <v>0.25109901307170512</v>
      </c>
      <c r="CD174" s="296">
        <f t="shared" si="499"/>
        <v>13774</v>
      </c>
      <c r="CE174" s="297">
        <f t="shared" si="500"/>
        <v>0.16311609291127704</v>
      </c>
      <c r="CF174" s="1061"/>
      <c r="CH174">
        <f t="shared" si="418"/>
        <v>0</v>
      </c>
    </row>
    <row r="175" spans="1:86">
      <c r="A175" s="30">
        <v>44123</v>
      </c>
      <c r="B175" s="32">
        <v>453049</v>
      </c>
      <c r="C175" s="114">
        <f t="shared" si="416"/>
        <v>84895974</v>
      </c>
      <c r="D175" s="91">
        <v>5094.88</v>
      </c>
      <c r="E175" s="93">
        <f t="shared" si="417"/>
        <v>958154.07</v>
      </c>
      <c r="F175" s="243">
        <f t="shared" si="455"/>
        <v>0</v>
      </c>
      <c r="G175" s="240"/>
      <c r="H175" s="280"/>
      <c r="I175" s="240">
        <v>0</v>
      </c>
      <c r="J175" s="240">
        <f t="shared" si="456"/>
        <v>0</v>
      </c>
      <c r="K175" s="280">
        <f t="shared" si="457"/>
        <v>0</v>
      </c>
      <c r="L175" s="240">
        <f t="shared" si="458"/>
        <v>2618565</v>
      </c>
      <c r="M175" s="280">
        <f t="shared" si="459"/>
        <v>30.844395518685019</v>
      </c>
      <c r="N175" s="280">
        <f t="shared" si="460"/>
        <v>3.7767106059366991</v>
      </c>
      <c r="O175" s="1089"/>
      <c r="P175" s="1084"/>
      <c r="Q175" s="35">
        <f t="shared" si="461"/>
        <v>32387</v>
      </c>
      <c r="R175" s="98"/>
      <c r="S175" s="35">
        <v>28350</v>
      </c>
      <c r="T175" s="35">
        <f t="shared" si="462"/>
        <v>4037</v>
      </c>
      <c r="U175" s="36">
        <f t="shared" si="463"/>
        <v>8.9107359248116644</v>
      </c>
      <c r="V175" s="74">
        <f t="shared" si="464"/>
        <v>172068</v>
      </c>
      <c r="W175" s="36">
        <f t="shared" si="465"/>
        <v>2.0268098932465279</v>
      </c>
      <c r="X175" s="1136"/>
      <c r="Y175" s="49">
        <f t="shared" si="466"/>
        <v>945</v>
      </c>
      <c r="Z175" s="248"/>
      <c r="AA175" s="50">
        <f>850+67</f>
        <v>917</v>
      </c>
      <c r="AB175" s="50">
        <f t="shared" si="467"/>
        <v>28</v>
      </c>
      <c r="AC175" s="51">
        <f t="shared" si="468"/>
        <v>6.1803469381899089E-2</v>
      </c>
      <c r="AD175" s="50">
        <f t="shared" si="469"/>
        <v>21346</v>
      </c>
      <c r="AE175" s="51">
        <f t="shared" si="470"/>
        <v>0.25143712939791468</v>
      </c>
      <c r="AF175" s="1047"/>
      <c r="AG175" s="40">
        <f t="shared" si="471"/>
        <v>192</v>
      </c>
      <c r="AH175" s="41">
        <v>1000</v>
      </c>
      <c r="AI175" s="41">
        <v>1137</v>
      </c>
      <c r="AJ175" s="41">
        <f t="shared" si="472"/>
        <v>55</v>
      </c>
      <c r="AK175" s="42">
        <f t="shared" si="473"/>
        <v>0.12139967200015893</v>
      </c>
      <c r="AL175" s="41">
        <f t="shared" si="474"/>
        <v>10246</v>
      </c>
      <c r="AM175" s="42">
        <f t="shared" si="475"/>
        <v>0.12068887978127207</v>
      </c>
      <c r="AN175" s="1058"/>
      <c r="AO175" s="260">
        <v>5.4</v>
      </c>
      <c r="AP175" s="67">
        <v>24</v>
      </c>
      <c r="AQ175" s="68">
        <f t="shared" si="476"/>
        <v>64.417680000000004</v>
      </c>
      <c r="AR175" s="68">
        <f t="shared" si="477"/>
        <v>12.643610840687122</v>
      </c>
      <c r="AS175" s="258">
        <f t="shared" si="478"/>
        <v>10021.72092</v>
      </c>
      <c r="AT175" s="68">
        <f t="shared" si="479"/>
        <v>10.459404425428158</v>
      </c>
      <c r="AU175" s="1073"/>
      <c r="AV175" s="216">
        <v>4</v>
      </c>
      <c r="AW175" s="71">
        <v>12</v>
      </c>
      <c r="AX175" s="72">
        <f t="shared" si="480"/>
        <v>24.803040000000003</v>
      </c>
      <c r="AY175" s="72">
        <f t="shared" si="481"/>
        <v>4.8682284960587889</v>
      </c>
      <c r="AZ175" s="276">
        <f t="shared" si="482"/>
        <v>3205.792919999998</v>
      </c>
      <c r="BA175" s="72">
        <f t="shared" si="483"/>
        <v>3.3458010776909797</v>
      </c>
      <c r="BB175" s="1075"/>
      <c r="BC175" s="253">
        <f t="shared" si="484"/>
        <v>32178</v>
      </c>
      <c r="BD175" s="59"/>
      <c r="BE175" s="252">
        <v>32178</v>
      </c>
      <c r="BF175" s="57"/>
      <c r="BG175" s="58">
        <f t="shared" si="485"/>
        <v>53097</v>
      </c>
      <c r="BH175" s="58">
        <f t="shared" si="486"/>
        <v>55.415931176913965</v>
      </c>
      <c r="BI175" s="1133"/>
      <c r="BJ175" s="63">
        <f t="shared" si="487"/>
        <v>1099</v>
      </c>
      <c r="BK175" s="133"/>
      <c r="BL175" s="64">
        <v>996</v>
      </c>
      <c r="BM175" s="64">
        <f t="shared" si="488"/>
        <v>103</v>
      </c>
      <c r="BN175" s="65">
        <f t="shared" si="489"/>
        <v>0.22734847665484306</v>
      </c>
      <c r="BO175" s="64">
        <f t="shared" si="490"/>
        <v>26792</v>
      </c>
      <c r="BP175" s="65">
        <f t="shared" si="491"/>
        <v>0.31558622556117916</v>
      </c>
      <c r="BQ175" s="1071"/>
      <c r="BR175" s="77">
        <f t="shared" si="492"/>
        <v>0</v>
      </c>
      <c r="BS175" s="35"/>
      <c r="BT175" s="35">
        <v>0</v>
      </c>
      <c r="BU175" s="35">
        <f t="shared" si="493"/>
        <v>0</v>
      </c>
      <c r="BV175" s="35">
        <f t="shared" si="494"/>
        <v>436136</v>
      </c>
      <c r="BW175" s="74">
        <f t="shared" si="495"/>
        <v>455.1835802356922</v>
      </c>
      <c r="BX175" s="1098"/>
      <c r="BY175" s="295">
        <f t="shared" si="496"/>
        <v>456</v>
      </c>
      <c r="BZ175" s="303"/>
      <c r="CA175" s="296">
        <v>288</v>
      </c>
      <c r="CB175" s="296">
        <f t="shared" si="497"/>
        <v>168</v>
      </c>
      <c r="CC175" s="297">
        <f t="shared" si="498"/>
        <v>0.37082081629139452</v>
      </c>
      <c r="CD175" s="296">
        <f t="shared" si="499"/>
        <v>13942</v>
      </c>
      <c r="CE175" s="297">
        <f t="shared" si="500"/>
        <v>0.16422451316713793</v>
      </c>
      <c r="CF175" s="1061"/>
      <c r="CH175">
        <f t="shared" si="418"/>
        <v>109715.20000000001</v>
      </c>
    </row>
    <row r="176" spans="1:86">
      <c r="A176" s="30">
        <v>44124</v>
      </c>
      <c r="B176" s="32">
        <v>446539</v>
      </c>
      <c r="C176" s="114">
        <f t="shared" si="416"/>
        <v>85342513</v>
      </c>
      <c r="D176" s="91">
        <v>4070.72</v>
      </c>
      <c r="E176" s="93">
        <f t="shared" si="417"/>
        <v>962224.78999999992</v>
      </c>
      <c r="F176" s="243">
        <f t="shared" si="455"/>
        <v>0</v>
      </c>
      <c r="G176" s="240">
        <v>32100</v>
      </c>
      <c r="H176" s="280">
        <v>22.35</v>
      </c>
      <c r="I176" s="240">
        <v>10000</v>
      </c>
      <c r="J176" s="240">
        <f t="shared" si="456"/>
        <v>22100</v>
      </c>
      <c r="K176" s="280">
        <f t="shared" si="457"/>
        <v>49.491757718810675</v>
      </c>
      <c r="L176" s="240">
        <f t="shared" si="458"/>
        <v>2640665</v>
      </c>
      <c r="M176" s="280">
        <f t="shared" si="459"/>
        <v>30.941964411101885</v>
      </c>
      <c r="N176" s="280">
        <f t="shared" si="460"/>
        <v>3.7886573296316746</v>
      </c>
      <c r="O176" s="1089"/>
      <c r="P176" s="1084"/>
      <c r="Q176" s="35">
        <f t="shared" si="461"/>
        <v>28350</v>
      </c>
      <c r="R176" s="98"/>
      <c r="S176" s="35">
        <v>27813</v>
      </c>
      <c r="T176" s="35">
        <f t="shared" si="462"/>
        <v>537</v>
      </c>
      <c r="U176" s="36">
        <f t="shared" si="463"/>
        <v>1.2025825291855807</v>
      </c>
      <c r="V176" s="74">
        <f t="shared" si="464"/>
        <v>172605</v>
      </c>
      <c r="W176" s="36">
        <f t="shared" si="465"/>
        <v>2.0224972751856978</v>
      </c>
      <c r="X176" s="1136"/>
      <c r="Y176" s="49">
        <f t="shared" si="466"/>
        <v>917</v>
      </c>
      <c r="Z176" s="50"/>
      <c r="AA176" s="50">
        <f>779+138</f>
        <v>917</v>
      </c>
      <c r="AB176" s="50">
        <f t="shared" si="467"/>
        <v>0</v>
      </c>
      <c r="AC176" s="51">
        <f t="shared" si="468"/>
        <v>0</v>
      </c>
      <c r="AD176" s="50">
        <f t="shared" si="469"/>
        <v>21346</v>
      </c>
      <c r="AE176" s="51">
        <f t="shared" si="470"/>
        <v>0.2501215308717239</v>
      </c>
      <c r="AF176" s="1047"/>
      <c r="AG176" s="40">
        <f t="shared" si="471"/>
        <v>1137</v>
      </c>
      <c r="AH176" s="44"/>
      <c r="AI176" s="41">
        <v>1119</v>
      </c>
      <c r="AJ176" s="41">
        <f t="shared" si="472"/>
        <v>18</v>
      </c>
      <c r="AK176" s="42">
        <f t="shared" si="473"/>
        <v>4.0310028911248512E-2</v>
      </c>
      <c r="AL176" s="41">
        <f t="shared" si="474"/>
        <v>10264</v>
      </c>
      <c r="AM176" s="42">
        <f t="shared" si="475"/>
        <v>0.12026831223027144</v>
      </c>
      <c r="AN176" s="1058"/>
      <c r="AO176" s="260">
        <v>5.2</v>
      </c>
      <c r="AP176" s="67">
        <v>24</v>
      </c>
      <c r="AQ176" s="68">
        <f t="shared" si="476"/>
        <v>62.031840000000003</v>
      </c>
      <c r="AR176" s="68">
        <f t="shared" si="477"/>
        <v>15.238542567408224</v>
      </c>
      <c r="AS176" s="258">
        <f t="shared" si="478"/>
        <v>10083.752759999999</v>
      </c>
      <c r="AT176" s="68">
        <f t="shared" si="479"/>
        <v>10.479622708535706</v>
      </c>
      <c r="AU176" s="1073"/>
      <c r="AV176" s="216">
        <v>3</v>
      </c>
      <c r="AW176" s="71">
        <v>12</v>
      </c>
      <c r="AX176" s="72">
        <f t="shared" si="480"/>
        <v>18.60228</v>
      </c>
      <c r="AY176" s="72">
        <f t="shared" si="481"/>
        <v>4.569776354060215</v>
      </c>
      <c r="AZ176" s="276">
        <f t="shared" si="482"/>
        <v>3224.3951999999981</v>
      </c>
      <c r="BA176" s="72">
        <f t="shared" si="483"/>
        <v>3.3509791407473495</v>
      </c>
      <c r="BB176" s="1075"/>
      <c r="BC176" s="253">
        <f t="shared" si="484"/>
        <v>32178</v>
      </c>
      <c r="BD176" s="59"/>
      <c r="BE176" s="252">
        <v>32178</v>
      </c>
      <c r="BF176" s="57"/>
      <c r="BG176" s="58">
        <f t="shared" si="485"/>
        <v>53097</v>
      </c>
      <c r="BH176" s="58">
        <f t="shared" si="486"/>
        <v>55.181492466017225</v>
      </c>
      <c r="BI176" s="1133"/>
      <c r="BJ176" s="63">
        <f t="shared" si="487"/>
        <v>996</v>
      </c>
      <c r="BK176" s="64">
        <v>1100</v>
      </c>
      <c r="BL176" s="64">
        <v>1939</v>
      </c>
      <c r="BM176" s="64">
        <f t="shared" si="488"/>
        <v>157</v>
      </c>
      <c r="BN176" s="65">
        <f t="shared" si="489"/>
        <v>0.35159302994811203</v>
      </c>
      <c r="BO176" s="64">
        <f t="shared" si="490"/>
        <v>26949</v>
      </c>
      <c r="BP176" s="65">
        <f t="shared" si="491"/>
        <v>0.31577462454146388</v>
      </c>
      <c r="BQ176" s="1071"/>
      <c r="BR176" s="77">
        <f t="shared" si="492"/>
        <v>0</v>
      </c>
      <c r="BS176" s="35">
        <v>35280</v>
      </c>
      <c r="BT176" s="35">
        <f>10842+13000</f>
        <v>23842</v>
      </c>
      <c r="BU176" s="35">
        <f t="shared" si="493"/>
        <v>11438</v>
      </c>
      <c r="BV176" s="35">
        <f t="shared" si="494"/>
        <v>447574</v>
      </c>
      <c r="BW176" s="74">
        <f t="shared" si="495"/>
        <v>465.14494809471705</v>
      </c>
      <c r="BX176" s="1098"/>
      <c r="BY176" s="295">
        <f t="shared" si="496"/>
        <v>288</v>
      </c>
      <c r="BZ176" s="303"/>
      <c r="CA176" s="296">
        <v>24</v>
      </c>
      <c r="CB176" s="296">
        <f t="shared" si="497"/>
        <v>264</v>
      </c>
      <c r="CC176" s="297">
        <f t="shared" si="498"/>
        <v>0.59121375736497817</v>
      </c>
      <c r="CD176" s="296">
        <f t="shared" si="499"/>
        <v>14206</v>
      </c>
      <c r="CE176" s="297">
        <f t="shared" si="500"/>
        <v>0.16645865584014383</v>
      </c>
      <c r="CF176" s="1061"/>
      <c r="CH176">
        <f t="shared" si="418"/>
        <v>681675</v>
      </c>
    </row>
    <row r="177" spans="1:86">
      <c r="A177" s="30">
        <v>44125</v>
      </c>
      <c r="B177" s="32">
        <v>267583</v>
      </c>
      <c r="C177" s="114">
        <f t="shared" si="416"/>
        <v>85610096</v>
      </c>
      <c r="D177" s="91">
        <v>2738.46</v>
      </c>
      <c r="E177" s="93">
        <f t="shared" si="417"/>
        <v>964963.24999999988</v>
      </c>
      <c r="F177" s="243">
        <f t="shared" si="455"/>
        <v>10000</v>
      </c>
      <c r="G177" s="240"/>
      <c r="H177" s="280"/>
      <c r="I177" s="240">
        <v>0</v>
      </c>
      <c r="J177" s="240">
        <f t="shared" si="456"/>
        <v>10000</v>
      </c>
      <c r="K177" s="280">
        <f t="shared" si="457"/>
        <v>37.37158190169032</v>
      </c>
      <c r="L177" s="240">
        <f t="shared" si="458"/>
        <v>2650665</v>
      </c>
      <c r="M177" s="280">
        <f t="shared" si="459"/>
        <v>30.962060829834837</v>
      </c>
      <c r="N177" s="280">
        <f t="shared" si="460"/>
        <v>3.7911180151628305</v>
      </c>
      <c r="O177" s="1089"/>
      <c r="P177" s="1084"/>
      <c r="Q177" s="35">
        <f t="shared" si="461"/>
        <v>27813</v>
      </c>
      <c r="R177" s="98"/>
      <c r="S177" s="35">
        <v>25673</v>
      </c>
      <c r="T177" s="35">
        <f t="shared" si="462"/>
        <v>2140</v>
      </c>
      <c r="U177" s="36">
        <f t="shared" si="463"/>
        <v>7.9975185269617279</v>
      </c>
      <c r="V177" s="74">
        <f t="shared" si="464"/>
        <v>174745</v>
      </c>
      <c r="W177" s="36">
        <f t="shared" si="465"/>
        <v>2.0411728074688762</v>
      </c>
      <c r="X177" s="1136"/>
      <c r="Y177" s="49">
        <f t="shared" si="466"/>
        <v>917</v>
      </c>
      <c r="Z177" s="248"/>
      <c r="AA177" s="50">
        <f>761+127</f>
        <v>888</v>
      </c>
      <c r="AB177" s="50">
        <f t="shared" si="467"/>
        <v>29</v>
      </c>
      <c r="AC177" s="51">
        <f t="shared" si="468"/>
        <v>0.10837758751490192</v>
      </c>
      <c r="AD177" s="50">
        <f t="shared" si="469"/>
        <v>21375</v>
      </c>
      <c r="AE177" s="51">
        <f t="shared" si="470"/>
        <v>0.24967849586338509</v>
      </c>
      <c r="AF177" s="1047"/>
      <c r="AG177" s="40">
        <f t="shared" si="471"/>
        <v>1119</v>
      </c>
      <c r="AH177" s="44"/>
      <c r="AI177" s="41">
        <v>1100</v>
      </c>
      <c r="AJ177" s="41">
        <f t="shared" si="472"/>
        <v>19</v>
      </c>
      <c r="AK177" s="42">
        <f t="shared" si="473"/>
        <v>7.1006005613211604E-2</v>
      </c>
      <c r="AL177" s="41">
        <f t="shared" si="474"/>
        <v>10283</v>
      </c>
      <c r="AM177" s="42">
        <f t="shared" si="475"/>
        <v>0.12011433791640649</v>
      </c>
      <c r="AN177" s="1058"/>
      <c r="AO177" s="260">
        <v>3</v>
      </c>
      <c r="AP177" s="67">
        <v>24</v>
      </c>
      <c r="AQ177" s="68">
        <f t="shared" si="476"/>
        <v>35.787599999999998</v>
      </c>
      <c r="AR177" s="68">
        <f t="shared" si="477"/>
        <v>13.06851295983874</v>
      </c>
      <c r="AS177" s="258">
        <f t="shared" si="478"/>
        <v>10119.540359999999</v>
      </c>
      <c r="AT177" s="68">
        <f t="shared" si="479"/>
        <v>10.486969695478042</v>
      </c>
      <c r="AU177" s="1073"/>
      <c r="AV177" s="216">
        <v>2</v>
      </c>
      <c r="AW177" s="71">
        <v>12</v>
      </c>
      <c r="AX177" s="72">
        <f t="shared" si="480"/>
        <v>12.401520000000001</v>
      </c>
      <c r="AY177" s="72">
        <f t="shared" si="481"/>
        <v>4.5286474880042071</v>
      </c>
      <c r="AZ177" s="276">
        <f t="shared" si="482"/>
        <v>3236.796719999998</v>
      </c>
      <c r="BA177" s="72">
        <f t="shared" si="483"/>
        <v>3.3543212345133333</v>
      </c>
      <c r="BB177" s="1075"/>
      <c r="BC177" s="253">
        <f t="shared" si="484"/>
        <v>32178</v>
      </c>
      <c r="BD177" s="59"/>
      <c r="BE177" s="252">
        <v>32178</v>
      </c>
      <c r="BF177" s="57"/>
      <c r="BG177" s="58">
        <f t="shared" si="485"/>
        <v>53097</v>
      </c>
      <c r="BH177" s="58">
        <f t="shared" si="486"/>
        <v>55.024893435060875</v>
      </c>
      <c r="BI177" s="1133"/>
      <c r="BJ177" s="63">
        <f t="shared" si="487"/>
        <v>1939</v>
      </c>
      <c r="BK177" s="133"/>
      <c r="BL177" s="64">
        <v>1939</v>
      </c>
      <c r="BM177" s="64">
        <f t="shared" si="488"/>
        <v>0</v>
      </c>
      <c r="BN177" s="65">
        <f t="shared" si="489"/>
        <v>0</v>
      </c>
      <c r="BO177" s="64">
        <f t="shared" si="490"/>
        <v>26949</v>
      </c>
      <c r="BP177" s="65">
        <f t="shared" si="491"/>
        <v>0.31478763906537377</v>
      </c>
      <c r="BQ177" s="1071"/>
      <c r="BR177" s="77">
        <f t="shared" si="492"/>
        <v>23842</v>
      </c>
      <c r="BS177" s="35"/>
      <c r="BT177" s="35">
        <f>8540+13000</f>
        <v>21540</v>
      </c>
      <c r="BU177" s="35">
        <f t="shared" si="493"/>
        <v>2302</v>
      </c>
      <c r="BV177" s="35">
        <f t="shared" si="494"/>
        <v>449876</v>
      </c>
      <c r="BW177" s="74">
        <f t="shared" si="495"/>
        <v>466.21050076259388</v>
      </c>
      <c r="BX177" s="1098"/>
      <c r="BY177" s="295">
        <f t="shared" si="496"/>
        <v>24</v>
      </c>
      <c r="BZ177" s="303"/>
      <c r="CA177" s="296">
        <v>0</v>
      </c>
      <c r="CB177" s="296">
        <f t="shared" si="497"/>
        <v>24</v>
      </c>
      <c r="CC177" s="297">
        <f t="shared" si="498"/>
        <v>8.9691796564056764E-2</v>
      </c>
      <c r="CD177" s="296">
        <f t="shared" si="499"/>
        <v>14230</v>
      </c>
      <c r="CE177" s="297">
        <f t="shared" si="500"/>
        <v>0.16621871326951906</v>
      </c>
      <c r="CF177" s="1061"/>
      <c r="CH177">
        <f t="shared" si="418"/>
        <v>0</v>
      </c>
    </row>
    <row r="178" spans="1:86">
      <c r="A178" s="30">
        <v>44126</v>
      </c>
      <c r="B178" s="32">
        <v>332737</v>
      </c>
      <c r="C178" s="114">
        <f t="shared" si="416"/>
        <v>85942833</v>
      </c>
      <c r="D178" s="1">
        <v>4004.3</v>
      </c>
      <c r="E178" s="93">
        <f t="shared" si="417"/>
        <v>968967.54999999993</v>
      </c>
      <c r="F178" s="243">
        <f t="shared" si="455"/>
        <v>0</v>
      </c>
      <c r="G178" s="240">
        <v>32100</v>
      </c>
      <c r="H178" s="280">
        <v>21.34</v>
      </c>
      <c r="I178" s="240">
        <v>14800</v>
      </c>
      <c r="J178" s="240">
        <f t="shared" si="456"/>
        <v>17300</v>
      </c>
      <c r="K178" s="280">
        <f t="shared" si="457"/>
        <v>51.993015504737976</v>
      </c>
      <c r="L178" s="240">
        <f t="shared" si="458"/>
        <v>2667965</v>
      </c>
      <c r="M178" s="280">
        <f t="shared" si="459"/>
        <v>31.043484452042673</v>
      </c>
      <c r="N178" s="280">
        <f t="shared" si="460"/>
        <v>3.8010878476849115</v>
      </c>
      <c r="O178" s="1089"/>
      <c r="P178" s="1084"/>
      <c r="Q178" s="35">
        <f t="shared" si="461"/>
        <v>25673</v>
      </c>
      <c r="R178" s="98"/>
      <c r="S178" s="35">
        <v>25673</v>
      </c>
      <c r="T178" s="35">
        <f t="shared" si="462"/>
        <v>0</v>
      </c>
      <c r="U178" s="36">
        <f t="shared" si="463"/>
        <v>0</v>
      </c>
      <c r="V178" s="74">
        <f t="shared" si="464"/>
        <v>174745</v>
      </c>
      <c r="W178" s="36">
        <f t="shared" si="465"/>
        <v>2.0332701855429876</v>
      </c>
      <c r="X178" s="1136"/>
      <c r="Y178" s="49">
        <f t="shared" si="466"/>
        <v>888</v>
      </c>
      <c r="Z178" s="248"/>
      <c r="AA178" s="50">
        <f>761+113</f>
        <v>874</v>
      </c>
      <c r="AB178" s="50">
        <f t="shared" si="467"/>
        <v>14</v>
      </c>
      <c r="AC178" s="51">
        <f t="shared" si="468"/>
        <v>4.207527266279374E-2</v>
      </c>
      <c r="AD178" s="50">
        <f t="shared" si="469"/>
        <v>21389</v>
      </c>
      <c r="AE178" s="51">
        <f t="shared" si="470"/>
        <v>0.24887473746647379</v>
      </c>
      <c r="AF178" s="1047"/>
      <c r="AG178" s="40">
        <f t="shared" si="471"/>
        <v>1100</v>
      </c>
      <c r="AH178" s="44"/>
      <c r="AI178" s="41">
        <v>1062</v>
      </c>
      <c r="AJ178" s="41">
        <f t="shared" si="472"/>
        <v>38</v>
      </c>
      <c r="AK178" s="42">
        <f t="shared" si="473"/>
        <v>0.11420431151329728</v>
      </c>
      <c r="AL178" s="41">
        <f t="shared" si="474"/>
        <v>10321</v>
      </c>
      <c r="AM178" s="42">
        <f t="shared" si="475"/>
        <v>0.12009145660813858</v>
      </c>
      <c r="AN178" s="1058"/>
      <c r="AO178" s="260">
        <v>5.4</v>
      </c>
      <c r="AP178" s="67">
        <v>24</v>
      </c>
      <c r="AQ178" s="68">
        <f t="shared" si="476"/>
        <v>64.417680000000004</v>
      </c>
      <c r="AR178" s="68">
        <f t="shared" si="477"/>
        <v>16.087126339185378</v>
      </c>
      <c r="AS178" s="258">
        <f t="shared" si="478"/>
        <v>10183.95804</v>
      </c>
      <c r="AT178" s="68">
        <f t="shared" si="479"/>
        <v>10.510112583233566</v>
      </c>
      <c r="AU178" s="1073"/>
      <c r="AV178" s="216">
        <v>3.3</v>
      </c>
      <c r="AW178" s="71">
        <v>12</v>
      </c>
      <c r="AX178" s="72">
        <f t="shared" si="480"/>
        <v>20.462508</v>
      </c>
      <c r="AY178" s="72">
        <f t="shared" si="481"/>
        <v>5.1101336063731484</v>
      </c>
      <c r="AZ178" s="276">
        <f t="shared" si="482"/>
        <v>3257.2592279999981</v>
      </c>
      <c r="BA178" s="72">
        <f t="shared" si="483"/>
        <v>3.361577204520418</v>
      </c>
      <c r="BB178" s="1075"/>
      <c r="BC178" s="253">
        <f t="shared" si="484"/>
        <v>32178</v>
      </c>
      <c r="BD178" s="59"/>
      <c r="BE178" s="252">
        <v>32178</v>
      </c>
      <c r="BF178" s="57"/>
      <c r="BG178" s="58">
        <f t="shared" si="485"/>
        <v>53097</v>
      </c>
      <c r="BH178" s="58">
        <f t="shared" si="486"/>
        <v>54.797500700616858</v>
      </c>
      <c r="BI178" s="1133"/>
      <c r="BJ178" s="63">
        <f t="shared" si="487"/>
        <v>1939</v>
      </c>
      <c r="BK178" s="133"/>
      <c r="BL178" s="64">
        <v>1807</v>
      </c>
      <c r="BM178" s="64">
        <f t="shared" si="488"/>
        <v>132</v>
      </c>
      <c r="BN178" s="65">
        <f t="shared" si="489"/>
        <v>0.39670971367776953</v>
      </c>
      <c r="BO178" s="64">
        <f t="shared" si="490"/>
        <v>27081</v>
      </c>
      <c r="BP178" s="65">
        <f t="shared" si="491"/>
        <v>0.31510480926315287</v>
      </c>
      <c r="BQ178" s="1071"/>
      <c r="BR178" s="77">
        <f t="shared" si="492"/>
        <v>21540</v>
      </c>
      <c r="BS178" s="35">
        <v>32260</v>
      </c>
      <c r="BT178" s="35">
        <f>34871+13000</f>
        <v>47871</v>
      </c>
      <c r="BU178" s="35">
        <f t="shared" si="493"/>
        <v>5929</v>
      </c>
      <c r="BV178" s="35">
        <f t="shared" si="494"/>
        <v>455805</v>
      </c>
      <c r="BW178" s="74">
        <f t="shared" si="495"/>
        <v>470.40274981344839</v>
      </c>
      <c r="BX178" s="1098"/>
      <c r="BY178" s="295">
        <f t="shared" si="496"/>
        <v>0</v>
      </c>
      <c r="BZ178" s="303"/>
      <c r="CA178" s="296">
        <v>0</v>
      </c>
      <c r="CB178" s="296">
        <f t="shared" si="497"/>
        <v>0</v>
      </c>
      <c r="CC178" s="297">
        <f t="shared" si="498"/>
        <v>0</v>
      </c>
      <c r="CD178" s="296">
        <f t="shared" si="499"/>
        <v>14230</v>
      </c>
      <c r="CE178" s="297">
        <f t="shared" si="500"/>
        <v>0.1655751794916977</v>
      </c>
      <c r="CF178" s="1061"/>
      <c r="CH178">
        <f t="shared" si="418"/>
        <v>717435</v>
      </c>
    </row>
    <row r="179" spans="1:86">
      <c r="A179" s="30">
        <v>44127</v>
      </c>
      <c r="B179" s="32">
        <v>478771</v>
      </c>
      <c r="C179" s="114">
        <f t="shared" si="416"/>
        <v>86421604</v>
      </c>
      <c r="D179" s="91">
        <v>4995.66</v>
      </c>
      <c r="E179" s="93">
        <f t="shared" si="417"/>
        <v>973963.21</v>
      </c>
      <c r="F179" s="243">
        <f t="shared" si="455"/>
        <v>14800</v>
      </c>
      <c r="G179" s="240"/>
      <c r="H179" s="280"/>
      <c r="I179" s="240">
        <v>0</v>
      </c>
      <c r="J179" s="240">
        <f t="shared" si="456"/>
        <v>14800</v>
      </c>
      <c r="K179" s="280">
        <f t="shared" si="457"/>
        <v>30.912482167884018</v>
      </c>
      <c r="L179" s="240">
        <f t="shared" si="458"/>
        <v>2682765</v>
      </c>
      <c r="M179" s="280">
        <f t="shared" si="459"/>
        <v>31.042758706491956</v>
      </c>
      <c r="N179" s="280">
        <f t="shared" si="460"/>
        <v>3.8009989845098513</v>
      </c>
      <c r="O179" s="1089"/>
      <c r="P179" s="1084"/>
      <c r="Q179" s="35">
        <f t="shared" si="461"/>
        <v>25673</v>
      </c>
      <c r="R179" s="98"/>
      <c r="S179" s="35">
        <v>25673</v>
      </c>
      <c r="T179" s="35">
        <f t="shared" si="462"/>
        <v>0</v>
      </c>
      <c r="U179" s="36">
        <f t="shared" si="463"/>
        <v>0</v>
      </c>
      <c r="V179" s="74">
        <f t="shared" si="464"/>
        <v>174745</v>
      </c>
      <c r="W179" s="36">
        <f t="shared" si="465"/>
        <v>2.0220059789679441</v>
      </c>
      <c r="X179" s="1136"/>
      <c r="Y179" s="49">
        <f t="shared" si="466"/>
        <v>874</v>
      </c>
      <c r="Z179" s="248"/>
      <c r="AA179" s="50">
        <f>761+86</f>
        <v>847</v>
      </c>
      <c r="AB179" s="50">
        <f t="shared" si="467"/>
        <v>27</v>
      </c>
      <c r="AC179" s="51">
        <f t="shared" si="468"/>
        <v>5.6394393144112737E-2</v>
      </c>
      <c r="AD179" s="50">
        <f t="shared" si="469"/>
        <v>21416</v>
      </c>
      <c r="AE179" s="51">
        <f t="shared" si="470"/>
        <v>0.24780840679605992</v>
      </c>
      <c r="AF179" s="1047"/>
      <c r="AG179" s="40">
        <f t="shared" si="471"/>
        <v>1062</v>
      </c>
      <c r="AH179" s="44"/>
      <c r="AI179" s="41">
        <v>1042</v>
      </c>
      <c r="AJ179" s="41">
        <f t="shared" si="472"/>
        <v>20</v>
      </c>
      <c r="AK179" s="42">
        <f t="shared" si="473"/>
        <v>4.177362455119462E-2</v>
      </c>
      <c r="AL179" s="41">
        <f t="shared" si="474"/>
        <v>10341</v>
      </c>
      <c r="AM179" s="42">
        <f t="shared" si="475"/>
        <v>0.11965758006528091</v>
      </c>
      <c r="AN179" s="1058"/>
      <c r="AO179" s="260">
        <v>5.8</v>
      </c>
      <c r="AP179" s="67">
        <v>24</v>
      </c>
      <c r="AQ179" s="68">
        <f t="shared" si="476"/>
        <v>69.189359999999994</v>
      </c>
      <c r="AR179" s="68">
        <f t="shared" si="477"/>
        <v>13.849893707738318</v>
      </c>
      <c r="AS179" s="258">
        <f t="shared" si="478"/>
        <v>10253.1474</v>
      </c>
      <c r="AT179" s="68">
        <f t="shared" si="479"/>
        <v>10.527243015678181</v>
      </c>
      <c r="AU179" s="1073"/>
      <c r="AV179" s="216">
        <v>4</v>
      </c>
      <c r="AW179" s="71">
        <v>12</v>
      </c>
      <c r="AX179" s="72">
        <f t="shared" si="480"/>
        <v>24.803040000000003</v>
      </c>
      <c r="AY179" s="72">
        <f t="shared" si="481"/>
        <v>4.96491754843204</v>
      </c>
      <c r="AZ179" s="276">
        <f t="shared" si="482"/>
        <v>3282.0622679999979</v>
      </c>
      <c r="BA179" s="72">
        <f t="shared" si="483"/>
        <v>3.3698010708227861</v>
      </c>
      <c r="BB179" s="1075"/>
      <c r="BC179" s="253">
        <f t="shared" si="484"/>
        <v>32178</v>
      </c>
      <c r="BD179" s="59"/>
      <c r="BE179" s="252">
        <v>32178</v>
      </c>
      <c r="BF179" s="57"/>
      <c r="BG179" s="58">
        <f t="shared" si="485"/>
        <v>53097</v>
      </c>
      <c r="BH179" s="58">
        <f t="shared" si="486"/>
        <v>54.516432915366487</v>
      </c>
      <c r="BI179" s="1133"/>
      <c r="BJ179" s="63">
        <f t="shared" si="487"/>
        <v>1807</v>
      </c>
      <c r="BK179" s="133"/>
      <c r="BL179" s="64">
        <v>1651</v>
      </c>
      <c r="BM179" s="64">
        <f t="shared" si="488"/>
        <v>156</v>
      </c>
      <c r="BN179" s="65">
        <f t="shared" si="489"/>
        <v>0.32583427149931804</v>
      </c>
      <c r="BO179" s="64">
        <f t="shared" si="490"/>
        <v>27237</v>
      </c>
      <c r="BP179" s="65">
        <f t="shared" si="491"/>
        <v>0.31516424990214253</v>
      </c>
      <c r="BQ179" s="1071"/>
      <c r="BR179" s="77">
        <f t="shared" si="492"/>
        <v>47871</v>
      </c>
      <c r="BS179" s="35"/>
      <c r="BT179" s="35">
        <f>32099+13000</f>
        <v>45099</v>
      </c>
      <c r="BU179" s="35">
        <f t="shared" si="493"/>
        <v>2772</v>
      </c>
      <c r="BV179" s="35">
        <f t="shared" si="494"/>
        <v>458577</v>
      </c>
      <c r="BW179" s="74">
        <f t="shared" si="495"/>
        <v>470.83605960845279</v>
      </c>
      <c r="BX179" s="1098"/>
      <c r="BY179" s="295">
        <f t="shared" si="496"/>
        <v>0</v>
      </c>
      <c r="BZ179" s="303"/>
      <c r="CA179" s="296">
        <v>0</v>
      </c>
      <c r="CB179" s="296">
        <f t="shared" si="497"/>
        <v>0</v>
      </c>
      <c r="CC179" s="297">
        <f t="shared" si="498"/>
        <v>0</v>
      </c>
      <c r="CD179" s="296">
        <f t="shared" si="499"/>
        <v>14230</v>
      </c>
      <c r="CE179" s="297">
        <f t="shared" si="500"/>
        <v>0.16465790197552918</v>
      </c>
      <c r="CF179" s="1061"/>
      <c r="CH179">
        <f t="shared" si="418"/>
        <v>0</v>
      </c>
    </row>
    <row r="180" spans="1:86" ht="15" customHeight="1">
      <c r="A180" s="30">
        <v>44128</v>
      </c>
      <c r="B180" s="32">
        <v>494557</v>
      </c>
      <c r="C180" s="114">
        <f t="shared" si="416"/>
        <v>86916161</v>
      </c>
      <c r="D180" s="91">
        <v>3792.46</v>
      </c>
      <c r="E180" s="93">
        <f t="shared" si="417"/>
        <v>977755.66999999993</v>
      </c>
      <c r="F180" s="243">
        <f t="shared" si="455"/>
        <v>0</v>
      </c>
      <c r="G180" s="240">
        <v>32100</v>
      </c>
      <c r="H180" s="280">
        <v>20.65</v>
      </c>
      <c r="I180" s="240">
        <v>13200</v>
      </c>
      <c r="J180" s="240">
        <f t="shared" si="456"/>
        <v>18900</v>
      </c>
      <c r="K180" s="280">
        <f t="shared" si="457"/>
        <v>38.21601958924856</v>
      </c>
      <c r="L180" s="240">
        <f t="shared" si="458"/>
        <v>2701665</v>
      </c>
      <c r="M180" s="280">
        <f t="shared" si="459"/>
        <v>31.083574894661997</v>
      </c>
      <c r="N180" s="280">
        <f t="shared" si="460"/>
        <v>3.8059966811144847</v>
      </c>
      <c r="O180" s="1089"/>
      <c r="P180" s="1084"/>
      <c r="Q180" s="35">
        <f t="shared" si="461"/>
        <v>25673</v>
      </c>
      <c r="R180" s="98"/>
      <c r="S180" s="35">
        <v>25673</v>
      </c>
      <c r="T180" s="35">
        <f t="shared" si="462"/>
        <v>0</v>
      </c>
      <c r="U180" s="36">
        <f t="shared" si="463"/>
        <v>0</v>
      </c>
      <c r="V180" s="74">
        <f t="shared" si="464"/>
        <v>174745</v>
      </c>
      <c r="W180" s="36">
        <f t="shared" si="465"/>
        <v>2.0105006708706337</v>
      </c>
      <c r="X180" s="1136"/>
      <c r="Y180" s="49">
        <f t="shared" si="466"/>
        <v>847</v>
      </c>
      <c r="Z180" s="50"/>
      <c r="AA180" s="50">
        <f>743+80</f>
        <v>823</v>
      </c>
      <c r="AB180" s="50">
        <f t="shared" si="467"/>
        <v>24</v>
      </c>
      <c r="AC180" s="51">
        <f t="shared" si="468"/>
        <v>4.8528278843490237E-2</v>
      </c>
      <c r="AD180" s="50">
        <f t="shared" si="469"/>
        <v>21440</v>
      </c>
      <c r="AE180" s="51">
        <f t="shared" si="470"/>
        <v>0.24667449359619092</v>
      </c>
      <c r="AF180" s="1047"/>
      <c r="AG180" s="40">
        <f t="shared" si="471"/>
        <v>1042</v>
      </c>
      <c r="AH180" s="44"/>
      <c r="AI180" s="41">
        <v>1042</v>
      </c>
      <c r="AJ180" s="41">
        <f t="shared" si="472"/>
        <v>0</v>
      </c>
      <c r="AK180" s="42">
        <f t="shared" si="473"/>
        <v>0</v>
      </c>
      <c r="AL180" s="41">
        <f t="shared" si="474"/>
        <v>10341</v>
      </c>
      <c r="AM180" s="42">
        <f t="shared" si="475"/>
        <v>0.11897672286745384</v>
      </c>
      <c r="AN180" s="1058"/>
      <c r="AO180" s="260">
        <v>5.2</v>
      </c>
      <c r="AP180" s="67">
        <v>24</v>
      </c>
      <c r="AQ180" s="68">
        <f t="shared" si="476"/>
        <v>62.031840000000003</v>
      </c>
      <c r="AR180" s="68">
        <f t="shared" si="477"/>
        <v>16.356623405388589</v>
      </c>
      <c r="AS180" s="258">
        <f t="shared" si="478"/>
        <v>10315.179239999999</v>
      </c>
      <c r="AT180" s="68">
        <f t="shared" si="479"/>
        <v>10.549853666407275</v>
      </c>
      <c r="AU180" s="1073"/>
      <c r="AV180" s="216">
        <v>3</v>
      </c>
      <c r="AW180" s="71">
        <v>12</v>
      </c>
      <c r="AX180" s="72">
        <f t="shared" si="480"/>
        <v>18.60228</v>
      </c>
      <c r="AY180" s="72">
        <f t="shared" si="481"/>
        <v>4.9050695327043661</v>
      </c>
      <c r="AZ180" s="276">
        <f t="shared" si="482"/>
        <v>3300.6645479999979</v>
      </c>
      <c r="BA180" s="72">
        <f t="shared" si="483"/>
        <v>3.375755977973514</v>
      </c>
      <c r="BB180" s="1075"/>
      <c r="BC180" s="253">
        <f t="shared" si="484"/>
        <v>32178</v>
      </c>
      <c r="BD180" s="59"/>
      <c r="BE180" s="252">
        <v>32178</v>
      </c>
      <c r="BF180" s="57"/>
      <c r="BG180" s="58">
        <f t="shared" si="485"/>
        <v>53097</v>
      </c>
      <c r="BH180" s="58">
        <f t="shared" si="486"/>
        <v>54.304977847891188</v>
      </c>
      <c r="BI180" s="1133"/>
      <c r="BJ180" s="63">
        <f t="shared" si="487"/>
        <v>1651</v>
      </c>
      <c r="BK180" s="64"/>
      <c r="BL180" s="64">
        <v>1471</v>
      </c>
      <c r="BM180" s="64">
        <f t="shared" si="488"/>
        <v>180</v>
      </c>
      <c r="BN180" s="65">
        <f t="shared" si="489"/>
        <v>0.36396209132617674</v>
      </c>
      <c r="BO180" s="64">
        <f t="shared" si="490"/>
        <v>27417</v>
      </c>
      <c r="BP180" s="65">
        <f t="shared" si="491"/>
        <v>0.31544191189024101</v>
      </c>
      <c r="BQ180" s="1071"/>
      <c r="BR180" s="77">
        <f t="shared" si="492"/>
        <v>45099</v>
      </c>
      <c r="BS180" s="315"/>
      <c r="BT180" s="35">
        <f>27478+13000</f>
        <v>40478</v>
      </c>
      <c r="BU180" s="35">
        <f t="shared" si="493"/>
        <v>4621</v>
      </c>
      <c r="BV180" s="35">
        <f t="shared" si="494"/>
        <v>463198</v>
      </c>
      <c r="BW180" s="74">
        <f t="shared" si="495"/>
        <v>473.73593854996517</v>
      </c>
      <c r="BX180" s="1098"/>
      <c r="BY180" s="295">
        <f t="shared" si="496"/>
        <v>0</v>
      </c>
      <c r="BZ180" s="303"/>
      <c r="CA180" s="296">
        <v>0</v>
      </c>
      <c r="CB180" s="296">
        <f t="shared" si="497"/>
        <v>0</v>
      </c>
      <c r="CC180" s="297">
        <f t="shared" si="498"/>
        <v>0</v>
      </c>
      <c r="CD180" s="296">
        <f t="shared" si="499"/>
        <v>14230</v>
      </c>
      <c r="CE180" s="297">
        <f t="shared" si="500"/>
        <v>0.16372099085232261</v>
      </c>
      <c r="CF180" s="1061"/>
      <c r="CH180">
        <f t="shared" si="418"/>
        <v>685014</v>
      </c>
    </row>
    <row r="181" spans="1:86">
      <c r="A181" s="30">
        <v>44129</v>
      </c>
      <c r="B181" s="32">
        <v>293473</v>
      </c>
      <c r="C181" s="114">
        <f t="shared" si="416"/>
        <v>87209634</v>
      </c>
      <c r="D181" s="91">
        <v>2950.22</v>
      </c>
      <c r="E181" s="93">
        <f t="shared" si="417"/>
        <v>980705.8899999999</v>
      </c>
      <c r="F181" s="243">
        <f t="shared" si="455"/>
        <v>13200</v>
      </c>
      <c r="G181" s="240"/>
      <c r="H181" s="280"/>
      <c r="I181" s="240">
        <v>3200</v>
      </c>
      <c r="J181" s="240">
        <f t="shared" si="456"/>
        <v>10000</v>
      </c>
      <c r="K181" s="280">
        <f t="shared" si="457"/>
        <v>34.074684894351442</v>
      </c>
      <c r="L181" s="240">
        <f t="shared" si="458"/>
        <v>2711665</v>
      </c>
      <c r="M181" s="280">
        <f t="shared" si="459"/>
        <v>31.093640411333453</v>
      </c>
      <c r="N181" s="280">
        <f t="shared" si="460"/>
        <v>3.8072291430554004</v>
      </c>
      <c r="O181" s="1089"/>
      <c r="P181" s="1084"/>
      <c r="Q181" s="35">
        <f t="shared" si="461"/>
        <v>25673</v>
      </c>
      <c r="R181" s="98"/>
      <c r="S181" s="35">
        <v>25406</v>
      </c>
      <c r="T181" s="35">
        <f t="shared" si="462"/>
        <v>267</v>
      </c>
      <c r="U181" s="36">
        <f t="shared" si="463"/>
        <v>0.90979408667918349</v>
      </c>
      <c r="V181" s="74">
        <f t="shared" si="464"/>
        <v>175012</v>
      </c>
      <c r="W181" s="36">
        <f t="shared" si="465"/>
        <v>2.0067966344177068</v>
      </c>
      <c r="X181" s="1136"/>
      <c r="Y181" s="49">
        <f t="shared" si="466"/>
        <v>823</v>
      </c>
      <c r="Z181" s="248"/>
      <c r="AA181" s="50">
        <f>707+47</f>
        <v>754</v>
      </c>
      <c r="AB181" s="50">
        <f t="shared" si="467"/>
        <v>69</v>
      </c>
      <c r="AC181" s="51">
        <f t="shared" si="468"/>
        <v>0.23511532577102492</v>
      </c>
      <c r="AD181" s="50">
        <f t="shared" si="469"/>
        <v>21509</v>
      </c>
      <c r="AE181" s="51">
        <f t="shared" si="470"/>
        <v>0.24663559532883716</v>
      </c>
      <c r="AF181" s="1047"/>
      <c r="AG181" s="40">
        <f t="shared" si="471"/>
        <v>1042</v>
      </c>
      <c r="AH181" s="44"/>
      <c r="AI181" s="41">
        <v>1023</v>
      </c>
      <c r="AJ181" s="41">
        <f t="shared" si="472"/>
        <v>19</v>
      </c>
      <c r="AK181" s="42">
        <f t="shared" si="473"/>
        <v>6.474190129926774E-2</v>
      </c>
      <c r="AL181" s="41">
        <f t="shared" si="474"/>
        <v>10360</v>
      </c>
      <c r="AM181" s="42">
        <f t="shared" si="475"/>
        <v>0.11879421486850868</v>
      </c>
      <c r="AN181" s="1058"/>
      <c r="AO181" s="260">
        <v>3</v>
      </c>
      <c r="AP181" s="67">
        <v>24</v>
      </c>
      <c r="AQ181" s="68">
        <f t="shared" si="476"/>
        <v>35.787599999999998</v>
      </c>
      <c r="AR181" s="68">
        <f t="shared" si="477"/>
        <v>12.130485184155757</v>
      </c>
      <c r="AS181" s="258">
        <f t="shared" si="478"/>
        <v>10350.966839999999</v>
      </c>
      <c r="AT181" s="68">
        <f t="shared" si="479"/>
        <v>10.554608619715745</v>
      </c>
      <c r="AU181" s="1073"/>
      <c r="AV181" s="216">
        <v>2.1</v>
      </c>
      <c r="AW181" s="71">
        <v>12</v>
      </c>
      <c r="AX181" s="72">
        <f t="shared" si="480"/>
        <v>13.021596000000002</v>
      </c>
      <c r="AY181" s="72">
        <f t="shared" si="481"/>
        <v>4.413771176386847</v>
      </c>
      <c r="AZ181" s="276">
        <f t="shared" si="482"/>
        <v>3313.686143999998</v>
      </c>
      <c r="BA181" s="72">
        <f t="shared" si="483"/>
        <v>3.3788785993729458</v>
      </c>
      <c r="BB181" s="1075"/>
      <c r="BC181" s="253">
        <f t="shared" si="484"/>
        <v>32178</v>
      </c>
      <c r="BD181" s="59"/>
      <c r="BE181" s="252">
        <v>32178</v>
      </c>
      <c r="BF181" s="57"/>
      <c r="BG181" s="58">
        <f t="shared" si="485"/>
        <v>53097</v>
      </c>
      <c r="BH181" s="58">
        <f t="shared" si="486"/>
        <v>54.141614261131849</v>
      </c>
      <c r="BI181" s="1133"/>
      <c r="BJ181" s="63">
        <f t="shared" si="487"/>
        <v>1471</v>
      </c>
      <c r="BK181" s="133"/>
      <c r="BL181" s="64">
        <v>1327</v>
      </c>
      <c r="BM181" s="64">
        <f t="shared" si="488"/>
        <v>144</v>
      </c>
      <c r="BN181" s="65">
        <f t="shared" si="489"/>
        <v>0.49067546247866073</v>
      </c>
      <c r="BO181" s="64">
        <f t="shared" si="490"/>
        <v>27561</v>
      </c>
      <c r="BP181" s="65">
        <f t="shared" si="491"/>
        <v>0.31603159806862624</v>
      </c>
      <c r="BQ181" s="1071"/>
      <c r="BR181" s="77">
        <f t="shared" si="492"/>
        <v>40478</v>
      </c>
      <c r="BS181" s="35"/>
      <c r="BT181" s="35">
        <f>25629+13000</f>
        <v>38629</v>
      </c>
      <c r="BU181" s="35">
        <f t="shared" si="493"/>
        <v>1849</v>
      </c>
      <c r="BV181" s="35">
        <f t="shared" si="494"/>
        <v>465047</v>
      </c>
      <c r="BW181" s="74">
        <f t="shared" si="495"/>
        <v>474.19619351934352</v>
      </c>
      <c r="BX181" s="1098"/>
      <c r="BY181" s="295">
        <f t="shared" si="496"/>
        <v>0</v>
      </c>
      <c r="BZ181" s="303"/>
      <c r="CA181" s="296">
        <v>0</v>
      </c>
      <c r="CB181" s="296">
        <f t="shared" si="497"/>
        <v>0</v>
      </c>
      <c r="CC181" s="297">
        <f t="shared" si="498"/>
        <v>0</v>
      </c>
      <c r="CD181" s="296">
        <f t="shared" si="499"/>
        <v>14230</v>
      </c>
      <c r="CE181" s="297">
        <f t="shared" si="500"/>
        <v>0.16317004609834734</v>
      </c>
      <c r="CF181" s="1061"/>
      <c r="CH181">
        <f t="shared" si="418"/>
        <v>0</v>
      </c>
    </row>
    <row r="182" spans="1:86">
      <c r="A182" s="30">
        <v>44130</v>
      </c>
      <c r="B182" s="32">
        <v>446373</v>
      </c>
      <c r="C182" s="114">
        <f t="shared" si="416"/>
        <v>87656007</v>
      </c>
      <c r="D182" s="91">
        <v>4321.1400000000003</v>
      </c>
      <c r="E182" s="93">
        <f t="shared" si="417"/>
        <v>985027.02999999991</v>
      </c>
      <c r="F182" s="243">
        <f t="shared" si="455"/>
        <v>3200</v>
      </c>
      <c r="G182" s="240">
        <v>32100</v>
      </c>
      <c r="H182" s="280">
        <v>21.47</v>
      </c>
      <c r="I182" s="240">
        <v>0</v>
      </c>
      <c r="J182" s="240">
        <f t="shared" si="456"/>
        <v>35300</v>
      </c>
      <c r="K182" s="280">
        <f t="shared" si="457"/>
        <v>79.081844107954552</v>
      </c>
      <c r="L182" s="240">
        <f t="shared" si="458"/>
        <v>2746965</v>
      </c>
      <c r="M182" s="280">
        <f t="shared" si="459"/>
        <v>31.338012008692115</v>
      </c>
      <c r="N182" s="280">
        <f t="shared" si="460"/>
        <v>3.8371509744939529</v>
      </c>
      <c r="O182" s="1089"/>
      <c r="P182" s="1084"/>
      <c r="Q182" s="35">
        <f t="shared" si="461"/>
        <v>25406</v>
      </c>
      <c r="R182" s="98"/>
      <c r="S182" s="35">
        <v>22495</v>
      </c>
      <c r="T182" s="35">
        <f t="shared" si="462"/>
        <v>2911</v>
      </c>
      <c r="U182" s="36">
        <f t="shared" si="463"/>
        <v>6.5214517903188591</v>
      </c>
      <c r="V182" s="74">
        <f t="shared" si="464"/>
        <v>177923</v>
      </c>
      <c r="W182" s="36">
        <f t="shared" si="465"/>
        <v>2.0297867321289229</v>
      </c>
      <c r="X182" s="1136"/>
      <c r="Y182" s="49">
        <f t="shared" si="466"/>
        <v>754</v>
      </c>
      <c r="Z182" s="248"/>
      <c r="AA182" s="50">
        <f>653+101</f>
        <v>754</v>
      </c>
      <c r="AB182" s="50">
        <f t="shared" si="467"/>
        <v>0</v>
      </c>
      <c r="AC182" s="51">
        <f t="shared" si="468"/>
        <v>0</v>
      </c>
      <c r="AD182" s="50">
        <f t="shared" si="469"/>
        <v>21509</v>
      </c>
      <c r="AE182" s="51">
        <f t="shared" si="470"/>
        <v>0.2453796463715259</v>
      </c>
      <c r="AF182" s="1047"/>
      <c r="AG182" s="40">
        <f t="shared" si="471"/>
        <v>1023</v>
      </c>
      <c r="AH182" s="44"/>
      <c r="AI182" s="41">
        <v>984</v>
      </c>
      <c r="AJ182" s="41">
        <f t="shared" si="472"/>
        <v>39</v>
      </c>
      <c r="AK182" s="42">
        <f t="shared" si="473"/>
        <v>8.7370875926635352E-2</v>
      </c>
      <c r="AL182" s="41">
        <f t="shared" si="474"/>
        <v>10399</v>
      </c>
      <c r="AM182" s="42">
        <f t="shared" si="475"/>
        <v>0.11863419696952429</v>
      </c>
      <c r="AN182" s="1058"/>
      <c r="AO182" s="260">
        <v>6</v>
      </c>
      <c r="AP182" s="67">
        <v>24</v>
      </c>
      <c r="AQ182" s="68">
        <f t="shared" si="476"/>
        <v>71.575199999999995</v>
      </c>
      <c r="AR182" s="68">
        <f t="shared" si="477"/>
        <v>16.563962287729623</v>
      </c>
      <c r="AS182" s="258">
        <f t="shared" si="478"/>
        <v>10422.542039999998</v>
      </c>
      <c r="AT182" s="68">
        <f t="shared" si="479"/>
        <v>10.580970595294223</v>
      </c>
      <c r="AU182" s="1073"/>
      <c r="AV182" s="216">
        <v>3.3</v>
      </c>
      <c r="AW182" s="71">
        <v>12</v>
      </c>
      <c r="AX182" s="72">
        <f t="shared" si="480"/>
        <v>20.462508</v>
      </c>
      <c r="AY182" s="72">
        <f t="shared" si="481"/>
        <v>4.7354420361293537</v>
      </c>
      <c r="AZ182" s="276">
        <f t="shared" si="482"/>
        <v>3334.148651999998</v>
      </c>
      <c r="BA182" s="72">
        <f t="shared" si="483"/>
        <v>3.3848296041175625</v>
      </c>
      <c r="BB182" s="1075"/>
      <c r="BC182" s="253">
        <f t="shared" si="484"/>
        <v>32178</v>
      </c>
      <c r="BD182" s="59"/>
      <c r="BE182" s="252">
        <v>32178</v>
      </c>
      <c r="BF182" s="57"/>
      <c r="BG182" s="58">
        <f t="shared" si="485"/>
        <v>53097</v>
      </c>
      <c r="BH182" s="58">
        <f t="shared" si="486"/>
        <v>53.904104540156631</v>
      </c>
      <c r="BI182" s="1133"/>
      <c r="BJ182" s="63">
        <f t="shared" si="487"/>
        <v>1327</v>
      </c>
      <c r="BK182" s="133"/>
      <c r="BL182" s="64">
        <v>1219</v>
      </c>
      <c r="BM182" s="64">
        <f t="shared" si="488"/>
        <v>108</v>
      </c>
      <c r="BN182" s="65">
        <f t="shared" si="489"/>
        <v>0.2419501179506825</v>
      </c>
      <c r="BO182" s="64">
        <f t="shared" si="490"/>
        <v>27669</v>
      </c>
      <c r="BP182" s="65">
        <f t="shared" si="491"/>
        <v>0.31565435099045752</v>
      </c>
      <c r="BQ182" s="1071"/>
      <c r="BR182" s="77">
        <f t="shared" si="492"/>
        <v>38629</v>
      </c>
      <c r="BS182" s="35"/>
      <c r="BT182" s="35">
        <f>21933+13000</f>
        <v>34933</v>
      </c>
      <c r="BU182" s="35">
        <f t="shared" si="493"/>
        <v>3696</v>
      </c>
      <c r="BV182" s="35">
        <f t="shared" si="494"/>
        <v>468743</v>
      </c>
      <c r="BW182" s="74">
        <f t="shared" si="495"/>
        <v>475.86815967882632</v>
      </c>
      <c r="BX182" s="1098"/>
      <c r="BY182" s="295">
        <f t="shared" si="496"/>
        <v>0</v>
      </c>
      <c r="BZ182" s="303"/>
      <c r="CA182" s="296">
        <v>0</v>
      </c>
      <c r="CB182" s="296">
        <f t="shared" si="497"/>
        <v>0</v>
      </c>
      <c r="CC182" s="297">
        <f t="shared" si="498"/>
        <v>0</v>
      </c>
      <c r="CD182" s="296">
        <f t="shared" si="499"/>
        <v>14230</v>
      </c>
      <c r="CE182" s="297">
        <f t="shared" si="500"/>
        <v>0.1623391309622397</v>
      </c>
      <c r="CF182" s="1061"/>
      <c r="CH182">
        <f t="shared" si="418"/>
        <v>662865</v>
      </c>
    </row>
    <row r="183" spans="1:86">
      <c r="A183" s="30">
        <v>44131</v>
      </c>
      <c r="B183" s="32">
        <v>383358</v>
      </c>
      <c r="C183" s="114">
        <f t="shared" si="416"/>
        <v>88039365</v>
      </c>
      <c r="D183" s="91">
        <v>4561.2</v>
      </c>
      <c r="E183" s="93">
        <f t="shared" si="417"/>
        <v>989588.22999999986</v>
      </c>
      <c r="F183" s="243">
        <f t="shared" si="455"/>
        <v>0</v>
      </c>
      <c r="G183" s="240"/>
      <c r="H183" s="280"/>
      <c r="I183" s="240">
        <v>0</v>
      </c>
      <c r="J183" s="240">
        <f t="shared" si="456"/>
        <v>0</v>
      </c>
      <c r="K183" s="280">
        <f t="shared" si="457"/>
        <v>0</v>
      </c>
      <c r="L183" s="240">
        <f t="shared" si="458"/>
        <v>2746965</v>
      </c>
      <c r="M183" s="280">
        <f t="shared" si="459"/>
        <v>31.201553986674028</v>
      </c>
      <c r="N183" s="280">
        <f t="shared" si="460"/>
        <v>3.8204425109188231</v>
      </c>
      <c r="O183" s="1089"/>
      <c r="P183" s="1084"/>
      <c r="Q183" s="35">
        <f t="shared" si="461"/>
        <v>22495</v>
      </c>
      <c r="R183" s="98"/>
      <c r="S183" s="35">
        <v>21710</v>
      </c>
      <c r="T183" s="35">
        <f t="shared" si="462"/>
        <v>785</v>
      </c>
      <c r="U183" s="36">
        <f t="shared" si="463"/>
        <v>2.0476943222783923</v>
      </c>
      <c r="V183" s="74">
        <f t="shared" si="464"/>
        <v>178708</v>
      </c>
      <c r="W183" s="36">
        <f t="shared" si="465"/>
        <v>2.0298647088151989</v>
      </c>
      <c r="X183" s="1136"/>
      <c r="Y183" s="49">
        <f t="shared" si="466"/>
        <v>754</v>
      </c>
      <c r="Z183" s="248"/>
      <c r="AA183" s="50">
        <f>617+65</f>
        <v>682</v>
      </c>
      <c r="AB183" s="50">
        <f t="shared" si="467"/>
        <v>72</v>
      </c>
      <c r="AC183" s="51">
        <f t="shared" si="468"/>
        <v>0.18781400153381433</v>
      </c>
      <c r="AD183" s="50">
        <f t="shared" si="469"/>
        <v>21581</v>
      </c>
      <c r="AE183" s="51">
        <f t="shared" si="470"/>
        <v>0.24512898292712584</v>
      </c>
      <c r="AF183" s="1047"/>
      <c r="AG183" s="40">
        <f t="shared" si="471"/>
        <v>984</v>
      </c>
      <c r="AH183" s="44"/>
      <c r="AI183" s="41">
        <v>964</v>
      </c>
      <c r="AJ183" s="41">
        <f t="shared" si="472"/>
        <v>20</v>
      </c>
      <c r="AK183" s="42">
        <f t="shared" si="473"/>
        <v>5.2170555981615095E-2</v>
      </c>
      <c r="AL183" s="41">
        <f t="shared" si="474"/>
        <v>10419</v>
      </c>
      <c r="AM183" s="42">
        <f t="shared" si="475"/>
        <v>0.11834478815243613</v>
      </c>
      <c r="AN183" s="1058"/>
      <c r="AO183" s="260">
        <v>6.6</v>
      </c>
      <c r="AP183" s="67">
        <v>24</v>
      </c>
      <c r="AQ183" s="68">
        <f t="shared" si="476"/>
        <v>78.732719999999986</v>
      </c>
      <c r="AR183" s="68">
        <f t="shared" si="477"/>
        <v>17.26140489344909</v>
      </c>
      <c r="AS183" s="258">
        <f t="shared" si="478"/>
        <v>10501.274759999998</v>
      </c>
      <c r="AT183" s="68">
        <f t="shared" si="479"/>
        <v>10.611761985083431</v>
      </c>
      <c r="AU183" s="1073"/>
      <c r="AV183" s="216">
        <v>3.7</v>
      </c>
      <c r="AW183" s="71">
        <v>12</v>
      </c>
      <c r="AX183" s="72">
        <f t="shared" si="480"/>
        <v>22.942812000000004</v>
      </c>
      <c r="AY183" s="72">
        <f t="shared" si="481"/>
        <v>5.029994738226784</v>
      </c>
      <c r="AZ183" s="276">
        <f t="shared" si="482"/>
        <v>3357.0914639999983</v>
      </c>
      <c r="BA183" s="72">
        <f t="shared" si="483"/>
        <v>3.3924124825130537</v>
      </c>
      <c r="BB183" s="1075"/>
      <c r="BC183" s="253">
        <f t="shared" si="484"/>
        <v>32178</v>
      </c>
      <c r="BD183" s="59"/>
      <c r="BE183" s="252">
        <v>32178</v>
      </c>
      <c r="BF183" s="57"/>
      <c r="BG183" s="58">
        <f t="shared" si="485"/>
        <v>53097</v>
      </c>
      <c r="BH183" s="58">
        <f t="shared" si="486"/>
        <v>53.655650290020127</v>
      </c>
      <c r="BI183" s="1133"/>
      <c r="BJ183" s="63">
        <f t="shared" si="487"/>
        <v>1219</v>
      </c>
      <c r="BK183" s="133"/>
      <c r="BL183" s="64">
        <v>972</v>
      </c>
      <c r="BM183" s="64">
        <f t="shared" si="488"/>
        <v>247</v>
      </c>
      <c r="BN183" s="65">
        <f t="shared" si="489"/>
        <v>0.64430636637294647</v>
      </c>
      <c r="BO183" s="64">
        <f t="shared" si="490"/>
        <v>27916</v>
      </c>
      <c r="BP183" s="65">
        <f t="shared" si="491"/>
        <v>0.31708543104553288</v>
      </c>
      <c r="BQ183" s="1071"/>
      <c r="BR183" s="77">
        <f t="shared" si="492"/>
        <v>34933</v>
      </c>
      <c r="BS183" s="35"/>
      <c r="BT183" s="35">
        <f>19160+13000</f>
        <v>32160</v>
      </c>
      <c r="BU183" s="35">
        <f t="shared" si="493"/>
        <v>2773</v>
      </c>
      <c r="BV183" s="35">
        <f t="shared" si="494"/>
        <v>471516</v>
      </c>
      <c r="BW183" s="74">
        <f t="shared" si="495"/>
        <v>476.47696860743793</v>
      </c>
      <c r="BX183" s="1098"/>
      <c r="BY183" s="295">
        <f t="shared" si="496"/>
        <v>0</v>
      </c>
      <c r="BZ183" s="303"/>
      <c r="CA183" s="296">
        <v>0</v>
      </c>
      <c r="CB183" s="296">
        <f t="shared" si="497"/>
        <v>0</v>
      </c>
      <c r="CC183" s="297">
        <f t="shared" si="498"/>
        <v>0</v>
      </c>
      <c r="CD183" s="296">
        <f t="shared" si="499"/>
        <v>14230</v>
      </c>
      <c r="CE183" s="297">
        <f t="shared" si="500"/>
        <v>0.16163224257694273</v>
      </c>
      <c r="CF183" s="1061"/>
      <c r="CH183">
        <f t="shared" si="418"/>
        <v>0</v>
      </c>
    </row>
    <row r="184" spans="1:86">
      <c r="A184" s="30">
        <v>44132</v>
      </c>
      <c r="B184" s="32">
        <v>446328</v>
      </c>
      <c r="C184" s="114">
        <f t="shared" si="416"/>
        <v>88485693</v>
      </c>
      <c r="D184" s="91">
        <v>4111.9799999999996</v>
      </c>
      <c r="E184" s="93">
        <f t="shared" si="417"/>
        <v>993700.20999999985</v>
      </c>
      <c r="F184" s="243">
        <f t="shared" si="455"/>
        <v>0</v>
      </c>
      <c r="G184" s="240"/>
      <c r="H184" s="280"/>
      <c r="I184" s="240">
        <v>0</v>
      </c>
      <c r="J184" s="240">
        <f t="shared" si="456"/>
        <v>0</v>
      </c>
      <c r="K184" s="280">
        <f t="shared" si="457"/>
        <v>0</v>
      </c>
      <c r="L184" s="240">
        <f t="shared" si="458"/>
        <v>2746965</v>
      </c>
      <c r="M184" s="280">
        <f t="shared" si="459"/>
        <v>31.044171174655318</v>
      </c>
      <c r="N184" s="280">
        <f t="shared" si="460"/>
        <v>3.8011719327360498</v>
      </c>
      <c r="O184" s="1089"/>
      <c r="P184" s="1084"/>
      <c r="Q184" s="35">
        <f t="shared" si="461"/>
        <v>21710</v>
      </c>
      <c r="R184" s="98"/>
      <c r="S184" s="35">
        <v>21710</v>
      </c>
      <c r="T184" s="35">
        <f t="shared" si="462"/>
        <v>0</v>
      </c>
      <c r="U184" s="36">
        <f t="shared" si="463"/>
        <v>0</v>
      </c>
      <c r="V184" s="74">
        <f t="shared" si="464"/>
        <v>178708</v>
      </c>
      <c r="W184" s="36">
        <f t="shared" si="465"/>
        <v>2.0196259298099184</v>
      </c>
      <c r="X184" s="1136"/>
      <c r="Y184" s="49">
        <f t="shared" si="466"/>
        <v>682</v>
      </c>
      <c r="Z184" s="248"/>
      <c r="AA184" s="50">
        <f>563+119</f>
        <v>682</v>
      </c>
      <c r="AB184" s="50">
        <f t="shared" si="467"/>
        <v>0</v>
      </c>
      <c r="AC184" s="51">
        <f t="shared" si="468"/>
        <v>0</v>
      </c>
      <c r="AD184" s="50">
        <f t="shared" si="469"/>
        <v>21581</v>
      </c>
      <c r="AE184" s="51">
        <f t="shared" si="470"/>
        <v>0.2438925352599092</v>
      </c>
      <c r="AF184" s="1047"/>
      <c r="AG184" s="40">
        <f t="shared" si="471"/>
        <v>964</v>
      </c>
      <c r="AH184" s="44"/>
      <c r="AI184" s="41">
        <v>925</v>
      </c>
      <c r="AJ184" s="41">
        <f t="shared" si="472"/>
        <v>39</v>
      </c>
      <c r="AK184" s="42">
        <f t="shared" si="473"/>
        <v>8.7379684895413243E-2</v>
      </c>
      <c r="AL184" s="41">
        <f t="shared" si="474"/>
        <v>10458</v>
      </c>
      <c r="AM184" s="42">
        <f t="shared" si="475"/>
        <v>0.11818859801437052</v>
      </c>
      <c r="AN184" s="1058"/>
      <c r="AO184" s="260">
        <v>6.5</v>
      </c>
      <c r="AP184" s="67">
        <v>24</v>
      </c>
      <c r="AQ184" s="68">
        <f t="shared" si="476"/>
        <v>77.5398</v>
      </c>
      <c r="AR184" s="68">
        <f t="shared" si="477"/>
        <v>18.857046970072815</v>
      </c>
      <c r="AS184" s="258">
        <f t="shared" si="478"/>
        <v>10578.814559999999</v>
      </c>
      <c r="AT184" s="68">
        <f t="shared" si="479"/>
        <v>10.645881377040265</v>
      </c>
      <c r="AU184" s="1073"/>
      <c r="AV184" s="216">
        <v>3.3</v>
      </c>
      <c r="AW184" s="71">
        <v>12</v>
      </c>
      <c r="AX184" s="72">
        <f t="shared" si="480"/>
        <v>20.462508</v>
      </c>
      <c r="AY184" s="72">
        <f t="shared" si="481"/>
        <v>4.9763150598981509</v>
      </c>
      <c r="AZ184" s="276">
        <f t="shared" si="482"/>
        <v>3377.5539719999983</v>
      </c>
      <c r="BA184" s="72">
        <f t="shared" si="483"/>
        <v>3.3989667487340056</v>
      </c>
      <c r="BB184" s="1075"/>
      <c r="BC184" s="253">
        <f t="shared" si="484"/>
        <v>32178</v>
      </c>
      <c r="BD184" s="59"/>
      <c r="BE184" s="252">
        <v>32178</v>
      </c>
      <c r="BF184" s="57"/>
      <c r="BG184" s="58">
        <f t="shared" si="485"/>
        <v>53097</v>
      </c>
      <c r="BH184" s="58">
        <f t="shared" si="486"/>
        <v>53.433620588648168</v>
      </c>
      <c r="BI184" s="1133"/>
      <c r="BJ184" s="63">
        <f t="shared" si="487"/>
        <v>972</v>
      </c>
      <c r="BK184" s="133"/>
      <c r="BL184" s="64">
        <v>756</v>
      </c>
      <c r="BM184" s="64">
        <f t="shared" si="488"/>
        <v>216</v>
      </c>
      <c r="BN184" s="65">
        <f t="shared" si="489"/>
        <v>0.48394902403613488</v>
      </c>
      <c r="BO184" s="64">
        <f t="shared" si="490"/>
        <v>28132</v>
      </c>
      <c r="BP184" s="65">
        <f t="shared" si="491"/>
        <v>0.31792710263341667</v>
      </c>
      <c r="BQ184" s="1071"/>
      <c r="BR184" s="77">
        <f t="shared" si="492"/>
        <v>32160</v>
      </c>
      <c r="BS184" s="35"/>
      <c r="BT184" s="35">
        <f>18236+13000</f>
        <v>31236</v>
      </c>
      <c r="BU184" s="35">
        <f t="shared" si="493"/>
        <v>924</v>
      </c>
      <c r="BV184" s="35">
        <f t="shared" si="494"/>
        <v>472440</v>
      </c>
      <c r="BW184" s="74">
        <f t="shared" si="495"/>
        <v>475.43514155038781</v>
      </c>
      <c r="BX184" s="1098"/>
      <c r="BY184" s="295">
        <f t="shared" si="496"/>
        <v>0</v>
      </c>
      <c r="BZ184" s="303"/>
      <c r="CA184" s="296">
        <v>0</v>
      </c>
      <c r="CB184" s="296">
        <f t="shared" si="497"/>
        <v>0</v>
      </c>
      <c r="CC184" s="297">
        <f t="shared" si="498"/>
        <v>0</v>
      </c>
      <c r="CD184" s="296">
        <f t="shared" si="499"/>
        <v>14230</v>
      </c>
      <c r="CE184" s="297">
        <f t="shared" si="500"/>
        <v>0.16081695828499643</v>
      </c>
      <c r="CF184" s="1061"/>
      <c r="CH184">
        <f t="shared" si="418"/>
        <v>689187</v>
      </c>
    </row>
    <row r="185" spans="1:86">
      <c r="A185" s="30">
        <v>44133</v>
      </c>
      <c r="B185" s="32">
        <v>393312</v>
      </c>
      <c r="C185" s="114">
        <f t="shared" si="416"/>
        <v>88879005</v>
      </c>
      <c r="D185" s="91">
        <v>3482.72</v>
      </c>
      <c r="E185" s="93">
        <f t="shared" si="417"/>
        <v>997182.92999999982</v>
      </c>
      <c r="F185" s="243">
        <f t="shared" si="455"/>
        <v>0</v>
      </c>
      <c r="G185" s="240">
        <v>32000</v>
      </c>
      <c r="H185" s="280">
        <v>14.4</v>
      </c>
      <c r="I185" s="240">
        <v>22400</v>
      </c>
      <c r="J185" s="240">
        <f t="shared" si="456"/>
        <v>9600</v>
      </c>
      <c r="K185" s="280">
        <f t="shared" si="457"/>
        <v>24.408103490358798</v>
      </c>
      <c r="L185" s="240">
        <f t="shared" si="458"/>
        <v>2756565</v>
      </c>
      <c r="M185" s="280">
        <f t="shared" si="459"/>
        <v>31.014804902462622</v>
      </c>
      <c r="N185" s="280">
        <f t="shared" si="460"/>
        <v>3.7975762094358543</v>
      </c>
      <c r="O185" s="1089"/>
      <c r="P185" s="1084"/>
      <c r="Q185" s="35">
        <f t="shared" si="461"/>
        <v>21710</v>
      </c>
      <c r="R185" s="98"/>
      <c r="S185" s="35">
        <v>21710</v>
      </c>
      <c r="T185" s="35">
        <f t="shared" si="462"/>
        <v>0</v>
      </c>
      <c r="U185" s="36">
        <f t="shared" si="463"/>
        <v>0</v>
      </c>
      <c r="V185" s="74">
        <f t="shared" si="464"/>
        <v>178708</v>
      </c>
      <c r="W185" s="36">
        <f t="shared" si="465"/>
        <v>2.0106885760028481</v>
      </c>
      <c r="X185" s="1136"/>
      <c r="Y185" s="49">
        <f t="shared" si="466"/>
        <v>682</v>
      </c>
      <c r="Z185" s="248"/>
      <c r="AA185" s="50">
        <f>563+79</f>
        <v>642</v>
      </c>
      <c r="AB185" s="50">
        <f t="shared" si="467"/>
        <v>40</v>
      </c>
      <c r="AC185" s="51">
        <f t="shared" si="468"/>
        <v>0.10170043120982833</v>
      </c>
      <c r="AD185" s="50">
        <f t="shared" si="469"/>
        <v>21621</v>
      </c>
      <c r="AE185" s="51">
        <f t="shared" si="470"/>
        <v>0.24326329935849306</v>
      </c>
      <c r="AF185" s="1047"/>
      <c r="AG185" s="40">
        <f t="shared" si="471"/>
        <v>925</v>
      </c>
      <c r="AH185" s="44"/>
      <c r="AI185" s="41">
        <v>905</v>
      </c>
      <c r="AJ185" s="41">
        <f t="shared" si="472"/>
        <v>20</v>
      </c>
      <c r="AK185" s="42">
        <f t="shared" si="473"/>
        <v>5.0850215604914165E-2</v>
      </c>
      <c r="AL185" s="41">
        <f t="shared" si="474"/>
        <v>10478</v>
      </c>
      <c r="AM185" s="42">
        <f t="shared" si="475"/>
        <v>0.11789060869887101</v>
      </c>
      <c r="AN185" s="1058"/>
      <c r="AO185" s="260">
        <v>5</v>
      </c>
      <c r="AP185" s="67">
        <v>24</v>
      </c>
      <c r="AQ185" s="68">
        <f t="shared" si="476"/>
        <v>59.646000000000001</v>
      </c>
      <c r="AR185" s="68">
        <f t="shared" si="477"/>
        <v>17.126269122984336</v>
      </c>
      <c r="AS185" s="258">
        <f t="shared" si="478"/>
        <v>10638.46056</v>
      </c>
      <c r="AT185" s="68">
        <f t="shared" si="479"/>
        <v>10.668514512176818</v>
      </c>
      <c r="AU185" s="1073"/>
      <c r="AV185" s="216">
        <v>2.9</v>
      </c>
      <c r="AW185" s="71">
        <v>12</v>
      </c>
      <c r="AX185" s="72">
        <f t="shared" si="480"/>
        <v>17.982203999999999</v>
      </c>
      <c r="AY185" s="72">
        <f t="shared" si="481"/>
        <v>5.1632643451095692</v>
      </c>
      <c r="AZ185" s="276">
        <f t="shared" si="482"/>
        <v>3395.5361759999982</v>
      </c>
      <c r="BA185" s="72">
        <f t="shared" si="483"/>
        <v>3.4051286617992935</v>
      </c>
      <c r="BB185" s="1075"/>
      <c r="BC185" s="253">
        <f t="shared" si="484"/>
        <v>32178</v>
      </c>
      <c r="BD185" s="59"/>
      <c r="BE185" s="252">
        <v>32178</v>
      </c>
      <c r="BF185" s="57"/>
      <c r="BG185" s="58">
        <f t="shared" si="485"/>
        <v>53097</v>
      </c>
      <c r="BH185" s="58">
        <f t="shared" si="486"/>
        <v>53.247000527776791</v>
      </c>
      <c r="BI185" s="1133"/>
      <c r="BJ185" s="63">
        <f t="shared" si="487"/>
        <v>756</v>
      </c>
      <c r="BK185" s="133"/>
      <c r="BL185" s="64">
        <v>594</v>
      </c>
      <c r="BM185" s="64">
        <f t="shared" si="488"/>
        <v>162</v>
      </c>
      <c r="BN185" s="65">
        <f t="shared" si="489"/>
        <v>0.41188674639980472</v>
      </c>
      <c r="BO185" s="64">
        <f t="shared" si="490"/>
        <v>28294</v>
      </c>
      <c r="BP185" s="65">
        <f t="shared" si="491"/>
        <v>0.31834289774058566</v>
      </c>
      <c r="BQ185" s="1071"/>
      <c r="BR185" s="77">
        <f t="shared" si="492"/>
        <v>31236</v>
      </c>
      <c r="BS185" s="35"/>
      <c r="BT185" s="35">
        <f>14539+13000</f>
        <v>27539</v>
      </c>
      <c r="BU185" s="35">
        <f t="shared" si="493"/>
        <v>3697</v>
      </c>
      <c r="BV185" s="35">
        <f t="shared" si="494"/>
        <v>476137</v>
      </c>
      <c r="BW185" s="74">
        <f t="shared" si="495"/>
        <v>477.48210050085805</v>
      </c>
      <c r="BX185" s="1098"/>
      <c r="BY185" s="295">
        <f t="shared" si="496"/>
        <v>0</v>
      </c>
      <c r="BZ185" s="303"/>
      <c r="CA185" s="296">
        <v>0</v>
      </c>
      <c r="CB185" s="296">
        <f t="shared" si="497"/>
        <v>0</v>
      </c>
      <c r="CC185" s="297">
        <f t="shared" si="498"/>
        <v>0</v>
      </c>
      <c r="CD185" s="296">
        <f t="shared" si="499"/>
        <v>14230</v>
      </c>
      <c r="CE185" s="297">
        <f t="shared" si="500"/>
        <v>0.16010530270900311</v>
      </c>
      <c r="CF185" s="1061"/>
      <c r="CH185">
        <f t="shared" si="418"/>
        <v>0</v>
      </c>
    </row>
    <row r="186" spans="1:86">
      <c r="A186" s="30">
        <v>44134</v>
      </c>
      <c r="B186" s="32">
        <v>291313</v>
      </c>
      <c r="C186" s="114">
        <f t="shared" si="416"/>
        <v>89170318</v>
      </c>
      <c r="D186" s="91">
        <v>651.70000000000005</v>
      </c>
      <c r="E186" s="93">
        <f t="shared" si="417"/>
        <v>997834.62999999977</v>
      </c>
      <c r="F186" s="243">
        <f t="shared" si="455"/>
        <v>22400</v>
      </c>
      <c r="G186" s="240"/>
      <c r="H186" s="280"/>
      <c r="I186" s="240">
        <v>14000</v>
      </c>
      <c r="J186" s="240">
        <f>F186+G186-I186</f>
        <v>8400</v>
      </c>
      <c r="K186" s="280">
        <f>J186*1000/B186</f>
        <v>28.834964454040843</v>
      </c>
      <c r="L186" s="240">
        <f>L185+J186</f>
        <v>2764965</v>
      </c>
      <c r="M186" s="280">
        <f>L186*1000/C186</f>
        <v>31.007683520877428</v>
      </c>
      <c r="N186" s="280">
        <f>M186/8.167</f>
        <v>3.7967042391180885</v>
      </c>
      <c r="O186" s="1089"/>
      <c r="P186" s="1084"/>
      <c r="Q186" s="35">
        <f t="shared" si="461"/>
        <v>21710</v>
      </c>
      <c r="R186" s="98"/>
      <c r="S186" s="35">
        <v>20151</v>
      </c>
      <c r="T186" s="35">
        <f>Q186+R186-S186</f>
        <v>1559</v>
      </c>
      <c r="U186" s="36">
        <f>1000*T186/B186</f>
        <v>5.3516320933154375</v>
      </c>
      <c r="V186" s="74">
        <f>V185+T186</f>
        <v>180267</v>
      </c>
      <c r="W186" s="36">
        <f>1000*V186/C186</f>
        <v>2.0216031976021438</v>
      </c>
      <c r="X186" s="1136"/>
      <c r="Y186" s="49">
        <f t="shared" si="466"/>
        <v>642</v>
      </c>
      <c r="Z186" s="248"/>
      <c r="AA186" s="50">
        <f>510+113</f>
        <v>623</v>
      </c>
      <c r="AB186" s="50">
        <f>Y186+Z186-AA186</f>
        <v>19</v>
      </c>
      <c r="AC186" s="51">
        <f>AB186*1000/B186</f>
        <v>6.5221943407949526E-2</v>
      </c>
      <c r="AD186" s="50">
        <f>AD185+AB186</f>
        <v>21640</v>
      </c>
      <c r="AE186" s="51">
        <f>AD186*1000/C186</f>
        <v>0.24268165108483744</v>
      </c>
      <c r="AF186" s="1047"/>
      <c r="AG186" s="40">
        <f t="shared" si="471"/>
        <v>905</v>
      </c>
      <c r="AH186" s="44"/>
      <c r="AI186" s="41">
        <v>905</v>
      </c>
      <c r="AJ186" s="41">
        <f>AG186+AH186-AI186</f>
        <v>0</v>
      </c>
      <c r="AK186" s="42"/>
      <c r="AL186" s="41">
        <f>AL185+AJ186</f>
        <v>10478</v>
      </c>
      <c r="AM186" s="42">
        <f>AL186*1000/C186</f>
        <v>0.11750546857980253</v>
      </c>
      <c r="AN186" s="1058"/>
      <c r="AO186" s="260">
        <v>2</v>
      </c>
      <c r="AP186" s="67">
        <v>24</v>
      </c>
      <c r="AQ186" s="68">
        <f>AO186*AP186*0.49705</f>
        <v>23.8584</v>
      </c>
      <c r="AR186" s="68">
        <f>AQ186*1000/D186</f>
        <v>36.609482890900715</v>
      </c>
      <c r="AS186" s="258">
        <f>AS185+AQ186</f>
        <v>10662.318959999999</v>
      </c>
      <c r="AT186" s="68">
        <f>AS186*1000/E186</f>
        <v>10.685456927867898</v>
      </c>
      <c r="AU186" s="1073"/>
      <c r="AV186" s="216">
        <v>0.8</v>
      </c>
      <c r="AW186" s="71">
        <v>12</v>
      </c>
      <c r="AX186" s="72">
        <f>AV186*AW186*0.51673</f>
        <v>4.9606080000000006</v>
      </c>
      <c r="AY186" s="72">
        <f>AX186*1000/D186</f>
        <v>7.6117968390363657</v>
      </c>
      <c r="AZ186" s="276">
        <f>AZ185+AX186</f>
        <v>3400.4967839999981</v>
      </c>
      <c r="BA186" s="72">
        <f>AZ186*1000/E186</f>
        <v>3.4078760966634309</v>
      </c>
      <c r="BB186" s="1075"/>
      <c r="BC186" s="253">
        <f>BE185</f>
        <v>32178</v>
      </c>
      <c r="BD186" s="59"/>
      <c r="BE186" s="252">
        <v>32178</v>
      </c>
      <c r="BF186" s="57"/>
      <c r="BG186" s="58">
        <f>BG185+BF186</f>
        <v>53097</v>
      </c>
      <c r="BH186" s="58">
        <f>BG186*1000/E186</f>
        <v>53.21222415381596</v>
      </c>
      <c r="BI186" s="1133"/>
      <c r="BJ186" s="63">
        <f t="shared" si="487"/>
        <v>594</v>
      </c>
      <c r="BK186" s="133"/>
      <c r="BL186" s="64">
        <v>516</v>
      </c>
      <c r="BM186" s="64">
        <f>BJ186+BK186-BL186</f>
        <v>78</v>
      </c>
      <c r="BN186" s="65">
        <f>BM186*1000/B186</f>
        <v>0.26775324135895068</v>
      </c>
      <c r="BO186" s="64">
        <f>BO185+BM186</f>
        <v>28372</v>
      </c>
      <c r="BP186" s="65">
        <f>BO186*1000/C186</f>
        <v>0.31817762498054564</v>
      </c>
      <c r="BQ186" s="1071"/>
      <c r="BR186" s="77">
        <f t="shared" si="492"/>
        <v>27539</v>
      </c>
      <c r="BS186" s="35"/>
      <c r="BT186" s="35">
        <f>13615+13000</f>
        <v>26615</v>
      </c>
      <c r="BU186" s="35">
        <f>BR186+BS186-BT186</f>
        <v>924</v>
      </c>
      <c r="BV186" s="35">
        <f>BV185+BU186</f>
        <v>477061</v>
      </c>
      <c r="BW186" s="74">
        <f>BV186*1000/E186</f>
        <v>478.09625528831378</v>
      </c>
      <c r="BX186" s="1098"/>
      <c r="BY186" s="295">
        <f>CA185</f>
        <v>0</v>
      </c>
      <c r="BZ186" s="303"/>
      <c r="CA186" s="296">
        <v>0</v>
      </c>
      <c r="CB186" s="314">
        <f>BY186+BZ186-CA186</f>
        <v>0</v>
      </c>
      <c r="CC186" s="369">
        <f>CB186*1000/B186</f>
        <v>0</v>
      </c>
      <c r="CD186" s="314">
        <f>CD185+CB186</f>
        <v>14230</v>
      </c>
      <c r="CE186" s="369">
        <f>CD186*1000/C186</f>
        <v>0.15958225022815328</v>
      </c>
      <c r="CF186" s="1061"/>
      <c r="CH186">
        <f t="shared" si="418"/>
        <v>0</v>
      </c>
    </row>
    <row r="187" spans="1:86" ht="15.75" thickBot="1">
      <c r="A187" s="30">
        <v>44135</v>
      </c>
      <c r="B187" s="109">
        <v>0</v>
      </c>
      <c r="C187" s="171">
        <f t="shared" si="416"/>
        <v>89170318</v>
      </c>
      <c r="D187" s="91">
        <v>0</v>
      </c>
      <c r="E187" s="94">
        <f t="shared" si="417"/>
        <v>997834.62999999977</v>
      </c>
      <c r="F187" s="245">
        <f t="shared" si="455"/>
        <v>14000</v>
      </c>
      <c r="G187" s="231">
        <v>18260</v>
      </c>
      <c r="H187" s="230">
        <v>10.26</v>
      </c>
      <c r="I187" s="231">
        <v>28000</v>
      </c>
      <c r="J187" s="231">
        <f>F187+G187-I187</f>
        <v>4260</v>
      </c>
      <c r="K187" s="230"/>
      <c r="L187" s="231">
        <f>L186+J187</f>
        <v>2769225</v>
      </c>
      <c r="M187" s="230">
        <f>L187*1000/C187</f>
        <v>31.055457265499491</v>
      </c>
      <c r="N187" s="230">
        <f>M187/8.167</f>
        <v>3.8025538466388507</v>
      </c>
      <c r="O187" s="1090"/>
      <c r="P187" s="1085"/>
      <c r="Q187" s="35">
        <f>S186</f>
        <v>20151</v>
      </c>
      <c r="R187" s="247"/>
      <c r="S187" s="76">
        <v>20151</v>
      </c>
      <c r="T187" s="35">
        <f>Q187+R187-S187</f>
        <v>0</v>
      </c>
      <c r="U187" s="36"/>
      <c r="V187" s="74">
        <f>V186+T187</f>
        <v>180267</v>
      </c>
      <c r="W187" s="36">
        <f>1000*V187/C187</f>
        <v>2.0216031976021438</v>
      </c>
      <c r="X187" s="1137"/>
      <c r="Y187" s="49">
        <f>AA186</f>
        <v>623</v>
      </c>
      <c r="Z187" s="250"/>
      <c r="AA187" s="82">
        <v>623</v>
      </c>
      <c r="AB187" s="50">
        <f>Y187+Z187-AA187</f>
        <v>0</v>
      </c>
      <c r="AC187" s="51"/>
      <c r="AD187" s="50">
        <f>AD186+AB187</f>
        <v>21640</v>
      </c>
      <c r="AE187" s="51">
        <f>AD187*1000/C187</f>
        <v>0.24268165108483744</v>
      </c>
      <c r="AF187" s="1048"/>
      <c r="AG187" s="40">
        <f>AI186</f>
        <v>905</v>
      </c>
      <c r="AH187" s="45"/>
      <c r="AI187" s="96">
        <v>905</v>
      </c>
      <c r="AJ187" s="41">
        <f>AG187+AH187-AI187</f>
        <v>0</v>
      </c>
      <c r="AK187" s="42"/>
      <c r="AL187" s="41">
        <f>AL186+AJ187</f>
        <v>10478</v>
      </c>
      <c r="AM187" s="42">
        <f>AL187*1000/C187</f>
        <v>0.11750546857980253</v>
      </c>
      <c r="AN187" s="1059"/>
      <c r="AO187" s="266">
        <v>0</v>
      </c>
      <c r="AP187" s="67">
        <v>24</v>
      </c>
      <c r="AQ187" s="68"/>
      <c r="AR187" s="68"/>
      <c r="AS187" s="258">
        <f>AS186+AQ187</f>
        <v>10662.318959999999</v>
      </c>
      <c r="AT187" s="68">
        <f>AS187*1000/E187</f>
        <v>10.685456927867898</v>
      </c>
      <c r="AU187" s="1074"/>
      <c r="AV187" s="216">
        <v>0</v>
      </c>
      <c r="AW187" s="71">
        <v>12</v>
      </c>
      <c r="AX187" s="72"/>
      <c r="AY187" s="72"/>
      <c r="AZ187" s="276">
        <f>AZ186+AX187</f>
        <v>3400.4967839999981</v>
      </c>
      <c r="BA187" s="72">
        <f>AZ187*1000/E187</f>
        <v>3.4078760966634309</v>
      </c>
      <c r="BB187" s="1075"/>
      <c r="BC187" s="253">
        <f>BE186</f>
        <v>32178</v>
      </c>
      <c r="BD187" s="100"/>
      <c r="BE187" s="88">
        <v>32178</v>
      </c>
      <c r="BF187" s="57"/>
      <c r="BG187" s="58">
        <f>BG186+BF187</f>
        <v>53097</v>
      </c>
      <c r="BH187" s="58">
        <f>BG187*1000/E187</f>
        <v>53.21222415381596</v>
      </c>
      <c r="BI187" s="1134"/>
      <c r="BJ187" s="63">
        <f>BL186</f>
        <v>516</v>
      </c>
      <c r="BK187" s="85"/>
      <c r="BL187" s="85">
        <v>516</v>
      </c>
      <c r="BM187" s="64">
        <f>BJ187+BK187-BL187</f>
        <v>0</v>
      </c>
      <c r="BN187" s="65"/>
      <c r="BO187" s="64">
        <f>BO186+BM187</f>
        <v>28372</v>
      </c>
      <c r="BP187" s="65">
        <f>BO187*1000/C187</f>
        <v>0.31817762498054564</v>
      </c>
      <c r="BQ187" s="1072"/>
      <c r="BR187" s="77">
        <f>BT186</f>
        <v>26615</v>
      </c>
      <c r="BS187" s="76"/>
      <c r="BT187" s="76">
        <f>13615+13000</f>
        <v>26615</v>
      </c>
      <c r="BU187" s="35">
        <f>BR187+BS187-BT187</f>
        <v>0</v>
      </c>
      <c r="BV187" s="35">
        <f>BV186+BU187</f>
        <v>477061</v>
      </c>
      <c r="BW187" s="74">
        <f>BV187*1000/E187</f>
        <v>478.09625528831378</v>
      </c>
      <c r="BX187" s="1099"/>
      <c r="BY187" s="295">
        <f>CA186</f>
        <v>0</v>
      </c>
      <c r="BZ187" s="306"/>
      <c r="CA187" s="296">
        <v>0</v>
      </c>
      <c r="CB187" s="371">
        <f>BY187+BZ187-CA187</f>
        <v>0</v>
      </c>
      <c r="CC187" s="370">
        <v>0</v>
      </c>
      <c r="CD187" s="314">
        <f>CD186+CB187</f>
        <v>14230</v>
      </c>
      <c r="CE187" s="369">
        <f>CD187*1000/C187</f>
        <v>0.15958225022815328</v>
      </c>
      <c r="CF187" s="1062"/>
      <c r="CH187">
        <f t="shared" si="418"/>
        <v>460800</v>
      </c>
    </row>
    <row r="188" spans="1:86">
      <c r="A188" s="30">
        <v>44136</v>
      </c>
      <c r="B188" s="264">
        <v>260948</v>
      </c>
      <c r="C188" s="114">
        <f t="shared" si="416"/>
        <v>89431266</v>
      </c>
      <c r="D188" s="326">
        <v>4343.1400000000003</v>
      </c>
      <c r="E188" s="93">
        <f t="shared" si="417"/>
        <v>1002177.7699999998</v>
      </c>
      <c r="F188" s="240">
        <f>I187</f>
        <v>28000</v>
      </c>
      <c r="G188" s="240">
        <v>17500</v>
      </c>
      <c r="H188" s="280">
        <v>8.7200000000000006</v>
      </c>
      <c r="I188" s="240">
        <v>13000</v>
      </c>
      <c r="J188" s="108">
        <f>F188+G188-I188</f>
        <v>32500</v>
      </c>
      <c r="K188" s="108">
        <f>J188*1000/B188</f>
        <v>124.54588653678127</v>
      </c>
      <c r="L188" s="240">
        <f>L187+J188</f>
        <v>2801725</v>
      </c>
      <c r="M188" s="280">
        <f>L188*1000/C188</f>
        <v>31.328249339554244</v>
      </c>
      <c r="N188" s="280">
        <f>M188/8.167</f>
        <v>3.8359555944109518</v>
      </c>
      <c r="O188" s="1052">
        <f>1000*SUM(J188:J217)/SUM(B188:B217)</f>
        <v>57.350724257717772</v>
      </c>
      <c r="P188" s="1083">
        <f>O188/8.167</f>
        <v>7.0222510417188406</v>
      </c>
      <c r="Q188" s="117">
        <f>S187</f>
        <v>20151</v>
      </c>
      <c r="R188" s="118"/>
      <c r="S188" s="118">
        <v>20151</v>
      </c>
      <c r="T188" s="118">
        <f>Q188+R188-S188</f>
        <v>0</v>
      </c>
      <c r="U188" s="119">
        <f>1000*T188/B188</f>
        <v>0</v>
      </c>
      <c r="V188" s="120">
        <f>V187+T188</f>
        <v>180267</v>
      </c>
      <c r="W188" s="119">
        <f>1000*V188/C188</f>
        <v>2.0157044405476716</v>
      </c>
      <c r="X188" s="1178">
        <f>1000*SUM(T188:T217)/SUM(B188:B217)</f>
        <v>4.1683262663796192</v>
      </c>
      <c r="Y188" s="121">
        <f>AA187</f>
        <v>623</v>
      </c>
      <c r="Z188" s="122"/>
      <c r="AA188" s="122">
        <v>550</v>
      </c>
      <c r="AB188" s="122">
        <f>Y188+Z188-AA188</f>
        <v>73</v>
      </c>
      <c r="AC188" s="123">
        <f>AB188*1000/B188</f>
        <v>0.2797492220672318</v>
      </c>
      <c r="AD188" s="122">
        <f>AD187+AB188</f>
        <v>21713</v>
      </c>
      <c r="AE188" s="123">
        <f>AD188*1000/C188</f>
        <v>0.24278980910322795</v>
      </c>
      <c r="AF188" s="1049">
        <f>1000*SUM(AB188:AB217)/SUM(B188:B217)</f>
        <v>0.21049606485799707</v>
      </c>
      <c r="AG188" s="124">
        <f>AI187</f>
        <v>905</v>
      </c>
      <c r="AH188" s="125"/>
      <c r="AI188" s="125">
        <v>905</v>
      </c>
      <c r="AJ188" s="125">
        <f>AG188+AH188-AI188</f>
        <v>0</v>
      </c>
      <c r="AK188" s="126"/>
      <c r="AL188" s="125">
        <f>AL187+AJ188</f>
        <v>10478</v>
      </c>
      <c r="AM188" s="126">
        <f>AL188*1000/C188</f>
        <v>0.11716260396000656</v>
      </c>
      <c r="AN188" s="1057">
        <f>1000*SUM(AJ188:AJ217)/SUM(B188:B217)</f>
        <v>2.5209109563831985E-2</v>
      </c>
      <c r="AO188" s="219">
        <v>6.4</v>
      </c>
      <c r="AP188" s="135">
        <v>24</v>
      </c>
      <c r="AQ188" s="102">
        <f>AO188*AP188*0.49705</f>
        <v>76.346880000000013</v>
      </c>
      <c r="AR188" s="102">
        <f>AQ188*1000/D188</f>
        <v>17.578728753850903</v>
      </c>
      <c r="AS188" s="257">
        <f>AS187+AQ188</f>
        <v>10738.665839999998</v>
      </c>
      <c r="AT188" s="102">
        <f>AS188*1000/E188</f>
        <v>10.715330315099685</v>
      </c>
      <c r="AU188" s="1117">
        <f>1000*SUM(AQ188:AQ217)/SUM(D188:D217)</f>
        <v>23.948043351464257</v>
      </c>
      <c r="AV188" s="277">
        <v>3.3</v>
      </c>
      <c r="AW188" s="137">
        <v>12</v>
      </c>
      <c r="AX188" s="138">
        <f>AV188*AW188*0.51673</f>
        <v>20.462508</v>
      </c>
      <c r="AY188" s="138">
        <f>AX188*1000/D188</f>
        <v>4.7114548460330532</v>
      </c>
      <c r="AZ188" s="278">
        <f>AZ187+AX188</f>
        <v>3420.9592919999982</v>
      </c>
      <c r="BA188" s="138">
        <f>AZ188*1000/E188</f>
        <v>3.4135254187488102</v>
      </c>
      <c r="BB188" s="1173">
        <f>1000*SUM(AX188:AX217)/SUM(D188:D217)</f>
        <v>4.8783158580090324</v>
      </c>
      <c r="BC188" s="127">
        <f>BE187</f>
        <v>32178</v>
      </c>
      <c r="BD188" s="129"/>
      <c r="BE188" s="251">
        <v>32178</v>
      </c>
      <c r="BF188" s="129"/>
      <c r="BG188" s="129">
        <f>BG187+BF188</f>
        <v>53097</v>
      </c>
      <c r="BH188" s="130">
        <f>BG188*1000/E188</f>
        <v>52.98161822128624</v>
      </c>
      <c r="BI188" s="1139">
        <f>1000*SUM(BF188:BF217)/SUM(D188:D217)</f>
        <v>579.46638091233388</v>
      </c>
      <c r="BJ188" s="131">
        <f>BL187</f>
        <v>516</v>
      </c>
      <c r="BK188" s="132"/>
      <c r="BL188" s="132">
        <v>300</v>
      </c>
      <c r="BM188" s="132">
        <f>BJ188+BK188-BL188</f>
        <v>216</v>
      </c>
      <c r="BN188" s="134">
        <f>BM188*1000/B188</f>
        <v>0.82775112282906937</v>
      </c>
      <c r="BO188" s="132">
        <f>BO187+BM188</f>
        <v>28588</v>
      </c>
      <c r="BP188" s="134">
        <f>BO188*1000/C188</f>
        <v>0.31966448959807858</v>
      </c>
      <c r="BQ188" s="1067">
        <f>1000*SUM(BM188:BM217)/SUM(B188:B217)</f>
        <v>0.52434947892770534</v>
      </c>
      <c r="BR188" s="117">
        <f>BT187</f>
        <v>26615</v>
      </c>
      <c r="BS188" s="118"/>
      <c r="BT188" s="118">
        <f>12691+13000</f>
        <v>25691</v>
      </c>
      <c r="BU188" s="118">
        <f>BR188+BS188-BT188</f>
        <v>924</v>
      </c>
      <c r="BV188" s="118">
        <f>BV187+BU188</f>
        <v>477985</v>
      </c>
      <c r="BW188" s="120">
        <f>BV188*1000/E188</f>
        <v>476.9463206113623</v>
      </c>
      <c r="BX188" s="1175">
        <f>1000*SUM(BU188:BU217)/SUM(D188:D217)</f>
        <v>125.33402059058908</v>
      </c>
      <c r="BY188" s="301">
        <v>0</v>
      </c>
      <c r="BZ188" s="302"/>
      <c r="CA188" s="302">
        <v>0</v>
      </c>
      <c r="CB188" s="302">
        <f>BY188+BZ188-CA188</f>
        <v>0</v>
      </c>
      <c r="CC188" s="304">
        <v>0</v>
      </c>
      <c r="CD188" s="302">
        <f>CD187+CB188</f>
        <v>14230</v>
      </c>
      <c r="CE188" s="304">
        <f>CD188*1000/C188</f>
        <v>0.15911661140970543</v>
      </c>
      <c r="CF188" s="1176">
        <f>1000*SUM(CB188:CB217)/SUM(B188:B217)</f>
        <v>0</v>
      </c>
      <c r="CG188" s="33"/>
      <c r="CH188">
        <f t="shared" si="418"/>
        <v>0</v>
      </c>
    </row>
    <row r="189" spans="1:86">
      <c r="A189" s="30">
        <v>44137</v>
      </c>
      <c r="B189" s="32">
        <v>285701</v>
      </c>
      <c r="C189" s="114">
        <f t="shared" si="416"/>
        <v>89716967</v>
      </c>
      <c r="D189" s="91">
        <v>2829.14</v>
      </c>
      <c r="E189" s="93">
        <f t="shared" si="417"/>
        <v>1005006.9099999998</v>
      </c>
      <c r="F189" s="240">
        <f>I188</f>
        <v>13000</v>
      </c>
      <c r="G189" s="240"/>
      <c r="H189" s="280"/>
      <c r="I189" s="240">
        <v>0</v>
      </c>
      <c r="J189" s="108">
        <f>F189+G189-I189</f>
        <v>13000</v>
      </c>
      <c r="K189" s="280">
        <f>J189*1000/B189</f>
        <v>45.50211584838695</v>
      </c>
      <c r="L189" s="240">
        <f>L188+J189</f>
        <v>2814725</v>
      </c>
      <c r="M189" s="280">
        <f>L189*1000/C189</f>
        <v>31.373385593830875</v>
      </c>
      <c r="N189" s="280">
        <f>M189/8.167</f>
        <v>3.8414822571116538</v>
      </c>
      <c r="O189" s="1089"/>
      <c r="P189" s="1084"/>
      <c r="Q189" s="77">
        <f>S188</f>
        <v>20151</v>
      </c>
      <c r="R189" s="35"/>
      <c r="S189" s="35">
        <v>17500</v>
      </c>
      <c r="T189" s="35">
        <f>Q189+R189-S189</f>
        <v>2651</v>
      </c>
      <c r="U189" s="36">
        <f>1000*T189/B189</f>
        <v>9.2789314703133687</v>
      </c>
      <c r="V189" s="74">
        <f>V188+T189</f>
        <v>182918</v>
      </c>
      <c r="W189" s="36">
        <f>1000*V189/C189</f>
        <v>2.0388339699446147</v>
      </c>
      <c r="X189" s="1179"/>
      <c r="Y189" s="49">
        <f>AA188</f>
        <v>550</v>
      </c>
      <c r="Z189" s="50"/>
      <c r="AA189" s="50">
        <v>500</v>
      </c>
      <c r="AB189" s="50">
        <f>Y189+Z189-AA189</f>
        <v>50</v>
      </c>
      <c r="AC189" s="51">
        <f>AB189*1000/B189</f>
        <v>0.17500813787841135</v>
      </c>
      <c r="AD189" s="50">
        <f>AD188+AB189</f>
        <v>21763</v>
      </c>
      <c r="AE189" s="51">
        <f>AD189*1000/C189</f>
        <v>0.24257396039703394</v>
      </c>
      <c r="AF189" s="1050"/>
      <c r="AG189" s="40">
        <f>AI188</f>
        <v>905</v>
      </c>
      <c r="AH189" s="41"/>
      <c r="AI189" s="41">
        <v>885</v>
      </c>
      <c r="AJ189" s="41">
        <f>AG189+AH189-AI189</f>
        <v>20</v>
      </c>
      <c r="AK189" s="42">
        <f>AJ189*1000/B189</f>
        <v>7.0003255151364532E-2</v>
      </c>
      <c r="AL189" s="41">
        <f>AL188+AJ189</f>
        <v>10498</v>
      </c>
      <c r="AM189" s="42">
        <f>AL189*1000/C189</f>
        <v>0.11701242642319819</v>
      </c>
      <c r="AN189" s="1058"/>
      <c r="AO189" s="220">
        <v>5.0999999999999996</v>
      </c>
      <c r="AP189" s="67">
        <v>24</v>
      </c>
      <c r="AQ189" s="68">
        <f>AO189*AP189*0.49705</f>
        <v>60.838919999999995</v>
      </c>
      <c r="AR189" s="68">
        <f>AQ189*1000/D189</f>
        <v>21.50438649200817</v>
      </c>
      <c r="AS189" s="258">
        <f>AS188+AQ189</f>
        <v>10799.504759999998</v>
      </c>
      <c r="AT189" s="68">
        <f>AS189*1000/E189</f>
        <v>10.745701997213134</v>
      </c>
      <c r="AU189" s="1118"/>
      <c r="AV189" s="70">
        <v>2.2000000000000002</v>
      </c>
      <c r="AW189" s="71">
        <v>12</v>
      </c>
      <c r="AX189" s="72">
        <f>AV189*AW189*0.51673</f>
        <v>13.641672000000002</v>
      </c>
      <c r="AY189" s="72">
        <f>AX189*1000/D189</f>
        <v>4.8218440939649518</v>
      </c>
      <c r="AZ189" s="276">
        <f>AZ188+AX189</f>
        <v>3434.6009639999984</v>
      </c>
      <c r="BA189" s="72">
        <f>AZ189*1000/E189</f>
        <v>3.4174898996465597</v>
      </c>
      <c r="BB189" s="1174"/>
      <c r="BC189" s="253">
        <f>BE188</f>
        <v>32178</v>
      </c>
      <c r="BD189" s="56"/>
      <c r="BE189" s="252">
        <v>32178</v>
      </c>
      <c r="BF189" s="56"/>
      <c r="BG189" s="56">
        <f>BG188+BF189</f>
        <v>53097</v>
      </c>
      <c r="BH189" s="58">
        <f>BG189*1000/E189</f>
        <v>52.832472564790635</v>
      </c>
      <c r="BI189" s="1140"/>
      <c r="BJ189" s="63">
        <f>BL188</f>
        <v>300</v>
      </c>
      <c r="BK189" s="64"/>
      <c r="BL189" s="64">
        <v>200</v>
      </c>
      <c r="BM189" s="64">
        <f>BJ189+BK189-BL189</f>
        <v>100</v>
      </c>
      <c r="BN189" s="65">
        <f>BM189*1000/B189</f>
        <v>0.3500162757568227</v>
      </c>
      <c r="BO189" s="64">
        <f>BO188+BM189</f>
        <v>28688</v>
      </c>
      <c r="BP189" s="65">
        <f>BO189*1000/C189</f>
        <v>0.3197611439539636</v>
      </c>
      <c r="BQ189" s="1071"/>
      <c r="BR189" s="77">
        <f>BT188</f>
        <v>25691</v>
      </c>
      <c r="BS189" s="35"/>
      <c r="BT189" s="35">
        <f>12691+13000</f>
        <v>25691</v>
      </c>
      <c r="BU189" s="35">
        <f>BR189+BS189-BT189</f>
        <v>0</v>
      </c>
      <c r="BV189" s="35">
        <f>BV188+BU189</f>
        <v>477985</v>
      </c>
      <c r="BW189" s="74">
        <f>BV189*1000/E189</f>
        <v>475.60369510295214</v>
      </c>
      <c r="BX189" s="1143"/>
      <c r="BY189" s="295">
        <v>0</v>
      </c>
      <c r="BZ189" s="296"/>
      <c r="CA189" s="296">
        <v>0</v>
      </c>
      <c r="CB189" s="296">
        <f>BY189+BZ189-CA189</f>
        <v>0</v>
      </c>
      <c r="CC189" s="297">
        <v>0</v>
      </c>
      <c r="CD189" s="296">
        <f>CD188+CB189</f>
        <v>14230</v>
      </c>
      <c r="CE189" s="297">
        <f>CD189*1000/C189</f>
        <v>0.15860990931626121</v>
      </c>
      <c r="CF189" s="1177"/>
      <c r="CG189" s="33"/>
      <c r="CH189">
        <f t="shared" si="418"/>
        <v>187347.6</v>
      </c>
    </row>
    <row r="190" spans="1:86">
      <c r="A190" s="30">
        <v>44138</v>
      </c>
      <c r="B190" s="32">
        <v>246715</v>
      </c>
      <c r="C190" s="114">
        <f t="shared" si="416"/>
        <v>89963682</v>
      </c>
      <c r="D190" s="91">
        <v>200.02</v>
      </c>
      <c r="E190" s="93">
        <f t="shared" si="417"/>
        <v>1005206.9299999998</v>
      </c>
      <c r="F190" s="240">
        <f>I189</f>
        <v>0</v>
      </c>
      <c r="G190" s="240"/>
      <c r="H190" s="280"/>
      <c r="I190" s="240">
        <v>0</v>
      </c>
      <c r="J190" s="108">
        <f>F190+G190-I190</f>
        <v>0</v>
      </c>
      <c r="K190" s="280">
        <f>J190*1000/B190</f>
        <v>0</v>
      </c>
      <c r="L190" s="240">
        <f>L189+J190</f>
        <v>2814725</v>
      </c>
      <c r="M190" s="280">
        <f>L190*1000/C190</f>
        <v>31.287347709934771</v>
      </c>
      <c r="N190" s="280">
        <f>M190/8.167</f>
        <v>3.8309474360150326</v>
      </c>
      <c r="O190" s="1089"/>
      <c r="P190" s="1084"/>
      <c r="Q190" s="77">
        <f>S189</f>
        <v>17500</v>
      </c>
      <c r="R190" s="98"/>
      <c r="S190" s="35">
        <v>16844</v>
      </c>
      <c r="T190" s="35">
        <f>Q190+R190-S190</f>
        <v>656</v>
      </c>
      <c r="U190" s="36">
        <f>1000*T190/B190</f>
        <v>2.6589384512494174</v>
      </c>
      <c r="V190" s="74">
        <f>V189+T190</f>
        <v>183574</v>
      </c>
      <c r="W190" s="36">
        <f>1000*V190/C190</f>
        <v>2.0405345348137263</v>
      </c>
      <c r="X190" s="1179"/>
      <c r="Y190" s="49">
        <f>AA189</f>
        <v>500</v>
      </c>
      <c r="Z190" s="50"/>
      <c r="AA190" s="50">
        <v>456</v>
      </c>
      <c r="AB190" s="50">
        <f>Y190+Z190-AA190</f>
        <v>44</v>
      </c>
      <c r="AC190" s="51">
        <f>AB190*1000/B190</f>
        <v>0.17834343270575359</v>
      </c>
      <c r="AD190" s="50">
        <f>AD189+AB190</f>
        <v>21807</v>
      </c>
      <c r="AE190" s="51">
        <f>AD190*1000/C190</f>
        <v>0.24239781559852119</v>
      </c>
      <c r="AF190" s="1050"/>
      <c r="AG190" s="40">
        <f>AI189</f>
        <v>885</v>
      </c>
      <c r="AH190" s="41"/>
      <c r="AI190" s="41">
        <v>885</v>
      </c>
      <c r="AJ190" s="41">
        <f>AG190+AH190-AI190</f>
        <v>0</v>
      </c>
      <c r="AK190" s="42"/>
      <c r="AL190" s="41">
        <f>AL189+AJ190</f>
        <v>10498</v>
      </c>
      <c r="AM190" s="42">
        <f>AL190*1000/C190</f>
        <v>0.11669153336787616</v>
      </c>
      <c r="AN190" s="1058"/>
      <c r="AO190" s="220">
        <v>3.3</v>
      </c>
      <c r="AP190" s="67">
        <v>24</v>
      </c>
      <c r="AQ190" s="68">
        <f>AO190*AP190*0.49705</f>
        <v>39.366359999999993</v>
      </c>
      <c r="AR190" s="68">
        <f>AQ190*1000/D190</f>
        <v>196.81211878812115</v>
      </c>
      <c r="AS190" s="258">
        <f>AS189+AQ190</f>
        <v>10838.871119999998</v>
      </c>
      <c r="AT190" s="68">
        <f>AS190*1000/E190</f>
        <v>10.782726219366593</v>
      </c>
      <c r="AU190" s="1118"/>
      <c r="AV190" s="70">
        <v>0.3</v>
      </c>
      <c r="AW190" s="71">
        <v>12</v>
      </c>
      <c r="AX190" s="72">
        <f>AV190*AW190*0.51673</f>
        <v>1.860228</v>
      </c>
      <c r="AY190" s="72">
        <f>AX190*1000/D190</f>
        <v>9.3002099790020996</v>
      </c>
      <c r="AZ190" s="276">
        <f>AZ189+AX190</f>
        <v>3436.4611919999984</v>
      </c>
      <c r="BA190" s="72">
        <f>AZ190*1000/E190</f>
        <v>3.4186604662584239</v>
      </c>
      <c r="BB190" s="1174"/>
      <c r="BC190" s="253">
        <f>BE189</f>
        <v>32178</v>
      </c>
      <c r="BD190" s="56"/>
      <c r="BE190" s="252">
        <v>27906</v>
      </c>
      <c r="BF190" s="56">
        <f>BC190-BE190+BD190</f>
        <v>4272</v>
      </c>
      <c r="BG190" s="56">
        <f>BG189+BF190</f>
        <v>57369</v>
      </c>
      <c r="BH190" s="58">
        <f>BG190*1000/E190</f>
        <v>57.07183097116134</v>
      </c>
      <c r="BI190" s="1140"/>
      <c r="BJ190" s="63">
        <f>BL189</f>
        <v>200</v>
      </c>
      <c r="BK190" s="64"/>
      <c r="BL190" s="64">
        <v>100</v>
      </c>
      <c r="BM190" s="64">
        <f>BJ190+BK190-BL190</f>
        <v>100</v>
      </c>
      <c r="BN190" s="65">
        <f>BM190*1000/B190</f>
        <v>0.4053259834221673</v>
      </c>
      <c r="BO190" s="64">
        <f>BO189+BM190</f>
        <v>28788</v>
      </c>
      <c r="BP190" s="65">
        <f>BO190*1000/C190</f>
        <v>0.31999579563673258</v>
      </c>
      <c r="BQ190" s="1071"/>
      <c r="BR190" s="77">
        <f>BT189</f>
        <v>25691</v>
      </c>
      <c r="BS190" s="98"/>
      <c r="BT190" s="35">
        <f>12691+13000</f>
        <v>25691</v>
      </c>
      <c r="BU190" s="35">
        <f>BR190+BS190-BT190</f>
        <v>0</v>
      </c>
      <c r="BV190" s="35">
        <f>BV189+BU190</f>
        <v>477985</v>
      </c>
      <c r="BW190" s="74">
        <f>BV190*1000/E190</f>
        <v>475.50905762259328</v>
      </c>
      <c r="BX190" s="1143"/>
      <c r="BY190" s="295">
        <v>0</v>
      </c>
      <c r="BZ190" s="296"/>
      <c r="CA190" s="296">
        <v>0</v>
      </c>
      <c r="CB190" s="296">
        <f>BY190+BZ190-CA190</f>
        <v>0</v>
      </c>
      <c r="CC190" s="297">
        <v>0</v>
      </c>
      <c r="CD190" s="296">
        <f>CD189+CB190</f>
        <v>14230</v>
      </c>
      <c r="CE190" s="297">
        <f>CD190*1000/C190</f>
        <v>0.15817493997188778</v>
      </c>
      <c r="CF190" s="1177"/>
      <c r="CG190" s="33"/>
      <c r="CH190">
        <f t="shared" si="418"/>
        <v>152600</v>
      </c>
    </row>
    <row r="191" spans="1:86">
      <c r="A191" s="30">
        <v>44139</v>
      </c>
      <c r="B191" s="32"/>
      <c r="C191" s="1"/>
      <c r="D191" s="91"/>
      <c r="E191" s="93"/>
      <c r="F191" s="240"/>
      <c r="G191" s="240"/>
      <c r="H191" s="280"/>
      <c r="I191" s="240"/>
      <c r="J191" s="271"/>
      <c r="K191" s="280"/>
      <c r="L191" s="240"/>
      <c r="M191" s="280"/>
      <c r="N191" s="280"/>
      <c r="O191" s="1089"/>
      <c r="P191" s="1084"/>
      <c r="Q191" s="77"/>
      <c r="R191" s="98"/>
      <c r="S191" s="35"/>
      <c r="T191" s="35"/>
      <c r="U191" s="36"/>
      <c r="V191" s="74"/>
      <c r="W191" s="36"/>
      <c r="X191" s="1179"/>
      <c r="Y191" s="49"/>
      <c r="Z191" s="50"/>
      <c r="AA191" s="50"/>
      <c r="AB191" s="50"/>
      <c r="AC191" s="51"/>
      <c r="AD191" s="50"/>
      <c r="AE191" s="51"/>
      <c r="AF191" s="1050"/>
      <c r="AG191" s="40"/>
      <c r="AH191" s="41"/>
      <c r="AI191" s="41"/>
      <c r="AJ191" s="41"/>
      <c r="AK191" s="42"/>
      <c r="AL191" s="41"/>
      <c r="AM191" s="42"/>
      <c r="AN191" s="1058"/>
      <c r="AO191" s="220"/>
      <c r="AP191" s="67"/>
      <c r="AQ191" s="68"/>
      <c r="AR191" s="68"/>
      <c r="AS191" s="258"/>
      <c r="AT191" s="68"/>
      <c r="AU191" s="1118"/>
      <c r="AV191" s="70"/>
      <c r="AW191" s="71"/>
      <c r="AX191" s="72"/>
      <c r="AY191" s="72"/>
      <c r="AZ191" s="276"/>
      <c r="BA191" s="72"/>
      <c r="BB191" s="1174"/>
      <c r="BC191" s="253"/>
      <c r="BD191" s="56"/>
      <c r="BE191" s="252"/>
      <c r="BF191" s="56"/>
      <c r="BG191" s="56"/>
      <c r="BH191" s="58"/>
      <c r="BI191" s="1140"/>
      <c r="BJ191" s="63"/>
      <c r="BK191" s="64"/>
      <c r="BL191" s="64"/>
      <c r="BM191" s="64"/>
      <c r="BN191" s="65"/>
      <c r="BO191" s="64"/>
      <c r="BP191" s="65"/>
      <c r="BQ191" s="1071"/>
      <c r="BR191" s="77"/>
      <c r="BS191" s="98"/>
      <c r="BT191" s="35"/>
      <c r="BU191" s="35"/>
      <c r="BV191" s="35"/>
      <c r="BW191" s="74"/>
      <c r="BX191" s="1143"/>
      <c r="BY191" s="295"/>
      <c r="BZ191" s="296"/>
      <c r="CA191" s="296"/>
      <c r="CB191" s="296"/>
      <c r="CC191" s="297"/>
      <c r="CD191" s="296"/>
      <c r="CE191" s="297"/>
      <c r="CF191" s="1177"/>
      <c r="CG191" s="33"/>
    </row>
    <row r="192" spans="1:86">
      <c r="A192" s="30">
        <v>44140</v>
      </c>
      <c r="B192" s="32"/>
      <c r="C192" s="1"/>
      <c r="D192" s="91"/>
      <c r="E192" s="93"/>
      <c r="F192" s="240"/>
      <c r="G192" s="240"/>
      <c r="H192" s="280"/>
      <c r="I192" s="240"/>
      <c r="J192" s="271"/>
      <c r="K192" s="280"/>
      <c r="L192" s="240"/>
      <c r="M192" s="280"/>
      <c r="N192" s="280"/>
      <c r="O192" s="1089"/>
      <c r="P192" s="1084"/>
      <c r="Q192" s="77"/>
      <c r="R192" s="98"/>
      <c r="S192" s="35"/>
      <c r="T192" s="35"/>
      <c r="U192" s="36"/>
      <c r="V192" s="74"/>
      <c r="W192" s="36"/>
      <c r="X192" s="1179"/>
      <c r="Y192" s="49"/>
      <c r="Z192" s="50"/>
      <c r="AA192" s="50"/>
      <c r="AB192" s="50"/>
      <c r="AC192" s="51"/>
      <c r="AD192" s="50"/>
      <c r="AE192" s="51"/>
      <c r="AF192" s="1050"/>
      <c r="AG192" s="40"/>
      <c r="AH192" s="41"/>
      <c r="AI192" s="41"/>
      <c r="AJ192" s="41"/>
      <c r="AK192" s="42"/>
      <c r="AL192" s="41"/>
      <c r="AM192" s="42"/>
      <c r="AN192" s="1058"/>
      <c r="AO192" s="220"/>
      <c r="AP192" s="67"/>
      <c r="AQ192" s="68"/>
      <c r="AR192" s="68"/>
      <c r="AS192" s="258"/>
      <c r="AT192" s="68"/>
      <c r="AU192" s="1118"/>
      <c r="AV192" s="70"/>
      <c r="AW192" s="71"/>
      <c r="AX192" s="72"/>
      <c r="AY192" s="72"/>
      <c r="AZ192" s="276"/>
      <c r="BA192" s="72"/>
      <c r="BB192" s="1174"/>
      <c r="BC192" s="253"/>
      <c r="BD192" s="56"/>
      <c r="BE192" s="252"/>
      <c r="BF192" s="56"/>
      <c r="BG192" s="56"/>
      <c r="BH192" s="58"/>
      <c r="BI192" s="1140"/>
      <c r="BJ192" s="63"/>
      <c r="BK192" s="64"/>
      <c r="BL192" s="64"/>
      <c r="BM192" s="64"/>
      <c r="BN192" s="65"/>
      <c r="BO192" s="64"/>
      <c r="BP192" s="65"/>
      <c r="BQ192" s="1071"/>
      <c r="BR192" s="77"/>
      <c r="BS192" s="98"/>
      <c r="BT192" s="35"/>
      <c r="BU192" s="35"/>
      <c r="BV192" s="35"/>
      <c r="BW192" s="74"/>
      <c r="BX192" s="1143"/>
      <c r="BY192" s="295"/>
      <c r="BZ192" s="296"/>
      <c r="CA192" s="296"/>
      <c r="CB192" s="296"/>
      <c r="CC192" s="297"/>
      <c r="CD192" s="296"/>
      <c r="CE192" s="297"/>
      <c r="CF192" s="1177"/>
      <c r="CG192" s="33"/>
    </row>
    <row r="193" spans="1:85">
      <c r="A193" s="30">
        <v>44141</v>
      </c>
      <c r="B193" s="32"/>
      <c r="C193" s="1"/>
      <c r="D193" s="91"/>
      <c r="E193" s="93"/>
      <c r="F193" s="240"/>
      <c r="G193" s="240"/>
      <c r="H193" s="280"/>
      <c r="I193" s="240"/>
      <c r="J193" s="271"/>
      <c r="K193" s="280"/>
      <c r="L193" s="240"/>
      <c r="M193" s="280"/>
      <c r="N193" s="280"/>
      <c r="O193" s="1089"/>
      <c r="P193" s="1084"/>
      <c r="Q193" s="77"/>
      <c r="R193" s="98"/>
      <c r="S193" s="35"/>
      <c r="T193" s="35"/>
      <c r="U193" s="36"/>
      <c r="V193" s="74"/>
      <c r="W193" s="36"/>
      <c r="X193" s="1179"/>
      <c r="Y193" s="49"/>
      <c r="Z193" s="50"/>
      <c r="AA193" s="50"/>
      <c r="AB193" s="50"/>
      <c r="AC193" s="51"/>
      <c r="AD193" s="50"/>
      <c r="AE193" s="51"/>
      <c r="AF193" s="1050"/>
      <c r="AG193" s="40"/>
      <c r="AH193" s="41"/>
      <c r="AI193" s="41"/>
      <c r="AJ193" s="41"/>
      <c r="AK193" s="42"/>
      <c r="AL193" s="41"/>
      <c r="AM193" s="42"/>
      <c r="AN193" s="1058"/>
      <c r="AO193" s="220"/>
      <c r="AP193" s="67"/>
      <c r="AQ193" s="68"/>
      <c r="AR193" s="68"/>
      <c r="AS193" s="258"/>
      <c r="AT193" s="68"/>
      <c r="AU193" s="1118"/>
      <c r="AV193" s="70"/>
      <c r="AW193" s="71"/>
      <c r="AX193" s="72"/>
      <c r="AY193" s="72"/>
      <c r="AZ193" s="276"/>
      <c r="BA193" s="72"/>
      <c r="BB193" s="1174"/>
      <c r="BC193" s="253"/>
      <c r="BD193" s="56"/>
      <c r="BE193" s="252"/>
      <c r="BF193" s="56"/>
      <c r="BG193" s="56"/>
      <c r="BH193" s="58"/>
      <c r="BI193" s="1140"/>
      <c r="BJ193" s="63"/>
      <c r="BK193" s="64"/>
      <c r="BL193" s="64"/>
      <c r="BM193" s="64"/>
      <c r="BN193" s="65"/>
      <c r="BO193" s="64"/>
      <c r="BP193" s="65"/>
      <c r="BQ193" s="1071"/>
      <c r="BR193" s="77"/>
      <c r="BS193" s="98"/>
      <c r="BT193" s="35"/>
      <c r="BU193" s="35"/>
      <c r="BV193" s="35"/>
      <c r="BW193" s="74"/>
      <c r="BX193" s="1143"/>
      <c r="BY193" s="295"/>
      <c r="BZ193" s="296"/>
      <c r="CA193" s="296"/>
      <c r="CB193" s="296"/>
      <c r="CC193" s="297"/>
      <c r="CD193" s="296"/>
      <c r="CE193" s="297"/>
      <c r="CF193" s="1177"/>
      <c r="CG193" s="33"/>
    </row>
    <row r="194" spans="1:85">
      <c r="A194" s="30">
        <v>44142</v>
      </c>
      <c r="B194" s="32"/>
      <c r="C194" s="1"/>
      <c r="D194" s="91"/>
      <c r="E194" s="93"/>
      <c r="F194" s="240"/>
      <c r="G194" s="240"/>
      <c r="H194" s="280"/>
      <c r="I194" s="240"/>
      <c r="J194" s="271"/>
      <c r="K194" s="280"/>
      <c r="L194" s="240"/>
      <c r="M194" s="280"/>
      <c r="N194" s="280"/>
      <c r="O194" s="1089"/>
      <c r="P194" s="1084"/>
      <c r="Q194" s="77"/>
      <c r="R194" s="98"/>
      <c r="S194" s="35"/>
      <c r="T194" s="35"/>
      <c r="U194" s="36"/>
      <c r="V194" s="74"/>
      <c r="W194" s="36"/>
      <c r="X194" s="1179"/>
      <c r="Y194" s="49"/>
      <c r="Z194" s="50"/>
      <c r="AA194" s="50"/>
      <c r="AB194" s="50"/>
      <c r="AC194" s="51"/>
      <c r="AD194" s="50"/>
      <c r="AE194" s="51"/>
      <c r="AF194" s="1050"/>
      <c r="AG194" s="40"/>
      <c r="AH194" s="41"/>
      <c r="AI194" s="41"/>
      <c r="AJ194" s="41"/>
      <c r="AK194" s="42"/>
      <c r="AL194" s="41"/>
      <c r="AM194" s="42"/>
      <c r="AN194" s="1058"/>
      <c r="AO194" s="260"/>
      <c r="AP194" s="67"/>
      <c r="AQ194" s="68"/>
      <c r="AR194" s="68"/>
      <c r="AS194" s="258"/>
      <c r="AT194" s="68"/>
      <c r="AU194" s="1118"/>
      <c r="AV194" s="319"/>
      <c r="AW194" s="71"/>
      <c r="AX194" s="72"/>
      <c r="AY194" s="72"/>
      <c r="AZ194" s="276"/>
      <c r="BA194" s="72"/>
      <c r="BB194" s="1174"/>
      <c r="BC194" s="253"/>
      <c r="BD194" s="56"/>
      <c r="BE194" s="252"/>
      <c r="BF194" s="56"/>
      <c r="BG194" s="56"/>
      <c r="BH194" s="58"/>
      <c r="BI194" s="1140"/>
      <c r="BJ194" s="63"/>
      <c r="BK194" s="64"/>
      <c r="BL194" s="64"/>
      <c r="BM194" s="64"/>
      <c r="BN194" s="65"/>
      <c r="BO194" s="64"/>
      <c r="BP194" s="65"/>
      <c r="BQ194" s="1071"/>
      <c r="BR194" s="77"/>
      <c r="BS194" s="98"/>
      <c r="BT194" s="35"/>
      <c r="BU194" s="35"/>
      <c r="BV194" s="35"/>
      <c r="BW194" s="74"/>
      <c r="BX194" s="1143"/>
      <c r="BY194" s="295"/>
      <c r="BZ194" s="296"/>
      <c r="CA194" s="296"/>
      <c r="CB194" s="296"/>
      <c r="CC194" s="297"/>
      <c r="CD194" s="296"/>
      <c r="CE194" s="297"/>
      <c r="CF194" s="1177"/>
      <c r="CG194" s="33"/>
    </row>
    <row r="195" spans="1:85">
      <c r="A195" s="30">
        <v>44143</v>
      </c>
      <c r="B195" s="32"/>
      <c r="C195" s="1"/>
      <c r="D195" s="91"/>
      <c r="E195" s="93"/>
      <c r="F195" s="240"/>
      <c r="G195" s="240"/>
      <c r="H195" s="280"/>
      <c r="I195" s="240"/>
      <c r="J195" s="271"/>
      <c r="K195" s="280"/>
      <c r="L195" s="240"/>
      <c r="M195" s="280"/>
      <c r="N195" s="280"/>
      <c r="O195" s="1089"/>
      <c r="P195" s="1084"/>
      <c r="Q195" s="77"/>
      <c r="R195" s="98"/>
      <c r="S195" s="35"/>
      <c r="T195" s="35"/>
      <c r="U195" s="36"/>
      <c r="V195" s="74"/>
      <c r="W195" s="36"/>
      <c r="X195" s="1179"/>
      <c r="Y195" s="49"/>
      <c r="Z195" s="50"/>
      <c r="AA195" s="50"/>
      <c r="AB195" s="50"/>
      <c r="AC195" s="51"/>
      <c r="AD195" s="50"/>
      <c r="AE195" s="51"/>
      <c r="AF195" s="1050"/>
      <c r="AG195" s="40"/>
      <c r="AH195" s="41"/>
      <c r="AI195" s="41"/>
      <c r="AJ195" s="41"/>
      <c r="AK195" s="42"/>
      <c r="AL195" s="41"/>
      <c r="AM195" s="42"/>
      <c r="AN195" s="1058"/>
      <c r="AO195" s="260"/>
      <c r="AP195" s="67"/>
      <c r="AQ195" s="68"/>
      <c r="AR195" s="68"/>
      <c r="AS195" s="258"/>
      <c r="AT195" s="68"/>
      <c r="AU195" s="1118"/>
      <c r="AV195" s="70"/>
      <c r="AW195" s="71"/>
      <c r="AX195" s="72"/>
      <c r="AY195" s="72"/>
      <c r="AZ195" s="276"/>
      <c r="BA195" s="72"/>
      <c r="BB195" s="1174"/>
      <c r="BC195" s="253"/>
      <c r="BD195" s="56"/>
      <c r="BE195" s="252"/>
      <c r="BF195" s="56"/>
      <c r="BG195" s="56"/>
      <c r="BH195" s="58"/>
      <c r="BI195" s="1140"/>
      <c r="BJ195" s="63"/>
      <c r="BK195" s="64"/>
      <c r="BL195" s="64"/>
      <c r="BM195" s="64"/>
      <c r="BN195" s="65"/>
      <c r="BO195" s="64"/>
      <c r="BP195" s="65"/>
      <c r="BQ195" s="1071"/>
      <c r="BR195" s="77"/>
      <c r="BS195" s="317"/>
      <c r="BT195" s="35"/>
      <c r="BU195" s="35"/>
      <c r="BV195" s="35"/>
      <c r="BW195" s="74"/>
      <c r="BX195" s="1143"/>
      <c r="BY195" s="295"/>
      <c r="BZ195" s="296"/>
      <c r="CA195" s="296"/>
      <c r="CB195" s="296"/>
      <c r="CC195" s="297"/>
      <c r="CD195" s="296"/>
      <c r="CE195" s="297"/>
      <c r="CF195" s="1177"/>
      <c r="CG195" s="33"/>
    </row>
    <row r="196" spans="1:85">
      <c r="A196" s="30">
        <v>44144</v>
      </c>
      <c r="B196" s="32"/>
      <c r="C196" s="1"/>
      <c r="D196" s="91"/>
      <c r="E196" s="93"/>
      <c r="F196" s="240"/>
      <c r="G196" s="240"/>
      <c r="H196" s="280"/>
      <c r="I196" s="240"/>
      <c r="J196" s="271"/>
      <c r="K196" s="280"/>
      <c r="L196" s="240"/>
      <c r="M196" s="280"/>
      <c r="N196" s="280"/>
      <c r="O196" s="1089"/>
      <c r="P196" s="1084"/>
      <c r="Q196" s="77"/>
      <c r="R196" s="98"/>
      <c r="S196" s="35"/>
      <c r="T196" s="35"/>
      <c r="U196" s="36"/>
      <c r="V196" s="74"/>
      <c r="W196" s="36"/>
      <c r="X196" s="1179"/>
      <c r="Y196" s="49"/>
      <c r="Z196" s="50"/>
      <c r="AA196" s="50"/>
      <c r="AB196" s="50"/>
      <c r="AC196" s="51"/>
      <c r="AD196" s="50"/>
      <c r="AE196" s="51"/>
      <c r="AF196" s="1050"/>
      <c r="AG196" s="40"/>
      <c r="AH196" s="41"/>
      <c r="AI196" s="41"/>
      <c r="AJ196" s="41"/>
      <c r="AK196" s="42"/>
      <c r="AL196" s="41"/>
      <c r="AM196" s="42"/>
      <c r="AN196" s="1058"/>
      <c r="AO196" s="260"/>
      <c r="AP196" s="67"/>
      <c r="AQ196" s="68"/>
      <c r="AR196" s="68"/>
      <c r="AS196" s="258"/>
      <c r="AT196" s="68"/>
      <c r="AU196" s="1118"/>
      <c r="AV196" s="70"/>
      <c r="AW196" s="71"/>
      <c r="AX196" s="72"/>
      <c r="AY196" s="72"/>
      <c r="AZ196" s="276"/>
      <c r="BA196" s="72"/>
      <c r="BB196" s="1174"/>
      <c r="BC196" s="253"/>
      <c r="BD196" s="56"/>
      <c r="BE196" s="252"/>
      <c r="BF196" s="56"/>
      <c r="BG196" s="56"/>
      <c r="BH196" s="58"/>
      <c r="BI196" s="1140"/>
      <c r="BJ196" s="63"/>
      <c r="BK196" s="64"/>
      <c r="BL196" s="64"/>
      <c r="BM196" s="64"/>
      <c r="BN196" s="65"/>
      <c r="BO196" s="64"/>
      <c r="BP196" s="65"/>
      <c r="BQ196" s="1071"/>
      <c r="BR196" s="77"/>
      <c r="BS196" s="98"/>
      <c r="BT196" s="35"/>
      <c r="BU196" s="35"/>
      <c r="BV196" s="35"/>
      <c r="BW196" s="74"/>
      <c r="BX196" s="1143"/>
      <c r="BY196" s="295"/>
      <c r="BZ196" s="296"/>
      <c r="CA196" s="296"/>
      <c r="CB196" s="296"/>
      <c r="CC196" s="297"/>
      <c r="CD196" s="296"/>
      <c r="CE196" s="297"/>
      <c r="CF196" s="1177"/>
      <c r="CG196" s="33"/>
    </row>
    <row r="197" spans="1:85">
      <c r="A197" s="30">
        <v>44145</v>
      </c>
      <c r="B197" s="32"/>
      <c r="C197" s="1"/>
      <c r="D197" s="91"/>
      <c r="E197" s="93"/>
      <c r="F197" s="240"/>
      <c r="G197" s="240"/>
      <c r="H197" s="280"/>
      <c r="I197" s="240"/>
      <c r="J197" s="271"/>
      <c r="K197" s="280"/>
      <c r="L197" s="240"/>
      <c r="M197" s="280"/>
      <c r="N197" s="280"/>
      <c r="O197" s="1089"/>
      <c r="P197" s="1084"/>
      <c r="Q197" s="77"/>
      <c r="R197" s="98"/>
      <c r="S197" s="35"/>
      <c r="T197" s="35"/>
      <c r="U197" s="36"/>
      <c r="V197" s="74"/>
      <c r="W197" s="36"/>
      <c r="X197" s="1179"/>
      <c r="Y197" s="49"/>
      <c r="Z197" s="50"/>
      <c r="AA197" s="50"/>
      <c r="AB197" s="50"/>
      <c r="AC197" s="51"/>
      <c r="AD197" s="50"/>
      <c r="AE197" s="51"/>
      <c r="AF197" s="1050"/>
      <c r="AG197" s="40"/>
      <c r="AH197" s="41"/>
      <c r="AI197" s="41"/>
      <c r="AJ197" s="41"/>
      <c r="AK197" s="42"/>
      <c r="AL197" s="41"/>
      <c r="AM197" s="42"/>
      <c r="AN197" s="1058"/>
      <c r="AO197" s="220"/>
      <c r="AP197" s="67"/>
      <c r="AQ197" s="68"/>
      <c r="AR197" s="68"/>
      <c r="AS197" s="258"/>
      <c r="AT197" s="68"/>
      <c r="AU197" s="1118"/>
      <c r="AV197" s="70"/>
      <c r="AW197" s="71"/>
      <c r="AX197" s="72"/>
      <c r="AY197" s="72"/>
      <c r="AZ197" s="276"/>
      <c r="BA197" s="72"/>
      <c r="BB197" s="1174"/>
      <c r="BC197" s="253"/>
      <c r="BD197" s="56"/>
      <c r="BE197" s="252"/>
      <c r="BF197" s="56"/>
      <c r="BG197" s="56"/>
      <c r="BH197" s="58"/>
      <c r="BI197" s="1140"/>
      <c r="BJ197" s="63"/>
      <c r="BK197" s="64"/>
      <c r="BL197" s="64"/>
      <c r="BM197" s="64"/>
      <c r="BN197" s="65"/>
      <c r="BO197" s="64"/>
      <c r="BP197" s="65"/>
      <c r="BQ197" s="1071"/>
      <c r="BR197" s="77"/>
      <c r="BS197" s="98"/>
      <c r="BT197" s="35"/>
      <c r="BU197" s="35"/>
      <c r="BV197" s="35"/>
      <c r="BW197" s="74"/>
      <c r="BX197" s="1143"/>
      <c r="BY197" s="295"/>
      <c r="BZ197" s="296"/>
      <c r="CA197" s="296"/>
      <c r="CB197" s="296"/>
      <c r="CC197" s="297"/>
      <c r="CD197" s="296"/>
      <c r="CE197" s="297"/>
      <c r="CF197" s="1177"/>
      <c r="CG197" s="33"/>
    </row>
    <row r="198" spans="1:85">
      <c r="A198" s="30">
        <v>44146</v>
      </c>
      <c r="B198" s="32"/>
      <c r="C198" s="1"/>
      <c r="D198" s="91"/>
      <c r="E198" s="93"/>
      <c r="F198" s="240"/>
      <c r="G198" s="240"/>
      <c r="H198" s="280"/>
      <c r="I198" s="240"/>
      <c r="J198" s="271"/>
      <c r="K198" s="280"/>
      <c r="L198" s="240"/>
      <c r="M198" s="280"/>
      <c r="N198" s="280"/>
      <c r="O198" s="1089"/>
      <c r="P198" s="1084"/>
      <c r="Q198" s="77"/>
      <c r="R198" s="98"/>
      <c r="S198" s="35"/>
      <c r="T198" s="35"/>
      <c r="U198" s="36"/>
      <c r="V198" s="74"/>
      <c r="W198" s="36"/>
      <c r="X198" s="1179"/>
      <c r="Y198" s="49"/>
      <c r="Z198" s="50"/>
      <c r="AA198" s="50"/>
      <c r="AB198" s="50"/>
      <c r="AC198" s="51"/>
      <c r="AD198" s="50"/>
      <c r="AE198" s="51"/>
      <c r="AF198" s="1050"/>
      <c r="AG198" s="40"/>
      <c r="AH198" s="41"/>
      <c r="AI198" s="41"/>
      <c r="AJ198" s="41"/>
      <c r="AK198" s="42"/>
      <c r="AL198" s="41"/>
      <c r="AM198" s="42"/>
      <c r="AN198" s="1058"/>
      <c r="AO198" s="220"/>
      <c r="AP198" s="67"/>
      <c r="AQ198" s="68"/>
      <c r="AR198" s="68"/>
      <c r="AS198" s="258"/>
      <c r="AT198" s="68"/>
      <c r="AU198" s="1118"/>
      <c r="AV198" s="70"/>
      <c r="AW198" s="71"/>
      <c r="AX198" s="72"/>
      <c r="AY198" s="72"/>
      <c r="AZ198" s="276"/>
      <c r="BA198" s="72"/>
      <c r="BB198" s="1174"/>
      <c r="BC198" s="253"/>
      <c r="BD198" s="56"/>
      <c r="BE198" s="252"/>
      <c r="BF198" s="56"/>
      <c r="BG198" s="56"/>
      <c r="BH198" s="58"/>
      <c r="BI198" s="1140"/>
      <c r="BJ198" s="63"/>
      <c r="BK198" s="64"/>
      <c r="BL198" s="64"/>
      <c r="BM198" s="64"/>
      <c r="BN198" s="65"/>
      <c r="BO198" s="64"/>
      <c r="BP198" s="65"/>
      <c r="BQ198" s="1071"/>
      <c r="BR198" s="77"/>
      <c r="BS198" s="98"/>
      <c r="BT198" s="35"/>
      <c r="BU198" s="35"/>
      <c r="BV198" s="35"/>
      <c r="BW198" s="74"/>
      <c r="BX198" s="1143"/>
      <c r="BY198" s="295"/>
      <c r="BZ198" s="296"/>
      <c r="CA198" s="296"/>
      <c r="CB198" s="296"/>
      <c r="CC198" s="297"/>
      <c r="CD198" s="296"/>
      <c r="CE198" s="297"/>
      <c r="CF198" s="1177"/>
      <c r="CG198" s="33"/>
    </row>
    <row r="199" spans="1:85">
      <c r="A199" s="30">
        <v>44147</v>
      </c>
      <c r="B199" s="265"/>
      <c r="C199" s="1"/>
      <c r="D199" s="91"/>
      <c r="E199" s="93"/>
      <c r="F199" s="240"/>
      <c r="G199" s="240"/>
      <c r="H199" s="280"/>
      <c r="I199" s="240"/>
      <c r="J199" s="271"/>
      <c r="K199" s="280"/>
      <c r="L199" s="240"/>
      <c r="M199" s="280"/>
      <c r="N199" s="280"/>
      <c r="O199" s="1089"/>
      <c r="P199" s="1084"/>
      <c r="Q199" s="77"/>
      <c r="R199" s="98"/>
      <c r="S199" s="35"/>
      <c r="T199" s="35"/>
      <c r="U199" s="36"/>
      <c r="V199" s="74"/>
      <c r="W199" s="36"/>
      <c r="X199" s="1179"/>
      <c r="Y199" s="49"/>
      <c r="Z199" s="50"/>
      <c r="AA199" s="50"/>
      <c r="AB199" s="50"/>
      <c r="AC199" s="51"/>
      <c r="AD199" s="50"/>
      <c r="AE199" s="51"/>
      <c r="AF199" s="1050"/>
      <c r="AG199" s="40"/>
      <c r="AH199" s="41"/>
      <c r="AI199" s="41"/>
      <c r="AJ199" s="41"/>
      <c r="AK199" s="42"/>
      <c r="AL199" s="41"/>
      <c r="AM199" s="42"/>
      <c r="AN199" s="1058"/>
      <c r="AO199" s="220"/>
      <c r="AP199" s="67"/>
      <c r="AQ199" s="68"/>
      <c r="AR199" s="68"/>
      <c r="AS199" s="258"/>
      <c r="AT199" s="68"/>
      <c r="AU199" s="1118"/>
      <c r="AV199" s="70"/>
      <c r="AW199" s="71"/>
      <c r="AX199" s="72"/>
      <c r="AY199" s="72"/>
      <c r="AZ199" s="276"/>
      <c r="BA199" s="72"/>
      <c r="BB199" s="1174"/>
      <c r="BC199" s="253"/>
      <c r="BD199" s="56"/>
      <c r="BE199" s="252"/>
      <c r="BF199" s="56"/>
      <c r="BG199" s="56"/>
      <c r="BH199" s="58"/>
      <c r="BI199" s="1140"/>
      <c r="BJ199" s="63"/>
      <c r="BK199" s="64"/>
      <c r="BL199" s="64"/>
      <c r="BM199" s="64"/>
      <c r="BN199" s="65"/>
      <c r="BO199" s="64"/>
      <c r="BP199" s="65"/>
      <c r="BQ199" s="1071"/>
      <c r="BR199" s="77"/>
      <c r="BS199" s="98"/>
      <c r="BT199" s="35"/>
      <c r="BU199" s="35"/>
      <c r="BV199" s="35"/>
      <c r="BW199" s="74"/>
      <c r="BX199" s="1143"/>
      <c r="BY199" s="295"/>
      <c r="BZ199" s="296"/>
      <c r="CA199" s="296"/>
      <c r="CB199" s="296"/>
      <c r="CC199" s="297"/>
      <c r="CD199" s="296"/>
      <c r="CE199" s="297"/>
      <c r="CF199" s="1177"/>
      <c r="CG199" s="33"/>
    </row>
    <row r="200" spans="1:85">
      <c r="A200" s="30">
        <v>44148</v>
      </c>
      <c r="B200" s="32"/>
      <c r="C200" s="1"/>
      <c r="D200" s="91"/>
      <c r="E200" s="93"/>
      <c r="F200" s="240"/>
      <c r="G200" s="240"/>
      <c r="H200" s="280"/>
      <c r="I200" s="240"/>
      <c r="J200" s="271"/>
      <c r="K200" s="280"/>
      <c r="L200" s="240"/>
      <c r="M200" s="280"/>
      <c r="N200" s="280"/>
      <c r="O200" s="1089"/>
      <c r="P200" s="1084"/>
      <c r="Q200" s="77"/>
      <c r="R200" s="98"/>
      <c r="S200" s="35"/>
      <c r="T200" s="35"/>
      <c r="U200" s="36"/>
      <c r="V200" s="74"/>
      <c r="W200" s="36"/>
      <c r="X200" s="1179"/>
      <c r="Y200" s="49"/>
      <c r="Z200" s="50"/>
      <c r="AA200" s="50"/>
      <c r="AB200" s="50"/>
      <c r="AC200" s="51"/>
      <c r="AD200" s="50"/>
      <c r="AE200" s="51"/>
      <c r="AF200" s="1050"/>
      <c r="AG200" s="40"/>
      <c r="AH200" s="41"/>
      <c r="AI200" s="41"/>
      <c r="AJ200" s="41"/>
      <c r="AK200" s="42"/>
      <c r="AL200" s="41"/>
      <c r="AM200" s="42"/>
      <c r="AN200" s="1058"/>
      <c r="AO200" s="220"/>
      <c r="AP200" s="67"/>
      <c r="AQ200" s="68"/>
      <c r="AR200" s="68"/>
      <c r="AS200" s="258"/>
      <c r="AT200" s="68"/>
      <c r="AU200" s="1118"/>
      <c r="AV200" s="70"/>
      <c r="AW200" s="71"/>
      <c r="AX200" s="72"/>
      <c r="AY200" s="72"/>
      <c r="AZ200" s="276"/>
      <c r="BA200" s="72"/>
      <c r="BB200" s="1174"/>
      <c r="BC200" s="253"/>
      <c r="BD200" s="56"/>
      <c r="BE200" s="252"/>
      <c r="BF200" s="56"/>
      <c r="BG200" s="56"/>
      <c r="BH200" s="58"/>
      <c r="BI200" s="1140"/>
      <c r="BJ200" s="63"/>
      <c r="BK200" s="64"/>
      <c r="BL200" s="64"/>
      <c r="BM200" s="64"/>
      <c r="BN200" s="65"/>
      <c r="BO200" s="64"/>
      <c r="BP200" s="65"/>
      <c r="BQ200" s="1071"/>
      <c r="BR200" s="77"/>
      <c r="BS200" s="98"/>
      <c r="BT200" s="35"/>
      <c r="BU200" s="35"/>
      <c r="BV200" s="35"/>
      <c r="BW200" s="74"/>
      <c r="BX200" s="1143"/>
      <c r="BY200" s="295"/>
      <c r="BZ200" s="296"/>
      <c r="CA200" s="296"/>
      <c r="CB200" s="296"/>
      <c r="CC200" s="297"/>
      <c r="CD200" s="296"/>
      <c r="CE200" s="297"/>
      <c r="CF200" s="1177"/>
      <c r="CG200" s="33"/>
    </row>
    <row r="201" spans="1:85">
      <c r="A201" s="30">
        <v>44149</v>
      </c>
      <c r="B201" s="32"/>
      <c r="C201" s="1"/>
      <c r="D201" s="91"/>
      <c r="E201" s="93"/>
      <c r="F201" s="240"/>
      <c r="G201" s="240"/>
      <c r="H201" s="280"/>
      <c r="I201" s="240"/>
      <c r="J201" s="271"/>
      <c r="K201" s="280"/>
      <c r="L201" s="240"/>
      <c r="M201" s="280"/>
      <c r="N201" s="280"/>
      <c r="O201" s="1089"/>
      <c r="P201" s="1084"/>
      <c r="Q201" s="77"/>
      <c r="R201" s="98"/>
      <c r="S201" s="35"/>
      <c r="T201" s="35"/>
      <c r="U201" s="36"/>
      <c r="V201" s="74"/>
      <c r="W201" s="36"/>
      <c r="X201" s="1179"/>
      <c r="Y201" s="49"/>
      <c r="Z201" s="50"/>
      <c r="AA201" s="50"/>
      <c r="AB201" s="50"/>
      <c r="AC201" s="51"/>
      <c r="AD201" s="50"/>
      <c r="AE201" s="51"/>
      <c r="AF201" s="1050"/>
      <c r="AG201" s="40"/>
      <c r="AH201" s="41"/>
      <c r="AI201" s="41"/>
      <c r="AJ201" s="41"/>
      <c r="AK201" s="42"/>
      <c r="AL201" s="41"/>
      <c r="AM201" s="42"/>
      <c r="AN201" s="1058"/>
      <c r="AO201" s="220"/>
      <c r="AP201" s="67"/>
      <c r="AQ201" s="68"/>
      <c r="AR201" s="68"/>
      <c r="AS201" s="258"/>
      <c r="AT201" s="68"/>
      <c r="AU201" s="1118"/>
      <c r="AV201" s="70"/>
      <c r="AW201" s="71"/>
      <c r="AX201" s="72"/>
      <c r="AY201" s="72"/>
      <c r="AZ201" s="276"/>
      <c r="BA201" s="72"/>
      <c r="BB201" s="1174"/>
      <c r="BC201" s="253"/>
      <c r="BD201" s="56"/>
      <c r="BE201" s="252"/>
      <c r="BF201" s="56"/>
      <c r="BG201" s="56"/>
      <c r="BH201" s="58"/>
      <c r="BI201" s="1140"/>
      <c r="BJ201" s="63"/>
      <c r="BK201" s="64"/>
      <c r="BL201" s="64"/>
      <c r="BM201" s="64"/>
      <c r="BN201" s="65"/>
      <c r="BO201" s="64"/>
      <c r="BP201" s="65"/>
      <c r="BQ201" s="1071"/>
      <c r="BR201" s="77"/>
      <c r="BS201" s="98"/>
      <c r="BT201" s="35"/>
      <c r="BU201" s="35"/>
      <c r="BV201" s="35"/>
      <c r="BW201" s="74"/>
      <c r="BX201" s="1143"/>
      <c r="BY201" s="295"/>
      <c r="BZ201" s="296"/>
      <c r="CA201" s="296"/>
      <c r="CB201" s="296"/>
      <c r="CC201" s="297"/>
      <c r="CD201" s="296"/>
      <c r="CE201" s="297"/>
      <c r="CF201" s="1177"/>
      <c r="CG201" s="33"/>
    </row>
    <row r="202" spans="1:85">
      <c r="A202" s="30">
        <v>44150</v>
      </c>
      <c r="B202" s="32"/>
      <c r="C202" s="1"/>
      <c r="D202" s="91"/>
      <c r="E202" s="93"/>
      <c r="F202" s="240"/>
      <c r="G202" s="240"/>
      <c r="H202" s="280"/>
      <c r="I202" s="240"/>
      <c r="J202" s="271"/>
      <c r="K202" s="280"/>
      <c r="L202" s="240"/>
      <c r="M202" s="280"/>
      <c r="N202" s="280"/>
      <c r="O202" s="1089"/>
      <c r="P202" s="1084"/>
      <c r="Q202" s="77"/>
      <c r="R202" s="98"/>
      <c r="S202" s="35"/>
      <c r="T202" s="35"/>
      <c r="U202" s="36"/>
      <c r="V202" s="74"/>
      <c r="W202" s="36"/>
      <c r="X202" s="1179"/>
      <c r="Y202" s="49"/>
      <c r="Z202" s="50"/>
      <c r="AA202" s="50"/>
      <c r="AB202" s="50"/>
      <c r="AC202" s="51"/>
      <c r="AD202" s="50"/>
      <c r="AE202" s="51"/>
      <c r="AF202" s="1050"/>
      <c r="AG202" s="40"/>
      <c r="AH202" s="41"/>
      <c r="AI202" s="41"/>
      <c r="AJ202" s="41"/>
      <c r="AK202" s="42"/>
      <c r="AL202" s="41"/>
      <c r="AM202" s="42"/>
      <c r="AN202" s="1058"/>
      <c r="AO202" s="220"/>
      <c r="AP202" s="67"/>
      <c r="AQ202" s="68"/>
      <c r="AR202" s="68"/>
      <c r="AS202" s="258"/>
      <c r="AT202" s="68"/>
      <c r="AU202" s="1118"/>
      <c r="AV202" s="70"/>
      <c r="AW202" s="71"/>
      <c r="AX202" s="72"/>
      <c r="AY202" s="72"/>
      <c r="AZ202" s="276"/>
      <c r="BA202" s="72"/>
      <c r="BB202" s="1174"/>
      <c r="BC202" s="253"/>
      <c r="BD202" s="56"/>
      <c r="BE202" s="252"/>
      <c r="BF202" s="56"/>
      <c r="BG202" s="56"/>
      <c r="BH202" s="58"/>
      <c r="BI202" s="1140"/>
      <c r="BJ202" s="63"/>
      <c r="BK202" s="64"/>
      <c r="BL202" s="64"/>
      <c r="BM202" s="64"/>
      <c r="BN202" s="65"/>
      <c r="BO202" s="64"/>
      <c r="BP202" s="65"/>
      <c r="BQ202" s="1071"/>
      <c r="BR202" s="77"/>
      <c r="BS202" s="98"/>
      <c r="BT202" s="35"/>
      <c r="BU202" s="35"/>
      <c r="BV202" s="35"/>
      <c r="BW202" s="74"/>
      <c r="BX202" s="1143"/>
      <c r="BY202" s="295"/>
      <c r="BZ202" s="296"/>
      <c r="CA202" s="296"/>
      <c r="CB202" s="296"/>
      <c r="CC202" s="297"/>
      <c r="CD202" s="296"/>
      <c r="CE202" s="297"/>
      <c r="CF202" s="1177"/>
      <c r="CG202" s="33"/>
    </row>
    <row r="203" spans="1:85">
      <c r="A203" s="30">
        <v>44151</v>
      </c>
      <c r="B203" s="32"/>
      <c r="C203" s="1"/>
      <c r="D203" s="91"/>
      <c r="E203" s="93"/>
      <c r="F203" s="240"/>
      <c r="G203" s="240"/>
      <c r="H203" s="280"/>
      <c r="I203" s="240"/>
      <c r="J203" s="271"/>
      <c r="K203" s="280"/>
      <c r="L203" s="240"/>
      <c r="M203" s="280"/>
      <c r="N203" s="280"/>
      <c r="O203" s="1089"/>
      <c r="P203" s="1084"/>
      <c r="Q203" s="77"/>
      <c r="R203" s="98"/>
      <c r="S203" s="35"/>
      <c r="T203" s="35"/>
      <c r="U203" s="36"/>
      <c r="V203" s="74"/>
      <c r="W203" s="36"/>
      <c r="X203" s="1179"/>
      <c r="Y203" s="49"/>
      <c r="Z203" s="50"/>
      <c r="AA203" s="50"/>
      <c r="AB203" s="50"/>
      <c r="AC203" s="51"/>
      <c r="AD203" s="50"/>
      <c r="AE203" s="51"/>
      <c r="AF203" s="1050"/>
      <c r="AG203" s="40"/>
      <c r="AH203" s="41"/>
      <c r="AI203" s="41"/>
      <c r="AJ203" s="41"/>
      <c r="AK203" s="42"/>
      <c r="AL203" s="41"/>
      <c r="AM203" s="42"/>
      <c r="AN203" s="1058"/>
      <c r="AO203" s="220"/>
      <c r="AP203" s="67"/>
      <c r="AQ203" s="68"/>
      <c r="AR203" s="68"/>
      <c r="AS203" s="258"/>
      <c r="AT203" s="68"/>
      <c r="AU203" s="1118"/>
      <c r="AV203" s="70"/>
      <c r="AW203" s="71"/>
      <c r="AX203" s="72"/>
      <c r="AY203" s="72"/>
      <c r="AZ203" s="276"/>
      <c r="BA203" s="72"/>
      <c r="BB203" s="1174"/>
      <c r="BC203" s="253"/>
      <c r="BD203" s="56"/>
      <c r="BE203" s="252"/>
      <c r="BF203" s="56"/>
      <c r="BG203" s="56"/>
      <c r="BH203" s="58"/>
      <c r="BI203" s="1140"/>
      <c r="BJ203" s="63"/>
      <c r="BK203" s="64"/>
      <c r="BL203" s="64"/>
      <c r="BM203" s="64"/>
      <c r="BN203" s="65"/>
      <c r="BO203" s="64"/>
      <c r="BP203" s="65"/>
      <c r="BQ203" s="1071"/>
      <c r="BR203" s="77"/>
      <c r="BS203" s="98"/>
      <c r="BT203" s="35"/>
      <c r="BU203" s="35"/>
      <c r="BV203" s="35"/>
      <c r="BW203" s="74"/>
      <c r="BX203" s="1143"/>
      <c r="BY203" s="295"/>
      <c r="BZ203" s="296"/>
      <c r="CA203" s="296"/>
      <c r="CB203" s="296"/>
      <c r="CC203" s="297"/>
      <c r="CD203" s="296"/>
      <c r="CE203" s="297"/>
      <c r="CF203" s="1177"/>
      <c r="CG203" s="33"/>
    </row>
    <row r="204" spans="1:85">
      <c r="A204" s="30">
        <v>44152</v>
      </c>
      <c r="B204" s="32"/>
      <c r="C204" s="1"/>
      <c r="D204" s="91"/>
      <c r="E204" s="93"/>
      <c r="F204" s="240"/>
      <c r="G204" s="240"/>
      <c r="H204" s="280"/>
      <c r="I204" s="240"/>
      <c r="J204" s="271"/>
      <c r="K204" s="280"/>
      <c r="L204" s="240"/>
      <c r="M204" s="280"/>
      <c r="N204" s="280"/>
      <c r="O204" s="1089"/>
      <c r="P204" s="1084"/>
      <c r="Q204" s="77"/>
      <c r="R204" s="98"/>
      <c r="S204" s="35"/>
      <c r="T204" s="35"/>
      <c r="U204" s="36"/>
      <c r="V204" s="74"/>
      <c r="W204" s="36"/>
      <c r="X204" s="1179"/>
      <c r="Y204" s="49"/>
      <c r="Z204" s="50"/>
      <c r="AA204" s="50"/>
      <c r="AB204" s="50"/>
      <c r="AC204" s="51"/>
      <c r="AD204" s="50"/>
      <c r="AE204" s="51"/>
      <c r="AF204" s="1050"/>
      <c r="AG204" s="40"/>
      <c r="AH204" s="41"/>
      <c r="AI204" s="41"/>
      <c r="AJ204" s="41"/>
      <c r="AK204" s="42"/>
      <c r="AL204" s="41"/>
      <c r="AM204" s="42"/>
      <c r="AN204" s="1058"/>
      <c r="AO204" s="220"/>
      <c r="AP204" s="67"/>
      <c r="AQ204" s="68"/>
      <c r="AR204" s="68"/>
      <c r="AS204" s="258"/>
      <c r="AT204" s="68"/>
      <c r="AU204" s="1118"/>
      <c r="AV204" s="70"/>
      <c r="AW204" s="71"/>
      <c r="AX204" s="72"/>
      <c r="AY204" s="72"/>
      <c r="AZ204" s="276"/>
      <c r="BA204" s="72"/>
      <c r="BB204" s="1174"/>
      <c r="BC204" s="253"/>
      <c r="BD204" s="56"/>
      <c r="BE204" s="252"/>
      <c r="BF204" s="56"/>
      <c r="BG204" s="56"/>
      <c r="BH204" s="58"/>
      <c r="BI204" s="1140"/>
      <c r="BJ204" s="63"/>
      <c r="BK204" s="64"/>
      <c r="BL204" s="64"/>
      <c r="BM204" s="64"/>
      <c r="BN204" s="65"/>
      <c r="BO204" s="64"/>
      <c r="BP204" s="65"/>
      <c r="BQ204" s="1071"/>
      <c r="BR204" s="77"/>
      <c r="BS204" s="98"/>
      <c r="BT204" s="35"/>
      <c r="BU204" s="35"/>
      <c r="BV204" s="35"/>
      <c r="BW204" s="74"/>
      <c r="BX204" s="1143"/>
      <c r="BY204" s="295"/>
      <c r="BZ204" s="296"/>
      <c r="CA204" s="296"/>
      <c r="CB204" s="296"/>
      <c r="CC204" s="297"/>
      <c r="CD204" s="296"/>
      <c r="CE204" s="297"/>
      <c r="CF204" s="1177"/>
      <c r="CG204" s="33"/>
    </row>
    <row r="205" spans="1:85">
      <c r="A205" s="30">
        <v>44153</v>
      </c>
      <c r="B205" s="32"/>
      <c r="C205" s="1"/>
      <c r="D205" s="91"/>
      <c r="E205" s="93"/>
      <c r="F205" s="240"/>
      <c r="G205" s="240"/>
      <c r="H205" s="280"/>
      <c r="I205" s="240"/>
      <c r="J205" s="271"/>
      <c r="K205" s="280"/>
      <c r="L205" s="240"/>
      <c r="M205" s="280"/>
      <c r="N205" s="280"/>
      <c r="O205" s="1089"/>
      <c r="P205" s="1084"/>
      <c r="Q205" s="77"/>
      <c r="R205" s="98"/>
      <c r="S205" s="35"/>
      <c r="T205" s="35"/>
      <c r="U205" s="36"/>
      <c r="V205" s="74"/>
      <c r="W205" s="36"/>
      <c r="X205" s="1179"/>
      <c r="Y205" s="49"/>
      <c r="Z205" s="50"/>
      <c r="AA205" s="50"/>
      <c r="AB205" s="50"/>
      <c r="AC205" s="51"/>
      <c r="AD205" s="50"/>
      <c r="AE205" s="51"/>
      <c r="AF205" s="1050"/>
      <c r="AG205" s="40"/>
      <c r="AH205" s="41"/>
      <c r="AI205" s="41"/>
      <c r="AJ205" s="41"/>
      <c r="AK205" s="42"/>
      <c r="AL205" s="41"/>
      <c r="AM205" s="42"/>
      <c r="AN205" s="1058"/>
      <c r="AO205" s="220"/>
      <c r="AP205" s="67"/>
      <c r="AQ205" s="68"/>
      <c r="AR205" s="68"/>
      <c r="AS205" s="258"/>
      <c r="AT205" s="68"/>
      <c r="AU205" s="1118"/>
      <c r="AV205" s="70"/>
      <c r="AW205" s="71"/>
      <c r="AX205" s="72"/>
      <c r="AY205" s="72"/>
      <c r="AZ205" s="276"/>
      <c r="BA205" s="72"/>
      <c r="BB205" s="1174"/>
      <c r="BC205" s="253"/>
      <c r="BD205" s="56"/>
      <c r="BE205" s="252"/>
      <c r="BF205" s="56"/>
      <c r="BG205" s="56"/>
      <c r="BH205" s="58"/>
      <c r="BI205" s="1140"/>
      <c r="BJ205" s="63"/>
      <c r="BK205" s="64"/>
      <c r="BL205" s="64"/>
      <c r="BM205" s="64"/>
      <c r="BN205" s="65"/>
      <c r="BO205" s="64"/>
      <c r="BP205" s="65"/>
      <c r="BQ205" s="1071"/>
      <c r="BR205" s="77"/>
      <c r="BS205" s="98"/>
      <c r="BT205" s="35"/>
      <c r="BU205" s="35"/>
      <c r="BV205" s="35"/>
      <c r="BW205" s="74"/>
      <c r="BX205" s="1143"/>
      <c r="BY205" s="295"/>
      <c r="BZ205" s="296"/>
      <c r="CA205" s="296"/>
      <c r="CB205" s="296"/>
      <c r="CC205" s="297"/>
      <c r="CD205" s="296"/>
      <c r="CE205" s="297"/>
      <c r="CF205" s="1177"/>
      <c r="CG205" s="33"/>
    </row>
    <row r="206" spans="1:85">
      <c r="A206" s="30">
        <v>44154</v>
      </c>
      <c r="B206" s="32"/>
      <c r="C206" s="1"/>
      <c r="D206" s="91"/>
      <c r="E206" s="93"/>
      <c r="F206" s="240"/>
      <c r="G206" s="240"/>
      <c r="H206" s="280"/>
      <c r="I206" s="240"/>
      <c r="J206" s="271"/>
      <c r="K206" s="280"/>
      <c r="L206" s="240"/>
      <c r="M206" s="280"/>
      <c r="N206" s="280"/>
      <c r="O206" s="1089"/>
      <c r="P206" s="1084"/>
      <c r="Q206" s="77"/>
      <c r="R206" s="98"/>
      <c r="S206" s="35"/>
      <c r="T206" s="35"/>
      <c r="U206" s="36"/>
      <c r="V206" s="74"/>
      <c r="W206" s="36"/>
      <c r="X206" s="1179"/>
      <c r="Y206" s="49"/>
      <c r="Z206" s="50"/>
      <c r="AA206" s="50"/>
      <c r="AB206" s="50"/>
      <c r="AC206" s="51"/>
      <c r="AD206" s="50"/>
      <c r="AE206" s="51"/>
      <c r="AF206" s="1050"/>
      <c r="AG206" s="40"/>
      <c r="AH206" s="41"/>
      <c r="AI206" s="41"/>
      <c r="AJ206" s="41"/>
      <c r="AK206" s="42"/>
      <c r="AL206" s="41"/>
      <c r="AM206" s="42"/>
      <c r="AN206" s="1058"/>
      <c r="AO206" s="220"/>
      <c r="AP206" s="67"/>
      <c r="AQ206" s="68"/>
      <c r="AR206" s="68"/>
      <c r="AS206" s="258"/>
      <c r="AT206" s="68"/>
      <c r="AU206" s="1118"/>
      <c r="AV206" s="70"/>
      <c r="AW206" s="71"/>
      <c r="AX206" s="72"/>
      <c r="AY206" s="72"/>
      <c r="AZ206" s="276"/>
      <c r="BA206" s="72"/>
      <c r="BB206" s="1174"/>
      <c r="BC206" s="253"/>
      <c r="BD206" s="56"/>
      <c r="BE206" s="252"/>
      <c r="BF206" s="56"/>
      <c r="BG206" s="56"/>
      <c r="BH206" s="58"/>
      <c r="BI206" s="1140"/>
      <c r="BJ206" s="63"/>
      <c r="BK206" s="64"/>
      <c r="BL206" s="64"/>
      <c r="BM206" s="64"/>
      <c r="BN206" s="65"/>
      <c r="BO206" s="64"/>
      <c r="BP206" s="65"/>
      <c r="BQ206" s="1071"/>
      <c r="BR206" s="77"/>
      <c r="BS206" s="98"/>
      <c r="BT206" s="35"/>
      <c r="BU206" s="35"/>
      <c r="BV206" s="35"/>
      <c r="BW206" s="74"/>
      <c r="BX206" s="1143"/>
      <c r="BY206" s="295"/>
      <c r="BZ206" s="296"/>
      <c r="CA206" s="296"/>
      <c r="CB206" s="296"/>
      <c r="CC206" s="297"/>
      <c r="CD206" s="296"/>
      <c r="CE206" s="297"/>
      <c r="CF206" s="1177"/>
      <c r="CG206" s="33"/>
    </row>
    <row r="207" spans="1:85">
      <c r="A207" s="30">
        <v>44155</v>
      </c>
      <c r="B207" s="32"/>
      <c r="C207" s="1"/>
      <c r="D207" s="91"/>
      <c r="E207" s="93"/>
      <c r="F207" s="240"/>
      <c r="G207" s="240"/>
      <c r="H207" s="280"/>
      <c r="I207" s="240"/>
      <c r="J207" s="271"/>
      <c r="K207" s="280"/>
      <c r="L207" s="240"/>
      <c r="M207" s="280"/>
      <c r="N207" s="280"/>
      <c r="O207" s="1089"/>
      <c r="P207" s="1084"/>
      <c r="Q207" s="77"/>
      <c r="R207" s="98"/>
      <c r="S207" s="35"/>
      <c r="T207" s="35"/>
      <c r="U207" s="36"/>
      <c r="V207" s="74"/>
      <c r="W207" s="36"/>
      <c r="X207" s="1179"/>
      <c r="Y207" s="49"/>
      <c r="Z207" s="50"/>
      <c r="AA207" s="50"/>
      <c r="AB207" s="50"/>
      <c r="AC207" s="51"/>
      <c r="AD207" s="50"/>
      <c r="AE207" s="51"/>
      <c r="AF207" s="1050"/>
      <c r="AG207" s="40"/>
      <c r="AH207" s="41"/>
      <c r="AI207" s="41"/>
      <c r="AJ207" s="41"/>
      <c r="AK207" s="42"/>
      <c r="AL207" s="41"/>
      <c r="AM207" s="42"/>
      <c r="AN207" s="1058"/>
      <c r="AO207" s="220"/>
      <c r="AP207" s="67"/>
      <c r="AQ207" s="68"/>
      <c r="AR207" s="68"/>
      <c r="AS207" s="258"/>
      <c r="AT207" s="68"/>
      <c r="AU207" s="1118"/>
      <c r="AV207" s="70"/>
      <c r="AW207" s="71"/>
      <c r="AX207" s="72"/>
      <c r="AY207" s="72"/>
      <c r="AZ207" s="276"/>
      <c r="BA207" s="72"/>
      <c r="BB207" s="1174"/>
      <c r="BC207" s="253"/>
      <c r="BD207" s="56"/>
      <c r="BE207" s="252"/>
      <c r="BF207" s="56"/>
      <c r="BG207" s="56"/>
      <c r="BH207" s="58"/>
      <c r="BI207" s="1140"/>
      <c r="BJ207" s="63"/>
      <c r="BK207" s="64"/>
      <c r="BL207" s="64"/>
      <c r="BM207" s="64"/>
      <c r="BN207" s="65"/>
      <c r="BO207" s="64"/>
      <c r="BP207" s="65"/>
      <c r="BQ207" s="1071"/>
      <c r="BR207" s="77"/>
      <c r="BS207" s="98"/>
      <c r="BT207" s="35"/>
      <c r="BU207" s="35"/>
      <c r="BV207" s="35"/>
      <c r="BW207" s="74"/>
      <c r="BX207" s="1143"/>
      <c r="BY207" s="295"/>
      <c r="BZ207" s="296"/>
      <c r="CA207" s="296"/>
      <c r="CB207" s="296"/>
      <c r="CC207" s="297"/>
      <c r="CD207" s="296"/>
      <c r="CE207" s="297"/>
      <c r="CF207" s="1177"/>
      <c r="CG207" s="33"/>
    </row>
    <row r="208" spans="1:85">
      <c r="A208" s="30">
        <v>44156</v>
      </c>
      <c r="B208" s="32"/>
      <c r="C208" s="1"/>
      <c r="D208" s="91"/>
      <c r="E208" s="93"/>
      <c r="F208" s="240"/>
      <c r="G208" s="240"/>
      <c r="H208" s="280"/>
      <c r="I208" s="240"/>
      <c r="J208" s="271"/>
      <c r="K208" s="280"/>
      <c r="L208" s="240"/>
      <c r="M208" s="280"/>
      <c r="N208" s="280"/>
      <c r="O208" s="1089"/>
      <c r="P208" s="1084"/>
      <c r="Q208" s="77"/>
      <c r="R208" s="98"/>
      <c r="S208" s="35"/>
      <c r="T208" s="35"/>
      <c r="U208" s="36"/>
      <c r="V208" s="74"/>
      <c r="W208" s="36"/>
      <c r="X208" s="1179"/>
      <c r="Y208" s="49"/>
      <c r="Z208" s="50"/>
      <c r="AA208" s="50"/>
      <c r="AB208" s="50"/>
      <c r="AC208" s="51"/>
      <c r="AD208" s="50"/>
      <c r="AE208" s="51"/>
      <c r="AF208" s="1050"/>
      <c r="AG208" s="40"/>
      <c r="AH208" s="41"/>
      <c r="AI208" s="41"/>
      <c r="AJ208" s="41"/>
      <c r="AK208" s="42"/>
      <c r="AL208" s="41"/>
      <c r="AM208" s="42"/>
      <c r="AN208" s="1058"/>
      <c r="AO208" s="220"/>
      <c r="AP208" s="67"/>
      <c r="AQ208" s="68"/>
      <c r="AR208" s="68"/>
      <c r="AS208" s="258"/>
      <c r="AT208" s="68"/>
      <c r="AU208" s="1118"/>
      <c r="AV208" s="70"/>
      <c r="AW208" s="71"/>
      <c r="AX208" s="72"/>
      <c r="AY208" s="72"/>
      <c r="AZ208" s="276"/>
      <c r="BA208" s="72"/>
      <c r="BB208" s="1174"/>
      <c r="BC208" s="253"/>
      <c r="BD208" s="56"/>
      <c r="BE208" s="252"/>
      <c r="BF208" s="56"/>
      <c r="BG208" s="56"/>
      <c r="BH208" s="58"/>
      <c r="BI208" s="1140"/>
      <c r="BJ208" s="63"/>
      <c r="BK208" s="64"/>
      <c r="BL208" s="64"/>
      <c r="BM208" s="64"/>
      <c r="BN208" s="65"/>
      <c r="BO208" s="64"/>
      <c r="BP208" s="65"/>
      <c r="BQ208" s="1071"/>
      <c r="BR208" s="77"/>
      <c r="BS208" s="98"/>
      <c r="BT208" s="35"/>
      <c r="BU208" s="35"/>
      <c r="BV208" s="35"/>
      <c r="BW208" s="74"/>
      <c r="BX208" s="1143"/>
      <c r="BY208" s="295"/>
      <c r="BZ208" s="296"/>
      <c r="CA208" s="296"/>
      <c r="CB208" s="296"/>
      <c r="CC208" s="297"/>
      <c r="CD208" s="296"/>
      <c r="CE208" s="297"/>
      <c r="CF208" s="1177"/>
      <c r="CG208" s="33"/>
    </row>
    <row r="209" spans="1:85">
      <c r="A209" s="30">
        <v>44157</v>
      </c>
      <c r="B209" s="32"/>
      <c r="C209" s="1"/>
      <c r="D209" s="91"/>
      <c r="E209" s="93"/>
      <c r="F209" s="240"/>
      <c r="G209" s="240"/>
      <c r="H209" s="280"/>
      <c r="I209" s="240"/>
      <c r="J209" s="271"/>
      <c r="K209" s="280"/>
      <c r="L209" s="240"/>
      <c r="M209" s="280"/>
      <c r="N209" s="280"/>
      <c r="O209" s="1089"/>
      <c r="P209" s="1084"/>
      <c r="Q209" s="77"/>
      <c r="R209" s="98"/>
      <c r="S209" s="35"/>
      <c r="T209" s="35"/>
      <c r="U209" s="36"/>
      <c r="V209" s="74"/>
      <c r="W209" s="36"/>
      <c r="X209" s="1179"/>
      <c r="Y209" s="49"/>
      <c r="Z209" s="50"/>
      <c r="AA209" s="50"/>
      <c r="AB209" s="50"/>
      <c r="AC209" s="51"/>
      <c r="AD209" s="50"/>
      <c r="AE209" s="51"/>
      <c r="AF209" s="1050"/>
      <c r="AG209" s="40"/>
      <c r="AH209" s="41"/>
      <c r="AI209" s="41"/>
      <c r="AJ209" s="41"/>
      <c r="AK209" s="42"/>
      <c r="AL209" s="41"/>
      <c r="AM209" s="42"/>
      <c r="AN209" s="1058"/>
      <c r="AO209" s="220"/>
      <c r="AP209" s="67"/>
      <c r="AQ209" s="68"/>
      <c r="AR209" s="68"/>
      <c r="AS209" s="258"/>
      <c r="AT209" s="68"/>
      <c r="AU209" s="1118"/>
      <c r="AV209" s="70"/>
      <c r="AW209" s="71"/>
      <c r="AX209" s="72"/>
      <c r="AY209" s="72"/>
      <c r="AZ209" s="276"/>
      <c r="BA209" s="72"/>
      <c r="BB209" s="1174"/>
      <c r="BC209" s="253"/>
      <c r="BD209" s="56"/>
      <c r="BE209" s="252"/>
      <c r="BF209" s="56"/>
      <c r="BG209" s="56"/>
      <c r="BH209" s="58"/>
      <c r="BI209" s="1140"/>
      <c r="BJ209" s="63"/>
      <c r="BK209" s="64"/>
      <c r="BL209" s="64"/>
      <c r="BM209" s="64"/>
      <c r="BN209" s="65"/>
      <c r="BO209" s="64"/>
      <c r="BP209" s="65"/>
      <c r="BQ209" s="1071"/>
      <c r="BR209" s="77"/>
      <c r="BS209" s="98"/>
      <c r="BT209" s="35"/>
      <c r="BU209" s="35"/>
      <c r="BV209" s="35"/>
      <c r="BW209" s="74"/>
      <c r="BX209" s="1143"/>
      <c r="BY209" s="295"/>
      <c r="BZ209" s="296"/>
      <c r="CA209" s="296"/>
      <c r="CB209" s="296"/>
      <c r="CC209" s="297"/>
      <c r="CD209" s="296"/>
      <c r="CE209" s="297"/>
      <c r="CF209" s="1177"/>
      <c r="CG209" s="33"/>
    </row>
    <row r="210" spans="1:85">
      <c r="A210" s="30">
        <v>44158</v>
      </c>
      <c r="B210" s="32"/>
      <c r="C210" s="1"/>
      <c r="D210" s="91"/>
      <c r="E210" s="93"/>
      <c r="F210" s="240"/>
      <c r="G210" s="240"/>
      <c r="H210" s="280"/>
      <c r="I210" s="240"/>
      <c r="J210" s="271"/>
      <c r="K210" s="280"/>
      <c r="L210" s="240"/>
      <c r="M210" s="280"/>
      <c r="N210" s="280"/>
      <c r="O210" s="1089"/>
      <c r="P210" s="1084"/>
      <c r="Q210" s="77"/>
      <c r="R210" s="98"/>
      <c r="S210" s="35"/>
      <c r="T210" s="35"/>
      <c r="U210" s="36"/>
      <c r="V210" s="74"/>
      <c r="W210" s="36"/>
      <c r="X210" s="1179"/>
      <c r="Y210" s="49"/>
      <c r="Z210" s="50"/>
      <c r="AA210" s="50"/>
      <c r="AB210" s="50"/>
      <c r="AC210" s="51"/>
      <c r="AD210" s="50"/>
      <c r="AE210" s="51"/>
      <c r="AF210" s="1050"/>
      <c r="AG210" s="40"/>
      <c r="AH210" s="41"/>
      <c r="AI210" s="41"/>
      <c r="AJ210" s="41"/>
      <c r="AK210" s="42"/>
      <c r="AL210" s="41"/>
      <c r="AM210" s="42"/>
      <c r="AN210" s="1058"/>
      <c r="AO210" s="220"/>
      <c r="AP210" s="67"/>
      <c r="AQ210" s="68"/>
      <c r="AR210" s="68"/>
      <c r="AS210" s="258"/>
      <c r="AT210" s="68"/>
      <c r="AU210" s="1118"/>
      <c r="AV210" s="70"/>
      <c r="AW210" s="71"/>
      <c r="AX210" s="72"/>
      <c r="AY210" s="72"/>
      <c r="AZ210" s="276"/>
      <c r="BA210" s="72"/>
      <c r="BB210" s="1174"/>
      <c r="BC210" s="253"/>
      <c r="BD210" s="56"/>
      <c r="BE210" s="252"/>
      <c r="BF210" s="56"/>
      <c r="BG210" s="56"/>
      <c r="BH210" s="58"/>
      <c r="BI210" s="1140"/>
      <c r="BJ210" s="63"/>
      <c r="BK210" s="64"/>
      <c r="BL210" s="64"/>
      <c r="BM210" s="64"/>
      <c r="BN210" s="65"/>
      <c r="BO210" s="64"/>
      <c r="BP210" s="65"/>
      <c r="BQ210" s="1071"/>
      <c r="BR210" s="77"/>
      <c r="BS210" s="98"/>
      <c r="BT210" s="35"/>
      <c r="BU210" s="35"/>
      <c r="BV210" s="35"/>
      <c r="BW210" s="74"/>
      <c r="BX210" s="1143"/>
      <c r="BY210" s="295"/>
      <c r="BZ210" s="296"/>
      <c r="CA210" s="296"/>
      <c r="CB210" s="296"/>
      <c r="CC210" s="297"/>
      <c r="CD210" s="296"/>
      <c r="CE210" s="297"/>
      <c r="CF210" s="1177"/>
      <c r="CG210" s="33"/>
    </row>
    <row r="211" spans="1:85">
      <c r="A211" s="30">
        <v>44159</v>
      </c>
      <c r="B211" s="32"/>
      <c r="C211" s="1"/>
      <c r="D211" s="91"/>
      <c r="E211" s="93"/>
      <c r="F211" s="240"/>
      <c r="G211" s="240"/>
      <c r="H211" s="280"/>
      <c r="I211" s="240"/>
      <c r="J211" s="271"/>
      <c r="K211" s="280"/>
      <c r="L211" s="240"/>
      <c r="M211" s="280"/>
      <c r="N211" s="280"/>
      <c r="O211" s="1089"/>
      <c r="P211" s="1084"/>
      <c r="Q211" s="77"/>
      <c r="R211" s="98"/>
      <c r="S211" s="35"/>
      <c r="T211" s="35"/>
      <c r="U211" s="36"/>
      <c r="V211" s="74"/>
      <c r="W211" s="36"/>
      <c r="X211" s="1179"/>
      <c r="Y211" s="49"/>
      <c r="Z211" s="50"/>
      <c r="AA211" s="50"/>
      <c r="AB211" s="50"/>
      <c r="AC211" s="51"/>
      <c r="AD211" s="50"/>
      <c r="AE211" s="51"/>
      <c r="AF211" s="1050"/>
      <c r="AG211" s="40"/>
      <c r="AH211" s="41"/>
      <c r="AI211" s="41"/>
      <c r="AJ211" s="41"/>
      <c r="AK211" s="42"/>
      <c r="AL211" s="41"/>
      <c r="AM211" s="42"/>
      <c r="AN211" s="1058"/>
      <c r="AO211" s="220"/>
      <c r="AP211" s="67"/>
      <c r="AQ211" s="68"/>
      <c r="AR211" s="68"/>
      <c r="AS211" s="258"/>
      <c r="AT211" s="68"/>
      <c r="AU211" s="1118"/>
      <c r="AV211" s="70"/>
      <c r="AW211" s="71"/>
      <c r="AX211" s="72"/>
      <c r="AY211" s="72"/>
      <c r="AZ211" s="276"/>
      <c r="BA211" s="72"/>
      <c r="BB211" s="1174"/>
      <c r="BC211" s="253"/>
      <c r="BD211" s="56"/>
      <c r="BE211" s="252"/>
      <c r="BF211" s="56"/>
      <c r="BG211" s="56"/>
      <c r="BH211" s="58"/>
      <c r="BI211" s="1140"/>
      <c r="BJ211" s="63"/>
      <c r="BK211" s="64"/>
      <c r="BL211" s="64"/>
      <c r="BM211" s="64"/>
      <c r="BN211" s="65"/>
      <c r="BO211" s="64"/>
      <c r="BP211" s="65"/>
      <c r="BQ211" s="1071"/>
      <c r="BR211" s="77"/>
      <c r="BS211" s="98"/>
      <c r="BT211" s="35"/>
      <c r="BU211" s="35"/>
      <c r="BV211" s="35"/>
      <c r="BW211" s="74"/>
      <c r="BX211" s="1143"/>
      <c r="BY211" s="295"/>
      <c r="BZ211" s="296"/>
      <c r="CA211" s="296"/>
      <c r="CB211" s="296"/>
      <c r="CC211" s="297"/>
      <c r="CD211" s="296"/>
      <c r="CE211" s="297"/>
      <c r="CF211" s="1177"/>
      <c r="CG211" s="33"/>
    </row>
    <row r="212" spans="1:85">
      <c r="A212" s="30">
        <v>44160</v>
      </c>
      <c r="B212" s="32"/>
      <c r="C212" s="1"/>
      <c r="D212" s="91"/>
      <c r="E212" s="93"/>
      <c r="F212" s="240"/>
      <c r="G212" s="240"/>
      <c r="H212" s="280"/>
      <c r="I212" s="240"/>
      <c r="J212" s="271"/>
      <c r="K212" s="280"/>
      <c r="L212" s="240"/>
      <c r="M212" s="280"/>
      <c r="N212" s="280"/>
      <c r="O212" s="1089"/>
      <c r="P212" s="1084"/>
      <c r="Q212" s="77"/>
      <c r="R212" s="98"/>
      <c r="S212" s="35"/>
      <c r="T212" s="35"/>
      <c r="U212" s="36"/>
      <c r="V212" s="74"/>
      <c r="W212" s="36"/>
      <c r="X212" s="1179"/>
      <c r="Y212" s="49"/>
      <c r="Z212" s="50"/>
      <c r="AA212" s="50"/>
      <c r="AB212" s="50"/>
      <c r="AC212" s="51"/>
      <c r="AD212" s="50"/>
      <c r="AE212" s="51"/>
      <c r="AF212" s="1050"/>
      <c r="AG212" s="40"/>
      <c r="AH212" s="41"/>
      <c r="AI212" s="41"/>
      <c r="AJ212" s="41"/>
      <c r="AK212" s="42"/>
      <c r="AL212" s="41"/>
      <c r="AM212" s="42"/>
      <c r="AN212" s="1058"/>
      <c r="AO212" s="220"/>
      <c r="AP212" s="67"/>
      <c r="AQ212" s="68"/>
      <c r="AR212" s="68"/>
      <c r="AS212" s="258"/>
      <c r="AT212" s="68"/>
      <c r="AU212" s="1118"/>
      <c r="AV212" s="70"/>
      <c r="AW212" s="71"/>
      <c r="AX212" s="72"/>
      <c r="AY212" s="72"/>
      <c r="AZ212" s="276"/>
      <c r="BA212" s="72"/>
      <c r="BB212" s="1174"/>
      <c r="BC212" s="253"/>
      <c r="BD212" s="56"/>
      <c r="BE212" s="252"/>
      <c r="BF212" s="56"/>
      <c r="BG212" s="56"/>
      <c r="BH212" s="58"/>
      <c r="BI212" s="1140"/>
      <c r="BJ212" s="63"/>
      <c r="BK212" s="64"/>
      <c r="BL212" s="64"/>
      <c r="BM212" s="64"/>
      <c r="BN212" s="65"/>
      <c r="BO212" s="64"/>
      <c r="BP212" s="65"/>
      <c r="BQ212" s="1071"/>
      <c r="BR212" s="77"/>
      <c r="BS212" s="98"/>
      <c r="BT212" s="35"/>
      <c r="BU212" s="35"/>
      <c r="BV212" s="35"/>
      <c r="BW212" s="74"/>
      <c r="BX212" s="1143"/>
      <c r="BY212" s="295"/>
      <c r="BZ212" s="296"/>
      <c r="CA212" s="296"/>
      <c r="CB212" s="296"/>
      <c r="CC212" s="297"/>
      <c r="CD212" s="296"/>
      <c r="CE212" s="297"/>
      <c r="CF212" s="1177"/>
      <c r="CG212" s="33"/>
    </row>
    <row r="213" spans="1:85">
      <c r="A213" s="30">
        <v>44161</v>
      </c>
      <c r="B213" s="32"/>
      <c r="C213" s="1"/>
      <c r="D213" s="1"/>
      <c r="E213" s="93"/>
      <c r="F213" s="240"/>
      <c r="G213" s="240"/>
      <c r="H213" s="280"/>
      <c r="I213" s="240"/>
      <c r="J213" s="271"/>
      <c r="K213" s="280"/>
      <c r="L213" s="240"/>
      <c r="M213" s="280"/>
      <c r="N213" s="280"/>
      <c r="O213" s="1089"/>
      <c r="P213" s="1084"/>
      <c r="Q213" s="77"/>
      <c r="R213" s="98"/>
      <c r="S213" s="35"/>
      <c r="T213" s="35"/>
      <c r="U213" s="36"/>
      <c r="V213" s="74"/>
      <c r="W213" s="36"/>
      <c r="X213" s="1179"/>
      <c r="Y213" s="49"/>
      <c r="Z213" s="50"/>
      <c r="AA213" s="50"/>
      <c r="AB213" s="50"/>
      <c r="AC213" s="51"/>
      <c r="AD213" s="50"/>
      <c r="AE213" s="51"/>
      <c r="AF213" s="1050"/>
      <c r="AG213" s="40"/>
      <c r="AH213" s="41"/>
      <c r="AI213" s="41"/>
      <c r="AJ213" s="41"/>
      <c r="AK213" s="42"/>
      <c r="AL213" s="41"/>
      <c r="AM213" s="42"/>
      <c r="AN213" s="1058"/>
      <c r="AO213" s="220"/>
      <c r="AP213" s="67"/>
      <c r="AQ213" s="68"/>
      <c r="AR213" s="68"/>
      <c r="AS213" s="258"/>
      <c r="AT213" s="68"/>
      <c r="AU213" s="1118"/>
      <c r="AV213" s="70"/>
      <c r="AW213" s="71"/>
      <c r="AX213" s="72"/>
      <c r="AY213" s="72"/>
      <c r="AZ213" s="276"/>
      <c r="BA213" s="72"/>
      <c r="BB213" s="1174"/>
      <c r="BC213" s="253"/>
      <c r="BD213" s="56"/>
      <c r="BE213" s="252"/>
      <c r="BF213" s="56"/>
      <c r="BG213" s="56"/>
      <c r="BH213" s="58"/>
      <c r="BI213" s="1140"/>
      <c r="BJ213" s="63"/>
      <c r="BK213" s="64"/>
      <c r="BL213" s="64"/>
      <c r="BM213" s="64"/>
      <c r="BN213" s="65"/>
      <c r="BO213" s="64"/>
      <c r="BP213" s="65"/>
      <c r="BQ213" s="1071"/>
      <c r="BR213" s="77"/>
      <c r="BS213" s="98"/>
      <c r="BT213" s="35"/>
      <c r="BU213" s="35"/>
      <c r="BV213" s="35"/>
      <c r="BW213" s="74"/>
      <c r="BX213" s="1143"/>
      <c r="BY213" s="295"/>
      <c r="BZ213" s="296"/>
      <c r="CA213" s="296"/>
      <c r="CB213" s="296"/>
      <c r="CC213" s="297"/>
      <c r="CD213" s="296"/>
      <c r="CE213" s="297"/>
      <c r="CF213" s="1177"/>
      <c r="CG213" s="33"/>
    </row>
    <row r="214" spans="1:85">
      <c r="A214" s="30">
        <v>44162</v>
      </c>
      <c r="B214" s="32"/>
      <c r="C214" s="1"/>
      <c r="D214" s="1"/>
      <c r="E214" s="93"/>
      <c r="F214" s="240"/>
      <c r="G214" s="240"/>
      <c r="H214" s="280"/>
      <c r="I214" s="240"/>
      <c r="J214" s="271"/>
      <c r="K214" s="280"/>
      <c r="L214" s="240"/>
      <c r="M214" s="280"/>
      <c r="N214" s="280"/>
      <c r="O214" s="1089"/>
      <c r="P214" s="1084"/>
      <c r="Q214" s="77"/>
      <c r="R214" s="98"/>
      <c r="S214" s="35"/>
      <c r="T214" s="35"/>
      <c r="U214" s="36"/>
      <c r="V214" s="74"/>
      <c r="W214" s="36"/>
      <c r="X214" s="1179"/>
      <c r="Y214" s="49"/>
      <c r="Z214" s="50"/>
      <c r="AA214" s="50"/>
      <c r="AB214" s="50"/>
      <c r="AC214" s="51"/>
      <c r="AD214" s="50"/>
      <c r="AE214" s="51"/>
      <c r="AF214" s="1050"/>
      <c r="AG214" s="40"/>
      <c r="AH214" s="41"/>
      <c r="AI214" s="41"/>
      <c r="AJ214" s="41"/>
      <c r="AK214" s="42"/>
      <c r="AL214" s="41"/>
      <c r="AM214" s="42"/>
      <c r="AN214" s="1058"/>
      <c r="AO214" s="220"/>
      <c r="AP214" s="67"/>
      <c r="AQ214" s="68"/>
      <c r="AR214" s="68"/>
      <c r="AS214" s="258"/>
      <c r="AT214" s="68"/>
      <c r="AU214" s="1118"/>
      <c r="AV214" s="70"/>
      <c r="AW214" s="71"/>
      <c r="AX214" s="72"/>
      <c r="AY214" s="72"/>
      <c r="AZ214" s="276"/>
      <c r="BA214" s="72"/>
      <c r="BB214" s="1174"/>
      <c r="BC214" s="253"/>
      <c r="BD214" s="56"/>
      <c r="BE214" s="252"/>
      <c r="BF214" s="56"/>
      <c r="BG214" s="56"/>
      <c r="BH214" s="58"/>
      <c r="BI214" s="1140"/>
      <c r="BJ214" s="63"/>
      <c r="BK214" s="64"/>
      <c r="BL214" s="64"/>
      <c r="BM214" s="64"/>
      <c r="BN214" s="65"/>
      <c r="BO214" s="64"/>
      <c r="BP214" s="65"/>
      <c r="BQ214" s="1071"/>
      <c r="BR214" s="77"/>
      <c r="BS214" s="98"/>
      <c r="BT214" s="35"/>
      <c r="BU214" s="35"/>
      <c r="BV214" s="35"/>
      <c r="BW214" s="74"/>
      <c r="BX214" s="1143"/>
      <c r="BY214" s="295"/>
      <c r="BZ214" s="296"/>
      <c r="CA214" s="296"/>
      <c r="CB214" s="296"/>
      <c r="CC214" s="297"/>
      <c r="CD214" s="296"/>
      <c r="CE214" s="297"/>
      <c r="CF214" s="1177"/>
      <c r="CG214" s="33"/>
    </row>
    <row r="215" spans="1:85">
      <c r="A215" s="30">
        <v>44163</v>
      </c>
      <c r="B215" s="32"/>
      <c r="C215" s="1"/>
      <c r="D215" s="1"/>
      <c r="E215" s="93"/>
      <c r="F215" s="240"/>
      <c r="G215" s="365"/>
      <c r="H215" s="362"/>
      <c r="I215" s="240"/>
      <c r="J215" s="271"/>
      <c r="K215" s="280"/>
      <c r="L215" s="240"/>
      <c r="M215" s="280"/>
      <c r="N215" s="280"/>
      <c r="O215" s="1089"/>
      <c r="P215" s="1084"/>
      <c r="Q215" s="77"/>
      <c r="R215" s="98"/>
      <c r="S215" s="35"/>
      <c r="T215" s="35"/>
      <c r="U215" s="36"/>
      <c r="V215" s="74"/>
      <c r="W215" s="36"/>
      <c r="X215" s="1179"/>
      <c r="Y215" s="49"/>
      <c r="Z215" s="50"/>
      <c r="AA215" s="50"/>
      <c r="AB215" s="50"/>
      <c r="AC215" s="51"/>
      <c r="AD215" s="50"/>
      <c r="AE215" s="51"/>
      <c r="AF215" s="1050"/>
      <c r="AG215" s="40"/>
      <c r="AH215" s="41"/>
      <c r="AI215" s="41"/>
      <c r="AJ215" s="41"/>
      <c r="AK215" s="42"/>
      <c r="AL215" s="41"/>
      <c r="AM215" s="42"/>
      <c r="AN215" s="1058"/>
      <c r="AO215" s="220"/>
      <c r="AP215" s="67"/>
      <c r="AQ215" s="68"/>
      <c r="AR215" s="68"/>
      <c r="AS215" s="258"/>
      <c r="AT215" s="68"/>
      <c r="AU215" s="1118"/>
      <c r="AV215" s="70"/>
      <c r="AW215" s="71"/>
      <c r="AX215" s="72"/>
      <c r="AY215" s="72"/>
      <c r="AZ215" s="276"/>
      <c r="BA215" s="72"/>
      <c r="BB215" s="1174"/>
      <c r="BC215" s="253"/>
      <c r="BD215" s="56"/>
      <c r="BE215" s="252"/>
      <c r="BF215" s="56"/>
      <c r="BG215" s="56"/>
      <c r="BH215" s="58"/>
      <c r="BI215" s="1140"/>
      <c r="BJ215" s="63"/>
      <c r="BK215" s="64"/>
      <c r="BL215" s="64"/>
      <c r="BM215" s="64"/>
      <c r="BN215" s="65"/>
      <c r="BO215" s="64"/>
      <c r="BP215" s="65"/>
      <c r="BQ215" s="1071"/>
      <c r="BR215" s="77"/>
      <c r="BS215" s="98"/>
      <c r="BT215" s="35"/>
      <c r="BU215" s="35"/>
      <c r="BV215" s="35"/>
      <c r="BW215" s="74"/>
      <c r="BX215" s="1143"/>
      <c r="BY215" s="295"/>
      <c r="BZ215" s="296"/>
      <c r="CA215" s="296"/>
      <c r="CB215" s="296"/>
      <c r="CC215" s="297"/>
      <c r="CD215" s="296"/>
      <c r="CE215" s="297"/>
      <c r="CF215" s="1177"/>
      <c r="CG215" s="33"/>
    </row>
    <row r="216" spans="1:85">
      <c r="A216" s="30">
        <v>44164</v>
      </c>
      <c r="B216" s="32"/>
      <c r="C216" s="1"/>
      <c r="D216" s="1"/>
      <c r="E216" s="93"/>
      <c r="F216" s="240"/>
      <c r="G216" s="365"/>
      <c r="H216" s="362"/>
      <c r="I216" s="240"/>
      <c r="J216" s="271"/>
      <c r="K216" s="280"/>
      <c r="L216" s="240"/>
      <c r="M216" s="280"/>
      <c r="N216" s="280"/>
      <c r="O216" s="1089"/>
      <c r="P216" s="1084"/>
      <c r="Q216" s="77"/>
      <c r="R216" s="98"/>
      <c r="S216" s="35"/>
      <c r="T216" s="35"/>
      <c r="U216" s="36"/>
      <c r="V216" s="74"/>
      <c r="W216" s="36"/>
      <c r="X216" s="1179"/>
      <c r="Y216" s="49"/>
      <c r="Z216" s="50"/>
      <c r="AA216" s="50"/>
      <c r="AB216" s="50"/>
      <c r="AC216" s="51"/>
      <c r="AD216" s="50"/>
      <c r="AE216" s="51"/>
      <c r="AF216" s="1050"/>
      <c r="AG216" s="40"/>
      <c r="AH216" s="41"/>
      <c r="AI216" s="41"/>
      <c r="AJ216" s="41"/>
      <c r="AK216" s="42"/>
      <c r="AL216" s="41"/>
      <c r="AM216" s="42"/>
      <c r="AN216" s="1058"/>
      <c r="AO216" s="220"/>
      <c r="AP216" s="67"/>
      <c r="AQ216" s="68"/>
      <c r="AR216" s="68"/>
      <c r="AS216" s="258"/>
      <c r="AT216" s="68"/>
      <c r="AU216" s="1118"/>
      <c r="AV216" s="70"/>
      <c r="AW216" s="71"/>
      <c r="AX216" s="72"/>
      <c r="AY216" s="72"/>
      <c r="AZ216" s="276"/>
      <c r="BA216" s="72"/>
      <c r="BB216" s="1174"/>
      <c r="BC216" s="253"/>
      <c r="BD216" s="56"/>
      <c r="BE216" s="252"/>
      <c r="BF216" s="56"/>
      <c r="BG216" s="56"/>
      <c r="BH216" s="58"/>
      <c r="BI216" s="1140"/>
      <c r="BJ216" s="63"/>
      <c r="BK216" s="64"/>
      <c r="BL216" s="64"/>
      <c r="BM216" s="64"/>
      <c r="BN216" s="65"/>
      <c r="BO216" s="64"/>
      <c r="BP216" s="65"/>
      <c r="BQ216" s="1071"/>
      <c r="BR216" s="77"/>
      <c r="BS216" s="98"/>
      <c r="BT216" s="35"/>
      <c r="BU216" s="35"/>
      <c r="BV216" s="35"/>
      <c r="BW216" s="74"/>
      <c r="BX216" s="1143"/>
      <c r="BY216" s="295"/>
      <c r="BZ216" s="296"/>
      <c r="CA216" s="296"/>
      <c r="CB216" s="296"/>
      <c r="CC216" s="297"/>
      <c r="CD216" s="296"/>
      <c r="CE216" s="297"/>
      <c r="CF216" s="1177"/>
      <c r="CG216" s="33"/>
    </row>
    <row r="217" spans="1:85" ht="15.75" thickBot="1">
      <c r="A217" s="30">
        <v>44165</v>
      </c>
      <c r="B217" s="32"/>
      <c r="C217" s="1"/>
      <c r="D217" s="1"/>
      <c r="E217" s="93"/>
      <c r="F217" s="240"/>
      <c r="G217" s="365"/>
      <c r="H217" s="362"/>
      <c r="I217" s="240"/>
      <c r="J217" s="271"/>
      <c r="K217" s="280"/>
      <c r="L217" s="240"/>
      <c r="M217" s="280"/>
      <c r="N217" s="280"/>
      <c r="O217" s="1089"/>
      <c r="P217" s="1084"/>
      <c r="Q217" s="77"/>
      <c r="R217" s="98"/>
      <c r="S217" s="35"/>
      <c r="T217" s="35"/>
      <c r="U217" s="36"/>
      <c r="V217" s="74"/>
      <c r="W217" s="36"/>
      <c r="X217" s="1179"/>
      <c r="Y217" s="49"/>
      <c r="Z217" s="50"/>
      <c r="AA217" s="50"/>
      <c r="AB217" s="50"/>
      <c r="AC217" s="51"/>
      <c r="AD217" s="50"/>
      <c r="AE217" s="51"/>
      <c r="AF217" s="1050"/>
      <c r="AG217" s="40"/>
      <c r="AH217" s="41"/>
      <c r="AI217" s="41"/>
      <c r="AJ217" s="41"/>
      <c r="AK217" s="42"/>
      <c r="AL217" s="41"/>
      <c r="AM217" s="42"/>
      <c r="AN217" s="1058"/>
      <c r="AO217" s="220"/>
      <c r="AP217" s="67"/>
      <c r="AQ217" s="68"/>
      <c r="AR217" s="68"/>
      <c r="AS217" s="258"/>
      <c r="AT217" s="68"/>
      <c r="AU217" s="1118"/>
      <c r="AV217" s="70"/>
      <c r="AW217" s="71"/>
      <c r="AX217" s="72"/>
      <c r="AY217" s="72"/>
      <c r="AZ217" s="276"/>
      <c r="BA217" s="72"/>
      <c r="BB217" s="1174"/>
      <c r="BC217" s="253"/>
      <c r="BD217" s="56"/>
      <c r="BE217" s="252"/>
      <c r="BF217" s="56"/>
      <c r="BG217" s="56"/>
      <c r="BH217" s="58"/>
      <c r="BI217" s="1140"/>
      <c r="BJ217" s="63"/>
      <c r="BK217" s="64"/>
      <c r="BL217" s="64"/>
      <c r="BM217" s="64"/>
      <c r="BN217" s="65"/>
      <c r="BO217" s="64"/>
      <c r="BP217" s="65"/>
      <c r="BQ217" s="1071"/>
      <c r="BR217" s="77"/>
      <c r="BS217" s="98"/>
      <c r="BT217" s="35"/>
      <c r="BU217" s="35"/>
      <c r="BV217" s="35"/>
      <c r="BW217" s="74"/>
      <c r="BX217" s="1143"/>
      <c r="BY217" s="295"/>
      <c r="BZ217" s="296"/>
      <c r="CA217" s="296"/>
      <c r="CB217" s="296"/>
      <c r="CC217" s="297"/>
      <c r="CD217" s="296"/>
      <c r="CE217" s="297"/>
      <c r="CF217" s="1177"/>
      <c r="CG217" s="33"/>
    </row>
    <row r="218" spans="1:85">
      <c r="A218" s="30">
        <v>44166</v>
      </c>
      <c r="B218" s="264"/>
      <c r="C218" s="206"/>
      <c r="D218" s="332"/>
      <c r="E218" s="205"/>
      <c r="F218" s="242"/>
      <c r="G218" s="366"/>
      <c r="H218" s="363"/>
      <c r="I218" s="241"/>
      <c r="J218" s="343"/>
      <c r="K218" s="313"/>
      <c r="L218" s="241"/>
      <c r="M218" s="313"/>
      <c r="N218" s="313"/>
      <c r="O218" s="1052" t="e">
        <f>1000*SUM(J218:J225)/SUM(B218:B225)</f>
        <v>#DIV/0!</v>
      </c>
      <c r="P218" s="1083" t="e">
        <f>O218/8.167</f>
        <v>#DIV/0!</v>
      </c>
      <c r="Q218" s="117"/>
      <c r="R218" s="118"/>
      <c r="S218" s="118"/>
      <c r="T218" s="118"/>
      <c r="U218" s="119"/>
      <c r="V218" s="120"/>
      <c r="W218" s="119"/>
      <c r="X218" s="1135" t="e">
        <f>1000*SUM(T218:T225)/SUM(B218:B225)</f>
        <v>#DIV/0!</v>
      </c>
      <c r="Y218" s="121"/>
      <c r="Z218" s="122"/>
      <c r="AA218" s="122"/>
      <c r="AB218" s="122"/>
      <c r="AC218" s="123"/>
      <c r="AD218" s="122"/>
      <c r="AE218" s="123"/>
      <c r="AF218" s="1046" t="e">
        <f>1000*SUM(AB218:AB225)/SUM(B218:B225)</f>
        <v>#DIV/0!</v>
      </c>
      <c r="AG218" s="124"/>
      <c r="AH218" s="125"/>
      <c r="AI218" s="125"/>
      <c r="AJ218" s="125"/>
      <c r="AK218" s="126"/>
      <c r="AL218" s="125"/>
      <c r="AM218" s="126"/>
      <c r="AN218" s="1057" t="e">
        <f>1000*SUM(AJ218:AJ225)/SUM(B218:B225)</f>
        <v>#DIV/0!</v>
      </c>
      <c r="AO218" s="219"/>
      <c r="AP218" s="135"/>
      <c r="AQ218" s="102"/>
      <c r="AR218" s="102"/>
      <c r="AS218" s="257"/>
      <c r="AT218" s="102"/>
      <c r="AU218" s="1117" t="e">
        <f>1000*SUM(AQ218:AQ225)/SUM(D218:D225)</f>
        <v>#DIV/0!</v>
      </c>
      <c r="AV218" s="277"/>
      <c r="AW218" s="137"/>
      <c r="AX218" s="138"/>
      <c r="AY218" s="138"/>
      <c r="AZ218" s="278"/>
      <c r="BA218" s="138"/>
      <c r="BB218" s="1120" t="e">
        <f>1000*SUM(AX218:AX225)/SUM(D218:D225)</f>
        <v>#DIV/0!</v>
      </c>
      <c r="BC218" s="344"/>
      <c r="BD218" s="129"/>
      <c r="BE218" s="251"/>
      <c r="BF218" s="129"/>
      <c r="BG218" s="129"/>
      <c r="BH218" s="130"/>
      <c r="BI218" s="1123" t="e">
        <f>1000*SUM(BF218:BF225)/SUM(D218:D225)</f>
        <v>#DIV/0!</v>
      </c>
      <c r="BJ218" s="131"/>
      <c r="BK218" s="132"/>
      <c r="BL218" s="132"/>
      <c r="BM218" s="132"/>
      <c r="BN218" s="134"/>
      <c r="BO218" s="132"/>
      <c r="BP218" s="134"/>
      <c r="BQ218" s="1067" t="e">
        <f>1000*SUM(BM218:BM225)/SUM(B218:B225)</f>
        <v>#DIV/0!</v>
      </c>
      <c r="BR218" s="117"/>
      <c r="BS218" s="350"/>
      <c r="BT218" s="118"/>
      <c r="BU218" s="118"/>
      <c r="BV218" s="118"/>
      <c r="BW218" s="120"/>
      <c r="BX218" s="1126" t="e">
        <f>1000*SUM(BU218:BU225)/SUM(D218:D225)</f>
        <v>#DIV/0!</v>
      </c>
      <c r="BY218" s="301"/>
      <c r="BZ218" s="302"/>
      <c r="CA218" s="302"/>
      <c r="CB218" s="302"/>
      <c r="CC218" s="304"/>
      <c r="CD218" s="302"/>
      <c r="CE218" s="304"/>
      <c r="CF218" s="1129">
        <f>1000*SUM(CB218:CB225)/SUM(B188:B225)</f>
        <v>0</v>
      </c>
    </row>
    <row r="219" spans="1:85">
      <c r="A219" s="30">
        <v>44167</v>
      </c>
      <c r="B219" s="32"/>
      <c r="C219" s="1"/>
      <c r="E219" s="93"/>
      <c r="F219" s="243"/>
      <c r="G219" s="365"/>
      <c r="H219" s="362"/>
      <c r="I219" s="240"/>
      <c r="J219" s="271"/>
      <c r="K219" s="280"/>
      <c r="L219" s="240"/>
      <c r="M219" s="280"/>
      <c r="N219" s="280"/>
      <c r="O219" s="1089"/>
      <c r="P219" s="1084"/>
      <c r="Q219" s="77"/>
      <c r="R219" s="98"/>
      <c r="S219" s="35"/>
      <c r="T219" s="35"/>
      <c r="U219" s="36"/>
      <c r="V219" s="74"/>
      <c r="W219" s="36"/>
      <c r="X219" s="1136"/>
      <c r="Y219" s="49"/>
      <c r="Z219" s="50"/>
      <c r="AA219" s="50"/>
      <c r="AB219" s="50"/>
      <c r="AC219" s="51"/>
      <c r="AD219" s="50"/>
      <c r="AE219" s="51"/>
      <c r="AF219" s="1047"/>
      <c r="AG219" s="40"/>
      <c r="AH219" s="41"/>
      <c r="AI219" s="41"/>
      <c r="AJ219" s="41"/>
      <c r="AK219" s="42"/>
      <c r="AL219" s="41"/>
      <c r="AM219" s="42"/>
      <c r="AN219" s="1058"/>
      <c r="AO219" s="220"/>
      <c r="AP219" s="67"/>
      <c r="AQ219" s="68"/>
      <c r="AR219" s="68"/>
      <c r="AS219" s="258"/>
      <c r="AT219" s="68"/>
      <c r="AU219" s="1118"/>
      <c r="AV219" s="70"/>
      <c r="AW219" s="71"/>
      <c r="AX219" s="72"/>
      <c r="AY219" s="72"/>
      <c r="AZ219" s="276"/>
      <c r="BA219" s="72"/>
      <c r="BB219" s="1121"/>
      <c r="BC219" s="253"/>
      <c r="BD219" s="56"/>
      <c r="BE219" s="252"/>
      <c r="BF219" s="56"/>
      <c r="BG219" s="56"/>
      <c r="BH219" s="58"/>
      <c r="BI219" s="1124"/>
      <c r="BJ219" s="63"/>
      <c r="BK219" s="64"/>
      <c r="BL219" s="64"/>
      <c r="BM219" s="64"/>
      <c r="BN219" s="65"/>
      <c r="BO219" s="64"/>
      <c r="BP219" s="65"/>
      <c r="BQ219" s="1071"/>
      <c r="BR219" s="77"/>
      <c r="BS219" s="98"/>
      <c r="BT219" s="35"/>
      <c r="BU219" s="35"/>
      <c r="BV219" s="35"/>
      <c r="BW219" s="74"/>
      <c r="BX219" s="1127"/>
      <c r="BY219" s="295"/>
      <c r="BZ219" s="296"/>
      <c r="CA219" s="296"/>
      <c r="CB219" s="296"/>
      <c r="CC219" s="297"/>
      <c r="CD219" s="296"/>
      <c r="CE219" s="297"/>
      <c r="CF219" s="1130"/>
    </row>
    <row r="220" spans="1:85">
      <c r="A220" s="30">
        <v>44168</v>
      </c>
      <c r="B220" s="32"/>
      <c r="C220" s="1"/>
      <c r="D220" s="1"/>
      <c r="E220" s="93"/>
      <c r="F220" s="243"/>
      <c r="G220" s="365"/>
      <c r="H220" s="362"/>
      <c r="I220" s="240"/>
      <c r="J220" s="271"/>
      <c r="K220" s="280"/>
      <c r="L220" s="240"/>
      <c r="M220" s="280"/>
      <c r="N220" s="280"/>
      <c r="O220" s="1089"/>
      <c r="P220" s="1084"/>
      <c r="Q220" s="77"/>
      <c r="R220" s="98"/>
      <c r="S220" s="35"/>
      <c r="T220" s="35"/>
      <c r="U220" s="36"/>
      <c r="V220" s="74"/>
      <c r="W220" s="36"/>
      <c r="X220" s="1136"/>
      <c r="Y220" s="49"/>
      <c r="Z220" s="50"/>
      <c r="AA220" s="50"/>
      <c r="AB220" s="50"/>
      <c r="AC220" s="51"/>
      <c r="AD220" s="50"/>
      <c r="AE220" s="51"/>
      <c r="AF220" s="1047"/>
      <c r="AG220" s="40"/>
      <c r="AH220" s="41"/>
      <c r="AI220" s="41"/>
      <c r="AJ220" s="41"/>
      <c r="AK220" s="42"/>
      <c r="AL220" s="41"/>
      <c r="AM220" s="42"/>
      <c r="AN220" s="1058"/>
      <c r="AO220" s="260"/>
      <c r="AP220" s="67"/>
      <c r="AQ220" s="68"/>
      <c r="AR220" s="68"/>
      <c r="AS220" s="258"/>
      <c r="AT220" s="68"/>
      <c r="AU220" s="1118"/>
      <c r="AV220" s="319"/>
      <c r="AW220" s="71"/>
      <c r="AX220" s="72"/>
      <c r="AY220" s="72"/>
      <c r="AZ220" s="276"/>
      <c r="BA220" s="72"/>
      <c r="BB220" s="1121"/>
      <c r="BC220" s="253"/>
      <c r="BD220" s="56"/>
      <c r="BE220" s="252"/>
      <c r="BF220" s="56"/>
      <c r="BG220" s="56"/>
      <c r="BH220" s="58"/>
      <c r="BI220" s="1124"/>
      <c r="BJ220" s="63"/>
      <c r="BK220" s="64"/>
      <c r="BL220" s="64"/>
      <c r="BM220" s="64"/>
      <c r="BN220" s="65"/>
      <c r="BO220" s="64"/>
      <c r="BP220" s="65"/>
      <c r="BQ220" s="1071"/>
      <c r="BR220" s="77"/>
      <c r="BS220" s="98"/>
      <c r="BT220" s="35"/>
      <c r="BU220" s="35"/>
      <c r="BV220" s="35"/>
      <c r="BW220" s="74"/>
      <c r="BX220" s="1127"/>
      <c r="BY220" s="295"/>
      <c r="BZ220" s="296"/>
      <c r="CA220" s="296"/>
      <c r="CB220" s="296"/>
      <c r="CC220" s="297"/>
      <c r="CD220" s="296"/>
      <c r="CE220" s="297"/>
      <c r="CF220" s="1130"/>
    </row>
    <row r="221" spans="1:85">
      <c r="A221" s="30">
        <v>44169</v>
      </c>
      <c r="B221" s="32"/>
      <c r="C221" s="1"/>
      <c r="D221" s="1"/>
      <c r="E221" s="93"/>
      <c r="F221" s="243"/>
      <c r="G221" s="365"/>
      <c r="H221" s="362"/>
      <c r="I221" s="240"/>
      <c r="J221" s="271"/>
      <c r="K221" s="280"/>
      <c r="L221" s="240"/>
      <c r="M221" s="280"/>
      <c r="N221" s="280"/>
      <c r="O221" s="1089"/>
      <c r="P221" s="1084"/>
      <c r="Q221" s="77"/>
      <c r="R221" s="98"/>
      <c r="S221" s="35"/>
      <c r="T221" s="35"/>
      <c r="U221" s="36"/>
      <c r="V221" s="74"/>
      <c r="W221" s="36"/>
      <c r="X221" s="1136"/>
      <c r="Y221" s="49"/>
      <c r="Z221" s="50"/>
      <c r="AA221" s="50"/>
      <c r="AB221" s="50"/>
      <c r="AC221" s="51"/>
      <c r="AD221" s="50"/>
      <c r="AE221" s="51"/>
      <c r="AF221" s="1047"/>
      <c r="AG221" s="40"/>
      <c r="AH221" s="41"/>
      <c r="AI221" s="41"/>
      <c r="AJ221" s="41"/>
      <c r="AK221" s="42"/>
      <c r="AL221" s="41"/>
      <c r="AM221" s="42"/>
      <c r="AN221" s="1058"/>
      <c r="AO221" s="260"/>
      <c r="AP221" s="67"/>
      <c r="AQ221" s="68"/>
      <c r="AR221" s="68"/>
      <c r="AS221" s="258"/>
      <c r="AT221" s="68"/>
      <c r="AU221" s="1118"/>
      <c r="AV221" s="70"/>
      <c r="AW221" s="71"/>
      <c r="AX221" s="72"/>
      <c r="AY221" s="72"/>
      <c r="AZ221" s="276"/>
      <c r="BA221" s="72"/>
      <c r="BB221" s="1121"/>
      <c r="BC221" s="253"/>
      <c r="BD221" s="56"/>
      <c r="BE221" s="252"/>
      <c r="BF221" s="56"/>
      <c r="BG221" s="56"/>
      <c r="BH221" s="58"/>
      <c r="BI221" s="1124"/>
      <c r="BJ221" s="63"/>
      <c r="BK221" s="64"/>
      <c r="BL221" s="64"/>
      <c r="BM221" s="64"/>
      <c r="BN221" s="65"/>
      <c r="BO221" s="64"/>
      <c r="BP221" s="65"/>
      <c r="BQ221" s="1071"/>
      <c r="BR221" s="77"/>
      <c r="BS221" s="98"/>
      <c r="BT221" s="35"/>
      <c r="BU221" s="35"/>
      <c r="BV221" s="35"/>
      <c r="BW221" s="74"/>
      <c r="BX221" s="1127"/>
      <c r="BY221" s="295"/>
      <c r="BZ221" s="296"/>
      <c r="CA221" s="296"/>
      <c r="CB221" s="296"/>
      <c r="CC221" s="297"/>
      <c r="CD221" s="296"/>
      <c r="CE221" s="297"/>
      <c r="CF221" s="1130"/>
    </row>
    <row r="222" spans="1:85">
      <c r="A222" s="30">
        <v>44170</v>
      </c>
      <c r="B222" s="32"/>
      <c r="C222" s="1"/>
      <c r="D222" s="1"/>
      <c r="E222" s="93"/>
      <c r="F222" s="243"/>
      <c r="G222" s="365"/>
      <c r="H222" s="362"/>
      <c r="I222" s="240"/>
      <c r="J222" s="271"/>
      <c r="K222" s="280"/>
      <c r="L222" s="240"/>
      <c r="M222" s="280"/>
      <c r="N222" s="280"/>
      <c r="O222" s="1089"/>
      <c r="P222" s="1084"/>
      <c r="Q222" s="77"/>
      <c r="R222" s="98"/>
      <c r="S222" s="35"/>
      <c r="T222" s="35"/>
      <c r="U222" s="36"/>
      <c r="V222" s="74"/>
      <c r="W222" s="36"/>
      <c r="X222" s="1136"/>
      <c r="Y222" s="49"/>
      <c r="Z222" s="50"/>
      <c r="AA222" s="50"/>
      <c r="AB222" s="50"/>
      <c r="AC222" s="51"/>
      <c r="AD222" s="50"/>
      <c r="AE222" s="51"/>
      <c r="AF222" s="1047"/>
      <c r="AG222" s="40"/>
      <c r="AH222" s="41"/>
      <c r="AI222" s="41"/>
      <c r="AJ222" s="41"/>
      <c r="AK222" s="42"/>
      <c r="AL222" s="41"/>
      <c r="AM222" s="42"/>
      <c r="AN222" s="1058"/>
      <c r="AO222" s="260"/>
      <c r="AP222" s="67"/>
      <c r="AQ222" s="68"/>
      <c r="AR222" s="68"/>
      <c r="AS222" s="258"/>
      <c r="AT222" s="68"/>
      <c r="AU222" s="1118"/>
      <c r="AV222" s="70"/>
      <c r="AW222" s="71"/>
      <c r="AX222" s="72"/>
      <c r="AY222" s="72"/>
      <c r="AZ222" s="276"/>
      <c r="BA222" s="72"/>
      <c r="BB222" s="1121"/>
      <c r="BC222" s="253"/>
      <c r="BD222" s="56"/>
      <c r="BE222" s="252"/>
      <c r="BF222" s="56"/>
      <c r="BG222" s="56"/>
      <c r="BH222" s="58"/>
      <c r="BI222" s="1124"/>
      <c r="BJ222" s="63"/>
      <c r="BK222" s="64"/>
      <c r="BL222" s="64"/>
      <c r="BM222" s="64"/>
      <c r="BN222" s="65"/>
      <c r="BO222" s="64"/>
      <c r="BP222" s="65"/>
      <c r="BQ222" s="1071"/>
      <c r="BR222" s="77"/>
      <c r="BS222" s="98"/>
      <c r="BT222" s="35"/>
      <c r="BU222" s="35"/>
      <c r="BV222" s="35"/>
      <c r="BW222" s="74"/>
      <c r="BX222" s="1127"/>
      <c r="BY222" s="295"/>
      <c r="BZ222" s="296"/>
      <c r="CA222" s="296"/>
      <c r="CB222" s="296"/>
      <c r="CC222" s="297"/>
      <c r="CD222" s="296"/>
      <c r="CE222" s="297"/>
      <c r="CF222" s="1130"/>
    </row>
    <row r="223" spans="1:85">
      <c r="A223" s="30">
        <v>44171</v>
      </c>
      <c r="B223" s="32"/>
      <c r="C223" s="1"/>
      <c r="D223" s="1"/>
      <c r="E223" s="93"/>
      <c r="F223" s="243"/>
      <c r="G223" s="365"/>
      <c r="H223" s="362"/>
      <c r="I223" s="240"/>
      <c r="J223" s="271"/>
      <c r="K223" s="280"/>
      <c r="L223" s="240"/>
      <c r="M223" s="280"/>
      <c r="N223" s="280"/>
      <c r="O223" s="1089"/>
      <c r="P223" s="1084"/>
      <c r="Q223" s="77"/>
      <c r="R223" s="98"/>
      <c r="S223" s="35"/>
      <c r="T223" s="35"/>
      <c r="U223" s="36"/>
      <c r="V223" s="74"/>
      <c r="W223" s="36"/>
      <c r="X223" s="1136"/>
      <c r="Y223" s="49"/>
      <c r="Z223" s="50"/>
      <c r="AA223" s="50"/>
      <c r="AB223" s="50"/>
      <c r="AC223" s="51"/>
      <c r="AD223" s="50"/>
      <c r="AE223" s="51"/>
      <c r="AF223" s="1047"/>
      <c r="AG223" s="40"/>
      <c r="AH223" s="41"/>
      <c r="AI223" s="41"/>
      <c r="AJ223" s="41"/>
      <c r="AK223" s="42"/>
      <c r="AL223" s="41"/>
      <c r="AM223" s="42"/>
      <c r="AN223" s="1058"/>
      <c r="AO223" s="260"/>
      <c r="AP223" s="67"/>
      <c r="AQ223" s="68"/>
      <c r="AR223" s="68"/>
      <c r="AS223" s="258"/>
      <c r="AT223" s="68"/>
      <c r="AU223" s="1118"/>
      <c r="AV223" s="70"/>
      <c r="AW223" s="71"/>
      <c r="AX223" s="72"/>
      <c r="AY223" s="72"/>
      <c r="AZ223" s="276"/>
      <c r="BA223" s="72"/>
      <c r="BB223" s="1121"/>
      <c r="BC223" s="253"/>
      <c r="BD223" s="56"/>
      <c r="BE223" s="252"/>
      <c r="BF223" s="56"/>
      <c r="BG223" s="56"/>
      <c r="BH223" s="58"/>
      <c r="BI223" s="1124"/>
      <c r="BJ223" s="63"/>
      <c r="BK223" s="64"/>
      <c r="BL223" s="64"/>
      <c r="BM223" s="64"/>
      <c r="BN223" s="65"/>
      <c r="BO223" s="64"/>
      <c r="BP223" s="65"/>
      <c r="BQ223" s="1071"/>
      <c r="BR223" s="77"/>
      <c r="BS223" s="98"/>
      <c r="BT223" s="35"/>
      <c r="BU223" s="35"/>
      <c r="BV223" s="35"/>
      <c r="BW223" s="74"/>
      <c r="BX223" s="1127"/>
      <c r="BY223" s="295"/>
      <c r="BZ223" s="296"/>
      <c r="CA223" s="296"/>
      <c r="CB223" s="296"/>
      <c r="CC223" s="297"/>
      <c r="CD223" s="296"/>
      <c r="CE223" s="297"/>
      <c r="CF223" s="1130"/>
    </row>
    <row r="224" spans="1:85">
      <c r="A224" s="30">
        <v>44172</v>
      </c>
      <c r="B224" s="32"/>
      <c r="C224" s="1"/>
      <c r="D224" s="1"/>
      <c r="E224" s="93"/>
      <c r="F224" s="243"/>
      <c r="G224" s="365"/>
      <c r="H224" s="362"/>
      <c r="I224" s="240"/>
      <c r="J224" s="271"/>
      <c r="K224" s="280"/>
      <c r="L224" s="240"/>
      <c r="M224" s="280"/>
      <c r="N224" s="280"/>
      <c r="O224" s="1089"/>
      <c r="P224" s="1084"/>
      <c r="Q224" s="77"/>
      <c r="R224" s="98"/>
      <c r="S224" s="35"/>
      <c r="T224" s="35"/>
      <c r="U224" s="36"/>
      <c r="V224" s="74"/>
      <c r="W224" s="36"/>
      <c r="X224" s="1136"/>
      <c r="Y224" s="49"/>
      <c r="Z224" s="50"/>
      <c r="AA224" s="50"/>
      <c r="AB224" s="50"/>
      <c r="AC224" s="51"/>
      <c r="AD224" s="50"/>
      <c r="AE224" s="51"/>
      <c r="AF224" s="1047"/>
      <c r="AG224" s="40"/>
      <c r="AH224" s="41"/>
      <c r="AI224" s="41"/>
      <c r="AJ224" s="41"/>
      <c r="AK224" s="42"/>
      <c r="AL224" s="41"/>
      <c r="AM224" s="42"/>
      <c r="AN224" s="1058"/>
      <c r="AO224" s="260"/>
      <c r="AP224" s="67"/>
      <c r="AQ224" s="68"/>
      <c r="AR224" s="68"/>
      <c r="AS224" s="258"/>
      <c r="AT224" s="68"/>
      <c r="AU224" s="1118"/>
      <c r="AV224" s="70"/>
      <c r="AW224" s="71"/>
      <c r="AX224" s="72"/>
      <c r="AY224" s="72"/>
      <c r="AZ224" s="276"/>
      <c r="BA224" s="72"/>
      <c r="BB224" s="1121"/>
      <c r="BC224" s="253"/>
      <c r="BD224" s="56"/>
      <c r="BE224" s="252"/>
      <c r="BF224" s="56"/>
      <c r="BG224" s="56"/>
      <c r="BH224" s="58"/>
      <c r="BI224" s="1124"/>
      <c r="BJ224" s="63"/>
      <c r="BK224" s="64"/>
      <c r="BL224" s="64"/>
      <c r="BM224" s="64"/>
      <c r="BN224" s="65"/>
      <c r="BO224" s="64"/>
      <c r="BP224" s="65"/>
      <c r="BQ224" s="1071"/>
      <c r="BR224" s="77"/>
      <c r="BS224" s="98"/>
      <c r="BT224" s="35"/>
      <c r="BU224" s="35"/>
      <c r="BV224" s="35"/>
      <c r="BW224" s="74"/>
      <c r="BX224" s="1127"/>
      <c r="BY224" s="295"/>
      <c r="BZ224" s="296"/>
      <c r="CA224" s="296"/>
      <c r="CB224" s="296"/>
      <c r="CC224" s="297"/>
      <c r="CD224" s="296"/>
      <c r="CE224" s="297"/>
      <c r="CF224" s="1130"/>
    </row>
    <row r="225" spans="1:84" ht="15.75" thickBot="1">
      <c r="A225" s="170">
        <v>44173</v>
      </c>
      <c r="B225" s="109"/>
      <c r="C225" s="78"/>
      <c r="D225" s="78"/>
      <c r="E225" s="94"/>
      <c r="F225" s="245"/>
      <c r="G225" s="367"/>
      <c r="H225" s="364"/>
      <c r="I225" s="231"/>
      <c r="J225" s="273"/>
      <c r="K225" s="230"/>
      <c r="L225" s="231"/>
      <c r="M225" s="230"/>
      <c r="N225" s="230"/>
      <c r="O225" s="1090"/>
      <c r="P225" s="1085"/>
      <c r="Q225" s="79"/>
      <c r="R225" s="247"/>
      <c r="S225" s="76"/>
      <c r="T225" s="76"/>
      <c r="U225" s="80"/>
      <c r="V225" s="81"/>
      <c r="W225" s="80"/>
      <c r="X225" s="1137"/>
      <c r="Y225" s="83"/>
      <c r="Z225" s="82"/>
      <c r="AA225" s="82"/>
      <c r="AB225" s="82"/>
      <c r="AC225" s="84"/>
      <c r="AD225" s="82"/>
      <c r="AE225" s="84"/>
      <c r="AF225" s="1048"/>
      <c r="AG225" s="95"/>
      <c r="AH225" s="96"/>
      <c r="AI225" s="96"/>
      <c r="AJ225" s="96"/>
      <c r="AK225" s="97"/>
      <c r="AL225" s="96"/>
      <c r="AM225" s="97"/>
      <c r="AN225" s="1059"/>
      <c r="AO225" s="266"/>
      <c r="AP225" s="101"/>
      <c r="AQ225" s="111"/>
      <c r="AR225" s="111"/>
      <c r="AS225" s="259"/>
      <c r="AT225" s="111"/>
      <c r="AU225" s="1119"/>
      <c r="AV225" s="113"/>
      <c r="AW225" s="104"/>
      <c r="AX225" s="105"/>
      <c r="AY225" s="105"/>
      <c r="AZ225" s="279"/>
      <c r="BA225" s="105"/>
      <c r="BB225" s="1122"/>
      <c r="BC225" s="345"/>
      <c r="BD225" s="88"/>
      <c r="BE225" s="274"/>
      <c r="BF225" s="88"/>
      <c r="BG225" s="88"/>
      <c r="BH225" s="89"/>
      <c r="BI225" s="1125"/>
      <c r="BJ225" s="207"/>
      <c r="BK225" s="85"/>
      <c r="BL225" s="85"/>
      <c r="BM225" s="85"/>
      <c r="BN225" s="86"/>
      <c r="BO225" s="85"/>
      <c r="BP225" s="86"/>
      <c r="BQ225" s="1072"/>
      <c r="BR225" s="79"/>
      <c r="BS225" s="247"/>
      <c r="BT225" s="76"/>
      <c r="BU225" s="76"/>
      <c r="BV225" s="76"/>
      <c r="BW225" s="81"/>
      <c r="BX225" s="1128"/>
      <c r="BY225" s="305"/>
      <c r="BZ225" s="299"/>
      <c r="CA225" s="299"/>
      <c r="CB225" s="299"/>
      <c r="CC225" s="300"/>
      <c r="CD225" s="299"/>
      <c r="CE225" s="300"/>
      <c r="CF225" s="1131"/>
    </row>
  </sheetData>
  <mergeCells count="100">
    <mergeCell ref="BR1:BX1"/>
    <mergeCell ref="BY1:CF1"/>
    <mergeCell ref="B1:C1"/>
    <mergeCell ref="D1:E1"/>
    <mergeCell ref="F1:P1"/>
    <mergeCell ref="Q1:X1"/>
    <mergeCell ref="Y1:AF1"/>
    <mergeCell ref="AG1:AN1"/>
    <mergeCell ref="AU4:AU34"/>
    <mergeCell ref="AO1:AU1"/>
    <mergeCell ref="AV1:BB1"/>
    <mergeCell ref="BC1:BI1"/>
    <mergeCell ref="BJ1:BQ1"/>
    <mergeCell ref="O4:O34"/>
    <mergeCell ref="P4:P34"/>
    <mergeCell ref="X4:X34"/>
    <mergeCell ref="AF4:AF34"/>
    <mergeCell ref="AN4:AN34"/>
    <mergeCell ref="O35:O64"/>
    <mergeCell ref="P35:P64"/>
    <mergeCell ref="X35:X64"/>
    <mergeCell ref="AF35:AF64"/>
    <mergeCell ref="AN35:AN64"/>
    <mergeCell ref="BX35:BX64"/>
    <mergeCell ref="CF35:CF64"/>
    <mergeCell ref="BB4:BB34"/>
    <mergeCell ref="BI4:BI34"/>
    <mergeCell ref="BQ4:BQ34"/>
    <mergeCell ref="BX4:BX34"/>
    <mergeCell ref="CF4:CF34"/>
    <mergeCell ref="AU65:AU95"/>
    <mergeCell ref="AU35:AU64"/>
    <mergeCell ref="BB35:BB64"/>
    <mergeCell ref="BI35:BI64"/>
    <mergeCell ref="BQ35:BQ64"/>
    <mergeCell ref="O65:O95"/>
    <mergeCell ref="P65:P95"/>
    <mergeCell ref="X65:X95"/>
    <mergeCell ref="AF65:AF95"/>
    <mergeCell ref="AN65:AN95"/>
    <mergeCell ref="O96:O126"/>
    <mergeCell ref="P96:P126"/>
    <mergeCell ref="X96:X126"/>
    <mergeCell ref="AF96:AF126"/>
    <mergeCell ref="AN96:AN126"/>
    <mergeCell ref="BX96:BX126"/>
    <mergeCell ref="CF96:CF126"/>
    <mergeCell ref="BB65:BB95"/>
    <mergeCell ref="BI65:BI95"/>
    <mergeCell ref="BQ65:BQ95"/>
    <mergeCell ref="BX65:BX95"/>
    <mergeCell ref="CF65:CF95"/>
    <mergeCell ref="AU127:AU156"/>
    <mergeCell ref="AU96:AU126"/>
    <mergeCell ref="BB96:BB126"/>
    <mergeCell ref="BI96:BI126"/>
    <mergeCell ref="BQ96:BQ126"/>
    <mergeCell ref="O127:O156"/>
    <mergeCell ref="P127:P156"/>
    <mergeCell ref="X127:X156"/>
    <mergeCell ref="AF127:AF156"/>
    <mergeCell ref="AN127:AN156"/>
    <mergeCell ref="O157:O187"/>
    <mergeCell ref="P157:P187"/>
    <mergeCell ref="X157:X187"/>
    <mergeCell ref="AF157:AF187"/>
    <mergeCell ref="AN157:AN187"/>
    <mergeCell ref="BX157:BX187"/>
    <mergeCell ref="CF157:CF187"/>
    <mergeCell ref="BB127:BB156"/>
    <mergeCell ref="BI127:BI156"/>
    <mergeCell ref="BQ127:BQ156"/>
    <mergeCell ref="BX127:BX156"/>
    <mergeCell ref="CF127:CF156"/>
    <mergeCell ref="AU188:AU217"/>
    <mergeCell ref="AU157:AU187"/>
    <mergeCell ref="BB157:BB187"/>
    <mergeCell ref="BI157:BI187"/>
    <mergeCell ref="BQ157:BQ187"/>
    <mergeCell ref="O188:O217"/>
    <mergeCell ref="P188:P217"/>
    <mergeCell ref="X188:X217"/>
    <mergeCell ref="AF188:AF217"/>
    <mergeCell ref="AN188:AN217"/>
    <mergeCell ref="O218:O225"/>
    <mergeCell ref="P218:P225"/>
    <mergeCell ref="X218:X225"/>
    <mergeCell ref="AF218:AF225"/>
    <mergeCell ref="AN218:AN225"/>
    <mergeCell ref="CF218:CF225"/>
    <mergeCell ref="BB188:BB217"/>
    <mergeCell ref="BI188:BI217"/>
    <mergeCell ref="BQ188:BQ217"/>
    <mergeCell ref="BX188:BX217"/>
    <mergeCell ref="CF188:CF217"/>
    <mergeCell ref="AU218:AU225"/>
    <mergeCell ref="BB218:BB225"/>
    <mergeCell ref="BI218:BI225"/>
    <mergeCell ref="BQ218:BQ225"/>
    <mergeCell ref="BX218:BX225"/>
  </mergeCells>
  <pageMargins left="0.511811024" right="0.511811024" top="0.78740157499999996" bottom="0.78740157499999996" header="0.31496062000000002" footer="0.31496062000000002"/>
  <pageSetup paperSize="9" orientation="portrait" r:id="rId1"/>
  <ignoredErrors>
    <ignoredError sqref="BX127" formulaRange="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F225"/>
  <sheetViews>
    <sheetView zoomScale="80" zoomScaleNormal="80" workbookViewId="0">
      <pane xSplit="1" topLeftCell="B1" activePane="topRight" state="frozen"/>
      <selection pane="topRight" activeCell="A3" sqref="A3"/>
    </sheetView>
  </sheetViews>
  <sheetFormatPr defaultRowHeight="15"/>
  <cols>
    <col min="1" max="1" width="14.5703125" bestFit="1" customWidth="1"/>
    <col min="2" max="4" width="10.7109375" customWidth="1"/>
    <col min="5" max="5" width="12.42578125" bestFit="1" customWidth="1"/>
    <col min="6" max="12" width="9.7109375" customWidth="1"/>
    <col min="13" max="13" width="12.42578125" bestFit="1" customWidth="1"/>
    <col min="14" max="19" width="9.7109375" customWidth="1"/>
    <col min="20" max="23" width="9.7109375" style="31" customWidth="1"/>
    <col min="24" max="53" width="9.7109375" customWidth="1"/>
    <col min="59" max="59" width="9.140625" style="239"/>
    <col min="74" max="74" width="12.42578125" bestFit="1" customWidth="1"/>
  </cols>
  <sheetData>
    <row r="1" spans="1:83">
      <c r="B1" s="1161" t="s">
        <v>49</v>
      </c>
      <c r="C1" s="1162"/>
      <c r="D1" s="1162" t="s">
        <v>50</v>
      </c>
      <c r="E1" s="1163"/>
      <c r="F1" s="1164" t="s">
        <v>64</v>
      </c>
      <c r="G1" s="1165"/>
      <c r="H1" s="1165"/>
      <c r="I1" s="1165"/>
      <c r="J1" s="1165"/>
      <c r="K1" s="1165"/>
      <c r="L1" s="1165"/>
      <c r="M1" s="1165"/>
      <c r="N1" s="1165"/>
      <c r="O1" s="1166"/>
      <c r="P1" s="1155" t="s">
        <v>41</v>
      </c>
      <c r="Q1" s="1156"/>
      <c r="R1" s="1156"/>
      <c r="S1" s="1156"/>
      <c r="T1" s="1156"/>
      <c r="U1" s="1156"/>
      <c r="V1" s="1156"/>
      <c r="W1" s="1157"/>
      <c r="X1" s="1167" t="s">
        <v>44</v>
      </c>
      <c r="Y1" s="1168"/>
      <c r="Z1" s="1168"/>
      <c r="AA1" s="1168"/>
      <c r="AB1" s="1168"/>
      <c r="AC1" s="1168"/>
      <c r="AD1" s="1168"/>
      <c r="AE1" s="1169"/>
      <c r="AF1" s="1170" t="s">
        <v>56</v>
      </c>
      <c r="AG1" s="1171"/>
      <c r="AH1" s="1171"/>
      <c r="AI1" s="1171"/>
      <c r="AJ1" s="1171"/>
      <c r="AK1" s="1171"/>
      <c r="AL1" s="1171"/>
      <c r="AM1" s="1172"/>
      <c r="AN1" s="1144" t="s">
        <v>55</v>
      </c>
      <c r="AO1" s="1145"/>
      <c r="AP1" s="1145"/>
      <c r="AQ1" s="1145"/>
      <c r="AR1" s="1145"/>
      <c r="AS1" s="1145"/>
      <c r="AT1" s="1146"/>
      <c r="AU1" s="1147" t="s">
        <v>60</v>
      </c>
      <c r="AV1" s="1148"/>
      <c r="AW1" s="1148"/>
      <c r="AX1" s="1148"/>
      <c r="AY1" s="1148"/>
      <c r="AZ1" s="1148"/>
      <c r="BA1" s="1148"/>
      <c r="BB1" s="1149" t="s">
        <v>58</v>
      </c>
      <c r="BC1" s="1150"/>
      <c r="BD1" s="1150"/>
      <c r="BE1" s="1150"/>
      <c r="BF1" s="1150"/>
      <c r="BG1" s="1150"/>
      <c r="BH1" s="1151"/>
      <c r="BI1" s="1152" t="s">
        <v>57</v>
      </c>
      <c r="BJ1" s="1153"/>
      <c r="BK1" s="1153"/>
      <c r="BL1" s="1153"/>
      <c r="BM1" s="1153"/>
      <c r="BN1" s="1153"/>
      <c r="BO1" s="1153"/>
      <c r="BP1" s="1154"/>
      <c r="BQ1" s="1155" t="s">
        <v>59</v>
      </c>
      <c r="BR1" s="1156"/>
      <c r="BS1" s="1156"/>
      <c r="BT1" s="1156"/>
      <c r="BU1" s="1156"/>
      <c r="BV1" s="1156"/>
      <c r="BW1" s="1157"/>
      <c r="BX1" s="1158" t="s">
        <v>93</v>
      </c>
      <c r="BY1" s="1159"/>
      <c r="BZ1" s="1159"/>
      <c r="CA1" s="1159"/>
      <c r="CB1" s="1159"/>
      <c r="CC1" s="1159"/>
      <c r="CD1" s="1159"/>
      <c r="CE1" s="1160"/>
    </row>
    <row r="2" spans="1:83" ht="99" customHeight="1" thickBot="1">
      <c r="A2" s="872">
        <v>2019</v>
      </c>
      <c r="B2" s="173" t="s">
        <v>45</v>
      </c>
      <c r="C2" s="174" t="s">
        <v>46</v>
      </c>
      <c r="D2" s="174" t="s">
        <v>47</v>
      </c>
      <c r="E2" s="175" t="s">
        <v>48</v>
      </c>
      <c r="F2" s="221" t="s">
        <v>36</v>
      </c>
      <c r="G2" s="222" t="s">
        <v>37</v>
      </c>
      <c r="H2" s="223" t="s">
        <v>38</v>
      </c>
      <c r="I2" s="223" t="s">
        <v>39</v>
      </c>
      <c r="J2" s="224" t="s">
        <v>40</v>
      </c>
      <c r="K2" s="223" t="s">
        <v>43</v>
      </c>
      <c r="L2" s="225" t="s">
        <v>42</v>
      </c>
      <c r="M2" s="225" t="s">
        <v>66</v>
      </c>
      <c r="N2" s="224" t="s">
        <v>62</v>
      </c>
      <c r="O2" s="224" t="s">
        <v>65</v>
      </c>
      <c r="P2" s="150" t="s">
        <v>36</v>
      </c>
      <c r="Q2" s="151" t="s">
        <v>37</v>
      </c>
      <c r="R2" s="152" t="s">
        <v>38</v>
      </c>
      <c r="S2" s="152" t="s">
        <v>39</v>
      </c>
      <c r="T2" s="153" t="s">
        <v>40</v>
      </c>
      <c r="U2" s="152" t="s">
        <v>43</v>
      </c>
      <c r="V2" s="154" t="s">
        <v>42</v>
      </c>
      <c r="W2" s="153" t="s">
        <v>62</v>
      </c>
      <c r="X2" s="46" t="s">
        <v>36</v>
      </c>
      <c r="Y2" s="47" t="s">
        <v>37</v>
      </c>
      <c r="Z2" s="48" t="s">
        <v>38</v>
      </c>
      <c r="AA2" s="48" t="s">
        <v>39</v>
      </c>
      <c r="AB2" s="143" t="s">
        <v>40</v>
      </c>
      <c r="AC2" s="48" t="s">
        <v>43</v>
      </c>
      <c r="AD2" s="143" t="s">
        <v>42</v>
      </c>
      <c r="AE2" s="144" t="s">
        <v>62</v>
      </c>
      <c r="AF2" s="75" t="s">
        <v>36</v>
      </c>
      <c r="AG2" s="38" t="s">
        <v>37</v>
      </c>
      <c r="AH2" s="39" t="s">
        <v>38</v>
      </c>
      <c r="AI2" s="39" t="s">
        <v>39</v>
      </c>
      <c r="AJ2" s="163" t="s">
        <v>40</v>
      </c>
      <c r="AK2" s="39" t="s">
        <v>43</v>
      </c>
      <c r="AL2" s="164" t="s">
        <v>42</v>
      </c>
      <c r="AM2" s="165" t="s">
        <v>62</v>
      </c>
      <c r="AN2" s="183" t="s">
        <v>51</v>
      </c>
      <c r="AO2" s="184" t="s">
        <v>52</v>
      </c>
      <c r="AP2" s="185" t="s">
        <v>39</v>
      </c>
      <c r="AQ2" s="184" t="s">
        <v>53</v>
      </c>
      <c r="AR2" s="184" t="s">
        <v>43</v>
      </c>
      <c r="AS2" s="190" t="s">
        <v>54</v>
      </c>
      <c r="AT2" s="191" t="s">
        <v>63</v>
      </c>
      <c r="AU2" s="195" t="s">
        <v>51</v>
      </c>
      <c r="AV2" s="196" t="s">
        <v>52</v>
      </c>
      <c r="AW2" s="197" t="s">
        <v>39</v>
      </c>
      <c r="AX2" s="196" t="s">
        <v>53</v>
      </c>
      <c r="AY2" s="196" t="s">
        <v>43</v>
      </c>
      <c r="AZ2" s="203" t="s">
        <v>54</v>
      </c>
      <c r="BA2" s="204"/>
      <c r="BB2" s="53" t="s">
        <v>36</v>
      </c>
      <c r="BC2" s="54" t="s">
        <v>37</v>
      </c>
      <c r="BD2" s="55" t="s">
        <v>38</v>
      </c>
      <c r="BE2" s="55" t="s">
        <v>39</v>
      </c>
      <c r="BF2" s="55" t="s">
        <v>43</v>
      </c>
      <c r="BG2" s="275" t="s">
        <v>42</v>
      </c>
      <c r="BH2" s="236" t="s">
        <v>63</v>
      </c>
      <c r="BI2" s="60" t="s">
        <v>36</v>
      </c>
      <c r="BJ2" s="61" t="s">
        <v>37</v>
      </c>
      <c r="BK2" s="62" t="s">
        <v>38</v>
      </c>
      <c r="BL2" s="62" t="s">
        <v>39</v>
      </c>
      <c r="BM2" s="208" t="s">
        <v>40</v>
      </c>
      <c r="BN2" s="62" t="s">
        <v>43</v>
      </c>
      <c r="BO2" s="214" t="s">
        <v>42</v>
      </c>
      <c r="BP2" s="213" t="s">
        <v>63</v>
      </c>
      <c r="BQ2" s="150" t="s">
        <v>36</v>
      </c>
      <c r="BR2" s="151" t="s">
        <v>37</v>
      </c>
      <c r="BS2" s="152" t="s">
        <v>38</v>
      </c>
      <c r="BT2" s="152" t="s">
        <v>39</v>
      </c>
      <c r="BU2" s="152" t="s">
        <v>43</v>
      </c>
      <c r="BV2" s="154" t="s">
        <v>42</v>
      </c>
      <c r="BW2" s="155" t="s">
        <v>62</v>
      </c>
      <c r="BX2" s="285" t="s">
        <v>36</v>
      </c>
      <c r="BY2" s="286" t="s">
        <v>37</v>
      </c>
      <c r="BZ2" s="287" t="s">
        <v>38</v>
      </c>
      <c r="CA2" s="287" t="s">
        <v>39</v>
      </c>
      <c r="CB2" s="288" t="s">
        <v>40</v>
      </c>
      <c r="CC2" s="287" t="s">
        <v>43</v>
      </c>
      <c r="CD2" s="289" t="s">
        <v>42</v>
      </c>
      <c r="CE2" s="290" t="s">
        <v>63</v>
      </c>
    </row>
    <row r="3" spans="1:83" ht="15.75" thickBot="1">
      <c r="A3" s="176" t="s">
        <v>98</v>
      </c>
      <c r="B3" s="177">
        <v>0</v>
      </c>
      <c r="C3" s="178">
        <f>B3</f>
        <v>0</v>
      </c>
      <c r="D3" s="179">
        <v>4634.4399999999996</v>
      </c>
      <c r="E3" s="180">
        <v>4634.4399999999996</v>
      </c>
      <c r="F3" s="226"/>
      <c r="G3" s="226"/>
      <c r="H3" s="226"/>
      <c r="I3" s="226"/>
      <c r="J3" s="226"/>
      <c r="K3" s="226"/>
      <c r="L3" s="226"/>
      <c r="M3" s="226"/>
      <c r="N3" s="226"/>
      <c r="O3" s="226"/>
      <c r="P3" s="156">
        <v>20928</v>
      </c>
      <c r="Q3" s="157"/>
      <c r="R3" s="157">
        <v>20928</v>
      </c>
      <c r="S3" s="158"/>
      <c r="T3" s="161"/>
      <c r="U3" s="159"/>
      <c r="V3" s="161"/>
      <c r="W3" s="162"/>
      <c r="X3" s="145">
        <v>694</v>
      </c>
      <c r="Y3" s="146"/>
      <c r="Z3" s="146">
        <v>694</v>
      </c>
      <c r="AA3" s="146"/>
      <c r="AB3" s="147"/>
      <c r="AC3" s="146"/>
      <c r="AD3" s="147"/>
      <c r="AE3" s="148"/>
      <c r="AF3" s="166">
        <v>666</v>
      </c>
      <c r="AG3" s="167"/>
      <c r="AH3" s="167">
        <v>666</v>
      </c>
      <c r="AI3" s="167"/>
      <c r="AJ3" s="168"/>
      <c r="AK3" s="167"/>
      <c r="AL3" s="168"/>
      <c r="AM3" s="169"/>
      <c r="AN3" s="186">
        <v>3.2</v>
      </c>
      <c r="AO3" s="187">
        <v>24</v>
      </c>
      <c r="AP3" s="307">
        <f>AN3*AO3*0.49705</f>
        <v>38.173440000000006</v>
      </c>
      <c r="AQ3" s="307">
        <f t="shared" ref="AQ3:AQ22" si="0">AP3*1000/D3</f>
        <v>8.2369045666790406</v>
      </c>
      <c r="AR3" s="308">
        <f>AP3</f>
        <v>38.173440000000006</v>
      </c>
      <c r="AS3" s="189">
        <f t="shared" ref="AS3:AS15" si="1">AR3*1000/E3</f>
        <v>8.2369045666790406</v>
      </c>
      <c r="AT3" s="189"/>
      <c r="AU3" s="201">
        <v>1.45</v>
      </c>
      <c r="AV3" s="198">
        <v>12</v>
      </c>
      <c r="AW3" s="284">
        <f>AU3*AV3*0.51673</f>
        <v>8.9911019999999997</v>
      </c>
      <c r="AX3" s="284">
        <f t="shared" ref="AX3:AX22" si="2">AW3*1000/D3</f>
        <v>1.9400622297408101</v>
      </c>
      <c r="AY3" s="309">
        <f>AW3</f>
        <v>8.9911019999999997</v>
      </c>
      <c r="AZ3" s="202">
        <f t="shared" ref="AZ3:AZ15" si="3">AY3*1000/E3</f>
        <v>1.9400622297408101</v>
      </c>
      <c r="BA3" s="200"/>
      <c r="BB3" s="232">
        <v>2986</v>
      </c>
      <c r="BC3" s="233">
        <v>35078</v>
      </c>
      <c r="BD3" s="233">
        <v>38064</v>
      </c>
      <c r="BE3" s="234"/>
      <c r="BF3" s="235"/>
      <c r="BG3" s="235"/>
      <c r="BH3" s="237"/>
      <c r="BI3" s="209">
        <v>1232</v>
      </c>
      <c r="BJ3" s="210"/>
      <c r="BK3" s="210">
        <v>1232</v>
      </c>
      <c r="BL3" s="210"/>
      <c r="BM3" s="211"/>
      <c r="BN3" s="210"/>
      <c r="BO3" s="211"/>
      <c r="BP3" s="212"/>
      <c r="BQ3" s="156">
        <v>34517</v>
      </c>
      <c r="BR3" s="316">
        <v>32300</v>
      </c>
      <c r="BS3" s="157">
        <f t="shared" ref="BS3:BS10" si="4">66817+4000</f>
        <v>70817</v>
      </c>
      <c r="BT3" s="281"/>
      <c r="BU3" s="159"/>
      <c r="BV3" s="159"/>
      <c r="BW3" s="160"/>
      <c r="BX3" s="291">
        <v>1250</v>
      </c>
      <c r="BY3" s="292"/>
      <c r="BZ3" s="292">
        <v>1250</v>
      </c>
      <c r="CA3" s="292"/>
      <c r="CB3" s="293"/>
      <c r="CC3" s="292"/>
      <c r="CD3" s="293"/>
      <c r="CE3" s="294"/>
    </row>
    <row r="4" spans="1:83">
      <c r="A4" s="30">
        <v>43586</v>
      </c>
      <c r="B4" s="32">
        <v>15000</v>
      </c>
      <c r="C4" s="1">
        <f>C3+B4</f>
        <v>15000</v>
      </c>
      <c r="D4" s="91">
        <v>1108.92</v>
      </c>
      <c r="E4" s="93">
        <f>E3+D4</f>
        <v>5743.36</v>
      </c>
      <c r="F4" s="227"/>
      <c r="G4" s="227"/>
      <c r="H4" s="227"/>
      <c r="I4" s="227"/>
      <c r="J4" s="227"/>
      <c r="K4" s="227"/>
      <c r="L4" s="227"/>
      <c r="M4" s="227"/>
      <c r="N4" s="1052">
        <f>1000*SUM(I4:I34)/SUM(B4:B34)</f>
        <v>19.184965396625334</v>
      </c>
      <c r="O4" s="1083">
        <f>N4/8.167</f>
        <v>2.3490835553600262</v>
      </c>
      <c r="P4" s="35">
        <f>R3</f>
        <v>20928</v>
      </c>
      <c r="Q4" s="35"/>
      <c r="R4" s="35">
        <v>20928</v>
      </c>
      <c r="S4" s="37"/>
      <c r="T4" s="36"/>
      <c r="U4" s="74"/>
      <c r="V4" s="36"/>
      <c r="W4" s="1136">
        <f>1000*SUM(S3:S34)/SUM(B4:B34)</f>
        <v>1.6641951556607817</v>
      </c>
      <c r="X4" s="121">
        <f>Z3</f>
        <v>694</v>
      </c>
      <c r="Y4" s="122"/>
      <c r="Z4" s="122">
        <v>694</v>
      </c>
      <c r="AA4" s="122"/>
      <c r="AB4" s="123"/>
      <c r="AC4" s="122"/>
      <c r="AD4" s="123"/>
      <c r="AE4" s="1046">
        <f>1000*SUM(AA3:AA34)/SUM(B4:B34)</f>
        <v>0.29240662107361726</v>
      </c>
      <c r="AF4" s="40">
        <f>AH3</f>
        <v>666</v>
      </c>
      <c r="AG4" s="41"/>
      <c r="AH4" s="41">
        <v>666</v>
      </c>
      <c r="AI4" s="41"/>
      <c r="AJ4" s="42"/>
      <c r="AK4" s="41"/>
      <c r="AL4" s="42"/>
      <c r="AM4" s="1057">
        <f>1000*SUM(AI4:AI34)/SUM(B4:B34)</f>
        <v>0.14247272788641618</v>
      </c>
      <c r="AN4" s="67">
        <v>2.4</v>
      </c>
      <c r="AO4" s="67">
        <v>24</v>
      </c>
      <c r="AP4" s="68">
        <f>AN4*AO4*0.49705</f>
        <v>28.630079999999996</v>
      </c>
      <c r="AQ4" s="68">
        <f t="shared" si="0"/>
        <v>25.817985066551234</v>
      </c>
      <c r="AR4" s="69">
        <f>AR3+AP4</f>
        <v>66.803520000000006</v>
      </c>
      <c r="AS4" s="140">
        <f t="shared" si="1"/>
        <v>11.631435257410297</v>
      </c>
      <c r="AT4" s="1064">
        <f>1000*SUM(AP4:AP34)/SUM(D4:D34)</f>
        <v>9.8317963209777766</v>
      </c>
      <c r="AU4" s="71">
        <v>2.1</v>
      </c>
      <c r="AV4" s="71">
        <v>12</v>
      </c>
      <c r="AW4" s="72">
        <f>AU4*AV4*0.51673</f>
        <v>13.021596000000002</v>
      </c>
      <c r="AX4" s="72">
        <f t="shared" si="2"/>
        <v>11.742592792987773</v>
      </c>
      <c r="AY4" s="73">
        <f>AY3+AW4</f>
        <v>22.012698</v>
      </c>
      <c r="AZ4" s="192">
        <f t="shared" si="3"/>
        <v>3.8327212642077115</v>
      </c>
      <c r="BA4" s="1075">
        <f>1000*SUM(AW4:AW34)/SUM(D4:D34)</f>
        <v>2.7842348175623446</v>
      </c>
      <c r="BB4" s="56">
        <f>BD3</f>
        <v>38064</v>
      </c>
      <c r="BC4" s="56"/>
      <c r="BD4" s="56">
        <v>38064</v>
      </c>
      <c r="BE4" s="57"/>
      <c r="BF4" s="58"/>
      <c r="BG4" s="58"/>
      <c r="BH4" s="1132">
        <f>1000*SUM(BE4:BE34)/SUM(D4:D34)</f>
        <v>179.72419838825897</v>
      </c>
      <c r="BI4" s="63">
        <f>BK3</f>
        <v>1232</v>
      </c>
      <c r="BJ4" s="64"/>
      <c r="BK4" s="64">
        <v>1232</v>
      </c>
      <c r="BL4" s="64"/>
      <c r="BM4" s="65"/>
      <c r="BN4" s="64"/>
      <c r="BO4" s="65"/>
      <c r="BP4" s="1071">
        <f>1000*SUM(BL4:BL34)/SUM(B4:B34)</f>
        <v>0.2149526193797551</v>
      </c>
      <c r="BQ4" s="117">
        <f>BS3</f>
        <v>70817</v>
      </c>
      <c r="BR4" s="118"/>
      <c r="BS4" s="118">
        <f t="shared" si="4"/>
        <v>70817</v>
      </c>
      <c r="BT4" s="149"/>
      <c r="BU4" s="120"/>
      <c r="BV4" s="120"/>
      <c r="BW4" s="1063">
        <f>1000*SUM(BT4:BT34)/SUM(D4:D34)</f>
        <v>691.62109612067354</v>
      </c>
      <c r="BX4" s="295">
        <f>BZ3</f>
        <v>1250</v>
      </c>
      <c r="BY4" s="296"/>
      <c r="BZ4" s="296">
        <v>1250</v>
      </c>
      <c r="CA4" s="296"/>
      <c r="CB4" s="297"/>
      <c r="CC4" s="296"/>
      <c r="CD4" s="297"/>
      <c r="CE4" s="1061">
        <f>1000*SUM(CA4:CA34)/SUM(B4:B34)</f>
        <v>0.39082294432682746</v>
      </c>
    </row>
    <row r="5" spans="1:83">
      <c r="A5" s="30">
        <v>43587</v>
      </c>
      <c r="B5" s="32">
        <v>175828</v>
      </c>
      <c r="C5" s="1">
        <f t="shared" ref="C5:C69" si="5">C4+B5</f>
        <v>190828</v>
      </c>
      <c r="D5" s="91">
        <v>4394.4399999999996</v>
      </c>
      <c r="E5" s="93">
        <f>E4+D5</f>
        <v>10137.799999999999</v>
      </c>
      <c r="F5" s="227"/>
      <c r="G5" s="227"/>
      <c r="H5" s="227"/>
      <c r="I5" s="227"/>
      <c r="J5" s="227"/>
      <c r="K5" s="227"/>
      <c r="L5" s="227"/>
      <c r="M5" s="227"/>
      <c r="N5" s="1089"/>
      <c r="O5" s="1084"/>
      <c r="P5" s="35">
        <f t="shared" ref="P5:P15" si="6">R4</f>
        <v>20928</v>
      </c>
      <c r="Q5" s="35"/>
      <c r="R5" s="35">
        <v>20928</v>
      </c>
      <c r="S5" s="37"/>
      <c r="T5" s="36"/>
      <c r="U5" s="74"/>
      <c r="V5" s="36"/>
      <c r="W5" s="1136"/>
      <c r="X5" s="49">
        <f>Z4</f>
        <v>694</v>
      </c>
      <c r="Y5" s="50"/>
      <c r="Z5" s="50">
        <v>694</v>
      </c>
      <c r="AA5" s="50"/>
      <c r="AB5" s="51"/>
      <c r="AC5" s="50"/>
      <c r="AD5" s="51"/>
      <c r="AE5" s="1047"/>
      <c r="AF5" s="40">
        <f>AH4</f>
        <v>666</v>
      </c>
      <c r="AG5" s="41"/>
      <c r="AH5" s="41">
        <v>587</v>
      </c>
      <c r="AI5" s="41">
        <f t="shared" ref="AI5:AI12" si="7">AF5+AG5-AH5</f>
        <v>79</v>
      </c>
      <c r="AJ5" s="42">
        <f>AI5*1000/B5</f>
        <v>0.44930272766567325</v>
      </c>
      <c r="AK5" s="41">
        <f>AK4+AI5</f>
        <v>79</v>
      </c>
      <c r="AL5" s="42">
        <f>AK5*1000/C5</f>
        <v>0.41398536902341376</v>
      </c>
      <c r="AM5" s="1058"/>
      <c r="AN5" s="67">
        <v>2.2000000000000002</v>
      </c>
      <c r="AO5" s="67">
        <v>24</v>
      </c>
      <c r="AP5" s="68">
        <f t="shared" ref="AP5:AP14" si="8">AN5*AO5*0.49705</f>
        <v>26.244240000000001</v>
      </c>
      <c r="AQ5" s="68">
        <f t="shared" si="0"/>
        <v>5.9721466216400731</v>
      </c>
      <c r="AR5" s="69">
        <f>AR4+AP5</f>
        <v>93.047760000000011</v>
      </c>
      <c r="AS5" s="140">
        <f t="shared" si="1"/>
        <v>9.1782990392392847</v>
      </c>
      <c r="AT5" s="1073"/>
      <c r="AU5" s="71">
        <v>1</v>
      </c>
      <c r="AV5" s="71">
        <v>12</v>
      </c>
      <c r="AW5" s="72">
        <f t="shared" ref="AW5:AW14" si="9">AU5*AV5*0.51673</f>
        <v>6.2007600000000007</v>
      </c>
      <c r="AX5" s="72">
        <f t="shared" si="2"/>
        <v>1.4110466862671927</v>
      </c>
      <c r="AY5" s="73">
        <f>AY4+AW5</f>
        <v>28.213458000000003</v>
      </c>
      <c r="AZ5" s="192">
        <f t="shared" si="3"/>
        <v>2.7829961135552095</v>
      </c>
      <c r="BA5" s="1075"/>
      <c r="BB5" s="56">
        <f t="shared" ref="BB5:BB15" si="10">BD4</f>
        <v>38064</v>
      </c>
      <c r="BC5" s="56"/>
      <c r="BD5" s="56">
        <v>33289</v>
      </c>
      <c r="BE5" s="57">
        <f t="shared" ref="BE5:BE16" si="11">BB5-BD5+BC5</f>
        <v>4775</v>
      </c>
      <c r="BF5" s="58">
        <f t="shared" ref="BF5:BF15" si="12">BF4+BE5</f>
        <v>4775</v>
      </c>
      <c r="BG5" s="58">
        <f t="shared" ref="BG5:BG15" si="13">BF5*1000/E5</f>
        <v>471.00948923829634</v>
      </c>
      <c r="BH5" s="1133"/>
      <c r="BI5" s="63">
        <f>BK4</f>
        <v>1232</v>
      </c>
      <c r="BJ5" s="64"/>
      <c r="BK5" s="64">
        <v>1232</v>
      </c>
      <c r="BL5" s="64"/>
      <c r="BM5" s="65"/>
      <c r="BN5" s="64"/>
      <c r="BO5" s="65"/>
      <c r="BP5" s="1071"/>
      <c r="BQ5" s="77">
        <f t="shared" ref="BQ5:BQ15" si="14">BS4</f>
        <v>70817</v>
      </c>
      <c r="BR5" s="35"/>
      <c r="BS5" s="35">
        <f t="shared" si="4"/>
        <v>70817</v>
      </c>
      <c r="BT5" s="37"/>
      <c r="BU5" s="74"/>
      <c r="BV5" s="74"/>
      <c r="BW5" s="1098"/>
      <c r="BX5" s="295">
        <f>BZ4</f>
        <v>1250</v>
      </c>
      <c r="BY5" s="296"/>
      <c r="BZ5" s="296">
        <v>120</v>
      </c>
      <c r="CA5" s="296">
        <f t="shared" ref="CA5:CA20" si="15">BX5+BY5-BZ5</f>
        <v>1130</v>
      </c>
      <c r="CB5" s="297">
        <f t="shared" ref="CB5:CB14" si="16">CA5*1000/B5</f>
        <v>6.4267352185089974</v>
      </c>
      <c r="CC5" s="296">
        <f>CC4+CA5</f>
        <v>1130</v>
      </c>
      <c r="CD5" s="297">
        <f t="shared" ref="CD5:CD43" si="17">CC5*1000/C5</f>
        <v>5.9215628733728805</v>
      </c>
      <c r="CE5" s="1061"/>
    </row>
    <row r="6" spans="1:83">
      <c r="A6" s="30">
        <v>43588</v>
      </c>
      <c r="B6" s="32">
        <v>284465</v>
      </c>
      <c r="C6" s="1">
        <f t="shared" si="5"/>
        <v>475293</v>
      </c>
      <c r="D6" s="91">
        <v>4074.64</v>
      </c>
      <c r="E6" s="93">
        <f t="shared" ref="E6:E69" si="18">E5+D6</f>
        <v>14212.439999999999</v>
      </c>
      <c r="F6" s="227"/>
      <c r="G6" s="227"/>
      <c r="H6" s="227"/>
      <c r="I6" s="227"/>
      <c r="J6" s="227"/>
      <c r="K6" s="227"/>
      <c r="L6" s="227"/>
      <c r="M6" s="227"/>
      <c r="N6" s="1089"/>
      <c r="O6" s="1084"/>
      <c r="P6" s="35">
        <f t="shared" si="6"/>
        <v>20928</v>
      </c>
      <c r="Q6" s="35"/>
      <c r="R6" s="35">
        <v>20928</v>
      </c>
      <c r="S6" s="37"/>
      <c r="T6" s="36"/>
      <c r="U6" s="74"/>
      <c r="V6" s="36"/>
      <c r="W6" s="1136"/>
      <c r="X6" s="49">
        <f t="shared" ref="X6:X15" si="19">Z5</f>
        <v>694</v>
      </c>
      <c r="Y6" s="50"/>
      <c r="Z6" s="50">
        <v>694</v>
      </c>
      <c r="AA6" s="50"/>
      <c r="AB6" s="51"/>
      <c r="AC6" s="50"/>
      <c r="AD6" s="51"/>
      <c r="AE6" s="1047"/>
      <c r="AF6" s="40">
        <f t="shared" ref="AF6:AF15" si="20">AH5</f>
        <v>587</v>
      </c>
      <c r="AG6" s="41"/>
      <c r="AH6" s="41">
        <v>528</v>
      </c>
      <c r="AI6" s="41">
        <f t="shared" si="7"/>
        <v>59</v>
      </c>
      <c r="AJ6" s="42">
        <f>AI6*1000/B6</f>
        <v>0.2074068866117097</v>
      </c>
      <c r="AK6" s="41">
        <f t="shared" ref="AK6:AK16" si="21">AK5+AI6</f>
        <v>138</v>
      </c>
      <c r="AL6" s="42">
        <f>AK6*1000/C6</f>
        <v>0.29034721740063496</v>
      </c>
      <c r="AM6" s="1058"/>
      <c r="AN6" s="67">
        <v>4.4000000000000004</v>
      </c>
      <c r="AO6" s="67">
        <v>24</v>
      </c>
      <c r="AP6" s="68">
        <f t="shared" si="8"/>
        <v>52.488480000000003</v>
      </c>
      <c r="AQ6" s="68">
        <f t="shared" si="0"/>
        <v>12.881746608289323</v>
      </c>
      <c r="AR6" s="69">
        <f t="shared" ref="AR6:AR15" si="22">AR5+AP6</f>
        <v>145.53624000000002</v>
      </c>
      <c r="AS6" s="140">
        <f t="shared" si="1"/>
        <v>10.240060116348779</v>
      </c>
      <c r="AT6" s="1073"/>
      <c r="AU6" s="71">
        <v>3.6</v>
      </c>
      <c r="AV6" s="71">
        <v>12</v>
      </c>
      <c r="AW6" s="72">
        <f t="shared" si="9"/>
        <v>22.322736000000003</v>
      </c>
      <c r="AX6" s="72">
        <f t="shared" si="2"/>
        <v>5.4784560108377676</v>
      </c>
      <c r="AY6" s="73">
        <f t="shared" ref="AY6:AY15" si="23">AY5+AW6</f>
        <v>50.536194000000009</v>
      </c>
      <c r="AZ6" s="192">
        <f t="shared" si="3"/>
        <v>3.5557718449471039</v>
      </c>
      <c r="BA6" s="1075"/>
      <c r="BB6" s="56">
        <f t="shared" si="10"/>
        <v>33289</v>
      </c>
      <c r="BC6" s="56"/>
      <c r="BD6" s="56">
        <v>33068</v>
      </c>
      <c r="BE6" s="57">
        <f t="shared" si="11"/>
        <v>221</v>
      </c>
      <c r="BF6" s="58">
        <f t="shared" si="12"/>
        <v>4996</v>
      </c>
      <c r="BG6" s="58">
        <f t="shared" si="13"/>
        <v>351.52303193540308</v>
      </c>
      <c r="BH6" s="1133"/>
      <c r="BI6" s="63">
        <f t="shared" ref="BI6:BI15" si="24">BK5</f>
        <v>1232</v>
      </c>
      <c r="BJ6" s="64"/>
      <c r="BK6" s="64">
        <v>1232</v>
      </c>
      <c r="BL6" s="64"/>
      <c r="BM6" s="65"/>
      <c r="BN6" s="64"/>
      <c r="BO6" s="65"/>
      <c r="BP6" s="1071"/>
      <c r="BQ6" s="77">
        <f t="shared" si="14"/>
        <v>70817</v>
      </c>
      <c r="BR6" s="35"/>
      <c r="BS6" s="35">
        <f t="shared" si="4"/>
        <v>70817</v>
      </c>
      <c r="BT6" s="37"/>
      <c r="BU6" s="74"/>
      <c r="BV6" s="74"/>
      <c r="BW6" s="1098"/>
      <c r="BX6" s="295">
        <f t="shared" ref="BX6:BX15" si="25">BZ5</f>
        <v>120</v>
      </c>
      <c r="BY6" s="296">
        <v>1250</v>
      </c>
      <c r="BZ6" s="296">
        <v>1000</v>
      </c>
      <c r="CA6" s="296">
        <f t="shared" si="15"/>
        <v>370</v>
      </c>
      <c r="CB6" s="297">
        <f t="shared" si="16"/>
        <v>1.3006872550225863</v>
      </c>
      <c r="CC6" s="296">
        <f t="shared" ref="CC6:CC15" si="26">CC5+CA6</f>
        <v>1500</v>
      </c>
      <c r="CD6" s="297">
        <f t="shared" si="17"/>
        <v>3.1559480152242934</v>
      </c>
      <c r="CE6" s="1061"/>
    </row>
    <row r="7" spans="1:83">
      <c r="A7" s="30">
        <v>43589</v>
      </c>
      <c r="B7" s="32">
        <v>360965</v>
      </c>
      <c r="C7" s="1">
        <f t="shared" si="5"/>
        <v>836258</v>
      </c>
      <c r="D7" s="91">
        <v>4964.83</v>
      </c>
      <c r="E7" s="93">
        <f t="shared" si="18"/>
        <v>19177.269999999997</v>
      </c>
      <c r="F7" s="227"/>
      <c r="G7" s="227"/>
      <c r="H7" s="227"/>
      <c r="I7" s="227"/>
      <c r="J7" s="227"/>
      <c r="K7" s="227"/>
      <c r="L7" s="227"/>
      <c r="M7" s="227"/>
      <c r="N7" s="1089"/>
      <c r="O7" s="1084"/>
      <c r="P7" s="35">
        <f t="shared" si="6"/>
        <v>20928</v>
      </c>
      <c r="Q7" s="35"/>
      <c r="R7" s="35">
        <v>20928</v>
      </c>
      <c r="S7" s="37"/>
      <c r="T7" s="36"/>
      <c r="U7" s="74"/>
      <c r="V7" s="36"/>
      <c r="W7" s="1136"/>
      <c r="X7" s="49">
        <f t="shared" si="19"/>
        <v>694</v>
      </c>
      <c r="Y7" s="50"/>
      <c r="Z7" s="50">
        <f>519+175</f>
        <v>694</v>
      </c>
      <c r="AA7" s="50"/>
      <c r="AB7" s="51"/>
      <c r="AC7" s="50"/>
      <c r="AD7" s="51"/>
      <c r="AE7" s="1047"/>
      <c r="AF7" s="40">
        <f t="shared" si="20"/>
        <v>528</v>
      </c>
      <c r="AG7" s="41"/>
      <c r="AH7" s="41">
        <v>519</v>
      </c>
      <c r="AI7" s="41">
        <f>AF7+AG7-AH7</f>
        <v>9</v>
      </c>
      <c r="AJ7" s="42">
        <f>AI7*1000/B7</f>
        <v>2.4933165265330435E-2</v>
      </c>
      <c r="AK7" s="41">
        <f t="shared" si="21"/>
        <v>147</v>
      </c>
      <c r="AL7" s="42">
        <f>AK7*1000/C7</f>
        <v>0.1757830717314513</v>
      </c>
      <c r="AM7" s="1058"/>
      <c r="AN7" s="67">
        <v>4</v>
      </c>
      <c r="AO7" s="67">
        <v>24</v>
      </c>
      <c r="AP7" s="68">
        <f t="shared" si="8"/>
        <v>47.716799999999999</v>
      </c>
      <c r="AQ7" s="68">
        <f t="shared" si="0"/>
        <v>9.6109635173812595</v>
      </c>
      <c r="AR7" s="69">
        <f t="shared" si="22"/>
        <v>193.25304000000003</v>
      </c>
      <c r="AS7" s="140">
        <f t="shared" si="1"/>
        <v>10.077192426242112</v>
      </c>
      <c r="AT7" s="1073"/>
      <c r="AU7" s="71">
        <v>3.3</v>
      </c>
      <c r="AV7" s="71">
        <v>12</v>
      </c>
      <c r="AW7" s="72">
        <f t="shared" si="9"/>
        <v>20.462508</v>
      </c>
      <c r="AX7" s="72">
        <f t="shared" si="2"/>
        <v>4.1214921759657424</v>
      </c>
      <c r="AY7" s="73">
        <f t="shared" si="23"/>
        <v>70.998702000000009</v>
      </c>
      <c r="AZ7" s="192">
        <f t="shared" si="3"/>
        <v>3.7022319652380142</v>
      </c>
      <c r="BA7" s="1075"/>
      <c r="BB7" s="56">
        <f t="shared" si="10"/>
        <v>33068</v>
      </c>
      <c r="BC7" s="56"/>
      <c r="BD7" s="56">
        <v>33068</v>
      </c>
      <c r="BE7" s="57"/>
      <c r="BF7" s="58">
        <f t="shared" si="12"/>
        <v>4996</v>
      </c>
      <c r="BG7" s="58">
        <f t="shared" si="13"/>
        <v>260.516747169957</v>
      </c>
      <c r="BH7" s="1133"/>
      <c r="BI7" s="63">
        <f t="shared" si="24"/>
        <v>1232</v>
      </c>
      <c r="BJ7" s="64"/>
      <c r="BK7" s="64">
        <v>1232</v>
      </c>
      <c r="BL7" s="64"/>
      <c r="BM7" s="65"/>
      <c r="BN7" s="64"/>
      <c r="BO7" s="65"/>
      <c r="BP7" s="1071"/>
      <c r="BQ7" s="77">
        <f t="shared" si="14"/>
        <v>70817</v>
      </c>
      <c r="BR7" s="35"/>
      <c r="BS7" s="35">
        <f t="shared" si="4"/>
        <v>70817</v>
      </c>
      <c r="BT7" s="37"/>
      <c r="BU7" s="74"/>
      <c r="BV7" s="74"/>
      <c r="BW7" s="1098"/>
      <c r="BX7" s="295">
        <f t="shared" si="25"/>
        <v>1000</v>
      </c>
      <c r="BY7" s="296"/>
      <c r="BZ7" s="296">
        <v>720</v>
      </c>
      <c r="CA7" s="296">
        <f t="shared" si="15"/>
        <v>280</v>
      </c>
      <c r="CB7" s="297">
        <f t="shared" si="16"/>
        <v>0.77569847492139132</v>
      </c>
      <c r="CC7" s="296">
        <f t="shared" si="26"/>
        <v>1780</v>
      </c>
      <c r="CD7" s="297">
        <f t="shared" si="17"/>
        <v>2.1285297121223357</v>
      </c>
      <c r="CE7" s="1061"/>
    </row>
    <row r="8" spans="1:83">
      <c r="A8" s="30">
        <v>43590</v>
      </c>
      <c r="B8" s="32">
        <v>404923</v>
      </c>
      <c r="C8" s="1">
        <f t="shared" si="5"/>
        <v>1241181</v>
      </c>
      <c r="D8" s="91">
        <v>6103.26</v>
      </c>
      <c r="E8" s="93">
        <f t="shared" si="18"/>
        <v>25280.53</v>
      </c>
      <c r="F8" s="227"/>
      <c r="G8" s="227"/>
      <c r="H8" s="227"/>
      <c r="I8" s="227"/>
      <c r="J8" s="227"/>
      <c r="K8" s="227"/>
      <c r="L8" s="227"/>
      <c r="M8" s="227"/>
      <c r="N8" s="1089"/>
      <c r="O8" s="1084"/>
      <c r="P8" s="35">
        <f t="shared" si="6"/>
        <v>20928</v>
      </c>
      <c r="Q8" s="35"/>
      <c r="R8" s="35">
        <v>20928</v>
      </c>
      <c r="S8" s="37"/>
      <c r="T8" s="36"/>
      <c r="U8" s="74"/>
      <c r="V8" s="36"/>
      <c r="W8" s="1136"/>
      <c r="X8" s="49">
        <f t="shared" si="19"/>
        <v>694</v>
      </c>
      <c r="Y8" s="50"/>
      <c r="Z8" s="50">
        <f>510+175</f>
        <v>685</v>
      </c>
      <c r="AA8" s="50">
        <f t="shared" ref="AA8:AA13" si="27">X8+Y8-Z8</f>
        <v>9</v>
      </c>
      <c r="AB8" s="51">
        <f>AA8*1000/B8</f>
        <v>2.2226447991346501E-2</v>
      </c>
      <c r="AC8" s="50">
        <f t="shared" ref="AC8:AC16" si="28">AC7+AA8</f>
        <v>9</v>
      </c>
      <c r="AD8" s="51">
        <f>AC8*1000/C8</f>
        <v>7.2511583725500149E-3</v>
      </c>
      <c r="AE8" s="1047"/>
      <c r="AF8" s="40">
        <f t="shared" si="20"/>
        <v>519</v>
      </c>
      <c r="AG8" s="41"/>
      <c r="AH8" s="41">
        <v>519</v>
      </c>
      <c r="AI8" s="41"/>
      <c r="AJ8" s="42"/>
      <c r="AK8" s="41">
        <f t="shared" si="21"/>
        <v>147</v>
      </c>
      <c r="AL8" s="42">
        <f t="shared" ref="AL8:AL16" si="29">AK8*1000/C8</f>
        <v>0.11843558675165024</v>
      </c>
      <c r="AM8" s="1058"/>
      <c r="AN8" s="67">
        <v>4</v>
      </c>
      <c r="AO8" s="67">
        <v>24</v>
      </c>
      <c r="AP8" s="68">
        <f t="shared" si="8"/>
        <v>47.716799999999999</v>
      </c>
      <c r="AQ8" s="68">
        <f t="shared" si="0"/>
        <v>7.8182479527334561</v>
      </c>
      <c r="AR8" s="69">
        <f t="shared" si="22"/>
        <v>240.96984000000003</v>
      </c>
      <c r="AS8" s="140">
        <f t="shared" si="1"/>
        <v>9.5318349733965242</v>
      </c>
      <c r="AT8" s="1073"/>
      <c r="AU8" s="71">
        <v>4.0999999999999996</v>
      </c>
      <c r="AV8" s="71">
        <v>12</v>
      </c>
      <c r="AW8" s="72">
        <f t="shared" si="9"/>
        <v>25.423116</v>
      </c>
      <c r="AX8" s="72">
        <f t="shared" si="2"/>
        <v>4.1654977831519551</v>
      </c>
      <c r="AY8" s="73">
        <f t="shared" si="23"/>
        <v>96.421818000000002</v>
      </c>
      <c r="AZ8" s="192">
        <f t="shared" si="3"/>
        <v>3.8140742302475465</v>
      </c>
      <c r="BA8" s="1075"/>
      <c r="BB8" s="56">
        <f t="shared" si="10"/>
        <v>33068</v>
      </c>
      <c r="BC8" s="56"/>
      <c r="BD8" s="56">
        <v>33068</v>
      </c>
      <c r="BE8" s="57"/>
      <c r="BF8" s="58">
        <f t="shared" si="12"/>
        <v>4996</v>
      </c>
      <c r="BG8" s="58">
        <f t="shared" si="13"/>
        <v>197.62243908652232</v>
      </c>
      <c r="BH8" s="1133"/>
      <c r="BI8" s="63">
        <f t="shared" si="24"/>
        <v>1232</v>
      </c>
      <c r="BJ8" s="64"/>
      <c r="BK8" s="64">
        <v>1232</v>
      </c>
      <c r="BL8" s="64"/>
      <c r="BM8" s="65"/>
      <c r="BN8" s="64"/>
      <c r="BO8" s="65"/>
      <c r="BP8" s="1071"/>
      <c r="BQ8" s="77">
        <f t="shared" si="14"/>
        <v>70817</v>
      </c>
      <c r="BR8" s="35"/>
      <c r="BS8" s="35">
        <f t="shared" si="4"/>
        <v>70817</v>
      </c>
      <c r="BT8" s="37"/>
      <c r="BU8" s="74"/>
      <c r="BV8" s="74"/>
      <c r="BW8" s="1098"/>
      <c r="BX8" s="295">
        <f t="shared" si="25"/>
        <v>720</v>
      </c>
      <c r="BY8" s="296"/>
      <c r="BZ8" s="296">
        <v>440</v>
      </c>
      <c r="CA8" s="296">
        <f t="shared" si="15"/>
        <v>280</v>
      </c>
      <c r="CB8" s="297">
        <f t="shared" si="16"/>
        <v>0.69148949306411345</v>
      </c>
      <c r="CC8" s="296">
        <f t="shared" si="26"/>
        <v>2060</v>
      </c>
      <c r="CD8" s="297">
        <f t="shared" si="17"/>
        <v>1.6597095830503368</v>
      </c>
      <c r="CE8" s="1061"/>
    </row>
    <row r="9" spans="1:83">
      <c r="A9" s="30">
        <v>43591</v>
      </c>
      <c r="B9" s="32">
        <v>425888</v>
      </c>
      <c r="C9" s="1">
        <f t="shared" si="5"/>
        <v>1667069</v>
      </c>
      <c r="D9" s="91">
        <v>4896.38</v>
      </c>
      <c r="E9" s="93">
        <f t="shared" si="18"/>
        <v>30176.91</v>
      </c>
      <c r="F9" s="227"/>
      <c r="G9" s="227"/>
      <c r="H9" s="227"/>
      <c r="I9" s="227"/>
      <c r="J9" s="227"/>
      <c r="K9" s="227"/>
      <c r="L9" s="227"/>
      <c r="M9" s="227"/>
      <c r="N9" s="1089"/>
      <c r="O9" s="1084"/>
      <c r="P9" s="35">
        <f t="shared" si="6"/>
        <v>20928</v>
      </c>
      <c r="Q9" s="35"/>
      <c r="R9" s="35">
        <v>20928</v>
      </c>
      <c r="S9" s="37"/>
      <c r="T9" s="36"/>
      <c r="U9" s="74"/>
      <c r="V9" s="36"/>
      <c r="W9" s="1136"/>
      <c r="X9" s="49">
        <f t="shared" si="19"/>
        <v>685</v>
      </c>
      <c r="Y9" s="52"/>
      <c r="Z9" s="50">
        <v>685</v>
      </c>
      <c r="AA9" s="50"/>
      <c r="AB9" s="51"/>
      <c r="AC9" s="50">
        <f t="shared" si="28"/>
        <v>9</v>
      </c>
      <c r="AD9" s="51">
        <f>AC9*1000/C9</f>
        <v>5.3986967546034385E-3</v>
      </c>
      <c r="AE9" s="1047"/>
      <c r="AF9" s="40">
        <f t="shared" si="20"/>
        <v>519</v>
      </c>
      <c r="AG9" s="43"/>
      <c r="AH9" s="41">
        <v>519</v>
      </c>
      <c r="AI9" s="41"/>
      <c r="AJ9" s="42"/>
      <c r="AK9" s="41">
        <f t="shared" si="21"/>
        <v>147</v>
      </c>
      <c r="AL9" s="42">
        <f t="shared" si="29"/>
        <v>8.8178713658522839E-2</v>
      </c>
      <c r="AM9" s="1058"/>
      <c r="AN9" s="67">
        <v>5.7</v>
      </c>
      <c r="AO9" s="67">
        <v>24</v>
      </c>
      <c r="AP9" s="68">
        <f t="shared" si="8"/>
        <v>67.996440000000007</v>
      </c>
      <c r="AQ9" s="68">
        <f t="shared" si="0"/>
        <v>13.887083927309563</v>
      </c>
      <c r="AR9" s="69">
        <f t="shared" si="22"/>
        <v>308.96628000000004</v>
      </c>
      <c r="AS9" s="140">
        <f t="shared" si="1"/>
        <v>10.238499568047226</v>
      </c>
      <c r="AT9" s="1073"/>
      <c r="AU9" s="71">
        <v>5</v>
      </c>
      <c r="AV9" s="71">
        <v>12</v>
      </c>
      <c r="AW9" s="72">
        <f t="shared" si="9"/>
        <v>31.003800000000002</v>
      </c>
      <c r="AX9" s="72">
        <f t="shared" si="2"/>
        <v>6.3319840371866567</v>
      </c>
      <c r="AY9" s="73">
        <f t="shared" si="23"/>
        <v>127.425618</v>
      </c>
      <c r="AZ9" s="192">
        <f t="shared" si="3"/>
        <v>4.222619810974682</v>
      </c>
      <c r="BA9" s="1075"/>
      <c r="BB9" s="56">
        <f t="shared" si="10"/>
        <v>33068</v>
      </c>
      <c r="BC9" s="56"/>
      <c r="BD9" s="56">
        <v>33068</v>
      </c>
      <c r="BE9" s="57"/>
      <c r="BF9" s="58">
        <f t="shared" si="12"/>
        <v>4996</v>
      </c>
      <c r="BG9" s="58">
        <f t="shared" si="13"/>
        <v>165.55704344811977</v>
      </c>
      <c r="BH9" s="1133"/>
      <c r="BI9" s="63">
        <f t="shared" si="24"/>
        <v>1232</v>
      </c>
      <c r="BJ9" s="66"/>
      <c r="BK9" s="64">
        <v>1232</v>
      </c>
      <c r="BL9" s="64"/>
      <c r="BM9" s="65"/>
      <c r="BN9" s="64"/>
      <c r="BO9" s="65"/>
      <c r="BP9" s="1071"/>
      <c r="BQ9" s="77">
        <f t="shared" si="14"/>
        <v>70817</v>
      </c>
      <c r="BR9" s="35"/>
      <c r="BS9" s="35">
        <f t="shared" si="4"/>
        <v>70817</v>
      </c>
      <c r="BT9" s="37"/>
      <c r="BU9" s="74"/>
      <c r="BV9" s="74"/>
      <c r="BW9" s="1098"/>
      <c r="BX9" s="295">
        <f t="shared" si="25"/>
        <v>440</v>
      </c>
      <c r="BY9" s="298"/>
      <c r="BZ9" s="296">
        <v>440</v>
      </c>
      <c r="CA9" s="296"/>
      <c r="CB9" s="297">
        <f t="shared" si="16"/>
        <v>0</v>
      </c>
      <c r="CC9" s="296">
        <f t="shared" si="26"/>
        <v>2060</v>
      </c>
      <c r="CD9" s="297">
        <f t="shared" si="17"/>
        <v>1.2357017016092315</v>
      </c>
      <c r="CE9" s="1061"/>
    </row>
    <row r="10" spans="1:83">
      <c r="A10" s="30">
        <v>43592</v>
      </c>
      <c r="B10" s="32">
        <v>434250</v>
      </c>
      <c r="C10" s="1">
        <f t="shared" si="5"/>
        <v>2101319</v>
      </c>
      <c r="D10" s="91">
        <v>5460.24</v>
      </c>
      <c r="E10" s="93">
        <f t="shared" si="18"/>
        <v>35637.15</v>
      </c>
      <c r="F10" s="227"/>
      <c r="G10" s="321">
        <v>30140</v>
      </c>
      <c r="H10" s="240">
        <v>30140</v>
      </c>
      <c r="I10" s="240"/>
      <c r="J10" s="227"/>
      <c r="K10" s="227"/>
      <c r="L10" s="227"/>
      <c r="M10" s="227"/>
      <c r="N10" s="1089"/>
      <c r="O10" s="1084"/>
      <c r="P10" s="35">
        <f t="shared" si="6"/>
        <v>20928</v>
      </c>
      <c r="Q10" s="35"/>
      <c r="R10" s="35">
        <v>20928</v>
      </c>
      <c r="S10" s="37"/>
      <c r="T10" s="36"/>
      <c r="U10" s="74"/>
      <c r="V10" s="36"/>
      <c r="W10" s="1136"/>
      <c r="X10" s="49">
        <f t="shared" si="19"/>
        <v>685</v>
      </c>
      <c r="Y10" s="52"/>
      <c r="Z10" s="52">
        <f>510+175</f>
        <v>685</v>
      </c>
      <c r="AA10" s="50"/>
      <c r="AB10" s="51"/>
      <c r="AC10" s="50">
        <f t="shared" si="28"/>
        <v>9</v>
      </c>
      <c r="AD10" s="51">
        <f>AC10*1000/C10</f>
        <v>4.2830241386481536E-3</v>
      </c>
      <c r="AE10" s="1047"/>
      <c r="AF10" s="40">
        <f t="shared" si="20"/>
        <v>519</v>
      </c>
      <c r="AG10" s="43"/>
      <c r="AH10" s="43">
        <v>378</v>
      </c>
      <c r="AI10" s="41">
        <f t="shared" si="7"/>
        <v>141</v>
      </c>
      <c r="AJ10" s="42">
        <f>AI10*1000/B10</f>
        <v>0.32469775474956825</v>
      </c>
      <c r="AK10" s="41">
        <f t="shared" si="21"/>
        <v>288</v>
      </c>
      <c r="AL10" s="42">
        <f t="shared" si="29"/>
        <v>0.13705677243674091</v>
      </c>
      <c r="AM10" s="1058"/>
      <c r="AN10" s="141">
        <v>4.7</v>
      </c>
      <c r="AO10" s="67">
        <v>24</v>
      </c>
      <c r="AP10" s="68">
        <f t="shared" si="8"/>
        <v>56.067240000000005</v>
      </c>
      <c r="AQ10" s="68">
        <f t="shared" si="0"/>
        <v>10.268273922025406</v>
      </c>
      <c r="AR10" s="69">
        <f t="shared" si="22"/>
        <v>365.03352000000007</v>
      </c>
      <c r="AS10" s="140">
        <f t="shared" si="1"/>
        <v>10.243061524280142</v>
      </c>
      <c r="AT10" s="1073"/>
      <c r="AU10" s="182">
        <v>2.2999999999999998</v>
      </c>
      <c r="AV10" s="71">
        <v>12</v>
      </c>
      <c r="AW10" s="72">
        <f t="shared" si="9"/>
        <v>14.261747999999999</v>
      </c>
      <c r="AX10" s="72">
        <f t="shared" si="2"/>
        <v>2.6119269482660101</v>
      </c>
      <c r="AY10" s="73">
        <f t="shared" si="23"/>
        <v>141.687366</v>
      </c>
      <c r="AZ10" s="192">
        <f t="shared" si="3"/>
        <v>3.9758332526590934</v>
      </c>
      <c r="BA10" s="1075"/>
      <c r="BB10" s="56">
        <f t="shared" si="10"/>
        <v>33068</v>
      </c>
      <c r="BC10" s="56"/>
      <c r="BD10" s="56">
        <v>32846</v>
      </c>
      <c r="BE10" s="57">
        <f t="shared" si="11"/>
        <v>222</v>
      </c>
      <c r="BF10" s="58">
        <f t="shared" si="12"/>
        <v>5218</v>
      </c>
      <c r="BG10" s="58">
        <f t="shared" si="13"/>
        <v>146.4202384309632</v>
      </c>
      <c r="BH10" s="1133"/>
      <c r="BI10" s="63">
        <f t="shared" si="24"/>
        <v>1232</v>
      </c>
      <c r="BJ10" s="66">
        <v>1100</v>
      </c>
      <c r="BK10" s="66">
        <v>1920</v>
      </c>
      <c r="BL10" s="64">
        <f t="shared" ref="BL10:BL16" si="30">BI10+BJ10-BK10</f>
        <v>412</v>
      </c>
      <c r="BM10" s="65">
        <f t="shared" ref="BM10:BM16" si="31">BL10*1000/B10</f>
        <v>0.94876223373632695</v>
      </c>
      <c r="BN10" s="64">
        <f t="shared" ref="BN10:BN15" si="32">BN9+BL10</f>
        <v>412</v>
      </c>
      <c r="BO10" s="65">
        <f t="shared" ref="BO10:BO15" si="33">BN10*1000/C10</f>
        <v>0.19606732723589326</v>
      </c>
      <c r="BP10" s="1071"/>
      <c r="BQ10" s="77">
        <f t="shared" si="14"/>
        <v>70817</v>
      </c>
      <c r="BR10" s="35"/>
      <c r="BS10" s="35">
        <f t="shared" si="4"/>
        <v>70817</v>
      </c>
      <c r="BT10" s="37"/>
      <c r="BU10" s="74"/>
      <c r="BV10" s="74"/>
      <c r="BW10" s="1098"/>
      <c r="BX10" s="295">
        <f t="shared" si="25"/>
        <v>440</v>
      </c>
      <c r="BY10" s="298">
        <v>1250</v>
      </c>
      <c r="BZ10" s="298">
        <v>1150</v>
      </c>
      <c r="CA10" s="296">
        <f t="shared" si="15"/>
        <v>540</v>
      </c>
      <c r="CB10" s="297">
        <f t="shared" si="16"/>
        <v>1.2435233160621761</v>
      </c>
      <c r="CC10" s="296">
        <f t="shared" si="26"/>
        <v>2600</v>
      </c>
      <c r="CD10" s="297">
        <f t="shared" si="17"/>
        <v>1.2373180844983556</v>
      </c>
      <c r="CE10" s="1061"/>
    </row>
    <row r="11" spans="1:83">
      <c r="A11" s="30">
        <v>43593</v>
      </c>
      <c r="B11" s="32">
        <v>336832</v>
      </c>
      <c r="C11" s="1">
        <f t="shared" si="5"/>
        <v>2438151</v>
      </c>
      <c r="D11" s="91">
        <v>4784.12</v>
      </c>
      <c r="E11" s="93">
        <f t="shared" si="18"/>
        <v>40421.270000000004</v>
      </c>
      <c r="F11" s="240">
        <f>H10</f>
        <v>30140</v>
      </c>
      <c r="G11" s="227"/>
      <c r="H11" s="240">
        <v>25200</v>
      </c>
      <c r="I11" s="240">
        <f>F11+G11-H11</f>
        <v>4940</v>
      </c>
      <c r="J11" s="280">
        <f>I11*1000/B11</f>
        <v>14.666064981949459</v>
      </c>
      <c r="K11" s="240">
        <f>I11</f>
        <v>4940</v>
      </c>
      <c r="L11" s="280">
        <f t="shared" ref="L11:L30" si="34">K11*1000/C11</f>
        <v>2.026125535292933</v>
      </c>
      <c r="M11" s="280">
        <f t="shared" ref="M11:M30" si="35">L11/8.167</f>
        <v>0.24808687832654991</v>
      </c>
      <c r="N11" s="1089"/>
      <c r="O11" s="1084"/>
      <c r="P11" s="35">
        <f t="shared" si="6"/>
        <v>20928</v>
      </c>
      <c r="Q11" s="35"/>
      <c r="R11" s="35">
        <v>20928</v>
      </c>
      <c r="S11" s="37"/>
      <c r="T11" s="36"/>
      <c r="U11" s="74"/>
      <c r="V11" s="36"/>
      <c r="W11" s="1136"/>
      <c r="X11" s="49">
        <f t="shared" si="19"/>
        <v>685</v>
      </c>
      <c r="Y11" s="52"/>
      <c r="Z11" s="52">
        <f>390+37</f>
        <v>427</v>
      </c>
      <c r="AA11" s="50">
        <f t="shared" si="27"/>
        <v>258</v>
      </c>
      <c r="AB11" s="51">
        <f>AA11*1000/B11</f>
        <v>0.76596047881436446</v>
      </c>
      <c r="AC11" s="50">
        <f t="shared" si="28"/>
        <v>267</v>
      </c>
      <c r="AD11" s="51">
        <f t="shared" ref="AD11:AD16" si="36">AC11*1000/C11</f>
        <v>0.10950921415449659</v>
      </c>
      <c r="AE11" s="1047"/>
      <c r="AF11" s="40">
        <f t="shared" si="20"/>
        <v>378</v>
      </c>
      <c r="AG11" s="43"/>
      <c r="AH11" s="43">
        <v>360</v>
      </c>
      <c r="AI11" s="41">
        <f t="shared" si="7"/>
        <v>18</v>
      </c>
      <c r="AJ11" s="42">
        <f>AI11*1000/B11</f>
        <v>5.3439103173095193E-2</v>
      </c>
      <c r="AK11" s="41">
        <f t="shared" si="21"/>
        <v>306</v>
      </c>
      <c r="AL11" s="42">
        <f t="shared" si="29"/>
        <v>0.12550494206470394</v>
      </c>
      <c r="AM11" s="1058"/>
      <c r="AN11" s="141">
        <v>5</v>
      </c>
      <c r="AO11" s="67">
        <v>24</v>
      </c>
      <c r="AP11" s="68">
        <f t="shared" si="8"/>
        <v>59.646000000000001</v>
      </c>
      <c r="AQ11" s="68">
        <f t="shared" si="0"/>
        <v>12.467496634699799</v>
      </c>
      <c r="AR11" s="69">
        <f t="shared" si="22"/>
        <v>424.67952000000008</v>
      </c>
      <c r="AS11" s="140">
        <f t="shared" si="1"/>
        <v>10.506337876073662</v>
      </c>
      <c r="AT11" s="1073"/>
      <c r="AU11" s="182">
        <v>2</v>
      </c>
      <c r="AV11" s="71">
        <v>12</v>
      </c>
      <c r="AW11" s="72">
        <f t="shared" si="9"/>
        <v>12.401520000000001</v>
      </c>
      <c r="AX11" s="72">
        <f t="shared" si="2"/>
        <v>2.5922259475096783</v>
      </c>
      <c r="AY11" s="73">
        <f t="shared" si="23"/>
        <v>154.088886</v>
      </c>
      <c r="AZ11" s="192">
        <f t="shared" si="3"/>
        <v>3.8120743361106659</v>
      </c>
      <c r="BA11" s="1075"/>
      <c r="BB11" s="56">
        <f t="shared" si="10"/>
        <v>32846</v>
      </c>
      <c r="BC11" s="56"/>
      <c r="BD11" s="56">
        <v>32846</v>
      </c>
      <c r="BE11" s="57"/>
      <c r="BF11" s="58">
        <f t="shared" si="12"/>
        <v>5218</v>
      </c>
      <c r="BG11" s="58">
        <f t="shared" si="13"/>
        <v>129.09045163598273</v>
      </c>
      <c r="BH11" s="1133"/>
      <c r="BI11" s="63">
        <f t="shared" si="24"/>
        <v>1920</v>
      </c>
      <c r="BJ11" s="66"/>
      <c r="BK11" s="66">
        <v>1860</v>
      </c>
      <c r="BL11" s="64">
        <f t="shared" si="30"/>
        <v>60</v>
      </c>
      <c r="BM11" s="65">
        <f t="shared" si="31"/>
        <v>0.17813034391031732</v>
      </c>
      <c r="BN11" s="64">
        <f t="shared" si="32"/>
        <v>472</v>
      </c>
      <c r="BO11" s="65">
        <f t="shared" si="33"/>
        <v>0.19358932240045837</v>
      </c>
      <c r="BP11" s="1071"/>
      <c r="BQ11" s="77">
        <f t="shared" si="14"/>
        <v>70817</v>
      </c>
      <c r="BR11" s="35"/>
      <c r="BS11" s="35">
        <f>31174+4000</f>
        <v>35174</v>
      </c>
      <c r="BT11" s="74">
        <f>BQ11+BR11-BS11</f>
        <v>35643</v>
      </c>
      <c r="BU11" s="74">
        <f t="shared" ref="BU11:BU45" si="37">BU10+BT11</f>
        <v>35643</v>
      </c>
      <c r="BV11" s="74">
        <f t="shared" ref="BV11:BV45" si="38">BU11*1000/E11</f>
        <v>881.78822684195711</v>
      </c>
      <c r="BW11" s="1098"/>
      <c r="BX11" s="295">
        <f t="shared" si="25"/>
        <v>1150</v>
      </c>
      <c r="BY11" s="298"/>
      <c r="BZ11" s="298">
        <v>950</v>
      </c>
      <c r="CA11" s="296">
        <f t="shared" si="15"/>
        <v>200</v>
      </c>
      <c r="CB11" s="297">
        <f t="shared" si="16"/>
        <v>0.59376781303439108</v>
      </c>
      <c r="CC11" s="296">
        <f t="shared" si="26"/>
        <v>2800</v>
      </c>
      <c r="CD11" s="297">
        <f t="shared" si="17"/>
        <v>1.1484112345789903</v>
      </c>
      <c r="CE11" s="1061"/>
    </row>
    <row r="12" spans="1:83">
      <c r="A12" s="30">
        <v>43594</v>
      </c>
      <c r="B12" s="32">
        <v>361561</v>
      </c>
      <c r="C12" s="1">
        <f t="shared" si="5"/>
        <v>2799712</v>
      </c>
      <c r="D12" s="91">
        <v>5397.22</v>
      </c>
      <c r="E12" s="93">
        <f t="shared" si="18"/>
        <v>45818.490000000005</v>
      </c>
      <c r="F12" s="240">
        <f>H11</f>
        <v>25200</v>
      </c>
      <c r="G12" s="227"/>
      <c r="H12" s="240">
        <v>14600</v>
      </c>
      <c r="I12" s="240">
        <f>F12+G12-H12</f>
        <v>10600</v>
      </c>
      <c r="J12" s="280">
        <f>I12*1000/B12</f>
        <v>29.317321281886045</v>
      </c>
      <c r="K12" s="240">
        <f t="shared" ref="K12:K30" si="39">K11+I12</f>
        <v>15540</v>
      </c>
      <c r="L12" s="280">
        <f t="shared" si="34"/>
        <v>5.5505709158656318</v>
      </c>
      <c r="M12" s="280">
        <f t="shared" si="35"/>
        <v>0.67963400463641876</v>
      </c>
      <c r="N12" s="1089"/>
      <c r="O12" s="1084"/>
      <c r="P12" s="35">
        <f t="shared" si="6"/>
        <v>20928</v>
      </c>
      <c r="Q12" s="35"/>
      <c r="R12" s="35">
        <v>20928</v>
      </c>
      <c r="S12" s="37"/>
      <c r="T12" s="36"/>
      <c r="U12" s="74"/>
      <c r="V12" s="36"/>
      <c r="W12" s="1136"/>
      <c r="X12" s="49">
        <f t="shared" si="19"/>
        <v>427</v>
      </c>
      <c r="Y12" s="52"/>
      <c r="Z12" s="52">
        <f>276+55</f>
        <v>331</v>
      </c>
      <c r="AA12" s="50">
        <f t="shared" si="27"/>
        <v>96</v>
      </c>
      <c r="AB12" s="51">
        <f>AA12*1000/B12</f>
        <v>0.26551536255293023</v>
      </c>
      <c r="AC12" s="50">
        <f t="shared" si="28"/>
        <v>363</v>
      </c>
      <c r="AD12" s="51">
        <f t="shared" si="36"/>
        <v>0.12965619320844429</v>
      </c>
      <c r="AE12" s="1047"/>
      <c r="AF12" s="40">
        <f t="shared" si="20"/>
        <v>360</v>
      </c>
      <c r="AG12" s="43"/>
      <c r="AH12" s="43">
        <v>307</v>
      </c>
      <c r="AI12" s="41">
        <f t="shared" si="7"/>
        <v>53</v>
      </c>
      <c r="AJ12" s="42">
        <f>AI12*1000/B12</f>
        <v>0.14658660640943022</v>
      </c>
      <c r="AK12" s="41">
        <f t="shared" si="21"/>
        <v>359</v>
      </c>
      <c r="AL12" s="42">
        <f t="shared" si="29"/>
        <v>0.1282274748259821</v>
      </c>
      <c r="AM12" s="1058"/>
      <c r="AN12" s="141">
        <v>3.45</v>
      </c>
      <c r="AO12" s="67">
        <v>24</v>
      </c>
      <c r="AP12" s="68">
        <f t="shared" si="8"/>
        <v>41.155740000000002</v>
      </c>
      <c r="AQ12" s="68">
        <f t="shared" si="0"/>
        <v>7.6253589811050864</v>
      </c>
      <c r="AR12" s="69">
        <f t="shared" si="22"/>
        <v>465.83526000000006</v>
      </c>
      <c r="AS12" s="140">
        <f t="shared" si="1"/>
        <v>10.166971019778261</v>
      </c>
      <c r="AT12" s="1073"/>
      <c r="AU12" s="182">
        <v>1.9</v>
      </c>
      <c r="AV12" s="71">
        <v>12</v>
      </c>
      <c r="AW12" s="72">
        <f t="shared" si="9"/>
        <v>11.781443999999999</v>
      </c>
      <c r="AX12" s="72">
        <f t="shared" si="2"/>
        <v>2.1828726640752087</v>
      </c>
      <c r="AY12" s="73">
        <f t="shared" si="23"/>
        <v>165.87033</v>
      </c>
      <c r="AZ12" s="192">
        <f t="shared" si="3"/>
        <v>3.6201614239142312</v>
      </c>
      <c r="BA12" s="1075"/>
      <c r="BB12" s="56">
        <f t="shared" si="10"/>
        <v>32846</v>
      </c>
      <c r="BC12" s="56"/>
      <c r="BD12" s="56">
        <v>25642</v>
      </c>
      <c r="BE12" s="57">
        <f t="shared" si="11"/>
        <v>7204</v>
      </c>
      <c r="BF12" s="58">
        <f t="shared" si="12"/>
        <v>12422</v>
      </c>
      <c r="BG12" s="58">
        <f t="shared" si="13"/>
        <v>271.11325580568018</v>
      </c>
      <c r="BH12" s="1133"/>
      <c r="BI12" s="63">
        <f t="shared" si="24"/>
        <v>1860</v>
      </c>
      <c r="BJ12" s="66"/>
      <c r="BK12" s="66">
        <v>1782</v>
      </c>
      <c r="BL12" s="64">
        <f t="shared" si="30"/>
        <v>78</v>
      </c>
      <c r="BM12" s="65">
        <f t="shared" si="31"/>
        <v>0.21573123207425579</v>
      </c>
      <c r="BN12" s="64">
        <f t="shared" si="32"/>
        <v>550</v>
      </c>
      <c r="BO12" s="65">
        <f t="shared" si="33"/>
        <v>0.19644877758855198</v>
      </c>
      <c r="BP12" s="1071"/>
      <c r="BQ12" s="77">
        <f t="shared" si="14"/>
        <v>35174</v>
      </c>
      <c r="BR12" s="35"/>
      <c r="BS12" s="35">
        <f>31174+4000</f>
        <v>35174</v>
      </c>
      <c r="BT12" s="74"/>
      <c r="BU12" s="74">
        <f t="shared" si="37"/>
        <v>35643</v>
      </c>
      <c r="BV12" s="74">
        <f t="shared" si="38"/>
        <v>777.91738662710179</v>
      </c>
      <c r="BW12" s="1098"/>
      <c r="BX12" s="295">
        <f t="shared" si="25"/>
        <v>950</v>
      </c>
      <c r="BY12" s="298"/>
      <c r="BZ12" s="298">
        <v>875</v>
      </c>
      <c r="CA12" s="296">
        <f t="shared" si="15"/>
        <v>75</v>
      </c>
      <c r="CB12" s="297">
        <f t="shared" si="16"/>
        <v>0.20743387699447674</v>
      </c>
      <c r="CC12" s="296">
        <f t="shared" si="26"/>
        <v>2875</v>
      </c>
      <c r="CD12" s="297">
        <f t="shared" si="17"/>
        <v>1.0268913373947035</v>
      </c>
      <c r="CE12" s="1061"/>
    </row>
    <row r="13" spans="1:83">
      <c r="A13" s="30">
        <v>43595</v>
      </c>
      <c r="B13" s="32">
        <v>443796</v>
      </c>
      <c r="C13" s="1">
        <f t="shared" si="5"/>
        <v>3243508</v>
      </c>
      <c r="D13" s="91">
        <v>6577.6</v>
      </c>
      <c r="E13" s="93">
        <f t="shared" si="18"/>
        <v>52396.090000000004</v>
      </c>
      <c r="F13" s="240">
        <f>H12</f>
        <v>14600</v>
      </c>
      <c r="G13" s="227"/>
      <c r="H13" s="240"/>
      <c r="I13" s="240">
        <f>F13+G13-H13</f>
        <v>14600</v>
      </c>
      <c r="J13" s="280">
        <f>I13*1000/B13</f>
        <v>32.897998179343659</v>
      </c>
      <c r="K13" s="240">
        <f t="shared" si="39"/>
        <v>30140</v>
      </c>
      <c r="L13" s="280">
        <f t="shared" si="34"/>
        <v>9.292408096419063</v>
      </c>
      <c r="M13" s="280">
        <f t="shared" si="35"/>
        <v>1.1377994485636174</v>
      </c>
      <c r="N13" s="1089"/>
      <c r="O13" s="1084"/>
      <c r="P13" s="35">
        <f t="shared" si="6"/>
        <v>20928</v>
      </c>
      <c r="Q13" s="35"/>
      <c r="R13" s="35">
        <v>20151</v>
      </c>
      <c r="S13" s="35">
        <f>P13+Q13-R13</f>
        <v>777</v>
      </c>
      <c r="T13" s="36">
        <f>1000*S13/B13</f>
        <v>1.7508044236541114</v>
      </c>
      <c r="U13" s="74">
        <f t="shared" ref="U13:U23" si="40">U12+S13</f>
        <v>777</v>
      </c>
      <c r="V13" s="36">
        <f t="shared" ref="V13:V23" si="41">1000*U13/C13</f>
        <v>0.23955544429056441</v>
      </c>
      <c r="W13" s="1136"/>
      <c r="X13" s="49">
        <f t="shared" si="19"/>
        <v>331</v>
      </c>
      <c r="Y13" s="50"/>
      <c r="Z13" s="50">
        <f>201+50</f>
        <v>251</v>
      </c>
      <c r="AA13" s="50">
        <f t="shared" si="27"/>
        <v>80</v>
      </c>
      <c r="AB13" s="51">
        <f>AA13*1000/B13</f>
        <v>0.18026300372243104</v>
      </c>
      <c r="AC13" s="50">
        <f t="shared" si="28"/>
        <v>443</v>
      </c>
      <c r="AD13" s="51">
        <f t="shared" si="36"/>
        <v>0.13658051714378383</v>
      </c>
      <c r="AE13" s="1047"/>
      <c r="AF13" s="40">
        <f t="shared" si="20"/>
        <v>307</v>
      </c>
      <c r="AG13" s="41"/>
      <c r="AH13" s="41">
        <v>307</v>
      </c>
      <c r="AI13" s="41"/>
      <c r="AJ13" s="42"/>
      <c r="AK13" s="41">
        <f t="shared" si="21"/>
        <v>359</v>
      </c>
      <c r="AL13" s="42">
        <f t="shared" si="29"/>
        <v>0.11068263127453362</v>
      </c>
      <c r="AM13" s="1058"/>
      <c r="AN13" s="67">
        <v>4.0999999999999996</v>
      </c>
      <c r="AO13" s="67">
        <v>24</v>
      </c>
      <c r="AP13" s="68">
        <f t="shared" si="8"/>
        <v>48.909719999999993</v>
      </c>
      <c r="AQ13" s="68">
        <f t="shared" si="0"/>
        <v>7.4358002918997794</v>
      </c>
      <c r="AR13" s="69">
        <f t="shared" si="22"/>
        <v>514.74498000000006</v>
      </c>
      <c r="AS13" s="140">
        <f t="shared" si="1"/>
        <v>9.8241105395459858</v>
      </c>
      <c r="AT13" s="1073"/>
      <c r="AU13" s="71">
        <v>2.2999999999999998</v>
      </c>
      <c r="AV13" s="71">
        <v>12</v>
      </c>
      <c r="AW13" s="72">
        <f t="shared" si="9"/>
        <v>14.261747999999999</v>
      </c>
      <c r="AX13" s="72">
        <f t="shared" si="2"/>
        <v>2.1682297494526876</v>
      </c>
      <c r="AY13" s="73">
        <f t="shared" si="23"/>
        <v>180.13207800000001</v>
      </c>
      <c r="AZ13" s="192">
        <f t="shared" si="3"/>
        <v>3.4378916060339617</v>
      </c>
      <c r="BA13" s="1075"/>
      <c r="BB13" s="56">
        <f t="shared" si="10"/>
        <v>25642</v>
      </c>
      <c r="BC13" s="56"/>
      <c r="BD13" s="56">
        <v>25189</v>
      </c>
      <c r="BE13" s="57">
        <f t="shared" si="11"/>
        <v>453</v>
      </c>
      <c r="BF13" s="58">
        <f t="shared" si="12"/>
        <v>12875</v>
      </c>
      <c r="BG13" s="58">
        <f t="shared" si="13"/>
        <v>245.72444241545503</v>
      </c>
      <c r="BH13" s="1133"/>
      <c r="BI13" s="63">
        <f t="shared" si="24"/>
        <v>1782</v>
      </c>
      <c r="BJ13" s="64"/>
      <c r="BK13" s="64">
        <v>1680</v>
      </c>
      <c r="BL13" s="64">
        <f t="shared" si="30"/>
        <v>102</v>
      </c>
      <c r="BM13" s="65">
        <f t="shared" si="31"/>
        <v>0.22983532974609955</v>
      </c>
      <c r="BN13" s="64">
        <f t="shared" si="32"/>
        <v>652</v>
      </c>
      <c r="BO13" s="65">
        <f t="shared" si="33"/>
        <v>0.20101692365179921</v>
      </c>
      <c r="BP13" s="1071"/>
      <c r="BQ13" s="77">
        <f t="shared" si="14"/>
        <v>35174</v>
      </c>
      <c r="BR13" s="35"/>
      <c r="BS13" s="35">
        <f>31174+4000</f>
        <v>35174</v>
      </c>
      <c r="BT13" s="74"/>
      <c r="BU13" s="74">
        <f t="shared" si="37"/>
        <v>35643</v>
      </c>
      <c r="BV13" s="74">
        <f t="shared" si="38"/>
        <v>680.26068357390784</v>
      </c>
      <c r="BW13" s="1098"/>
      <c r="BX13" s="295">
        <f t="shared" si="25"/>
        <v>875</v>
      </c>
      <c r="BY13" s="296"/>
      <c r="BZ13" s="296">
        <v>700</v>
      </c>
      <c r="CA13" s="296">
        <f t="shared" si="15"/>
        <v>175</v>
      </c>
      <c r="CB13" s="297">
        <f t="shared" si="16"/>
        <v>0.39432532064281789</v>
      </c>
      <c r="CC13" s="296">
        <f t="shared" si="26"/>
        <v>3050</v>
      </c>
      <c r="CD13" s="297">
        <f t="shared" si="17"/>
        <v>0.94033990358587061</v>
      </c>
      <c r="CE13" s="1061"/>
    </row>
    <row r="14" spans="1:83">
      <c r="A14" s="30">
        <v>43596</v>
      </c>
      <c r="B14" s="32">
        <v>254898</v>
      </c>
      <c r="C14" s="1">
        <f t="shared" si="5"/>
        <v>3498406</v>
      </c>
      <c r="D14" s="91">
        <v>2491.8200000000002</v>
      </c>
      <c r="E14" s="93">
        <f t="shared" si="18"/>
        <v>54887.91</v>
      </c>
      <c r="F14" s="240"/>
      <c r="G14" s="321">
        <v>31250</v>
      </c>
      <c r="H14" s="240">
        <v>31250</v>
      </c>
      <c r="I14" s="240"/>
      <c r="J14" s="280"/>
      <c r="K14" s="240">
        <f t="shared" si="39"/>
        <v>30140</v>
      </c>
      <c r="L14" s="280">
        <f t="shared" si="34"/>
        <v>8.615352248995686</v>
      </c>
      <c r="M14" s="280">
        <f t="shared" si="35"/>
        <v>1.0548980346511188</v>
      </c>
      <c r="N14" s="1089"/>
      <c r="O14" s="1084"/>
      <c r="P14" s="35">
        <f t="shared" si="6"/>
        <v>20151</v>
      </c>
      <c r="Q14" s="35"/>
      <c r="R14" s="35">
        <v>17850</v>
      </c>
      <c r="S14" s="35">
        <f>P14+Q14-R14</f>
        <v>2301</v>
      </c>
      <c r="T14" s="36">
        <f>1000*S14/B14</f>
        <v>9.0271402678718538</v>
      </c>
      <c r="U14" s="74">
        <f t="shared" si="40"/>
        <v>3078</v>
      </c>
      <c r="V14" s="36">
        <f t="shared" si="41"/>
        <v>0.87982927081648044</v>
      </c>
      <c r="W14" s="1136"/>
      <c r="X14" s="49">
        <f t="shared" si="19"/>
        <v>251</v>
      </c>
      <c r="Y14" s="50"/>
      <c r="Z14" s="50">
        <v>238</v>
      </c>
      <c r="AA14" s="50">
        <f>X14+Y14-Z14</f>
        <v>13</v>
      </c>
      <c r="AB14" s="51">
        <f>AA14*1000/B14</f>
        <v>5.1000792473852287E-2</v>
      </c>
      <c r="AC14" s="50">
        <f t="shared" si="28"/>
        <v>456</v>
      </c>
      <c r="AD14" s="51">
        <f t="shared" si="36"/>
        <v>0.13034507715799709</v>
      </c>
      <c r="AE14" s="1047"/>
      <c r="AF14" s="40">
        <f t="shared" si="20"/>
        <v>307</v>
      </c>
      <c r="AG14" s="41"/>
      <c r="AH14" s="41">
        <v>307</v>
      </c>
      <c r="AI14" s="41"/>
      <c r="AJ14" s="42"/>
      <c r="AK14" s="41">
        <f t="shared" si="21"/>
        <v>359</v>
      </c>
      <c r="AL14" s="42">
        <f t="shared" si="29"/>
        <v>0.10261816381517753</v>
      </c>
      <c r="AM14" s="1058"/>
      <c r="AN14" s="67">
        <v>4.7</v>
      </c>
      <c r="AO14" s="67">
        <v>24</v>
      </c>
      <c r="AP14" s="68">
        <f t="shared" si="8"/>
        <v>56.067240000000005</v>
      </c>
      <c r="AQ14" s="68">
        <f t="shared" si="0"/>
        <v>22.500517693894423</v>
      </c>
      <c r="AR14" s="69">
        <f t="shared" si="22"/>
        <v>570.81222000000002</v>
      </c>
      <c r="AS14" s="140">
        <f t="shared" si="1"/>
        <v>10.399598381501498</v>
      </c>
      <c r="AT14" s="1073"/>
      <c r="AU14" s="71">
        <v>2.4</v>
      </c>
      <c r="AV14" s="71">
        <v>12</v>
      </c>
      <c r="AW14" s="72">
        <f t="shared" si="9"/>
        <v>14.881824</v>
      </c>
      <c r="AX14" s="72">
        <f t="shared" si="2"/>
        <v>5.9722708702875806</v>
      </c>
      <c r="AY14" s="73">
        <f t="shared" si="23"/>
        <v>195.013902</v>
      </c>
      <c r="AZ14" s="192">
        <f t="shared" si="3"/>
        <v>3.5529482175582925</v>
      </c>
      <c r="BA14" s="1075"/>
      <c r="BB14" s="56">
        <f t="shared" si="10"/>
        <v>25189</v>
      </c>
      <c r="BC14" s="56"/>
      <c r="BD14" s="56">
        <v>25189</v>
      </c>
      <c r="BE14" s="57"/>
      <c r="BF14" s="58">
        <f t="shared" si="12"/>
        <v>12875</v>
      </c>
      <c r="BG14" s="58">
        <f t="shared" si="13"/>
        <v>234.56896063267848</v>
      </c>
      <c r="BH14" s="1133"/>
      <c r="BI14" s="63">
        <f t="shared" si="24"/>
        <v>1680</v>
      </c>
      <c r="BJ14" s="64"/>
      <c r="BK14" s="64">
        <v>1680</v>
      </c>
      <c r="BL14" s="64"/>
      <c r="BM14" s="65"/>
      <c r="BN14" s="64">
        <f t="shared" si="32"/>
        <v>652</v>
      </c>
      <c r="BO14" s="65">
        <f t="shared" si="33"/>
        <v>0.18637059277853971</v>
      </c>
      <c r="BP14" s="1071"/>
      <c r="BQ14" s="77">
        <f t="shared" si="14"/>
        <v>35174</v>
      </c>
      <c r="BR14" s="35"/>
      <c r="BS14" s="35">
        <f>13615+4000</f>
        <v>17615</v>
      </c>
      <c r="BT14" s="74">
        <f t="shared" ref="BT14:BT19" si="42">BQ14+BR14-BS14</f>
        <v>17559</v>
      </c>
      <c r="BU14" s="74">
        <f t="shared" si="37"/>
        <v>53202</v>
      </c>
      <c r="BV14" s="74">
        <f t="shared" si="38"/>
        <v>969.28449270522412</v>
      </c>
      <c r="BW14" s="1098"/>
      <c r="BX14" s="295">
        <f t="shared" si="25"/>
        <v>700</v>
      </c>
      <c r="BY14" s="296"/>
      <c r="BZ14" s="296">
        <v>620</v>
      </c>
      <c r="CA14" s="296">
        <f t="shared" si="15"/>
        <v>80</v>
      </c>
      <c r="CB14" s="297">
        <f t="shared" si="16"/>
        <v>0.31385103060832176</v>
      </c>
      <c r="CC14" s="296">
        <f t="shared" si="26"/>
        <v>3130</v>
      </c>
      <c r="CD14" s="297">
        <f t="shared" si="17"/>
        <v>0.89469318312397128</v>
      </c>
      <c r="CE14" s="1061"/>
    </row>
    <row r="15" spans="1:83">
      <c r="A15" s="30">
        <v>43597</v>
      </c>
      <c r="B15" s="32"/>
      <c r="C15" s="1">
        <f t="shared" si="5"/>
        <v>3498406</v>
      </c>
      <c r="D15" s="91"/>
      <c r="E15" s="93">
        <f t="shared" si="18"/>
        <v>54887.91</v>
      </c>
      <c r="F15" s="240">
        <f>H14</f>
        <v>31250</v>
      </c>
      <c r="G15" s="227"/>
      <c r="H15" s="240">
        <v>31250</v>
      </c>
      <c r="I15" s="240"/>
      <c r="J15" s="280"/>
      <c r="K15" s="240">
        <f t="shared" si="39"/>
        <v>30140</v>
      </c>
      <c r="L15" s="280">
        <f t="shared" si="34"/>
        <v>8.615352248995686</v>
      </c>
      <c r="M15" s="280">
        <f t="shared" si="35"/>
        <v>1.0548980346511188</v>
      </c>
      <c r="N15" s="1089"/>
      <c r="O15" s="1084"/>
      <c r="P15" s="35">
        <f t="shared" si="6"/>
        <v>17850</v>
      </c>
      <c r="Q15" s="35"/>
      <c r="R15" s="35">
        <v>17850</v>
      </c>
      <c r="S15" s="35"/>
      <c r="T15" s="36"/>
      <c r="U15" s="74">
        <f t="shared" si="40"/>
        <v>3078</v>
      </c>
      <c r="V15" s="36">
        <f t="shared" si="41"/>
        <v>0.87982927081648044</v>
      </c>
      <c r="W15" s="1136"/>
      <c r="X15" s="49">
        <f t="shared" si="19"/>
        <v>238</v>
      </c>
      <c r="Y15" s="50"/>
      <c r="Z15" s="50">
        <f>201+37</f>
        <v>238</v>
      </c>
      <c r="AA15" s="50"/>
      <c r="AB15" s="51"/>
      <c r="AC15" s="50">
        <f t="shared" si="28"/>
        <v>456</v>
      </c>
      <c r="AD15" s="51">
        <f t="shared" si="36"/>
        <v>0.13034507715799709</v>
      </c>
      <c r="AE15" s="1047"/>
      <c r="AF15" s="40">
        <f t="shared" si="20"/>
        <v>307</v>
      </c>
      <c r="AG15" s="41"/>
      <c r="AH15" s="41">
        <v>307</v>
      </c>
      <c r="AI15" s="41"/>
      <c r="AJ15" s="42"/>
      <c r="AK15" s="41">
        <f t="shared" si="21"/>
        <v>359</v>
      </c>
      <c r="AL15" s="42">
        <f t="shared" si="29"/>
        <v>0.10261816381517753</v>
      </c>
      <c r="AM15" s="1058"/>
      <c r="AN15" s="67">
        <v>3.2</v>
      </c>
      <c r="AO15" s="67">
        <v>24</v>
      </c>
      <c r="AP15" s="68">
        <f>AN15*AO15*0.49705</f>
        <v>38.173440000000006</v>
      </c>
      <c r="AQ15" s="68"/>
      <c r="AR15" s="69">
        <f t="shared" si="22"/>
        <v>608.98566000000005</v>
      </c>
      <c r="AS15" s="140">
        <f t="shared" si="1"/>
        <v>11.09507831506064</v>
      </c>
      <c r="AT15" s="1073"/>
      <c r="AU15" s="71">
        <v>1</v>
      </c>
      <c r="AV15" s="71">
        <v>12</v>
      </c>
      <c r="AW15" s="72">
        <f>AU15*AV15*0.51673</f>
        <v>6.2007600000000007</v>
      </c>
      <c r="AX15" s="72"/>
      <c r="AY15" s="73">
        <f t="shared" si="23"/>
        <v>201.214662</v>
      </c>
      <c r="AZ15" s="192">
        <f t="shared" si="3"/>
        <v>3.6659195440307344</v>
      </c>
      <c r="BA15" s="1075"/>
      <c r="BB15" s="56">
        <f t="shared" si="10"/>
        <v>25189</v>
      </c>
      <c r="BC15" s="56"/>
      <c r="BD15" s="56">
        <v>25189</v>
      </c>
      <c r="BE15" s="57"/>
      <c r="BF15" s="58">
        <f t="shared" si="12"/>
        <v>12875</v>
      </c>
      <c r="BG15" s="58">
        <f t="shared" si="13"/>
        <v>234.56896063267848</v>
      </c>
      <c r="BH15" s="1133"/>
      <c r="BI15" s="63">
        <f t="shared" si="24"/>
        <v>1680</v>
      </c>
      <c r="BJ15" s="64"/>
      <c r="BK15" s="64">
        <v>1680</v>
      </c>
      <c r="BL15" s="64"/>
      <c r="BM15" s="65"/>
      <c r="BN15" s="64">
        <f t="shared" si="32"/>
        <v>652</v>
      </c>
      <c r="BO15" s="65">
        <f t="shared" si="33"/>
        <v>0.18637059277853971</v>
      </c>
      <c r="BP15" s="1071"/>
      <c r="BQ15" s="77">
        <f t="shared" si="14"/>
        <v>17615</v>
      </c>
      <c r="BR15" s="35"/>
      <c r="BS15" s="35">
        <f>13615+4000</f>
        <v>17615</v>
      </c>
      <c r="BT15" s="74"/>
      <c r="BU15" s="74">
        <f t="shared" si="37"/>
        <v>53202</v>
      </c>
      <c r="BV15" s="74">
        <f t="shared" si="38"/>
        <v>969.28449270522412</v>
      </c>
      <c r="BW15" s="1098"/>
      <c r="BX15" s="295">
        <f t="shared" si="25"/>
        <v>620</v>
      </c>
      <c r="BY15" s="296"/>
      <c r="BZ15" s="296">
        <v>620</v>
      </c>
      <c r="CA15" s="296"/>
      <c r="CB15" s="297"/>
      <c r="CC15" s="296">
        <f t="shared" si="26"/>
        <v>3130</v>
      </c>
      <c r="CD15" s="297">
        <f t="shared" si="17"/>
        <v>0.89469318312397128</v>
      </c>
      <c r="CE15" s="1061"/>
    </row>
    <row r="16" spans="1:83">
      <c r="A16" s="30">
        <v>43598</v>
      </c>
      <c r="B16" s="32">
        <v>140904</v>
      </c>
      <c r="C16" s="1">
        <f t="shared" si="5"/>
        <v>3639310</v>
      </c>
      <c r="D16" s="91">
        <v>3371.8</v>
      </c>
      <c r="E16" s="93">
        <f t="shared" si="18"/>
        <v>58259.710000000006</v>
      </c>
      <c r="F16" s="240">
        <f>H15</f>
        <v>31250</v>
      </c>
      <c r="G16" s="227"/>
      <c r="H16" s="240">
        <v>31250</v>
      </c>
      <c r="I16" s="240"/>
      <c r="J16" s="280"/>
      <c r="K16" s="240">
        <f t="shared" si="39"/>
        <v>30140</v>
      </c>
      <c r="L16" s="280">
        <f t="shared" si="34"/>
        <v>8.2817896799118511</v>
      </c>
      <c r="M16" s="280">
        <f t="shared" si="35"/>
        <v>1.0140553054869414</v>
      </c>
      <c r="N16" s="1089"/>
      <c r="O16" s="1084"/>
      <c r="P16" s="35">
        <f t="shared" ref="P16:P24" si="43">R15</f>
        <v>17850</v>
      </c>
      <c r="Q16" s="35"/>
      <c r="R16" s="35">
        <v>17850</v>
      </c>
      <c r="S16" s="35"/>
      <c r="T16" s="36"/>
      <c r="U16" s="74">
        <f t="shared" si="40"/>
        <v>3078</v>
      </c>
      <c r="V16" s="36">
        <f t="shared" si="41"/>
        <v>0.84576471913631979</v>
      </c>
      <c r="W16" s="1136"/>
      <c r="X16" s="49">
        <f t="shared" ref="X16:X25" si="44">Z15</f>
        <v>238</v>
      </c>
      <c r="Y16" s="50">
        <v>900</v>
      </c>
      <c r="Z16" s="50">
        <f>921+65</f>
        <v>986</v>
      </c>
      <c r="AA16" s="50">
        <f t="shared" ref="AA16:AA26" si="45">X16+Y16-Z16</f>
        <v>152</v>
      </c>
      <c r="AB16" s="51">
        <f t="shared" ref="AB16:AB26" si="46">AA16*1000/B16</f>
        <v>1.0787486515641855</v>
      </c>
      <c r="AC16" s="50">
        <f t="shared" si="28"/>
        <v>608</v>
      </c>
      <c r="AD16" s="51">
        <f t="shared" si="36"/>
        <v>0.16706463587877923</v>
      </c>
      <c r="AE16" s="1047"/>
      <c r="AF16" s="40">
        <f>AH14</f>
        <v>307</v>
      </c>
      <c r="AG16" s="41">
        <v>1000</v>
      </c>
      <c r="AH16" s="41">
        <v>1174</v>
      </c>
      <c r="AI16" s="41">
        <f>AF16+AG16-AH16</f>
        <v>133</v>
      </c>
      <c r="AJ16" s="42">
        <f>AI16*1000/B16</f>
        <v>0.94390507011866231</v>
      </c>
      <c r="AK16" s="41">
        <f t="shared" si="21"/>
        <v>492</v>
      </c>
      <c r="AL16" s="42">
        <f t="shared" si="29"/>
        <v>0.13519046192822265</v>
      </c>
      <c r="AM16" s="1058"/>
      <c r="AN16" s="67">
        <v>2.7</v>
      </c>
      <c r="AO16" s="67">
        <v>24</v>
      </c>
      <c r="AP16" s="68">
        <f t="shared" ref="AP16:AP22" si="47">AN16*AO16*0.49705</f>
        <v>32.208840000000002</v>
      </c>
      <c r="AQ16" s="68">
        <f t="shared" si="0"/>
        <v>9.552417106589953</v>
      </c>
      <c r="AR16" s="69">
        <f t="shared" ref="AR16:AR30" si="48">AR15+AP16</f>
        <v>641.19450000000006</v>
      </c>
      <c r="AS16" s="140">
        <f t="shared" ref="AS16:AS30" si="49">AR16*1000/E16</f>
        <v>11.005796287005206</v>
      </c>
      <c r="AT16" s="1073"/>
      <c r="AU16" s="71">
        <v>1.1000000000000001</v>
      </c>
      <c r="AV16" s="71">
        <v>12</v>
      </c>
      <c r="AW16" s="72">
        <f t="shared" ref="AW16:AW22" si="50">AU16*AV16*0.51673</f>
        <v>6.8208360000000008</v>
      </c>
      <c r="AX16" s="72">
        <f t="shared" si="2"/>
        <v>2.0229064594578565</v>
      </c>
      <c r="AY16" s="73">
        <f t="shared" ref="AY16:AY30" si="51">AY15+AW16</f>
        <v>208.03549800000002</v>
      </c>
      <c r="AZ16" s="192">
        <f t="shared" ref="AZ16:AZ30" si="52">AY16*1000/E16</f>
        <v>3.5708296179297836</v>
      </c>
      <c r="BA16" s="1075"/>
      <c r="BB16" s="56">
        <f t="shared" ref="BB16:BB25" si="53">BD15</f>
        <v>25189</v>
      </c>
      <c r="BC16" s="56"/>
      <c r="BD16" s="56">
        <v>23381</v>
      </c>
      <c r="BE16" s="57">
        <f t="shared" si="11"/>
        <v>1808</v>
      </c>
      <c r="BF16" s="58">
        <f t="shared" ref="BF16:BF41" si="54">BF15+BE16</f>
        <v>14683</v>
      </c>
      <c r="BG16" s="58">
        <f t="shared" ref="BG16:BG41" si="55">BF16*1000/E16</f>
        <v>252.02665787385482</v>
      </c>
      <c r="BH16" s="1133"/>
      <c r="BI16" s="63">
        <f t="shared" ref="BI16:BI25" si="56">BK15</f>
        <v>1680</v>
      </c>
      <c r="BJ16" s="64"/>
      <c r="BK16" s="64">
        <v>1620</v>
      </c>
      <c r="BL16" s="64">
        <f t="shared" si="30"/>
        <v>60</v>
      </c>
      <c r="BM16" s="65">
        <f t="shared" si="31"/>
        <v>0.42582183614375746</v>
      </c>
      <c r="BN16" s="64">
        <f t="shared" ref="BN16:BN54" si="57">BN15+BL16</f>
        <v>712</v>
      </c>
      <c r="BO16" s="65">
        <f t="shared" ref="BO16:BO54" si="58">BN16*1000/C16</f>
        <v>0.19564148148962304</v>
      </c>
      <c r="BP16" s="1071"/>
      <c r="BQ16" s="77">
        <f t="shared" ref="BQ16:BQ25" si="59">BS15</f>
        <v>17615</v>
      </c>
      <c r="BR16" s="317">
        <v>32520</v>
      </c>
      <c r="BS16" s="35">
        <f>13615+4000+20000</f>
        <v>37615</v>
      </c>
      <c r="BT16" s="74">
        <f t="shared" si="42"/>
        <v>12520</v>
      </c>
      <c r="BU16" s="74">
        <f t="shared" si="37"/>
        <v>65722</v>
      </c>
      <c r="BV16" s="74">
        <f t="shared" si="38"/>
        <v>1128.086631395865</v>
      </c>
      <c r="BW16" s="1098"/>
      <c r="BX16" s="295">
        <f t="shared" ref="BX16:BX22" si="60">BZ15</f>
        <v>620</v>
      </c>
      <c r="BY16" s="296"/>
      <c r="BZ16" s="296">
        <v>600</v>
      </c>
      <c r="CA16" s="296">
        <f t="shared" si="15"/>
        <v>20</v>
      </c>
      <c r="CB16" s="297">
        <f t="shared" ref="CB16:CB21" si="61">CA16*1000/B16</f>
        <v>0.14194061204791916</v>
      </c>
      <c r="CC16" s="296">
        <f t="shared" ref="CC16:CC54" si="62">CC15+CA16</f>
        <v>3150</v>
      </c>
      <c r="CD16" s="297">
        <f t="shared" si="17"/>
        <v>0.86554868917459626</v>
      </c>
      <c r="CE16" s="1061"/>
    </row>
    <row r="17" spans="1:83">
      <c r="A17" s="30">
        <v>43599</v>
      </c>
      <c r="B17" s="32">
        <v>465322</v>
      </c>
      <c r="C17" s="1">
        <f t="shared" si="5"/>
        <v>4104632</v>
      </c>
      <c r="D17" s="91">
        <v>6903.94</v>
      </c>
      <c r="E17" s="93">
        <f t="shared" si="18"/>
        <v>65163.650000000009</v>
      </c>
      <c r="F17" s="240">
        <f>H16</f>
        <v>31250</v>
      </c>
      <c r="G17" s="227"/>
      <c r="H17" s="240">
        <v>15700</v>
      </c>
      <c r="I17" s="240">
        <f>F17+G17-H17</f>
        <v>15550</v>
      </c>
      <c r="J17" s="280">
        <f>I17*1000/B17</f>
        <v>33.417719342734706</v>
      </c>
      <c r="K17" s="240">
        <f t="shared" si="39"/>
        <v>45690</v>
      </c>
      <c r="L17" s="280">
        <f t="shared" si="34"/>
        <v>11.131326754749269</v>
      </c>
      <c r="M17" s="280">
        <f t="shared" si="35"/>
        <v>1.3629639714398518</v>
      </c>
      <c r="N17" s="1089"/>
      <c r="O17" s="1084"/>
      <c r="P17" s="35">
        <f t="shared" si="43"/>
        <v>17850</v>
      </c>
      <c r="Q17" s="35"/>
      <c r="R17" s="35">
        <v>17850</v>
      </c>
      <c r="S17" s="35"/>
      <c r="T17" s="36"/>
      <c r="U17" s="74">
        <f t="shared" si="40"/>
        <v>3078</v>
      </c>
      <c r="V17" s="36">
        <f t="shared" si="41"/>
        <v>0.74988452070733747</v>
      </c>
      <c r="W17" s="1136"/>
      <c r="X17" s="49">
        <f t="shared" si="44"/>
        <v>986</v>
      </c>
      <c r="Y17" s="50"/>
      <c r="Z17" s="50">
        <v>832</v>
      </c>
      <c r="AA17" s="50">
        <f t="shared" si="45"/>
        <v>154</v>
      </c>
      <c r="AB17" s="51">
        <f t="shared" si="46"/>
        <v>0.33095361921422156</v>
      </c>
      <c r="AC17" s="50">
        <f t="shared" ref="AC17:AC54" si="63">AC16+AA17</f>
        <v>762</v>
      </c>
      <c r="AD17" s="51">
        <f t="shared" ref="AD17:AD54" si="64">AC17*1000/C17</f>
        <v>0.18564392617900946</v>
      </c>
      <c r="AE17" s="1047"/>
      <c r="AF17" s="40">
        <f t="shared" ref="AF17:AF25" si="65">AH16</f>
        <v>1174</v>
      </c>
      <c r="AG17" s="41"/>
      <c r="AH17" s="41">
        <v>1081</v>
      </c>
      <c r="AI17" s="41">
        <f>AF17+AG17-AH17</f>
        <v>93</v>
      </c>
      <c r="AJ17" s="42">
        <f>AI17*1000/B17</f>
        <v>0.19986160121378313</v>
      </c>
      <c r="AK17" s="41">
        <f t="shared" ref="AK17:AK54" si="66">AK16+AI17</f>
        <v>585</v>
      </c>
      <c r="AL17" s="42">
        <f t="shared" ref="AL17:AL54" si="67">AK17*1000/C17</f>
        <v>0.14252191183034191</v>
      </c>
      <c r="AM17" s="1058"/>
      <c r="AN17" s="67">
        <v>8.8000000000000007</v>
      </c>
      <c r="AO17" s="67">
        <v>24</v>
      </c>
      <c r="AP17" s="68">
        <f t="shared" si="47"/>
        <v>104.97696000000001</v>
      </c>
      <c r="AQ17" s="68">
        <f t="shared" si="0"/>
        <v>15.205369687453832</v>
      </c>
      <c r="AR17" s="69">
        <f t="shared" si="48"/>
        <v>746.17146000000002</v>
      </c>
      <c r="AS17" s="140">
        <f t="shared" si="49"/>
        <v>11.450731504450717</v>
      </c>
      <c r="AT17" s="1073"/>
      <c r="AU17" s="71">
        <v>2.5</v>
      </c>
      <c r="AV17" s="71">
        <v>12</v>
      </c>
      <c r="AW17" s="72">
        <f t="shared" si="50"/>
        <v>15.501900000000001</v>
      </c>
      <c r="AX17" s="72">
        <f t="shared" si="2"/>
        <v>2.2453700350814176</v>
      </c>
      <c r="AY17" s="73">
        <f t="shared" si="51"/>
        <v>223.53739800000002</v>
      </c>
      <c r="AZ17" s="192">
        <f t="shared" si="52"/>
        <v>3.4304002001115652</v>
      </c>
      <c r="BA17" s="1075"/>
      <c r="BB17" s="56">
        <f t="shared" si="53"/>
        <v>23381</v>
      </c>
      <c r="BC17" s="56"/>
      <c r="BD17" s="56">
        <v>23381</v>
      </c>
      <c r="BE17" s="57"/>
      <c r="BF17" s="58">
        <f t="shared" si="54"/>
        <v>14683</v>
      </c>
      <c r="BG17" s="58">
        <f t="shared" si="55"/>
        <v>225.3250086512956</v>
      </c>
      <c r="BH17" s="1133"/>
      <c r="BI17" s="63">
        <f t="shared" si="56"/>
        <v>1620</v>
      </c>
      <c r="BJ17" s="64"/>
      <c r="BK17" s="64">
        <v>1446</v>
      </c>
      <c r="BL17" s="64">
        <f>BI17+BJ17-BK17</f>
        <v>174</v>
      </c>
      <c r="BM17" s="65">
        <f>BL17*1000/B17</f>
        <v>0.37393460872256201</v>
      </c>
      <c r="BN17" s="64">
        <f t="shared" si="57"/>
        <v>886</v>
      </c>
      <c r="BO17" s="65">
        <f t="shared" si="58"/>
        <v>0.21585369894304776</v>
      </c>
      <c r="BP17" s="1071"/>
      <c r="BQ17" s="77">
        <f t="shared" si="59"/>
        <v>37615</v>
      </c>
      <c r="BR17" s="35"/>
      <c r="BS17" s="35">
        <f>12691+4000+20000</f>
        <v>36691</v>
      </c>
      <c r="BT17" s="74">
        <f t="shared" si="42"/>
        <v>924</v>
      </c>
      <c r="BU17" s="74">
        <f t="shared" si="37"/>
        <v>66646</v>
      </c>
      <c r="BV17" s="74">
        <f t="shared" si="38"/>
        <v>1022.7481118691171</v>
      </c>
      <c r="BW17" s="1098"/>
      <c r="BX17" s="295">
        <f t="shared" si="60"/>
        <v>600</v>
      </c>
      <c r="BY17" s="296"/>
      <c r="BZ17" s="296">
        <v>520</v>
      </c>
      <c r="CA17" s="296">
        <f t="shared" si="15"/>
        <v>80</v>
      </c>
      <c r="CB17" s="297">
        <f t="shared" si="61"/>
        <v>0.17192395803336186</v>
      </c>
      <c r="CC17" s="296">
        <f t="shared" si="62"/>
        <v>3230</v>
      </c>
      <c r="CD17" s="297">
        <f t="shared" si="17"/>
        <v>0.78691585506325534</v>
      </c>
      <c r="CE17" s="1061"/>
    </row>
    <row r="18" spans="1:83">
      <c r="A18" s="30">
        <v>43600</v>
      </c>
      <c r="B18" s="32">
        <v>550417</v>
      </c>
      <c r="C18" s="1">
        <f t="shared" si="5"/>
        <v>4655049</v>
      </c>
      <c r="D18" s="91">
        <v>7118.2</v>
      </c>
      <c r="E18" s="93">
        <f t="shared" si="18"/>
        <v>72281.850000000006</v>
      </c>
      <c r="F18" s="240">
        <f>H17</f>
        <v>15700</v>
      </c>
      <c r="G18" s="227"/>
      <c r="H18" s="240"/>
      <c r="I18" s="240">
        <f>F18+G18-H18</f>
        <v>15700</v>
      </c>
      <c r="J18" s="280">
        <f>I18*1000/B18</f>
        <v>28.523828297454475</v>
      </c>
      <c r="K18" s="240">
        <f t="shared" si="39"/>
        <v>61390</v>
      </c>
      <c r="L18" s="280">
        <f t="shared" si="34"/>
        <v>13.187831105537235</v>
      </c>
      <c r="M18" s="280">
        <f t="shared" si="35"/>
        <v>1.6147705529003593</v>
      </c>
      <c r="N18" s="1089"/>
      <c r="O18" s="1084"/>
      <c r="P18" s="35">
        <f t="shared" si="43"/>
        <v>17850</v>
      </c>
      <c r="Q18" s="35"/>
      <c r="R18" s="35">
        <v>16097</v>
      </c>
      <c r="S18" s="35">
        <f t="shared" ref="S18:S23" si="68">P18+Q18-R18</f>
        <v>1753</v>
      </c>
      <c r="T18" s="36">
        <f t="shared" ref="T18:T23" si="69">1000*S18/B18</f>
        <v>3.1848580258240569</v>
      </c>
      <c r="U18" s="74">
        <f t="shared" si="40"/>
        <v>4831</v>
      </c>
      <c r="V18" s="36">
        <f t="shared" si="41"/>
        <v>1.0377978835453718</v>
      </c>
      <c r="W18" s="1136"/>
      <c r="X18" s="49">
        <f t="shared" si="44"/>
        <v>832</v>
      </c>
      <c r="Y18" s="50"/>
      <c r="Z18" s="50">
        <v>440</v>
      </c>
      <c r="AA18" s="50">
        <f t="shared" si="45"/>
        <v>392</v>
      </c>
      <c r="AB18" s="51">
        <f t="shared" si="46"/>
        <v>0.71218730526128371</v>
      </c>
      <c r="AC18" s="50">
        <f t="shared" si="63"/>
        <v>1154</v>
      </c>
      <c r="AD18" s="51">
        <f t="shared" si="64"/>
        <v>0.24790286847678725</v>
      </c>
      <c r="AE18" s="1047"/>
      <c r="AF18" s="40">
        <f t="shared" si="65"/>
        <v>1081</v>
      </c>
      <c r="AG18" s="41"/>
      <c r="AH18" s="41">
        <v>1042</v>
      </c>
      <c r="AI18" s="41">
        <f>AF18+AG18-AH18</f>
        <v>39</v>
      </c>
      <c r="AJ18" s="42">
        <f>AI18*1000/B18</f>
        <v>7.0855369656097109E-2</v>
      </c>
      <c r="AK18" s="41">
        <f t="shared" si="66"/>
        <v>624</v>
      </c>
      <c r="AL18" s="42">
        <f t="shared" si="67"/>
        <v>0.13404799820581911</v>
      </c>
      <c r="AM18" s="1058"/>
      <c r="AN18" s="67">
        <v>6.3</v>
      </c>
      <c r="AO18" s="67">
        <v>24</v>
      </c>
      <c r="AP18" s="68">
        <f t="shared" si="47"/>
        <v>75.153959999999998</v>
      </c>
      <c r="AQ18" s="68">
        <f t="shared" si="0"/>
        <v>10.558000618133796</v>
      </c>
      <c r="AR18" s="69">
        <f t="shared" si="48"/>
        <v>821.32542000000001</v>
      </c>
      <c r="AS18" s="140">
        <f t="shared" si="49"/>
        <v>11.362816806708738</v>
      </c>
      <c r="AT18" s="1073"/>
      <c r="AU18" s="71">
        <v>3</v>
      </c>
      <c r="AV18" s="71">
        <v>12</v>
      </c>
      <c r="AW18" s="72">
        <f t="shared" si="50"/>
        <v>18.60228</v>
      </c>
      <c r="AX18" s="72">
        <f t="shared" si="2"/>
        <v>2.6133404512376726</v>
      </c>
      <c r="AY18" s="73">
        <f t="shared" si="51"/>
        <v>242.13967800000003</v>
      </c>
      <c r="AZ18" s="192">
        <f t="shared" si="52"/>
        <v>3.3499374739301779</v>
      </c>
      <c r="BA18" s="1075"/>
      <c r="BB18" s="56">
        <f t="shared" si="53"/>
        <v>23381</v>
      </c>
      <c r="BC18" s="56"/>
      <c r="BD18" s="56">
        <v>22930</v>
      </c>
      <c r="BE18" s="57">
        <f>BB18-BD18+BC18</f>
        <v>451</v>
      </c>
      <c r="BF18" s="58">
        <f t="shared" si="54"/>
        <v>15134</v>
      </c>
      <c r="BG18" s="58">
        <f t="shared" si="55"/>
        <v>209.37482922753082</v>
      </c>
      <c r="BH18" s="1133"/>
      <c r="BI18" s="63">
        <f t="shared" si="56"/>
        <v>1446</v>
      </c>
      <c r="BJ18" s="64"/>
      <c r="BK18" s="64">
        <v>1320</v>
      </c>
      <c r="BL18" s="64">
        <f>BI18+BJ18-BK18</f>
        <v>126</v>
      </c>
      <c r="BM18" s="65">
        <f>BL18*1000/B18</f>
        <v>0.22891734811969833</v>
      </c>
      <c r="BN18" s="64">
        <f t="shared" si="57"/>
        <v>1012</v>
      </c>
      <c r="BO18" s="65">
        <f t="shared" si="58"/>
        <v>0.21739835606456559</v>
      </c>
      <c r="BP18" s="1071"/>
      <c r="BQ18" s="77">
        <f t="shared" si="59"/>
        <v>36691</v>
      </c>
      <c r="BR18" s="35"/>
      <c r="BS18" s="35">
        <f>12691+4000+20000</f>
        <v>36691</v>
      </c>
      <c r="BT18" s="74"/>
      <c r="BU18" s="74">
        <f t="shared" si="37"/>
        <v>66646</v>
      </c>
      <c r="BV18" s="74">
        <f t="shared" si="38"/>
        <v>922.02952746782205</v>
      </c>
      <c r="BW18" s="1098"/>
      <c r="BX18" s="295">
        <f t="shared" si="60"/>
        <v>520</v>
      </c>
      <c r="BY18" s="296"/>
      <c r="BZ18" s="296">
        <v>300</v>
      </c>
      <c r="CA18" s="296">
        <f t="shared" si="15"/>
        <v>220</v>
      </c>
      <c r="CB18" s="297">
        <f t="shared" si="61"/>
        <v>0.3996969570343939</v>
      </c>
      <c r="CC18" s="296">
        <f t="shared" si="62"/>
        <v>3450</v>
      </c>
      <c r="CD18" s="297">
        <f t="shared" si="17"/>
        <v>0.74113075931101902</v>
      </c>
      <c r="CE18" s="1061"/>
    </row>
    <row r="19" spans="1:83">
      <c r="A19" s="30">
        <v>43601</v>
      </c>
      <c r="B19" s="32">
        <v>534581</v>
      </c>
      <c r="C19" s="1">
        <f t="shared" si="5"/>
        <v>5189630</v>
      </c>
      <c r="D19" s="91">
        <v>6051.58</v>
      </c>
      <c r="E19" s="93">
        <f t="shared" si="18"/>
        <v>78333.430000000008</v>
      </c>
      <c r="F19" s="240"/>
      <c r="G19" s="321">
        <v>31340</v>
      </c>
      <c r="H19" s="240">
        <v>12500</v>
      </c>
      <c r="I19" s="240">
        <f>F19+G19-H19</f>
        <v>18840</v>
      </c>
      <c r="J19" s="280">
        <f>I19*1000/B19</f>
        <v>35.242554449185434</v>
      </c>
      <c r="K19" s="240">
        <f t="shared" si="39"/>
        <v>80230</v>
      </c>
      <c r="L19" s="280">
        <f t="shared" si="34"/>
        <v>15.459676316037944</v>
      </c>
      <c r="M19" s="280">
        <f t="shared" si="35"/>
        <v>1.8929443266851897</v>
      </c>
      <c r="N19" s="1089"/>
      <c r="O19" s="1084"/>
      <c r="P19" s="35">
        <f t="shared" si="43"/>
        <v>16097</v>
      </c>
      <c r="Q19" s="35"/>
      <c r="R19" s="35">
        <v>15849</v>
      </c>
      <c r="S19" s="35">
        <f t="shared" si="68"/>
        <v>248</v>
      </c>
      <c r="T19" s="36">
        <f t="shared" si="69"/>
        <v>0.4639147294797234</v>
      </c>
      <c r="U19" s="74">
        <f t="shared" si="40"/>
        <v>5079</v>
      </c>
      <c r="V19" s="36">
        <f t="shared" si="41"/>
        <v>0.97868248796156954</v>
      </c>
      <c r="W19" s="1136"/>
      <c r="X19" s="49">
        <f t="shared" si="44"/>
        <v>440</v>
      </c>
      <c r="Y19" s="50"/>
      <c r="Z19" s="50">
        <f>146+50</f>
        <v>196</v>
      </c>
      <c r="AA19" s="50">
        <f t="shared" si="45"/>
        <v>244</v>
      </c>
      <c r="AB19" s="51">
        <f t="shared" si="46"/>
        <v>0.45643223384295362</v>
      </c>
      <c r="AC19" s="50">
        <f t="shared" si="63"/>
        <v>1398</v>
      </c>
      <c r="AD19" s="51">
        <f t="shared" si="64"/>
        <v>0.26938336644423588</v>
      </c>
      <c r="AE19" s="1047"/>
      <c r="AF19" s="40">
        <f t="shared" si="65"/>
        <v>1042</v>
      </c>
      <c r="AG19" s="41"/>
      <c r="AH19" s="41">
        <v>984</v>
      </c>
      <c r="AI19" s="41">
        <f t="shared" ref="AI19:AI24" si="70">AF19+AG19-AH19</f>
        <v>58</v>
      </c>
      <c r="AJ19" s="42">
        <f t="shared" ref="AJ19:AJ24" si="71">AI19*1000/B19</f>
        <v>0.10849618673316111</v>
      </c>
      <c r="AK19" s="41">
        <f t="shared" si="66"/>
        <v>682</v>
      </c>
      <c r="AL19" s="42">
        <f t="shared" si="67"/>
        <v>0.13141591982472739</v>
      </c>
      <c r="AM19" s="1058"/>
      <c r="AN19" s="67">
        <v>4.8</v>
      </c>
      <c r="AO19" s="67">
        <v>24</v>
      </c>
      <c r="AP19" s="68">
        <f t="shared" si="47"/>
        <v>57.260159999999992</v>
      </c>
      <c r="AQ19" s="68">
        <f t="shared" si="0"/>
        <v>9.4620181836809536</v>
      </c>
      <c r="AR19" s="69">
        <f t="shared" si="48"/>
        <v>878.58558000000005</v>
      </c>
      <c r="AS19" s="140">
        <f t="shared" si="49"/>
        <v>11.215972286672498</v>
      </c>
      <c r="AT19" s="1073"/>
      <c r="AU19" s="71">
        <v>2.4</v>
      </c>
      <c r="AV19" s="71">
        <v>12</v>
      </c>
      <c r="AW19" s="72">
        <f t="shared" si="50"/>
        <v>14.881824</v>
      </c>
      <c r="AX19" s="72">
        <f t="shared" si="2"/>
        <v>2.4591633920397649</v>
      </c>
      <c r="AY19" s="73">
        <f t="shared" si="51"/>
        <v>257.02150200000005</v>
      </c>
      <c r="AZ19" s="192">
        <f t="shared" si="52"/>
        <v>3.2811215084032455</v>
      </c>
      <c r="BA19" s="1075"/>
      <c r="BB19" s="56">
        <f t="shared" si="53"/>
        <v>22930</v>
      </c>
      <c r="BC19" s="56"/>
      <c r="BD19" s="56">
        <v>22930</v>
      </c>
      <c r="BE19" s="57"/>
      <c r="BF19" s="58">
        <f t="shared" si="54"/>
        <v>15134</v>
      </c>
      <c r="BG19" s="58">
        <f t="shared" si="55"/>
        <v>193.19976158327293</v>
      </c>
      <c r="BH19" s="1133"/>
      <c r="BI19" s="63">
        <f t="shared" si="56"/>
        <v>1320</v>
      </c>
      <c r="BJ19" s="64"/>
      <c r="BK19" s="64">
        <v>1200</v>
      </c>
      <c r="BL19" s="64">
        <f t="shared" ref="BL19:BL24" si="72">BI19+BJ19-BK19</f>
        <v>120</v>
      </c>
      <c r="BM19" s="65">
        <f t="shared" ref="BM19:BM24" si="73">BL19*1000/B19</f>
        <v>0.22447486910309195</v>
      </c>
      <c r="BN19" s="64">
        <f t="shared" si="57"/>
        <v>1132</v>
      </c>
      <c r="BO19" s="65">
        <f t="shared" si="58"/>
        <v>0.21812730387330118</v>
      </c>
      <c r="BP19" s="1071"/>
      <c r="BQ19" s="77">
        <f t="shared" si="59"/>
        <v>36691</v>
      </c>
      <c r="BR19" s="35"/>
      <c r="BS19" s="35">
        <f>6444+4000+20000</f>
        <v>30444</v>
      </c>
      <c r="BT19" s="74">
        <f t="shared" si="42"/>
        <v>6247</v>
      </c>
      <c r="BU19" s="74">
        <f t="shared" si="37"/>
        <v>72893</v>
      </c>
      <c r="BV19" s="74">
        <f t="shared" si="38"/>
        <v>930.54778783464474</v>
      </c>
      <c r="BW19" s="1098"/>
      <c r="BX19" s="295">
        <f t="shared" si="60"/>
        <v>300</v>
      </c>
      <c r="BY19" s="296"/>
      <c r="BZ19" s="296">
        <v>0</v>
      </c>
      <c r="CA19" s="296">
        <f t="shared" si="15"/>
        <v>300</v>
      </c>
      <c r="CB19" s="297">
        <f t="shared" si="61"/>
        <v>0.56118717275772989</v>
      </c>
      <c r="CC19" s="296">
        <f t="shared" si="62"/>
        <v>3750</v>
      </c>
      <c r="CD19" s="297">
        <f t="shared" si="17"/>
        <v>0.72259486707144827</v>
      </c>
      <c r="CE19" s="1061"/>
    </row>
    <row r="20" spans="1:83">
      <c r="A20" s="30">
        <v>43602</v>
      </c>
      <c r="B20" s="32">
        <v>464686</v>
      </c>
      <c r="C20" s="1">
        <f t="shared" si="5"/>
        <v>5654316</v>
      </c>
      <c r="D20" s="91">
        <v>6494.08</v>
      </c>
      <c r="E20" s="93">
        <f t="shared" si="18"/>
        <v>84827.510000000009</v>
      </c>
      <c r="F20" s="240">
        <f t="shared" ref="F20:F25" si="74">H19</f>
        <v>12500</v>
      </c>
      <c r="G20" s="227"/>
      <c r="H20" s="240">
        <v>5500</v>
      </c>
      <c r="I20" s="240">
        <f>F20+G20-H20</f>
        <v>7000</v>
      </c>
      <c r="J20" s="280">
        <f>I20*1000/B20</f>
        <v>15.063935646866916</v>
      </c>
      <c r="K20" s="240">
        <f t="shared" si="39"/>
        <v>87230</v>
      </c>
      <c r="L20" s="280">
        <f t="shared" si="34"/>
        <v>15.427153346222603</v>
      </c>
      <c r="M20" s="280">
        <f t="shared" si="35"/>
        <v>1.8889620847584918</v>
      </c>
      <c r="N20" s="1089"/>
      <c r="O20" s="1084"/>
      <c r="P20" s="35">
        <f t="shared" si="43"/>
        <v>15849</v>
      </c>
      <c r="Q20" s="35"/>
      <c r="R20" s="35">
        <v>15357</v>
      </c>
      <c r="S20" s="35">
        <f t="shared" si="68"/>
        <v>492</v>
      </c>
      <c r="T20" s="36">
        <f t="shared" si="69"/>
        <v>1.0587794768940748</v>
      </c>
      <c r="U20" s="74">
        <f t="shared" si="40"/>
        <v>5571</v>
      </c>
      <c r="V20" s="36">
        <f t="shared" si="41"/>
        <v>0.98526506123817625</v>
      </c>
      <c r="W20" s="1136"/>
      <c r="X20" s="49">
        <f t="shared" si="44"/>
        <v>196</v>
      </c>
      <c r="Y20" s="50">
        <v>900</v>
      </c>
      <c r="Z20" s="50">
        <f>886+100</f>
        <v>986</v>
      </c>
      <c r="AA20" s="50">
        <f t="shared" si="45"/>
        <v>110</v>
      </c>
      <c r="AB20" s="51">
        <f t="shared" si="46"/>
        <v>0.23671898873648012</v>
      </c>
      <c r="AC20" s="50">
        <f t="shared" si="63"/>
        <v>1508</v>
      </c>
      <c r="AD20" s="51">
        <f t="shared" si="64"/>
        <v>0.26669892521040567</v>
      </c>
      <c r="AE20" s="1047"/>
      <c r="AF20" s="40">
        <f t="shared" si="65"/>
        <v>984</v>
      </c>
      <c r="AG20" s="41"/>
      <c r="AH20" s="41">
        <v>885</v>
      </c>
      <c r="AI20" s="41">
        <f t="shared" si="70"/>
        <v>99</v>
      </c>
      <c r="AJ20" s="42">
        <f t="shared" si="71"/>
        <v>0.21304708986283211</v>
      </c>
      <c r="AK20" s="41">
        <f t="shared" si="66"/>
        <v>781</v>
      </c>
      <c r="AL20" s="42">
        <f t="shared" si="67"/>
        <v>0.13812457598761724</v>
      </c>
      <c r="AM20" s="1058"/>
      <c r="AN20" s="67">
        <v>4.2</v>
      </c>
      <c r="AO20" s="67">
        <v>24</v>
      </c>
      <c r="AP20" s="68">
        <f t="shared" si="47"/>
        <v>50.102640000000008</v>
      </c>
      <c r="AQ20" s="68">
        <f t="shared" si="0"/>
        <v>7.715125160145857</v>
      </c>
      <c r="AR20" s="69">
        <f t="shared" si="48"/>
        <v>928.68822</v>
      </c>
      <c r="AS20" s="140">
        <f t="shared" si="49"/>
        <v>10.947960396338404</v>
      </c>
      <c r="AT20" s="1073"/>
      <c r="AU20" s="71">
        <v>2.5</v>
      </c>
      <c r="AV20" s="71">
        <v>12</v>
      </c>
      <c r="AW20" s="72">
        <f t="shared" si="50"/>
        <v>15.501900000000001</v>
      </c>
      <c r="AX20" s="72">
        <f t="shared" si="2"/>
        <v>2.3870817729378144</v>
      </c>
      <c r="AY20" s="73">
        <f t="shared" si="51"/>
        <v>272.52340200000003</v>
      </c>
      <c r="AZ20" s="192">
        <f t="shared" si="52"/>
        <v>3.2126771374050711</v>
      </c>
      <c r="BA20" s="1075"/>
      <c r="BB20" s="56">
        <f t="shared" si="53"/>
        <v>22930</v>
      </c>
      <c r="BC20" s="56"/>
      <c r="BD20" s="56">
        <v>22930</v>
      </c>
      <c r="BE20" s="57"/>
      <c r="BF20" s="58">
        <f t="shared" si="54"/>
        <v>15134</v>
      </c>
      <c r="BG20" s="58">
        <f t="shared" si="55"/>
        <v>178.40910336752779</v>
      </c>
      <c r="BH20" s="1133"/>
      <c r="BI20" s="63">
        <f t="shared" si="56"/>
        <v>1200</v>
      </c>
      <c r="BJ20" s="64"/>
      <c r="BK20" s="64">
        <v>1032</v>
      </c>
      <c r="BL20" s="64">
        <f t="shared" si="72"/>
        <v>168</v>
      </c>
      <c r="BM20" s="65">
        <f t="shared" si="73"/>
        <v>0.36153445552480601</v>
      </c>
      <c r="BN20" s="64">
        <f t="shared" si="57"/>
        <v>1300</v>
      </c>
      <c r="BO20" s="65">
        <f t="shared" si="58"/>
        <v>0.22991286656069451</v>
      </c>
      <c r="BP20" s="1071"/>
      <c r="BQ20" s="77">
        <f t="shared" si="59"/>
        <v>30444</v>
      </c>
      <c r="BR20" s="315">
        <v>31100</v>
      </c>
      <c r="BS20" s="35">
        <f>25544+4000+12000+20000</f>
        <v>61544</v>
      </c>
      <c r="BT20" s="74"/>
      <c r="BU20" s="74">
        <f t="shared" si="37"/>
        <v>72893</v>
      </c>
      <c r="BV20" s="74">
        <f t="shared" si="38"/>
        <v>859.30849555763211</v>
      </c>
      <c r="BW20" s="1098"/>
      <c r="BX20" s="295">
        <f t="shared" si="60"/>
        <v>0</v>
      </c>
      <c r="BY20" s="296">
        <v>1250</v>
      </c>
      <c r="BZ20" s="296">
        <v>730</v>
      </c>
      <c r="CA20" s="296">
        <f t="shared" si="15"/>
        <v>520</v>
      </c>
      <c r="CB20" s="297">
        <f t="shared" si="61"/>
        <v>1.1190352194815423</v>
      </c>
      <c r="CC20" s="296">
        <f t="shared" si="62"/>
        <v>4270</v>
      </c>
      <c r="CD20" s="297">
        <f t="shared" si="17"/>
        <v>0.75517533862628128</v>
      </c>
      <c r="CE20" s="1061"/>
    </row>
    <row r="21" spans="1:83">
      <c r="A21" s="30">
        <v>43603</v>
      </c>
      <c r="B21" s="32">
        <v>432789</v>
      </c>
      <c r="C21" s="1">
        <f t="shared" si="5"/>
        <v>6087105</v>
      </c>
      <c r="D21" s="91">
        <v>4940.96</v>
      </c>
      <c r="E21" s="93">
        <f t="shared" si="18"/>
        <v>89768.470000000016</v>
      </c>
      <c r="F21" s="240">
        <f t="shared" si="74"/>
        <v>5500</v>
      </c>
      <c r="G21" s="227"/>
      <c r="H21" s="240">
        <v>2090</v>
      </c>
      <c r="I21" s="240">
        <f>F21+G21-H21</f>
        <v>3410</v>
      </c>
      <c r="J21" s="280">
        <f>I21*1000/B21</f>
        <v>7.8791281663813084</v>
      </c>
      <c r="K21" s="240">
        <f t="shared" si="39"/>
        <v>90640</v>
      </c>
      <c r="L21" s="280">
        <f t="shared" si="34"/>
        <v>14.890493921166136</v>
      </c>
      <c r="M21" s="280">
        <f t="shared" si="35"/>
        <v>1.8232513678420641</v>
      </c>
      <c r="N21" s="1089"/>
      <c r="O21" s="1084"/>
      <c r="P21" s="35">
        <f t="shared" si="43"/>
        <v>15357</v>
      </c>
      <c r="Q21" s="35"/>
      <c r="R21" s="35">
        <v>15112</v>
      </c>
      <c r="S21" s="35">
        <f t="shared" si="68"/>
        <v>245</v>
      </c>
      <c r="T21" s="36">
        <f t="shared" si="69"/>
        <v>0.56609571869895026</v>
      </c>
      <c r="U21" s="74">
        <f t="shared" si="40"/>
        <v>5816</v>
      </c>
      <c r="V21" s="36">
        <f t="shared" si="41"/>
        <v>0.95546240782769476</v>
      </c>
      <c r="W21" s="1136"/>
      <c r="X21" s="49">
        <f t="shared" si="44"/>
        <v>986</v>
      </c>
      <c r="Y21" s="50"/>
      <c r="Z21" s="50">
        <f>886+25</f>
        <v>911</v>
      </c>
      <c r="AA21" s="50">
        <f t="shared" si="45"/>
        <v>75</v>
      </c>
      <c r="AB21" s="51">
        <f t="shared" si="46"/>
        <v>0.17329460776498479</v>
      </c>
      <c r="AC21" s="50">
        <f t="shared" si="63"/>
        <v>1583</v>
      </c>
      <c r="AD21" s="51">
        <f t="shared" si="64"/>
        <v>0.26005794215805378</v>
      </c>
      <c r="AE21" s="1047"/>
      <c r="AF21" s="40">
        <f t="shared" si="65"/>
        <v>885</v>
      </c>
      <c r="AG21" s="41"/>
      <c r="AH21" s="41">
        <v>745</v>
      </c>
      <c r="AI21" s="41">
        <f t="shared" si="70"/>
        <v>140</v>
      </c>
      <c r="AJ21" s="42">
        <f t="shared" si="71"/>
        <v>0.3234832678279716</v>
      </c>
      <c r="AK21" s="41">
        <f t="shared" si="66"/>
        <v>921</v>
      </c>
      <c r="AL21" s="42">
        <f t="shared" si="67"/>
        <v>0.15130345213364974</v>
      </c>
      <c r="AM21" s="1058"/>
      <c r="AN21" s="67">
        <v>3.5</v>
      </c>
      <c r="AO21" s="67">
        <v>24</v>
      </c>
      <c r="AP21" s="68">
        <f t="shared" si="47"/>
        <v>41.752200000000002</v>
      </c>
      <c r="AQ21" s="68">
        <f t="shared" si="0"/>
        <v>8.450220200123054</v>
      </c>
      <c r="AR21" s="69">
        <f t="shared" si="48"/>
        <v>970.44042000000002</v>
      </c>
      <c r="AS21" s="140">
        <f t="shared" si="49"/>
        <v>10.810481898599807</v>
      </c>
      <c r="AT21" s="1073"/>
      <c r="AU21" s="71">
        <v>2</v>
      </c>
      <c r="AV21" s="71">
        <v>12</v>
      </c>
      <c r="AW21" s="72">
        <f t="shared" si="50"/>
        <v>12.401520000000001</v>
      </c>
      <c r="AX21" s="72">
        <f t="shared" si="2"/>
        <v>2.5099413879084231</v>
      </c>
      <c r="AY21" s="73">
        <f t="shared" si="51"/>
        <v>284.92492200000004</v>
      </c>
      <c r="AZ21" s="192">
        <f t="shared" si="52"/>
        <v>3.1739977522174541</v>
      </c>
      <c r="BA21" s="1075"/>
      <c r="BB21" s="56">
        <f t="shared" si="53"/>
        <v>22930</v>
      </c>
      <c r="BC21" s="56"/>
      <c r="BD21" s="56">
        <v>22705</v>
      </c>
      <c r="BE21" s="57">
        <f>BB21-BD21+BC21</f>
        <v>225</v>
      </c>
      <c r="BF21" s="58">
        <f t="shared" si="54"/>
        <v>15359</v>
      </c>
      <c r="BG21" s="58">
        <f t="shared" si="55"/>
        <v>171.09570877168784</v>
      </c>
      <c r="BH21" s="1133"/>
      <c r="BI21" s="63">
        <f t="shared" si="56"/>
        <v>1032</v>
      </c>
      <c r="BJ21" s="64"/>
      <c r="BK21" s="64">
        <v>900</v>
      </c>
      <c r="BL21" s="64">
        <f t="shared" si="72"/>
        <v>132</v>
      </c>
      <c r="BM21" s="65">
        <f t="shared" si="73"/>
        <v>0.30499850966637321</v>
      </c>
      <c r="BN21" s="64">
        <f t="shared" si="57"/>
        <v>1432</v>
      </c>
      <c r="BO21" s="65">
        <f t="shared" si="58"/>
        <v>0.2352514044032426</v>
      </c>
      <c r="BP21" s="1071"/>
      <c r="BQ21" s="77">
        <f t="shared" si="59"/>
        <v>61544</v>
      </c>
      <c r="BR21" s="35"/>
      <c r="BS21" s="35">
        <f>25544+4000+12000+20000</f>
        <v>61544</v>
      </c>
      <c r="BT21" s="74"/>
      <c r="BU21" s="74">
        <f t="shared" si="37"/>
        <v>72893</v>
      </c>
      <c r="BV21" s="74">
        <f t="shared" si="38"/>
        <v>812.01116605863933</v>
      </c>
      <c r="BW21" s="1098"/>
      <c r="BX21" s="295">
        <f t="shared" si="60"/>
        <v>730</v>
      </c>
      <c r="BY21" s="296"/>
      <c r="BZ21" s="296">
        <v>600</v>
      </c>
      <c r="CA21" s="296">
        <f>BX21+BY21-BZ21</f>
        <v>130</v>
      </c>
      <c r="CB21" s="297">
        <f t="shared" si="61"/>
        <v>0.30037732012597362</v>
      </c>
      <c r="CC21" s="296">
        <f t="shared" si="62"/>
        <v>4400</v>
      </c>
      <c r="CD21" s="297">
        <f t="shared" si="17"/>
        <v>0.72283951073622021</v>
      </c>
      <c r="CE21" s="1061"/>
    </row>
    <row r="22" spans="1:83">
      <c r="A22" s="30">
        <v>43604</v>
      </c>
      <c r="B22" s="32">
        <v>358216</v>
      </c>
      <c r="C22" s="1">
        <f t="shared" si="5"/>
        <v>6445321</v>
      </c>
      <c r="D22" s="91">
        <v>5317.32</v>
      </c>
      <c r="E22" s="93">
        <f t="shared" si="18"/>
        <v>95085.790000000008</v>
      </c>
      <c r="F22" s="240">
        <f t="shared" si="74"/>
        <v>2090</v>
      </c>
      <c r="G22" s="227"/>
      <c r="H22" s="240">
        <v>2090</v>
      </c>
      <c r="I22" s="240"/>
      <c r="J22" s="280"/>
      <c r="K22" s="240">
        <f t="shared" si="39"/>
        <v>90640</v>
      </c>
      <c r="L22" s="280">
        <f t="shared" si="34"/>
        <v>14.062914787331771</v>
      </c>
      <c r="M22" s="280">
        <f t="shared" si="35"/>
        <v>1.7219192833759973</v>
      </c>
      <c r="N22" s="1089"/>
      <c r="O22" s="1084"/>
      <c r="P22" s="35">
        <f t="shared" si="43"/>
        <v>15112</v>
      </c>
      <c r="Q22" s="35"/>
      <c r="R22" s="35">
        <v>9524</v>
      </c>
      <c r="S22" s="35">
        <f t="shared" si="68"/>
        <v>5588</v>
      </c>
      <c r="T22" s="36">
        <f t="shared" si="69"/>
        <v>15.599526542644661</v>
      </c>
      <c r="U22" s="74">
        <f t="shared" si="40"/>
        <v>11404</v>
      </c>
      <c r="V22" s="36">
        <f t="shared" si="41"/>
        <v>1.7693455453964202</v>
      </c>
      <c r="W22" s="1136"/>
      <c r="X22" s="49">
        <f t="shared" si="44"/>
        <v>911</v>
      </c>
      <c r="Y22" s="50"/>
      <c r="Z22" s="50">
        <f>725+62</f>
        <v>787</v>
      </c>
      <c r="AA22" s="50">
        <f t="shared" si="45"/>
        <v>124</v>
      </c>
      <c r="AB22" s="51">
        <f t="shared" si="46"/>
        <v>0.34615985885610917</v>
      </c>
      <c r="AC22" s="50">
        <f t="shared" si="63"/>
        <v>1707</v>
      </c>
      <c r="AD22" s="51">
        <f t="shared" si="64"/>
        <v>0.26484328709151955</v>
      </c>
      <c r="AE22" s="1047"/>
      <c r="AF22" s="40">
        <f t="shared" si="65"/>
        <v>745</v>
      </c>
      <c r="AG22" s="41"/>
      <c r="AH22" s="41">
        <v>666</v>
      </c>
      <c r="AI22" s="41">
        <f t="shared" si="70"/>
        <v>79</v>
      </c>
      <c r="AJ22" s="42">
        <f t="shared" si="71"/>
        <v>0.22053732943252116</v>
      </c>
      <c r="AK22" s="41">
        <f t="shared" si="66"/>
        <v>1000</v>
      </c>
      <c r="AL22" s="42">
        <f t="shared" si="67"/>
        <v>0.15515131053984743</v>
      </c>
      <c r="AM22" s="1058"/>
      <c r="AN22" s="67">
        <v>3.6</v>
      </c>
      <c r="AO22" s="67">
        <v>24</v>
      </c>
      <c r="AP22" s="68">
        <f t="shared" si="47"/>
        <v>42.945120000000003</v>
      </c>
      <c r="AQ22" s="68">
        <f t="shared" si="0"/>
        <v>8.0764595698585016</v>
      </c>
      <c r="AR22" s="69">
        <f t="shared" si="48"/>
        <v>1013.38554</v>
      </c>
      <c r="AS22" s="140">
        <f t="shared" si="49"/>
        <v>10.657591844165148</v>
      </c>
      <c r="AT22" s="1073"/>
      <c r="AU22" s="71">
        <v>2</v>
      </c>
      <c r="AV22" s="71">
        <v>12</v>
      </c>
      <c r="AW22" s="72">
        <f t="shared" si="50"/>
        <v>12.401520000000001</v>
      </c>
      <c r="AX22" s="72">
        <f t="shared" si="2"/>
        <v>2.3322876938006369</v>
      </c>
      <c r="AY22" s="73">
        <f t="shared" si="51"/>
        <v>297.32644200000004</v>
      </c>
      <c r="AZ22" s="192">
        <f t="shared" si="52"/>
        <v>3.1269282402764915</v>
      </c>
      <c r="BA22" s="1075"/>
      <c r="BB22" s="56">
        <f t="shared" si="53"/>
        <v>22705</v>
      </c>
      <c r="BC22" s="56"/>
      <c r="BD22" s="56">
        <v>22705</v>
      </c>
      <c r="BE22" s="57"/>
      <c r="BF22" s="58">
        <f t="shared" si="54"/>
        <v>15359</v>
      </c>
      <c r="BG22" s="58">
        <f t="shared" si="55"/>
        <v>161.527816091132</v>
      </c>
      <c r="BH22" s="1133"/>
      <c r="BI22" s="63">
        <f t="shared" si="56"/>
        <v>900</v>
      </c>
      <c r="BJ22" s="64"/>
      <c r="BK22" s="64">
        <v>762</v>
      </c>
      <c r="BL22" s="64">
        <f t="shared" si="72"/>
        <v>138</v>
      </c>
      <c r="BM22" s="65">
        <f t="shared" si="73"/>
        <v>0.3852424235656699</v>
      </c>
      <c r="BN22" s="64">
        <f t="shared" si="57"/>
        <v>1570</v>
      </c>
      <c r="BO22" s="65">
        <f t="shared" si="58"/>
        <v>0.24358755754756048</v>
      </c>
      <c r="BP22" s="1071"/>
      <c r="BQ22" s="77">
        <f t="shared" si="59"/>
        <v>61544</v>
      </c>
      <c r="BR22" s="35"/>
      <c r="BS22" s="35">
        <f>25544+4000+12000+20000</f>
        <v>61544</v>
      </c>
      <c r="BT22" s="74"/>
      <c r="BU22" s="74">
        <f t="shared" si="37"/>
        <v>72893</v>
      </c>
      <c r="BV22" s="74">
        <f t="shared" si="38"/>
        <v>766.60245447821376</v>
      </c>
      <c r="BW22" s="1098"/>
      <c r="BX22" s="295">
        <f t="shared" si="60"/>
        <v>600</v>
      </c>
      <c r="BY22" s="296"/>
      <c r="BZ22" s="296">
        <v>600</v>
      </c>
      <c r="CA22" s="296"/>
      <c r="CB22" s="297"/>
      <c r="CC22" s="296">
        <f t="shared" si="62"/>
        <v>4400</v>
      </c>
      <c r="CD22" s="297">
        <f t="shared" si="17"/>
        <v>0.68266576637532872</v>
      </c>
      <c r="CE22" s="1061"/>
    </row>
    <row r="23" spans="1:83">
      <c r="A23" s="30">
        <v>43605</v>
      </c>
      <c r="B23" s="32">
        <v>425606</v>
      </c>
      <c r="C23" s="1">
        <f t="shared" si="5"/>
        <v>6870927</v>
      </c>
      <c r="D23" s="91">
        <v>6959.48</v>
      </c>
      <c r="E23" s="93">
        <f t="shared" si="18"/>
        <v>102045.27</v>
      </c>
      <c r="F23" s="240">
        <f t="shared" si="74"/>
        <v>2090</v>
      </c>
      <c r="G23" s="240"/>
      <c r="H23" s="240">
        <v>2090</v>
      </c>
      <c r="I23" s="240"/>
      <c r="J23" s="280"/>
      <c r="K23" s="240">
        <f t="shared" si="39"/>
        <v>90640</v>
      </c>
      <c r="L23" s="280">
        <f t="shared" si="34"/>
        <v>13.191815311092666</v>
      </c>
      <c r="M23" s="280">
        <f t="shared" si="35"/>
        <v>1.615258394893188</v>
      </c>
      <c r="N23" s="1089"/>
      <c r="O23" s="1084"/>
      <c r="P23" s="35">
        <f t="shared" si="43"/>
        <v>9524</v>
      </c>
      <c r="Q23" s="35"/>
      <c r="R23" s="35">
        <v>7197</v>
      </c>
      <c r="S23" s="35">
        <f t="shared" si="68"/>
        <v>2327</v>
      </c>
      <c r="T23" s="36">
        <f t="shared" si="69"/>
        <v>5.4674981085792966</v>
      </c>
      <c r="U23" s="74">
        <f t="shared" si="40"/>
        <v>13731</v>
      </c>
      <c r="V23" s="36">
        <f t="shared" si="41"/>
        <v>1.9984203004922043</v>
      </c>
      <c r="W23" s="1136"/>
      <c r="X23" s="49">
        <f t="shared" si="44"/>
        <v>787</v>
      </c>
      <c r="Y23" s="50"/>
      <c r="Z23" s="50">
        <f>635+50</f>
        <v>685</v>
      </c>
      <c r="AA23" s="50">
        <f t="shared" si="45"/>
        <v>102</v>
      </c>
      <c r="AB23" s="51">
        <f t="shared" si="46"/>
        <v>0.23965827549423646</v>
      </c>
      <c r="AC23" s="50">
        <f t="shared" si="63"/>
        <v>1809</v>
      </c>
      <c r="AD23" s="51">
        <f t="shared" si="64"/>
        <v>0.26328325129927882</v>
      </c>
      <c r="AE23" s="1047"/>
      <c r="AF23" s="40">
        <f t="shared" si="65"/>
        <v>666</v>
      </c>
      <c r="AG23" s="41"/>
      <c r="AH23" s="41">
        <v>587</v>
      </c>
      <c r="AI23" s="41">
        <f t="shared" si="70"/>
        <v>79</v>
      </c>
      <c r="AJ23" s="42">
        <f t="shared" si="71"/>
        <v>0.18561768396122236</v>
      </c>
      <c r="AK23" s="41">
        <f t="shared" si="66"/>
        <v>1079</v>
      </c>
      <c r="AL23" s="42">
        <f t="shared" si="67"/>
        <v>0.15703848985733657</v>
      </c>
      <c r="AM23" s="1058"/>
      <c r="AN23" s="67">
        <v>3.9</v>
      </c>
      <c r="AO23" s="67">
        <v>24</v>
      </c>
      <c r="AP23" s="68">
        <f t="shared" ref="AP23:AP30" si="75">AN23*AO23*0.49705</f>
        <v>46.523879999999998</v>
      </c>
      <c r="AQ23" s="68">
        <f t="shared" ref="AQ23:AQ30" si="76">AP23*1000/D23</f>
        <v>6.6849649686470825</v>
      </c>
      <c r="AR23" s="69">
        <f t="shared" si="48"/>
        <v>1059.90942</v>
      </c>
      <c r="AS23" s="140">
        <f t="shared" si="49"/>
        <v>10.386658979882164</v>
      </c>
      <c r="AT23" s="1073"/>
      <c r="AU23" s="71">
        <v>2.5</v>
      </c>
      <c r="AV23" s="71">
        <v>12</v>
      </c>
      <c r="AW23" s="72">
        <f t="shared" ref="AW23:AW30" si="77">AU23*AV23*0.51673</f>
        <v>15.501900000000001</v>
      </c>
      <c r="AX23" s="72">
        <f t="shared" ref="AX23:AX30" si="78">AW23*1000/D23</f>
        <v>2.2274509015041355</v>
      </c>
      <c r="AY23" s="73">
        <f t="shared" si="51"/>
        <v>312.82834200000002</v>
      </c>
      <c r="AZ23" s="192">
        <f t="shared" si="52"/>
        <v>3.0655839511228691</v>
      </c>
      <c r="BA23" s="1075"/>
      <c r="BB23" s="56">
        <f t="shared" si="53"/>
        <v>22705</v>
      </c>
      <c r="BC23" s="56"/>
      <c r="BD23" s="56">
        <v>22705</v>
      </c>
      <c r="BE23" s="57"/>
      <c r="BF23" s="58">
        <f t="shared" si="54"/>
        <v>15359</v>
      </c>
      <c r="BG23" s="58">
        <f t="shared" si="55"/>
        <v>150.51163076936342</v>
      </c>
      <c r="BH23" s="1133"/>
      <c r="BI23" s="63">
        <f t="shared" si="56"/>
        <v>762</v>
      </c>
      <c r="BJ23" s="64"/>
      <c r="BK23" s="64">
        <v>612</v>
      </c>
      <c r="BL23" s="64">
        <f t="shared" si="72"/>
        <v>150</v>
      </c>
      <c r="BM23" s="65">
        <f t="shared" si="73"/>
        <v>0.35243864043270068</v>
      </c>
      <c r="BN23" s="64">
        <f t="shared" si="57"/>
        <v>1720</v>
      </c>
      <c r="BO23" s="65">
        <f t="shared" si="58"/>
        <v>0.25033012284950779</v>
      </c>
      <c r="BP23" s="1071"/>
      <c r="BQ23" s="77">
        <f t="shared" si="59"/>
        <v>61544</v>
      </c>
      <c r="BR23" s="35"/>
      <c r="BS23" s="35">
        <f>33544+4000+4000+20000</f>
        <v>61544</v>
      </c>
      <c r="BT23" s="74"/>
      <c r="BU23" s="74">
        <f t="shared" si="37"/>
        <v>72893</v>
      </c>
      <c r="BV23" s="74">
        <f t="shared" si="38"/>
        <v>714.3202227795565</v>
      </c>
      <c r="BW23" s="1098"/>
      <c r="BX23" s="295">
        <f t="shared" ref="BX23:BX36" si="79">BZ22</f>
        <v>600</v>
      </c>
      <c r="BY23" s="296"/>
      <c r="BZ23" s="296">
        <v>600</v>
      </c>
      <c r="CA23" s="296"/>
      <c r="CB23" s="297"/>
      <c r="CC23" s="296">
        <f t="shared" si="62"/>
        <v>4400</v>
      </c>
      <c r="CD23" s="297">
        <f t="shared" si="17"/>
        <v>0.6403793840336246</v>
      </c>
      <c r="CE23" s="1061"/>
    </row>
    <row r="24" spans="1:83">
      <c r="A24" s="30">
        <v>43606</v>
      </c>
      <c r="B24" s="32">
        <v>529890</v>
      </c>
      <c r="C24" s="1">
        <f t="shared" si="5"/>
        <v>7400817</v>
      </c>
      <c r="D24" s="91">
        <v>6643.42</v>
      </c>
      <c r="E24" s="93">
        <f t="shared" si="18"/>
        <v>108688.69</v>
      </c>
      <c r="F24" s="240">
        <f t="shared" si="74"/>
        <v>2090</v>
      </c>
      <c r="G24" s="321">
        <v>30810</v>
      </c>
      <c r="H24" s="240">
        <v>15400</v>
      </c>
      <c r="I24" s="240">
        <f>F24+G24-H24</f>
        <v>17500</v>
      </c>
      <c r="J24" s="280">
        <f>I24*1000/B24</f>
        <v>33.025722319726732</v>
      </c>
      <c r="K24" s="240">
        <f t="shared" si="39"/>
        <v>108140</v>
      </c>
      <c r="L24" s="280">
        <f t="shared" si="34"/>
        <v>14.611900280739276</v>
      </c>
      <c r="M24" s="280">
        <f t="shared" si="35"/>
        <v>1.7891392531822305</v>
      </c>
      <c r="N24" s="1089"/>
      <c r="O24" s="1084"/>
      <c r="P24" s="35">
        <f t="shared" si="43"/>
        <v>7197</v>
      </c>
      <c r="Q24" s="35"/>
      <c r="R24" s="35">
        <v>7197</v>
      </c>
      <c r="S24" s="35"/>
      <c r="T24" s="36"/>
      <c r="U24" s="74">
        <f t="shared" ref="U24:U30" si="80">U23+S24</f>
        <v>13731</v>
      </c>
      <c r="V24" s="36">
        <f t="shared" ref="V24:V30" si="81">1000*U24/C24</f>
        <v>1.8553357014502587</v>
      </c>
      <c r="W24" s="1136"/>
      <c r="X24" s="49">
        <f t="shared" si="44"/>
        <v>685</v>
      </c>
      <c r="Y24" s="50"/>
      <c r="Z24" s="50">
        <f>458+30</f>
        <v>488</v>
      </c>
      <c r="AA24" s="50">
        <f t="shared" si="45"/>
        <v>197</v>
      </c>
      <c r="AB24" s="51">
        <f t="shared" si="46"/>
        <v>0.37177527411349526</v>
      </c>
      <c r="AC24" s="50">
        <f t="shared" si="63"/>
        <v>2006</v>
      </c>
      <c r="AD24" s="51">
        <f t="shared" si="64"/>
        <v>0.27105115556836495</v>
      </c>
      <c r="AE24" s="1047"/>
      <c r="AF24" s="40">
        <f t="shared" si="65"/>
        <v>587</v>
      </c>
      <c r="AG24" s="41"/>
      <c r="AH24" s="41">
        <v>509</v>
      </c>
      <c r="AI24" s="41">
        <f t="shared" si="70"/>
        <v>78</v>
      </c>
      <c r="AJ24" s="42">
        <f t="shared" si="71"/>
        <v>0.14720036233935346</v>
      </c>
      <c r="AK24" s="41">
        <f t="shared" si="66"/>
        <v>1157</v>
      </c>
      <c r="AL24" s="42">
        <f t="shared" si="67"/>
        <v>0.15633409122263123</v>
      </c>
      <c r="AM24" s="1058"/>
      <c r="AN24" s="67">
        <v>4.5999999999999996</v>
      </c>
      <c r="AO24" s="67">
        <v>24</v>
      </c>
      <c r="AP24" s="68">
        <f t="shared" si="75"/>
        <v>54.874319999999997</v>
      </c>
      <c r="AQ24" s="68">
        <f t="shared" si="76"/>
        <v>8.2599504472094196</v>
      </c>
      <c r="AR24" s="69">
        <f t="shared" si="48"/>
        <v>1114.7837399999999</v>
      </c>
      <c r="AS24" s="140">
        <f t="shared" si="49"/>
        <v>10.256667368058256</v>
      </c>
      <c r="AT24" s="1073"/>
      <c r="AU24" s="71">
        <v>2.4</v>
      </c>
      <c r="AV24" s="71">
        <v>12</v>
      </c>
      <c r="AW24" s="72">
        <f t="shared" si="77"/>
        <v>14.881824</v>
      </c>
      <c r="AX24" s="72">
        <f t="shared" si="78"/>
        <v>2.2400847756125613</v>
      </c>
      <c r="AY24" s="73">
        <f t="shared" si="51"/>
        <v>327.71016600000002</v>
      </c>
      <c r="AZ24" s="192">
        <f t="shared" si="52"/>
        <v>3.0151266520923201</v>
      </c>
      <c r="BA24" s="1075"/>
      <c r="BB24" s="56">
        <f t="shared" si="53"/>
        <v>22705</v>
      </c>
      <c r="BC24" s="56"/>
      <c r="BD24" s="56">
        <v>22705</v>
      </c>
      <c r="BE24" s="57"/>
      <c r="BF24" s="58">
        <f t="shared" si="54"/>
        <v>15359</v>
      </c>
      <c r="BG24" s="58">
        <f t="shared" si="55"/>
        <v>141.31185130669991</v>
      </c>
      <c r="BH24" s="1133"/>
      <c r="BI24" s="63">
        <f t="shared" si="56"/>
        <v>612</v>
      </c>
      <c r="BJ24" s="64"/>
      <c r="BK24" s="64">
        <v>480</v>
      </c>
      <c r="BL24" s="64">
        <f t="shared" si="72"/>
        <v>132</v>
      </c>
      <c r="BM24" s="65">
        <f t="shared" si="73"/>
        <v>0.24910830549736737</v>
      </c>
      <c r="BN24" s="64">
        <f t="shared" si="57"/>
        <v>1852</v>
      </c>
      <c r="BO24" s="65">
        <f t="shared" si="58"/>
        <v>0.2502426421299162</v>
      </c>
      <c r="BP24" s="1071"/>
      <c r="BQ24" s="77">
        <f t="shared" si="59"/>
        <v>61544</v>
      </c>
      <c r="BR24" s="35"/>
      <c r="BS24" s="35">
        <f>33544+4000+4000+20000</f>
        <v>61544</v>
      </c>
      <c r="BT24" s="74"/>
      <c r="BU24" s="74">
        <f t="shared" si="37"/>
        <v>72893</v>
      </c>
      <c r="BV24" s="74">
        <f t="shared" si="38"/>
        <v>670.65855702189435</v>
      </c>
      <c r="BW24" s="1098"/>
      <c r="BX24" s="295">
        <f t="shared" si="79"/>
        <v>600</v>
      </c>
      <c r="BY24" s="296"/>
      <c r="BZ24" s="296">
        <v>600</v>
      </c>
      <c r="CA24" s="296"/>
      <c r="CB24" s="297"/>
      <c r="CC24" s="296">
        <f t="shared" si="62"/>
        <v>4400</v>
      </c>
      <c r="CD24" s="297">
        <f t="shared" si="17"/>
        <v>0.5945289553842501</v>
      </c>
      <c r="CE24" s="1061"/>
    </row>
    <row r="25" spans="1:83">
      <c r="A25" s="30">
        <v>43607</v>
      </c>
      <c r="B25" s="32">
        <v>542540</v>
      </c>
      <c r="C25" s="1">
        <f t="shared" si="5"/>
        <v>7943357</v>
      </c>
      <c r="D25" s="91">
        <v>7151.16</v>
      </c>
      <c r="E25" s="93">
        <f t="shared" si="18"/>
        <v>115839.85</v>
      </c>
      <c r="F25" s="240">
        <f t="shared" si="74"/>
        <v>15400</v>
      </c>
      <c r="G25" s="321">
        <v>30220</v>
      </c>
      <c r="H25" s="240">
        <v>26400</v>
      </c>
      <c r="I25" s="240">
        <f>F25+G25-H25</f>
        <v>19220</v>
      </c>
      <c r="J25" s="280">
        <f>I25*1000/B25</f>
        <v>35.425959376267187</v>
      </c>
      <c r="K25" s="240">
        <f t="shared" si="39"/>
        <v>127360</v>
      </c>
      <c r="L25" s="280">
        <f t="shared" si="34"/>
        <v>16.033523357945512</v>
      </c>
      <c r="M25" s="280">
        <f t="shared" si="35"/>
        <v>1.9632084434854307</v>
      </c>
      <c r="N25" s="1089"/>
      <c r="O25" s="1084"/>
      <c r="P25" s="35">
        <f>R24</f>
        <v>7197</v>
      </c>
      <c r="Q25" s="35">
        <v>35820</v>
      </c>
      <c r="R25" s="35">
        <v>43017</v>
      </c>
      <c r="S25" s="35"/>
      <c r="T25" s="36"/>
      <c r="U25" s="74">
        <f t="shared" si="80"/>
        <v>13731</v>
      </c>
      <c r="V25" s="36">
        <f t="shared" si="81"/>
        <v>1.7286142370285007</v>
      </c>
      <c r="W25" s="1136"/>
      <c r="X25" s="49">
        <f t="shared" si="44"/>
        <v>488</v>
      </c>
      <c r="Y25" s="50"/>
      <c r="Z25" s="50">
        <f>324+37</f>
        <v>361</v>
      </c>
      <c r="AA25" s="50">
        <f t="shared" si="45"/>
        <v>127</v>
      </c>
      <c r="AB25" s="51">
        <f t="shared" si="46"/>
        <v>0.2340841228296531</v>
      </c>
      <c r="AC25" s="50">
        <f t="shared" si="63"/>
        <v>2133</v>
      </c>
      <c r="AD25" s="51">
        <f t="shared" si="64"/>
        <v>0.26852626666534063</v>
      </c>
      <c r="AE25" s="1047"/>
      <c r="AF25" s="40">
        <f t="shared" si="65"/>
        <v>509</v>
      </c>
      <c r="AG25" s="41"/>
      <c r="AH25" s="41">
        <v>433</v>
      </c>
      <c r="AI25" s="41">
        <f>AF25+AG25-AH25</f>
        <v>76</v>
      </c>
      <c r="AJ25" s="42">
        <f>AI25*1000/B25</f>
        <v>0.1400818372838869</v>
      </c>
      <c r="AK25" s="41">
        <f t="shared" si="66"/>
        <v>1233</v>
      </c>
      <c r="AL25" s="42">
        <f t="shared" si="67"/>
        <v>0.15522404444367791</v>
      </c>
      <c r="AM25" s="1058"/>
      <c r="AN25" s="67">
        <v>4.7</v>
      </c>
      <c r="AO25" s="67">
        <v>24</v>
      </c>
      <c r="AP25" s="68">
        <f t="shared" si="75"/>
        <v>56.067240000000005</v>
      </c>
      <c r="AQ25" s="68">
        <f t="shared" si="76"/>
        <v>7.8403000352390393</v>
      </c>
      <c r="AR25" s="69">
        <f t="shared" si="48"/>
        <v>1170.8509799999999</v>
      </c>
      <c r="AS25" s="140">
        <f t="shared" si="49"/>
        <v>10.107497376766284</v>
      </c>
      <c r="AT25" s="1073"/>
      <c r="AU25" s="71">
        <v>2.5</v>
      </c>
      <c r="AV25" s="71">
        <v>12</v>
      </c>
      <c r="AW25" s="72">
        <f t="shared" si="77"/>
        <v>15.501900000000001</v>
      </c>
      <c r="AX25" s="72">
        <f t="shared" si="78"/>
        <v>2.1677462118033999</v>
      </c>
      <c r="AY25" s="73">
        <f t="shared" si="51"/>
        <v>343.21206599999999</v>
      </c>
      <c r="AZ25" s="192">
        <f t="shared" si="52"/>
        <v>2.9628151797503191</v>
      </c>
      <c r="BA25" s="1075"/>
      <c r="BB25" s="56">
        <f t="shared" si="53"/>
        <v>22705</v>
      </c>
      <c r="BC25" s="56"/>
      <c r="BD25" s="56">
        <v>22705</v>
      </c>
      <c r="BE25" s="57"/>
      <c r="BF25" s="58">
        <f t="shared" si="54"/>
        <v>15359</v>
      </c>
      <c r="BG25" s="58">
        <f t="shared" si="55"/>
        <v>132.5882241732875</v>
      </c>
      <c r="BH25" s="1133"/>
      <c r="BI25" s="63">
        <f t="shared" si="56"/>
        <v>480</v>
      </c>
      <c r="BJ25" s="64"/>
      <c r="BK25" s="64">
        <v>360</v>
      </c>
      <c r="BL25" s="64">
        <f>BI25+BJ25-BK25</f>
        <v>120</v>
      </c>
      <c r="BM25" s="65">
        <f t="shared" ref="BM25:BM31" si="82">BL25*1000/B25</f>
        <v>0.22118184834297933</v>
      </c>
      <c r="BN25" s="64">
        <f t="shared" si="57"/>
        <v>1972</v>
      </c>
      <c r="BO25" s="65">
        <f t="shared" si="58"/>
        <v>0.24825775802346539</v>
      </c>
      <c r="BP25" s="1071"/>
      <c r="BQ25" s="77">
        <f t="shared" si="59"/>
        <v>61544</v>
      </c>
      <c r="BR25" s="35"/>
      <c r="BS25" s="35">
        <f>33544+4000+4000+20000</f>
        <v>61544</v>
      </c>
      <c r="BT25" s="74"/>
      <c r="BU25" s="74">
        <f t="shared" si="37"/>
        <v>72893</v>
      </c>
      <c r="BV25" s="74">
        <f t="shared" si="38"/>
        <v>629.25668498362177</v>
      </c>
      <c r="BW25" s="1098"/>
      <c r="BX25" s="295">
        <f t="shared" si="79"/>
        <v>600</v>
      </c>
      <c r="BY25" s="296"/>
      <c r="BZ25" s="296">
        <v>600</v>
      </c>
      <c r="CA25" s="296"/>
      <c r="CB25" s="297"/>
      <c r="CC25" s="296">
        <f t="shared" si="62"/>
        <v>4400</v>
      </c>
      <c r="CD25" s="297">
        <f t="shared" si="17"/>
        <v>0.55392197530590659</v>
      </c>
      <c r="CE25" s="1061"/>
    </row>
    <row r="26" spans="1:83">
      <c r="A26" s="30">
        <v>43608</v>
      </c>
      <c r="B26" s="32">
        <v>550573</v>
      </c>
      <c r="C26" s="1">
        <f t="shared" si="5"/>
        <v>8493930</v>
      </c>
      <c r="D26" s="91">
        <v>6068.86</v>
      </c>
      <c r="E26" s="93">
        <f t="shared" si="18"/>
        <v>121908.71</v>
      </c>
      <c r="F26" s="240">
        <f>H25</f>
        <v>26400</v>
      </c>
      <c r="G26" s="227"/>
      <c r="H26" s="240"/>
      <c r="I26" s="240">
        <f>F26+G26-H26</f>
        <v>26400</v>
      </c>
      <c r="J26" s="280">
        <f>I26*1000/B26</f>
        <v>47.950044771538018</v>
      </c>
      <c r="K26" s="240">
        <f t="shared" si="39"/>
        <v>153760</v>
      </c>
      <c r="L26" s="280">
        <f t="shared" si="34"/>
        <v>18.102338964413409</v>
      </c>
      <c r="M26" s="280">
        <f t="shared" si="35"/>
        <v>2.2165224641133108</v>
      </c>
      <c r="N26" s="1089"/>
      <c r="O26" s="1084"/>
      <c r="P26" s="35">
        <f>R25</f>
        <v>43017</v>
      </c>
      <c r="Q26" s="35"/>
      <c r="R26" s="35">
        <v>43017</v>
      </c>
      <c r="S26" s="35"/>
      <c r="T26" s="36"/>
      <c r="U26" s="74">
        <f t="shared" si="80"/>
        <v>13731</v>
      </c>
      <c r="V26" s="36">
        <f t="shared" si="81"/>
        <v>1.6165661831449047</v>
      </c>
      <c r="W26" s="1136"/>
      <c r="X26" s="49">
        <f>Z25</f>
        <v>361</v>
      </c>
      <c r="Y26" s="50"/>
      <c r="Z26" s="50">
        <f>146+75</f>
        <v>221</v>
      </c>
      <c r="AA26" s="50">
        <f t="shared" si="45"/>
        <v>140</v>
      </c>
      <c r="AB26" s="51">
        <f t="shared" si="46"/>
        <v>0.25428054045512583</v>
      </c>
      <c r="AC26" s="50">
        <f t="shared" si="63"/>
        <v>2273</v>
      </c>
      <c r="AD26" s="51">
        <f t="shared" si="64"/>
        <v>0.26760286463392091</v>
      </c>
      <c r="AE26" s="1047"/>
      <c r="AF26" s="40">
        <f>AH25</f>
        <v>433</v>
      </c>
      <c r="AG26" s="41"/>
      <c r="AH26" s="41">
        <v>360</v>
      </c>
      <c r="AI26" s="41">
        <f>AF26+AG26-AH26</f>
        <v>73</v>
      </c>
      <c r="AJ26" s="42">
        <f>AI26*1000/B26</f>
        <v>0.13258913895160132</v>
      </c>
      <c r="AK26" s="41">
        <f t="shared" si="66"/>
        <v>1306</v>
      </c>
      <c r="AL26" s="42">
        <f t="shared" si="67"/>
        <v>0.15375685931011912</v>
      </c>
      <c r="AM26" s="1058"/>
      <c r="AN26" s="67">
        <v>4.8</v>
      </c>
      <c r="AO26" s="67">
        <v>24</v>
      </c>
      <c r="AP26" s="68">
        <f t="shared" si="75"/>
        <v>57.260159999999992</v>
      </c>
      <c r="AQ26" s="68">
        <f t="shared" si="76"/>
        <v>9.4350767689483686</v>
      </c>
      <c r="AR26" s="69">
        <f t="shared" si="48"/>
        <v>1228.11114</v>
      </c>
      <c r="AS26" s="140">
        <f t="shared" si="49"/>
        <v>10.074022930765159</v>
      </c>
      <c r="AT26" s="1073"/>
      <c r="AU26" s="71">
        <v>2.4</v>
      </c>
      <c r="AV26" s="71">
        <v>12</v>
      </c>
      <c r="AW26" s="72">
        <f t="shared" si="77"/>
        <v>14.881824</v>
      </c>
      <c r="AX26" s="72">
        <f t="shared" si="78"/>
        <v>2.4521613614418527</v>
      </c>
      <c r="AY26" s="73">
        <f t="shared" si="51"/>
        <v>358.09388999999999</v>
      </c>
      <c r="AZ26" s="192">
        <f t="shared" si="52"/>
        <v>2.9373938088591043</v>
      </c>
      <c r="BA26" s="1075"/>
      <c r="BB26" s="56">
        <f t="shared" ref="BB26:BB36" si="83">BD25</f>
        <v>22705</v>
      </c>
      <c r="BC26" s="56"/>
      <c r="BD26" s="56">
        <v>22705</v>
      </c>
      <c r="BE26" s="57"/>
      <c r="BF26" s="58">
        <f t="shared" si="54"/>
        <v>15359</v>
      </c>
      <c r="BG26" s="58">
        <f t="shared" si="55"/>
        <v>125.98771654625826</v>
      </c>
      <c r="BH26" s="1133"/>
      <c r="BI26" s="63">
        <f>BK25</f>
        <v>360</v>
      </c>
      <c r="BJ26" s="64">
        <v>1100</v>
      </c>
      <c r="BK26" s="64">
        <v>1416</v>
      </c>
      <c r="BL26" s="64">
        <f>BI26+BJ26-BK26</f>
        <v>44</v>
      </c>
      <c r="BM26" s="65">
        <f t="shared" si="82"/>
        <v>7.9916741285896695E-2</v>
      </c>
      <c r="BN26" s="64">
        <f t="shared" si="57"/>
        <v>2016</v>
      </c>
      <c r="BO26" s="65">
        <f t="shared" si="58"/>
        <v>0.23734596352924972</v>
      </c>
      <c r="BP26" s="1071"/>
      <c r="BQ26" s="77">
        <f t="shared" ref="BQ26:BQ36" si="84">BS25</f>
        <v>61544</v>
      </c>
      <c r="BR26" s="315">
        <v>32260</v>
      </c>
      <c r="BS26" s="35">
        <f>32099+4000+4000+20000+16000</f>
        <v>76099</v>
      </c>
      <c r="BT26" s="74">
        <f>BQ26+BR26-BS26</f>
        <v>17705</v>
      </c>
      <c r="BU26" s="74">
        <f t="shared" si="37"/>
        <v>90598</v>
      </c>
      <c r="BV26" s="74">
        <f t="shared" si="38"/>
        <v>743.16265015026408</v>
      </c>
      <c r="BW26" s="1098"/>
      <c r="BX26" s="295">
        <f t="shared" si="79"/>
        <v>600</v>
      </c>
      <c r="BY26" s="296"/>
      <c r="BZ26" s="296">
        <v>600</v>
      </c>
      <c r="CA26" s="296"/>
      <c r="CB26" s="297"/>
      <c r="CC26" s="296">
        <f t="shared" si="62"/>
        <v>4400</v>
      </c>
      <c r="CD26" s="297">
        <f t="shared" si="17"/>
        <v>0.51801698389320372</v>
      </c>
      <c r="CE26" s="1061"/>
    </row>
    <row r="27" spans="1:83">
      <c r="A27" s="30">
        <v>43609</v>
      </c>
      <c r="B27" s="32">
        <v>180689</v>
      </c>
      <c r="C27" s="1">
        <f t="shared" si="5"/>
        <v>8674619</v>
      </c>
      <c r="D27" s="91">
        <v>718.14</v>
      </c>
      <c r="E27" s="93">
        <f t="shared" si="18"/>
        <v>122626.85</v>
      </c>
      <c r="F27" s="227"/>
      <c r="G27" s="240"/>
      <c r="H27" s="227"/>
      <c r="I27" s="240"/>
      <c r="J27" s="280"/>
      <c r="K27" s="240">
        <f t="shared" si="39"/>
        <v>153760</v>
      </c>
      <c r="L27" s="280">
        <f t="shared" si="34"/>
        <v>17.725274159014937</v>
      </c>
      <c r="M27" s="280">
        <f t="shared" si="35"/>
        <v>2.1703531479141591</v>
      </c>
      <c r="N27" s="1089"/>
      <c r="O27" s="1084"/>
      <c r="P27" s="35">
        <f>R26</f>
        <v>43017</v>
      </c>
      <c r="Q27" s="35"/>
      <c r="R27" s="35">
        <v>43017</v>
      </c>
      <c r="S27" s="35"/>
      <c r="T27" s="36"/>
      <c r="U27" s="74">
        <f t="shared" si="80"/>
        <v>13731</v>
      </c>
      <c r="V27" s="36">
        <f t="shared" si="81"/>
        <v>1.5828937270904924</v>
      </c>
      <c r="W27" s="1136"/>
      <c r="X27" s="49">
        <f>Z26</f>
        <v>221</v>
      </c>
      <c r="Y27" s="50"/>
      <c r="Z27" s="50">
        <v>221</v>
      </c>
      <c r="AA27" s="50"/>
      <c r="AB27" s="51"/>
      <c r="AC27" s="50">
        <f t="shared" si="63"/>
        <v>2273</v>
      </c>
      <c r="AD27" s="51">
        <f t="shared" si="64"/>
        <v>0.26202879918991256</v>
      </c>
      <c r="AE27" s="1047"/>
      <c r="AF27" s="40">
        <f>AH26</f>
        <v>360</v>
      </c>
      <c r="AG27" s="41"/>
      <c r="AH27" s="41">
        <v>360</v>
      </c>
      <c r="AI27" s="41"/>
      <c r="AJ27" s="42"/>
      <c r="AK27" s="41">
        <f t="shared" si="66"/>
        <v>1306</v>
      </c>
      <c r="AL27" s="42">
        <f t="shared" si="67"/>
        <v>0.1505541626669713</v>
      </c>
      <c r="AM27" s="1058"/>
      <c r="AN27" s="67">
        <v>1</v>
      </c>
      <c r="AO27" s="67">
        <v>24</v>
      </c>
      <c r="AP27" s="68">
        <f t="shared" si="75"/>
        <v>11.9292</v>
      </c>
      <c r="AQ27" s="68">
        <f t="shared" si="76"/>
        <v>16.611245718105103</v>
      </c>
      <c r="AR27" s="69">
        <f t="shared" si="48"/>
        <v>1240.04034</v>
      </c>
      <c r="AS27" s="140">
        <f t="shared" si="49"/>
        <v>10.112306888744186</v>
      </c>
      <c r="AT27" s="1073"/>
      <c r="AU27" s="71">
        <v>1</v>
      </c>
      <c r="AV27" s="71">
        <v>12</v>
      </c>
      <c r="AW27" s="72">
        <f t="shared" si="77"/>
        <v>6.2007600000000007</v>
      </c>
      <c r="AX27" s="72">
        <f t="shared" si="78"/>
        <v>8.6344723869997519</v>
      </c>
      <c r="AY27" s="73">
        <f t="shared" si="51"/>
        <v>364.29464999999999</v>
      </c>
      <c r="AZ27" s="192">
        <f t="shared" si="52"/>
        <v>2.9707576277136689</v>
      </c>
      <c r="BA27" s="1075"/>
      <c r="BB27" s="56">
        <f t="shared" si="83"/>
        <v>22705</v>
      </c>
      <c r="BC27" s="56"/>
      <c r="BD27" s="56">
        <v>22705</v>
      </c>
      <c r="BE27" s="57"/>
      <c r="BF27" s="58">
        <f t="shared" si="54"/>
        <v>15359</v>
      </c>
      <c r="BG27" s="58">
        <f t="shared" si="55"/>
        <v>125.24989429313401</v>
      </c>
      <c r="BH27" s="1133"/>
      <c r="BI27" s="63">
        <f>BK26</f>
        <v>1416</v>
      </c>
      <c r="BJ27" s="64"/>
      <c r="BK27" s="64">
        <v>1416</v>
      </c>
      <c r="BL27" s="64"/>
      <c r="BM27" s="65">
        <f t="shared" si="82"/>
        <v>0</v>
      </c>
      <c r="BN27" s="64">
        <f t="shared" si="57"/>
        <v>2016</v>
      </c>
      <c r="BO27" s="65">
        <f t="shared" si="58"/>
        <v>0.23240213777688681</v>
      </c>
      <c r="BP27" s="1071"/>
      <c r="BQ27" s="77">
        <f t="shared" si="84"/>
        <v>76099</v>
      </c>
      <c r="BR27" s="35"/>
      <c r="BS27" s="35">
        <f>32099+4000+4000+20000+16000</f>
        <v>76099</v>
      </c>
      <c r="BT27" s="74"/>
      <c r="BU27" s="74">
        <f t="shared" si="37"/>
        <v>90598</v>
      </c>
      <c r="BV27" s="74">
        <f t="shared" si="38"/>
        <v>738.81046442928277</v>
      </c>
      <c r="BW27" s="1098"/>
      <c r="BX27" s="295">
        <f t="shared" si="79"/>
        <v>600</v>
      </c>
      <c r="BY27" s="296"/>
      <c r="BZ27" s="296">
        <v>600</v>
      </c>
      <c r="CA27" s="296"/>
      <c r="CB27" s="297"/>
      <c r="CC27" s="296">
        <f t="shared" si="62"/>
        <v>4400</v>
      </c>
      <c r="CD27" s="297">
        <f t="shared" si="17"/>
        <v>0.50722688800511007</v>
      </c>
      <c r="CE27" s="1061"/>
    </row>
    <row r="28" spans="1:83">
      <c r="A28" s="30">
        <v>43610</v>
      </c>
      <c r="B28" s="32">
        <v>104794</v>
      </c>
      <c r="C28" s="1">
        <f t="shared" si="5"/>
        <v>8779413</v>
      </c>
      <c r="D28" s="91">
        <v>3762.6</v>
      </c>
      <c r="E28" s="93">
        <f t="shared" si="18"/>
        <v>126389.45000000001</v>
      </c>
      <c r="F28" s="227"/>
      <c r="G28" s="321">
        <v>30630</v>
      </c>
      <c r="H28" s="240">
        <v>25000</v>
      </c>
      <c r="I28" s="240">
        <f t="shared" ref="I28:I36" si="85">F28+G28-H28</f>
        <v>5630</v>
      </c>
      <c r="J28" s="280">
        <f>I28*1000/B28</f>
        <v>53.724449873084339</v>
      </c>
      <c r="K28" s="240">
        <f t="shared" si="39"/>
        <v>159390</v>
      </c>
      <c r="L28" s="280">
        <f t="shared" si="34"/>
        <v>18.154972319903393</v>
      </c>
      <c r="M28" s="280">
        <f t="shared" si="35"/>
        <v>2.2229671017391199</v>
      </c>
      <c r="N28" s="1089"/>
      <c r="O28" s="1084"/>
      <c r="P28" s="35">
        <f>R27</f>
        <v>43017</v>
      </c>
      <c r="Q28" s="35"/>
      <c r="R28" s="35">
        <v>43017</v>
      </c>
      <c r="S28" s="35"/>
      <c r="T28" s="36"/>
      <c r="U28" s="74">
        <f t="shared" si="80"/>
        <v>13731</v>
      </c>
      <c r="V28" s="36">
        <f t="shared" si="81"/>
        <v>1.5639997799397294</v>
      </c>
      <c r="W28" s="1136"/>
      <c r="X28" s="49">
        <f>Z27</f>
        <v>221</v>
      </c>
      <c r="Y28" s="50">
        <v>900</v>
      </c>
      <c r="Z28" s="50">
        <v>851</v>
      </c>
      <c r="AA28" s="50">
        <f>X28+Y28-Z28</f>
        <v>270</v>
      </c>
      <c r="AB28" s="51">
        <f>AA28*1000/B28</f>
        <v>2.5764833864534231</v>
      </c>
      <c r="AC28" s="50">
        <f t="shared" si="63"/>
        <v>2543</v>
      </c>
      <c r="AD28" s="51">
        <f t="shared" si="64"/>
        <v>0.28965490061807092</v>
      </c>
      <c r="AE28" s="1047"/>
      <c r="AF28" s="40">
        <f>AH27</f>
        <v>360</v>
      </c>
      <c r="AG28" s="41"/>
      <c r="AH28" s="41">
        <v>325</v>
      </c>
      <c r="AI28" s="41">
        <f>AF28+AG28-AH28</f>
        <v>35</v>
      </c>
      <c r="AJ28" s="42">
        <f>AI28*1000/B28</f>
        <v>0.33398858713285112</v>
      </c>
      <c r="AK28" s="41">
        <f t="shared" si="66"/>
        <v>1341</v>
      </c>
      <c r="AL28" s="42">
        <f t="shared" si="67"/>
        <v>0.15274369710138935</v>
      </c>
      <c r="AM28" s="1058"/>
      <c r="AN28" s="67">
        <v>2.2999999999999998</v>
      </c>
      <c r="AO28" s="67">
        <v>24</v>
      </c>
      <c r="AP28" s="68">
        <f t="shared" si="75"/>
        <v>27.437159999999999</v>
      </c>
      <c r="AQ28" s="68">
        <f t="shared" si="76"/>
        <v>7.2920746292457341</v>
      </c>
      <c r="AR28" s="69">
        <f t="shared" si="48"/>
        <v>1267.4775</v>
      </c>
      <c r="AS28" s="140">
        <f t="shared" si="49"/>
        <v>10.028348885132422</v>
      </c>
      <c r="AT28" s="1073"/>
      <c r="AU28" s="71">
        <v>1</v>
      </c>
      <c r="AV28" s="71">
        <v>12</v>
      </c>
      <c r="AW28" s="72">
        <f t="shared" si="77"/>
        <v>6.2007600000000007</v>
      </c>
      <c r="AX28" s="72">
        <f t="shared" si="78"/>
        <v>1.647998724286398</v>
      </c>
      <c r="AY28" s="73">
        <f t="shared" si="51"/>
        <v>370.49540999999999</v>
      </c>
      <c r="AZ28" s="192">
        <f t="shared" si="52"/>
        <v>2.931379240909743</v>
      </c>
      <c r="BA28" s="1075"/>
      <c r="BB28" s="56">
        <f t="shared" si="83"/>
        <v>22705</v>
      </c>
      <c r="BC28" s="56"/>
      <c r="BD28" s="56">
        <v>19353</v>
      </c>
      <c r="BE28" s="57">
        <f>BB28-BD28+BC28</f>
        <v>3352</v>
      </c>
      <c r="BF28" s="58">
        <f t="shared" si="54"/>
        <v>18711</v>
      </c>
      <c r="BG28" s="58">
        <f t="shared" si="55"/>
        <v>148.04241967980713</v>
      </c>
      <c r="BH28" s="1133"/>
      <c r="BI28" s="63">
        <f>BK27</f>
        <v>1416</v>
      </c>
      <c r="BJ28" s="64"/>
      <c r="BK28" s="64">
        <v>1416</v>
      </c>
      <c r="BL28" s="64"/>
      <c r="BM28" s="65">
        <f t="shared" si="82"/>
        <v>0</v>
      </c>
      <c r="BN28" s="64">
        <f t="shared" si="57"/>
        <v>2016</v>
      </c>
      <c r="BO28" s="65">
        <f t="shared" si="58"/>
        <v>0.229628108394035</v>
      </c>
      <c r="BP28" s="1071"/>
      <c r="BQ28" s="77">
        <f t="shared" si="84"/>
        <v>76099</v>
      </c>
      <c r="BR28" s="35"/>
      <c r="BS28" s="35">
        <f>32099+4000+4000+20000+16000</f>
        <v>76099</v>
      </c>
      <c r="BT28" s="74"/>
      <c r="BU28" s="74">
        <f t="shared" si="37"/>
        <v>90598</v>
      </c>
      <c r="BV28" s="74">
        <f t="shared" si="38"/>
        <v>716.81615831068177</v>
      </c>
      <c r="BW28" s="1098"/>
      <c r="BX28" s="295">
        <f t="shared" si="79"/>
        <v>600</v>
      </c>
      <c r="BY28" s="296"/>
      <c r="BZ28" s="296">
        <v>600</v>
      </c>
      <c r="CA28" s="296"/>
      <c r="CB28" s="297"/>
      <c r="CC28" s="296">
        <f t="shared" si="62"/>
        <v>4400</v>
      </c>
      <c r="CD28" s="297">
        <f t="shared" si="17"/>
        <v>0.50117245879650496</v>
      </c>
      <c r="CE28" s="1061"/>
    </row>
    <row r="29" spans="1:83">
      <c r="A29" s="30">
        <v>43611</v>
      </c>
      <c r="B29" s="32">
        <v>524530</v>
      </c>
      <c r="C29" s="1">
        <f t="shared" si="5"/>
        <v>9303943</v>
      </c>
      <c r="D29" s="91">
        <v>7512.74</v>
      </c>
      <c r="E29" s="93">
        <f t="shared" si="18"/>
        <v>133902.19</v>
      </c>
      <c r="F29" s="240">
        <v>25000</v>
      </c>
      <c r="G29" s="227"/>
      <c r="H29" s="240">
        <v>2700</v>
      </c>
      <c r="I29" s="240">
        <f t="shared" si="85"/>
        <v>22300</v>
      </c>
      <c r="J29" s="280">
        <f>I29*1000/B29</f>
        <v>42.514250853144723</v>
      </c>
      <c r="K29" s="240">
        <f t="shared" si="39"/>
        <v>181690</v>
      </c>
      <c r="L29" s="280">
        <f t="shared" si="34"/>
        <v>19.528279569210603</v>
      </c>
      <c r="M29" s="280">
        <f t="shared" si="35"/>
        <v>2.3911203096866172</v>
      </c>
      <c r="N29" s="1089"/>
      <c r="O29" s="1084"/>
      <c r="P29" s="35">
        <v>43017</v>
      </c>
      <c r="Q29" s="35"/>
      <c r="R29" s="35">
        <v>43017</v>
      </c>
      <c r="S29" s="35"/>
      <c r="T29" s="36"/>
      <c r="U29" s="74">
        <f t="shared" si="80"/>
        <v>13731</v>
      </c>
      <c r="V29" s="36">
        <f t="shared" si="81"/>
        <v>1.4758258944621652</v>
      </c>
      <c r="W29" s="1136"/>
      <c r="X29" s="49">
        <f>Z28</f>
        <v>851</v>
      </c>
      <c r="Y29" s="50"/>
      <c r="Z29" s="50">
        <v>653</v>
      </c>
      <c r="AA29" s="50">
        <f>X29+Y29-Z29</f>
        <v>198</v>
      </c>
      <c r="AB29" s="51">
        <f>AA29*1000/B29</f>
        <v>0.37748079232837017</v>
      </c>
      <c r="AC29" s="50">
        <f t="shared" si="63"/>
        <v>2741</v>
      </c>
      <c r="AD29" s="51">
        <f t="shared" si="64"/>
        <v>0.29460627607026396</v>
      </c>
      <c r="AE29" s="1047"/>
      <c r="AF29" s="40">
        <f>AH28</f>
        <v>325</v>
      </c>
      <c r="AG29" s="41"/>
      <c r="AH29" s="41">
        <v>256</v>
      </c>
      <c r="AI29" s="41">
        <f>AF29+AG29-AH29</f>
        <v>69</v>
      </c>
      <c r="AJ29" s="42">
        <f>AI29*1000/B29</f>
        <v>0.13154633672049262</v>
      </c>
      <c r="AK29" s="41">
        <f t="shared" si="66"/>
        <v>1410</v>
      </c>
      <c r="AL29" s="42">
        <f t="shared" si="67"/>
        <v>0.15154864985737768</v>
      </c>
      <c r="AM29" s="1058"/>
      <c r="AN29" s="67">
        <v>3.9</v>
      </c>
      <c r="AO29" s="67">
        <v>24</v>
      </c>
      <c r="AP29" s="68">
        <f t="shared" si="75"/>
        <v>46.523879999999998</v>
      </c>
      <c r="AQ29" s="68">
        <f t="shared" si="76"/>
        <v>6.1926647268506558</v>
      </c>
      <c r="AR29" s="69">
        <f t="shared" si="48"/>
        <v>1314.0013799999999</v>
      </c>
      <c r="AS29" s="140">
        <f t="shared" si="49"/>
        <v>9.8131433100534036</v>
      </c>
      <c r="AT29" s="1073"/>
      <c r="AU29" s="71">
        <v>1.8</v>
      </c>
      <c r="AV29" s="71">
        <v>12</v>
      </c>
      <c r="AW29" s="72">
        <f t="shared" si="77"/>
        <v>11.161368000000001</v>
      </c>
      <c r="AX29" s="72">
        <f t="shared" si="78"/>
        <v>1.4856587609846741</v>
      </c>
      <c r="AY29" s="73">
        <f t="shared" si="51"/>
        <v>381.65677799999997</v>
      </c>
      <c r="AZ29" s="192">
        <f t="shared" si="52"/>
        <v>2.850265391477167</v>
      </c>
      <c r="BA29" s="1075"/>
      <c r="BB29" s="56">
        <f t="shared" si="83"/>
        <v>19353</v>
      </c>
      <c r="BC29" s="56"/>
      <c r="BD29" s="56">
        <v>10686</v>
      </c>
      <c r="BE29" s="57">
        <f>BB29-BD29+BC29</f>
        <v>8667</v>
      </c>
      <c r="BF29" s="58">
        <f t="shared" si="54"/>
        <v>27378</v>
      </c>
      <c r="BG29" s="58">
        <f t="shared" si="55"/>
        <v>204.46267533040347</v>
      </c>
      <c r="BH29" s="1133"/>
      <c r="BI29" s="63">
        <f>BK28</f>
        <v>1416</v>
      </c>
      <c r="BJ29" s="64"/>
      <c r="BK29" s="64">
        <v>1200</v>
      </c>
      <c r="BL29" s="64">
        <f>BI29+BJ29-BK29</f>
        <v>216</v>
      </c>
      <c r="BM29" s="65">
        <f t="shared" si="82"/>
        <v>0.41179722799458562</v>
      </c>
      <c r="BN29" s="64">
        <f t="shared" si="57"/>
        <v>2232</v>
      </c>
      <c r="BO29" s="65">
        <f t="shared" si="58"/>
        <v>0.2398982882848702</v>
      </c>
      <c r="BP29" s="1071"/>
      <c r="BQ29" s="77">
        <f t="shared" si="84"/>
        <v>76099</v>
      </c>
      <c r="BR29" s="35"/>
      <c r="BS29" s="35">
        <f>32099+4000+4000+20000+16000</f>
        <v>76099</v>
      </c>
      <c r="BT29" s="74"/>
      <c r="BU29" s="74">
        <f t="shared" si="37"/>
        <v>90598</v>
      </c>
      <c r="BV29" s="74">
        <f t="shared" si="38"/>
        <v>676.59834391058132</v>
      </c>
      <c r="BW29" s="1098"/>
      <c r="BX29" s="295">
        <f t="shared" si="79"/>
        <v>600</v>
      </c>
      <c r="BY29" s="296"/>
      <c r="BZ29" s="296">
        <v>600</v>
      </c>
      <c r="CA29" s="296"/>
      <c r="CB29" s="297"/>
      <c r="CC29" s="296">
        <f t="shared" si="62"/>
        <v>4400</v>
      </c>
      <c r="CD29" s="297">
        <f t="shared" si="17"/>
        <v>0.47291777260458279</v>
      </c>
      <c r="CE29" s="1061"/>
    </row>
    <row r="30" spans="1:83">
      <c r="A30" s="30">
        <v>43612</v>
      </c>
      <c r="B30" s="32">
        <v>603290</v>
      </c>
      <c r="C30" s="1">
        <f t="shared" si="5"/>
        <v>9907233</v>
      </c>
      <c r="D30" s="91">
        <v>7466.4</v>
      </c>
      <c r="E30" s="93">
        <f t="shared" si="18"/>
        <v>141368.59</v>
      </c>
      <c r="F30" s="240">
        <v>2700</v>
      </c>
      <c r="G30" s="227"/>
      <c r="H30" s="240"/>
      <c r="I30" s="240">
        <f t="shared" si="85"/>
        <v>2700</v>
      </c>
      <c r="J30" s="280">
        <f>I30*1000/B30</f>
        <v>4.4754595633940557</v>
      </c>
      <c r="K30" s="240">
        <f t="shared" si="39"/>
        <v>184390</v>
      </c>
      <c r="L30" s="280">
        <f t="shared" si="34"/>
        <v>18.611654737503397</v>
      </c>
      <c r="M30" s="280">
        <f t="shared" si="35"/>
        <v>2.278885115403869</v>
      </c>
      <c r="N30" s="1089"/>
      <c r="O30" s="1084"/>
      <c r="P30" s="35">
        <f t="shared" ref="P30:P41" si="86">R29</f>
        <v>43017</v>
      </c>
      <c r="Q30" s="35"/>
      <c r="R30" s="35">
        <v>39862</v>
      </c>
      <c r="S30" s="35">
        <f>P30+Q30-R30</f>
        <v>3155</v>
      </c>
      <c r="T30" s="36">
        <f>1000*S30/B30</f>
        <v>5.229657378706758</v>
      </c>
      <c r="U30" s="74">
        <f t="shared" si="80"/>
        <v>16886</v>
      </c>
      <c r="V30" s="36">
        <f t="shared" si="81"/>
        <v>1.7044113124219447</v>
      </c>
      <c r="W30" s="1136"/>
      <c r="X30" s="49">
        <f t="shared" ref="X30:X64" si="87">Z29</f>
        <v>653</v>
      </c>
      <c r="Y30" s="50"/>
      <c r="Z30" s="50">
        <v>493</v>
      </c>
      <c r="AA30" s="50">
        <f>X30+Y30-Z30</f>
        <v>160</v>
      </c>
      <c r="AB30" s="51">
        <f>AA30*1000/B30</f>
        <v>0.26521241857149963</v>
      </c>
      <c r="AC30" s="50">
        <f t="shared" si="63"/>
        <v>2901</v>
      </c>
      <c r="AD30" s="51">
        <f t="shared" si="64"/>
        <v>0.29281636961601692</v>
      </c>
      <c r="AE30" s="1047"/>
      <c r="AF30" s="40">
        <f t="shared" ref="AF30:AF64" si="88">AH29</f>
        <v>256</v>
      </c>
      <c r="AG30" s="41"/>
      <c r="AH30" s="41">
        <v>192</v>
      </c>
      <c r="AI30" s="41">
        <f>AF30+AG30-AH30</f>
        <v>64</v>
      </c>
      <c r="AJ30" s="42">
        <f>AI30*1000/B30</f>
        <v>0.10608496742859984</v>
      </c>
      <c r="AK30" s="41">
        <f t="shared" si="66"/>
        <v>1474</v>
      </c>
      <c r="AL30" s="42">
        <f t="shared" si="67"/>
        <v>0.14878018918097516</v>
      </c>
      <c r="AM30" s="1058"/>
      <c r="AN30" s="67">
        <v>6</v>
      </c>
      <c r="AO30" s="67">
        <v>24</v>
      </c>
      <c r="AP30" s="68">
        <f t="shared" si="75"/>
        <v>71.575199999999995</v>
      </c>
      <c r="AQ30" s="68">
        <f t="shared" si="76"/>
        <v>9.5863066538090642</v>
      </c>
      <c r="AR30" s="69">
        <f t="shared" si="48"/>
        <v>1385.5765799999999</v>
      </c>
      <c r="AS30" s="140">
        <f t="shared" si="49"/>
        <v>9.8011629033012202</v>
      </c>
      <c r="AT30" s="1073"/>
      <c r="AU30" s="71">
        <v>2.5</v>
      </c>
      <c r="AV30" s="71">
        <v>12</v>
      </c>
      <c r="AW30" s="72">
        <f t="shared" si="77"/>
        <v>15.501900000000001</v>
      </c>
      <c r="AX30" s="72">
        <f t="shared" si="78"/>
        <v>2.076221472195436</v>
      </c>
      <c r="AY30" s="73">
        <f t="shared" si="51"/>
        <v>397.15867799999995</v>
      </c>
      <c r="AZ30" s="192">
        <f t="shared" si="52"/>
        <v>2.8093841637665053</v>
      </c>
      <c r="BA30" s="1075"/>
      <c r="BB30" s="56">
        <f t="shared" si="83"/>
        <v>10686</v>
      </c>
      <c r="BC30" s="56"/>
      <c r="BD30" s="56">
        <v>10686</v>
      </c>
      <c r="BE30" s="56"/>
      <c r="BF30" s="58">
        <f t="shared" si="54"/>
        <v>27378</v>
      </c>
      <c r="BG30" s="58">
        <f t="shared" si="55"/>
        <v>193.66395321619888</v>
      </c>
      <c r="BH30" s="1133"/>
      <c r="BI30" s="63">
        <f t="shared" ref="BI30:BI93" si="89">BK29</f>
        <v>1200</v>
      </c>
      <c r="BJ30" s="64"/>
      <c r="BK30" s="64">
        <v>1020</v>
      </c>
      <c r="BL30" s="64">
        <f>BI30+BJ30-BK30</f>
        <v>180</v>
      </c>
      <c r="BM30" s="65">
        <f t="shared" si="82"/>
        <v>0.29836397089293704</v>
      </c>
      <c r="BN30" s="64">
        <f t="shared" si="57"/>
        <v>2412</v>
      </c>
      <c r="BO30" s="65">
        <f t="shared" si="58"/>
        <v>0.24345849138705025</v>
      </c>
      <c r="BP30" s="1071"/>
      <c r="BQ30" s="77">
        <f t="shared" si="84"/>
        <v>76099</v>
      </c>
      <c r="BR30" s="35"/>
      <c r="BS30" s="35">
        <f>40099+20000+16000</f>
        <v>76099</v>
      </c>
      <c r="BT30" s="74"/>
      <c r="BU30" s="74">
        <f t="shared" si="37"/>
        <v>90598</v>
      </c>
      <c r="BV30" s="74">
        <f t="shared" si="38"/>
        <v>640.8637166148435</v>
      </c>
      <c r="BW30" s="1098"/>
      <c r="BX30" s="295">
        <f t="shared" si="79"/>
        <v>600</v>
      </c>
      <c r="BY30" s="296"/>
      <c r="BZ30" s="296">
        <v>600</v>
      </c>
      <c r="CA30" s="296"/>
      <c r="CB30" s="297"/>
      <c r="CC30" s="296">
        <f t="shared" si="62"/>
        <v>4400</v>
      </c>
      <c r="CD30" s="297">
        <f t="shared" si="17"/>
        <v>0.44411996770440343</v>
      </c>
      <c r="CE30" s="1061"/>
    </row>
    <row r="31" spans="1:83">
      <c r="A31" s="30">
        <v>43613</v>
      </c>
      <c r="B31" s="32">
        <v>579011</v>
      </c>
      <c r="C31" s="1">
        <f t="shared" si="5"/>
        <v>10486244</v>
      </c>
      <c r="D31" s="91">
        <v>5520.34</v>
      </c>
      <c r="E31" s="93">
        <f t="shared" si="18"/>
        <v>146888.93</v>
      </c>
      <c r="F31" s="227"/>
      <c r="G31" s="321">
        <v>17510</v>
      </c>
      <c r="H31" s="240">
        <v>17510</v>
      </c>
      <c r="I31" s="240"/>
      <c r="J31" s="280"/>
      <c r="K31" s="240">
        <f t="shared" ref="K31:K36" si="90">K30+I31</f>
        <v>184390</v>
      </c>
      <c r="L31" s="280">
        <f t="shared" ref="L31:L36" si="91">K31*1000/C31</f>
        <v>17.583989081314531</v>
      </c>
      <c r="M31" s="280">
        <f t="shared" ref="M31:M36" si="92">L31/8.167</f>
        <v>2.1530536404205378</v>
      </c>
      <c r="N31" s="1089"/>
      <c r="O31" s="1084"/>
      <c r="P31" s="35">
        <f t="shared" si="86"/>
        <v>39862</v>
      </c>
      <c r="Q31" s="35"/>
      <c r="R31" s="35">
        <v>38012</v>
      </c>
      <c r="S31" s="35">
        <f>P31+Q31-R31</f>
        <v>1850</v>
      </c>
      <c r="T31" s="36">
        <f>1000*S31/B31</f>
        <v>3.1951033745472883</v>
      </c>
      <c r="U31" s="74">
        <f t="shared" ref="U31:U36" si="93">U30+S31</f>
        <v>18736</v>
      </c>
      <c r="V31" s="36">
        <f t="shared" ref="V31:V36" si="94">1000*U31/C31</f>
        <v>1.7867217280086178</v>
      </c>
      <c r="W31" s="1136"/>
      <c r="X31" s="49">
        <f t="shared" si="87"/>
        <v>493</v>
      </c>
      <c r="Y31" s="50">
        <v>900</v>
      </c>
      <c r="Z31" s="50">
        <f>1153+75</f>
        <v>1228</v>
      </c>
      <c r="AA31" s="50">
        <f>X31+Y31-Z31</f>
        <v>165</v>
      </c>
      <c r="AB31" s="51">
        <f>AA31*1000/B31</f>
        <v>0.28496867935151493</v>
      </c>
      <c r="AC31" s="50">
        <f t="shared" si="63"/>
        <v>3066</v>
      </c>
      <c r="AD31" s="51">
        <f t="shared" si="64"/>
        <v>0.29238304964103451</v>
      </c>
      <c r="AE31" s="1047"/>
      <c r="AF31" s="40">
        <f t="shared" si="88"/>
        <v>192</v>
      </c>
      <c r="AG31" s="41">
        <v>1000</v>
      </c>
      <c r="AH31" s="41">
        <v>1100</v>
      </c>
      <c r="AI31" s="41">
        <f>AF31+AG31-AH31</f>
        <v>92</v>
      </c>
      <c r="AJ31" s="42">
        <f>AI31*1000/B31</f>
        <v>0.15889162727478406</v>
      </c>
      <c r="AK31" s="41">
        <f t="shared" si="66"/>
        <v>1566</v>
      </c>
      <c r="AL31" s="42">
        <f t="shared" si="67"/>
        <v>0.14933850480686889</v>
      </c>
      <c r="AM31" s="1058"/>
      <c r="AN31" s="67">
        <v>5.0999999999999996</v>
      </c>
      <c r="AO31" s="67">
        <v>24</v>
      </c>
      <c r="AP31" s="68">
        <f t="shared" ref="AP31:AP36" si="95">AN31*AO31*0.49705</f>
        <v>60.838919999999995</v>
      </c>
      <c r="AQ31" s="68">
        <f t="shared" ref="AQ31:AQ36" si="96">AP31*1000/D31</f>
        <v>11.020864656887074</v>
      </c>
      <c r="AR31" s="69">
        <f t="shared" ref="AR31:AR36" si="97">AR30+AP31</f>
        <v>1446.4154999999998</v>
      </c>
      <c r="AS31" s="140">
        <f t="shared" ref="AS31:AS36" si="98">AR31*1000/E31</f>
        <v>9.8470014043944616</v>
      </c>
      <c r="AT31" s="1073"/>
      <c r="AU31" s="71">
        <v>2.1</v>
      </c>
      <c r="AV31" s="71">
        <v>12</v>
      </c>
      <c r="AW31" s="72">
        <f t="shared" ref="AW31:AW36" si="99">AU31*AV31*0.51673</f>
        <v>13.021596000000002</v>
      </c>
      <c r="AX31" s="72">
        <f t="shared" ref="AX31:AX36" si="100">AW31*1000/D31</f>
        <v>2.3588394917704347</v>
      </c>
      <c r="AY31" s="73">
        <f t="shared" ref="AY31:AY36" si="101">AY30+AW31</f>
        <v>410.18027399999994</v>
      </c>
      <c r="AZ31" s="192">
        <f t="shared" ref="AZ31:AZ36" si="102">AY31*1000/E31</f>
        <v>2.7924519158795693</v>
      </c>
      <c r="BA31" s="1075"/>
      <c r="BB31" s="56">
        <f t="shared" si="83"/>
        <v>10686</v>
      </c>
      <c r="BC31" s="59"/>
      <c r="BD31" s="56">
        <v>10686</v>
      </c>
      <c r="BE31" s="56"/>
      <c r="BF31" s="58">
        <f t="shared" si="54"/>
        <v>27378</v>
      </c>
      <c r="BG31" s="58">
        <f t="shared" si="55"/>
        <v>186.3857269570961</v>
      </c>
      <c r="BH31" s="1133"/>
      <c r="BI31" s="63">
        <f t="shared" si="89"/>
        <v>1020</v>
      </c>
      <c r="BJ31" s="64">
        <v>1100</v>
      </c>
      <c r="BK31" s="64">
        <v>2112</v>
      </c>
      <c r="BL31" s="64">
        <f>BI31+BJ31-BK31</f>
        <v>8</v>
      </c>
      <c r="BM31" s="65">
        <f t="shared" si="82"/>
        <v>1.3816663241285571E-2</v>
      </c>
      <c r="BN31" s="64">
        <f t="shared" si="57"/>
        <v>2420</v>
      </c>
      <c r="BO31" s="65">
        <f t="shared" si="58"/>
        <v>0.23077853233245382</v>
      </c>
      <c r="BP31" s="1071"/>
      <c r="BQ31" s="77">
        <f t="shared" si="84"/>
        <v>76099</v>
      </c>
      <c r="BR31" s="35"/>
      <c r="BS31" s="35">
        <f>37355+20000+16000</f>
        <v>73355</v>
      </c>
      <c r="BT31" s="74">
        <f>BQ31+BR31-BS31</f>
        <v>2744</v>
      </c>
      <c r="BU31" s="74">
        <f t="shared" si="37"/>
        <v>93342</v>
      </c>
      <c r="BV31" s="74">
        <f t="shared" si="38"/>
        <v>635.45973137662588</v>
      </c>
      <c r="BW31" s="1098"/>
      <c r="BX31" s="295">
        <f t="shared" si="79"/>
        <v>600</v>
      </c>
      <c r="BY31" s="296"/>
      <c r="BZ31" s="296">
        <v>600</v>
      </c>
      <c r="CA31" s="296"/>
      <c r="CB31" s="297"/>
      <c r="CC31" s="296">
        <f t="shared" si="62"/>
        <v>4400</v>
      </c>
      <c r="CD31" s="297">
        <f t="shared" si="17"/>
        <v>0.41959733151355244</v>
      </c>
      <c r="CE31" s="1061"/>
    </row>
    <row r="32" spans="1:83">
      <c r="A32" s="30">
        <v>43614</v>
      </c>
      <c r="B32" s="33"/>
      <c r="C32" s="1">
        <f t="shared" si="5"/>
        <v>10486244</v>
      </c>
      <c r="D32" s="29"/>
      <c r="E32" s="93">
        <f t="shared" si="18"/>
        <v>146888.93</v>
      </c>
      <c r="F32" s="240">
        <f>G31</f>
        <v>17510</v>
      </c>
      <c r="G32" s="321">
        <v>17890</v>
      </c>
      <c r="H32" s="240">
        <v>35400</v>
      </c>
      <c r="I32" s="240"/>
      <c r="J32" s="280"/>
      <c r="K32" s="240">
        <f t="shared" si="90"/>
        <v>184390</v>
      </c>
      <c r="L32" s="280">
        <f t="shared" si="91"/>
        <v>17.583989081314531</v>
      </c>
      <c r="M32" s="280">
        <f t="shared" si="92"/>
        <v>2.1530536404205378</v>
      </c>
      <c r="N32" s="1089"/>
      <c r="O32" s="1084"/>
      <c r="P32" s="35">
        <f t="shared" si="86"/>
        <v>38012</v>
      </c>
      <c r="Q32" s="35"/>
      <c r="R32" s="35">
        <v>38012</v>
      </c>
      <c r="S32" s="35"/>
      <c r="T32" s="36"/>
      <c r="U32" s="74">
        <f t="shared" si="93"/>
        <v>18736</v>
      </c>
      <c r="V32" s="36">
        <f t="shared" si="94"/>
        <v>1.7867217280086178</v>
      </c>
      <c r="W32" s="1136"/>
      <c r="X32" s="49">
        <f t="shared" si="87"/>
        <v>1228</v>
      </c>
      <c r="Y32" s="50"/>
      <c r="Z32" s="50">
        <v>1228</v>
      </c>
      <c r="AA32" s="50"/>
      <c r="AB32" s="51"/>
      <c r="AC32" s="50">
        <f t="shared" si="63"/>
        <v>3066</v>
      </c>
      <c r="AD32" s="51">
        <f t="shared" si="64"/>
        <v>0.29238304964103451</v>
      </c>
      <c r="AE32" s="1047"/>
      <c r="AF32" s="40">
        <f t="shared" si="88"/>
        <v>1100</v>
      </c>
      <c r="AG32" s="44"/>
      <c r="AH32" s="41">
        <v>1100</v>
      </c>
      <c r="AI32" s="41"/>
      <c r="AJ32" s="42"/>
      <c r="AK32" s="41">
        <f t="shared" si="66"/>
        <v>1566</v>
      </c>
      <c r="AL32" s="42">
        <f t="shared" si="67"/>
        <v>0.14933850480686889</v>
      </c>
      <c r="AM32" s="1058"/>
      <c r="AN32" s="142"/>
      <c r="AO32" s="67">
        <v>24</v>
      </c>
      <c r="AP32" s="68"/>
      <c r="AQ32" s="68"/>
      <c r="AR32" s="69">
        <f t="shared" si="97"/>
        <v>1446.4154999999998</v>
      </c>
      <c r="AS32" s="140">
        <f t="shared" si="98"/>
        <v>9.8470014043944616</v>
      </c>
      <c r="AT32" s="1073"/>
      <c r="AU32" s="71"/>
      <c r="AV32" s="71">
        <v>12</v>
      </c>
      <c r="AW32" s="72"/>
      <c r="AX32" s="72"/>
      <c r="AY32" s="73">
        <f t="shared" si="101"/>
        <v>410.18027399999994</v>
      </c>
      <c r="AZ32" s="192">
        <f t="shared" si="102"/>
        <v>2.7924519158795693</v>
      </c>
      <c r="BA32" s="1075"/>
      <c r="BB32" s="56">
        <f t="shared" si="83"/>
        <v>10686</v>
      </c>
      <c r="BC32" s="59"/>
      <c r="BD32" s="56">
        <v>10686</v>
      </c>
      <c r="BE32" s="56"/>
      <c r="BF32" s="58">
        <f t="shared" si="54"/>
        <v>27378</v>
      </c>
      <c r="BG32" s="58">
        <f t="shared" si="55"/>
        <v>186.3857269570961</v>
      </c>
      <c r="BH32" s="1133"/>
      <c r="BI32" s="63">
        <f t="shared" si="89"/>
        <v>2112</v>
      </c>
      <c r="BJ32" s="64"/>
      <c r="BK32" s="64">
        <v>2112</v>
      </c>
      <c r="BL32" s="64"/>
      <c r="BM32" s="65"/>
      <c r="BN32" s="64">
        <f t="shared" si="57"/>
        <v>2420</v>
      </c>
      <c r="BO32" s="65">
        <f t="shared" si="58"/>
        <v>0.23077853233245382</v>
      </c>
      <c r="BP32" s="1071"/>
      <c r="BQ32" s="77">
        <f t="shared" si="84"/>
        <v>73355</v>
      </c>
      <c r="BR32" s="35"/>
      <c r="BS32" s="35">
        <f>53355+20000</f>
        <v>73355</v>
      </c>
      <c r="BT32" s="74"/>
      <c r="BU32" s="74">
        <f t="shared" si="37"/>
        <v>93342</v>
      </c>
      <c r="BV32" s="74">
        <f t="shared" si="38"/>
        <v>635.45973137662588</v>
      </c>
      <c r="BW32" s="1098"/>
      <c r="BX32" s="295">
        <f t="shared" si="79"/>
        <v>600</v>
      </c>
      <c r="BY32" s="296"/>
      <c r="BZ32" s="296">
        <v>600</v>
      </c>
      <c r="CA32" s="296"/>
      <c r="CB32" s="297"/>
      <c r="CC32" s="296">
        <f t="shared" si="62"/>
        <v>4400</v>
      </c>
      <c r="CD32" s="297">
        <f t="shared" si="17"/>
        <v>0.41959733151355244</v>
      </c>
      <c r="CE32" s="1061"/>
    </row>
    <row r="33" spans="1:83">
      <c r="A33" s="30">
        <v>43615</v>
      </c>
      <c r="B33" s="32">
        <v>213183</v>
      </c>
      <c r="C33" s="1">
        <f t="shared" si="5"/>
        <v>10699427</v>
      </c>
      <c r="D33" s="29">
        <v>3943.14</v>
      </c>
      <c r="E33" s="93">
        <f t="shared" si="18"/>
        <v>150832.07</v>
      </c>
      <c r="F33" s="240">
        <f t="shared" ref="F33:F64" si="103">H32</f>
        <v>35400</v>
      </c>
      <c r="G33" s="227"/>
      <c r="H33" s="240">
        <v>20000</v>
      </c>
      <c r="I33" s="240">
        <f t="shared" si="85"/>
        <v>15400</v>
      </c>
      <c r="J33" s="280">
        <f>I33*1000/B33</f>
        <v>72.238405501376747</v>
      </c>
      <c r="K33" s="240">
        <f t="shared" si="90"/>
        <v>199790</v>
      </c>
      <c r="L33" s="280">
        <f t="shared" si="91"/>
        <v>18.672962580145647</v>
      </c>
      <c r="M33" s="280">
        <f t="shared" si="92"/>
        <v>2.2863918917773538</v>
      </c>
      <c r="N33" s="1089"/>
      <c r="O33" s="1084"/>
      <c r="P33" s="35">
        <f t="shared" si="86"/>
        <v>38012</v>
      </c>
      <c r="Q33" s="35"/>
      <c r="R33" s="35">
        <v>38012</v>
      </c>
      <c r="S33" s="35"/>
      <c r="T33" s="36"/>
      <c r="U33" s="74">
        <f t="shared" si="93"/>
        <v>18736</v>
      </c>
      <c r="V33" s="36">
        <f t="shared" si="94"/>
        <v>1.7511218124110759</v>
      </c>
      <c r="W33" s="1136"/>
      <c r="X33" s="49">
        <f t="shared" si="87"/>
        <v>1228</v>
      </c>
      <c r="Y33" s="50"/>
      <c r="Z33" s="50">
        <v>1100</v>
      </c>
      <c r="AA33" s="50">
        <f>X33+Y33-Z33</f>
        <v>128</v>
      </c>
      <c r="AB33" s="51">
        <f>AA33*1000/B33</f>
        <v>0.60042311066079379</v>
      </c>
      <c r="AC33" s="50">
        <f t="shared" si="63"/>
        <v>3194</v>
      </c>
      <c r="AD33" s="51">
        <f t="shared" si="64"/>
        <v>0.29852065909697784</v>
      </c>
      <c r="AE33" s="1047"/>
      <c r="AF33" s="40">
        <f t="shared" si="88"/>
        <v>1100</v>
      </c>
      <c r="AG33" s="44"/>
      <c r="AH33" s="41">
        <v>1100</v>
      </c>
      <c r="AI33" s="41"/>
      <c r="AJ33" s="42"/>
      <c r="AK33" s="41">
        <f t="shared" si="66"/>
        <v>1566</v>
      </c>
      <c r="AL33" s="42">
        <f t="shared" si="67"/>
        <v>0.14636297812957647</v>
      </c>
      <c r="AM33" s="1058"/>
      <c r="AN33" s="67">
        <v>1.8</v>
      </c>
      <c r="AO33" s="67">
        <v>24</v>
      </c>
      <c r="AP33" s="68">
        <f t="shared" si="95"/>
        <v>21.472560000000001</v>
      </c>
      <c r="AQ33" s="68">
        <f t="shared" si="96"/>
        <v>5.4455484715226961</v>
      </c>
      <c r="AR33" s="69">
        <f t="shared" si="97"/>
        <v>1467.8880599999998</v>
      </c>
      <c r="AS33" s="140">
        <f t="shared" si="98"/>
        <v>9.7319360531218582</v>
      </c>
      <c r="AT33" s="1073"/>
      <c r="AU33" s="71">
        <v>1.3</v>
      </c>
      <c r="AV33" s="71">
        <v>12</v>
      </c>
      <c r="AW33" s="72">
        <f t="shared" si="99"/>
        <v>8.0609880000000018</v>
      </c>
      <c r="AX33" s="72">
        <f t="shared" si="100"/>
        <v>2.0443068214671563</v>
      </c>
      <c r="AY33" s="73">
        <f t="shared" si="101"/>
        <v>418.24126199999995</v>
      </c>
      <c r="AZ33" s="192">
        <f t="shared" si="102"/>
        <v>2.7728934702016614</v>
      </c>
      <c r="BA33" s="1075"/>
      <c r="BB33" s="56">
        <f t="shared" si="83"/>
        <v>10686</v>
      </c>
      <c r="BC33" s="59"/>
      <c r="BD33" s="56">
        <v>10686</v>
      </c>
      <c r="BE33" s="56"/>
      <c r="BF33" s="58">
        <f t="shared" si="54"/>
        <v>27378</v>
      </c>
      <c r="BG33" s="58">
        <f t="shared" si="55"/>
        <v>181.5131225077001</v>
      </c>
      <c r="BH33" s="1133"/>
      <c r="BI33" s="63">
        <f t="shared" si="89"/>
        <v>2112</v>
      </c>
      <c r="BJ33" s="64"/>
      <c r="BK33" s="64">
        <v>2112</v>
      </c>
      <c r="BL33" s="64"/>
      <c r="BM33" s="65"/>
      <c r="BN33" s="64">
        <f t="shared" si="57"/>
        <v>2420</v>
      </c>
      <c r="BO33" s="65">
        <f t="shared" si="58"/>
        <v>0.22618033657316416</v>
      </c>
      <c r="BP33" s="1071"/>
      <c r="BQ33" s="77">
        <f t="shared" si="84"/>
        <v>73355</v>
      </c>
      <c r="BR33" s="315">
        <v>31060</v>
      </c>
      <c r="BS33" s="35">
        <f>53355+20000+31000</f>
        <v>104355</v>
      </c>
      <c r="BT33" s="74"/>
      <c r="BU33" s="74">
        <f t="shared" si="37"/>
        <v>93342</v>
      </c>
      <c r="BV33" s="74">
        <f t="shared" si="38"/>
        <v>618.84717222272423</v>
      </c>
      <c r="BW33" s="1098"/>
      <c r="BX33" s="295">
        <f t="shared" si="79"/>
        <v>600</v>
      </c>
      <c r="BY33" s="296"/>
      <c r="BZ33" s="296">
        <v>600</v>
      </c>
      <c r="CA33" s="296"/>
      <c r="CB33" s="297"/>
      <c r="CC33" s="296">
        <f t="shared" si="62"/>
        <v>4400</v>
      </c>
      <c r="CD33" s="297">
        <f t="shared" si="17"/>
        <v>0.41123697558757116</v>
      </c>
      <c r="CE33" s="1061"/>
    </row>
    <row r="34" spans="1:83" ht="15.75" thickBot="1">
      <c r="A34" s="30">
        <v>43616</v>
      </c>
      <c r="B34" s="109">
        <v>558868</v>
      </c>
      <c r="C34" s="78">
        <f t="shared" si="5"/>
        <v>11258295</v>
      </c>
      <c r="D34" s="92">
        <v>6135.78</v>
      </c>
      <c r="E34" s="94">
        <f t="shared" si="18"/>
        <v>156967.85</v>
      </c>
      <c r="F34" s="231">
        <f t="shared" si="103"/>
        <v>20000</v>
      </c>
      <c r="G34" s="231"/>
      <c r="H34" s="231">
        <v>3800</v>
      </c>
      <c r="I34" s="231">
        <f t="shared" si="85"/>
        <v>16200</v>
      </c>
      <c r="J34" s="230">
        <f>I34*1000/B34</f>
        <v>28.987166915980161</v>
      </c>
      <c r="K34" s="231">
        <f t="shared" si="90"/>
        <v>215990</v>
      </c>
      <c r="L34" s="230">
        <f t="shared" si="91"/>
        <v>19.184965396625334</v>
      </c>
      <c r="M34" s="230">
        <f t="shared" si="92"/>
        <v>2.3490835553600262</v>
      </c>
      <c r="N34" s="1090"/>
      <c r="O34" s="1085"/>
      <c r="P34" s="76">
        <f t="shared" si="86"/>
        <v>38012</v>
      </c>
      <c r="Q34" s="76"/>
      <c r="R34" s="76">
        <v>38012</v>
      </c>
      <c r="S34" s="76"/>
      <c r="T34" s="80"/>
      <c r="U34" s="81">
        <f t="shared" si="93"/>
        <v>18736</v>
      </c>
      <c r="V34" s="80">
        <f t="shared" si="94"/>
        <v>1.6641951556607817</v>
      </c>
      <c r="W34" s="1137"/>
      <c r="X34" s="83">
        <f t="shared" si="87"/>
        <v>1100</v>
      </c>
      <c r="Y34" s="82"/>
      <c r="Z34" s="82">
        <f>990+12</f>
        <v>1002</v>
      </c>
      <c r="AA34" s="82">
        <f>X34+Y34-Z34</f>
        <v>98</v>
      </c>
      <c r="AB34" s="84">
        <f>AA34*1000/B34</f>
        <v>0.17535446652876888</v>
      </c>
      <c r="AC34" s="82">
        <f t="shared" si="63"/>
        <v>3292</v>
      </c>
      <c r="AD34" s="84">
        <f t="shared" si="64"/>
        <v>0.29240662107361726</v>
      </c>
      <c r="AE34" s="1048"/>
      <c r="AF34" s="95">
        <f t="shared" si="88"/>
        <v>1100</v>
      </c>
      <c r="AG34" s="45"/>
      <c r="AH34" s="96">
        <v>1062</v>
      </c>
      <c r="AI34" s="96">
        <f>AF34+AG34-AH34</f>
        <v>38</v>
      </c>
      <c r="AJ34" s="97">
        <f>AI34*1000/B34</f>
        <v>6.7994589062175689E-2</v>
      </c>
      <c r="AK34" s="96">
        <f t="shared" si="66"/>
        <v>1604</v>
      </c>
      <c r="AL34" s="97">
        <f t="shared" si="67"/>
        <v>0.14247272788641618</v>
      </c>
      <c r="AM34" s="1059"/>
      <c r="AN34" s="310">
        <v>5.7</v>
      </c>
      <c r="AO34" s="101">
        <v>24</v>
      </c>
      <c r="AP34" s="111">
        <f t="shared" si="95"/>
        <v>67.996440000000007</v>
      </c>
      <c r="AQ34" s="111">
        <f t="shared" si="96"/>
        <v>11.081955350419996</v>
      </c>
      <c r="AR34" s="112">
        <f t="shared" si="97"/>
        <v>1535.8844999999997</v>
      </c>
      <c r="AS34" s="181">
        <f t="shared" si="98"/>
        <v>9.7847075053904327</v>
      </c>
      <c r="AT34" s="1074"/>
      <c r="AU34" s="104">
        <v>2.4</v>
      </c>
      <c r="AV34" s="104">
        <v>12</v>
      </c>
      <c r="AW34" s="105">
        <f t="shared" si="99"/>
        <v>14.881824</v>
      </c>
      <c r="AX34" s="105">
        <f t="shared" si="100"/>
        <v>2.4254168174217461</v>
      </c>
      <c r="AY34" s="106">
        <f t="shared" si="101"/>
        <v>433.12308599999994</v>
      </c>
      <c r="AZ34" s="193">
        <f t="shared" si="102"/>
        <v>2.7593108142845808</v>
      </c>
      <c r="BA34" s="1076"/>
      <c r="BB34" s="88">
        <f t="shared" si="83"/>
        <v>10686</v>
      </c>
      <c r="BC34" s="100"/>
      <c r="BD34" s="88">
        <v>10686</v>
      </c>
      <c r="BE34" s="88"/>
      <c r="BF34" s="89">
        <f t="shared" si="54"/>
        <v>27378</v>
      </c>
      <c r="BG34" s="89">
        <f t="shared" si="55"/>
        <v>174.41788238801766</v>
      </c>
      <c r="BH34" s="1134"/>
      <c r="BI34" s="85">
        <f t="shared" si="89"/>
        <v>2112</v>
      </c>
      <c r="BJ34" s="85"/>
      <c r="BK34" s="85">
        <v>2112</v>
      </c>
      <c r="BL34" s="85"/>
      <c r="BM34" s="86"/>
      <c r="BN34" s="85">
        <f t="shared" si="57"/>
        <v>2420</v>
      </c>
      <c r="BO34" s="86">
        <f t="shared" si="58"/>
        <v>0.2149526193797551</v>
      </c>
      <c r="BP34" s="1072"/>
      <c r="BQ34" s="79">
        <f t="shared" si="84"/>
        <v>104355</v>
      </c>
      <c r="BR34" s="76"/>
      <c r="BS34" s="76">
        <f>41340+20000+31000</f>
        <v>92340</v>
      </c>
      <c r="BT34" s="81">
        <f>BQ34+BR34-BS34</f>
        <v>12015</v>
      </c>
      <c r="BU34" s="81">
        <f t="shared" si="37"/>
        <v>105357</v>
      </c>
      <c r="BV34" s="81">
        <f t="shared" si="38"/>
        <v>671.20114087056675</v>
      </c>
      <c r="BW34" s="1099"/>
      <c r="BX34" s="299">
        <f t="shared" si="79"/>
        <v>600</v>
      </c>
      <c r="BY34" s="299"/>
      <c r="BZ34" s="299">
        <v>600</v>
      </c>
      <c r="CA34" s="299"/>
      <c r="CB34" s="300"/>
      <c r="CC34" s="299">
        <f t="shared" si="62"/>
        <v>4400</v>
      </c>
      <c r="CD34" s="300">
        <f t="shared" si="17"/>
        <v>0.39082294432682746</v>
      </c>
      <c r="CE34" s="1062"/>
    </row>
    <row r="35" spans="1:83">
      <c r="A35" s="30">
        <v>43617</v>
      </c>
      <c r="B35" s="32">
        <v>496302</v>
      </c>
      <c r="C35" s="1">
        <f t="shared" si="5"/>
        <v>11754597</v>
      </c>
      <c r="D35" s="29">
        <v>6817.38</v>
      </c>
      <c r="E35" s="93">
        <f t="shared" si="18"/>
        <v>163785.23000000001</v>
      </c>
      <c r="F35" s="240">
        <f t="shared" si="103"/>
        <v>3800</v>
      </c>
      <c r="G35" s="321">
        <v>18480</v>
      </c>
      <c r="H35" s="240">
        <v>8000</v>
      </c>
      <c r="I35" s="240">
        <f t="shared" si="85"/>
        <v>14280</v>
      </c>
      <c r="J35" s="280">
        <f>I35*1000/B35</f>
        <v>28.772803655838583</v>
      </c>
      <c r="K35" s="240">
        <f t="shared" si="90"/>
        <v>230270</v>
      </c>
      <c r="L35" s="280">
        <f t="shared" si="91"/>
        <v>19.589782618664</v>
      </c>
      <c r="M35" s="280">
        <f t="shared" si="92"/>
        <v>2.3986509879593485</v>
      </c>
      <c r="N35" s="1052">
        <f>1000*SUM(I35:I64)/SUM(B35:B64)</f>
        <v>30.98238811816864</v>
      </c>
      <c r="O35" s="1083">
        <f>N35/8.167</f>
        <v>3.7936069692872096</v>
      </c>
      <c r="P35" s="35">
        <f t="shared" si="86"/>
        <v>38012</v>
      </c>
      <c r="Q35" s="35"/>
      <c r="R35" s="35">
        <v>38012</v>
      </c>
      <c r="S35" s="35"/>
      <c r="T35" s="36"/>
      <c r="U35" s="74">
        <f t="shared" si="93"/>
        <v>18736</v>
      </c>
      <c r="V35" s="36">
        <f t="shared" si="94"/>
        <v>1.5939295919715495</v>
      </c>
      <c r="W35" s="1135">
        <f>1000*SUM(S35:S64)/SUM(B35:B64)</f>
        <v>1.1150745819753067</v>
      </c>
      <c r="X35" s="49">
        <f t="shared" si="87"/>
        <v>1002</v>
      </c>
      <c r="Y35" s="50"/>
      <c r="Z35" s="50">
        <v>800</v>
      </c>
      <c r="AA35" s="50">
        <f>X35+Y35-Z35</f>
        <v>202</v>
      </c>
      <c r="AB35" s="51">
        <f>AA35*1000/B35</f>
        <v>0.40701024779267464</v>
      </c>
      <c r="AC35" s="50">
        <f t="shared" si="63"/>
        <v>3494</v>
      </c>
      <c r="AD35" s="51">
        <f t="shared" si="64"/>
        <v>0.29724540960442963</v>
      </c>
      <c r="AE35" s="1046">
        <f>1000*SUM(AA35:AA64)/SUM(B35:B64)</f>
        <v>0.29170700732808541</v>
      </c>
      <c r="AF35" s="40">
        <f t="shared" si="88"/>
        <v>1062</v>
      </c>
      <c r="AG35" s="44"/>
      <c r="AH35" s="41">
        <v>1000</v>
      </c>
      <c r="AI35" s="41">
        <f>AF35+AG35-AH35</f>
        <v>62</v>
      </c>
      <c r="AJ35" s="42">
        <f>AI35*1000/B35</f>
        <v>0.12492393744131597</v>
      </c>
      <c r="AK35" s="41">
        <f t="shared" si="66"/>
        <v>1666</v>
      </c>
      <c r="AL35" s="42">
        <f t="shared" si="67"/>
        <v>0.14173178374384082</v>
      </c>
      <c r="AM35" s="1057">
        <f>1000*SUM(AI35:AI64)/SUM(B35:B64)</f>
        <v>0.10781440314275818</v>
      </c>
      <c r="AN35" s="67">
        <v>4.9000000000000004</v>
      </c>
      <c r="AO35" s="67">
        <v>24</v>
      </c>
      <c r="AP35" s="68">
        <f t="shared" si="95"/>
        <v>58.45308</v>
      </c>
      <c r="AQ35" s="68">
        <f t="shared" si="96"/>
        <v>8.5741267173019544</v>
      </c>
      <c r="AR35" s="69">
        <f t="shared" si="97"/>
        <v>1594.3375799999997</v>
      </c>
      <c r="AS35" s="140">
        <f t="shared" si="98"/>
        <v>9.7343184119837876</v>
      </c>
      <c r="AT35" s="1064">
        <f>1000*SUM(AP35:AP64)/SUM(D35:D64)</f>
        <v>6.5012023339051055</v>
      </c>
      <c r="AU35" s="70">
        <v>2.5</v>
      </c>
      <c r="AV35" s="71">
        <v>12</v>
      </c>
      <c r="AW35" s="72">
        <f t="shared" si="99"/>
        <v>15.501900000000001</v>
      </c>
      <c r="AX35" s="72">
        <f t="shared" si="100"/>
        <v>2.2738794082184066</v>
      </c>
      <c r="AY35" s="73">
        <f t="shared" si="101"/>
        <v>448.62498599999992</v>
      </c>
      <c r="AZ35" s="192">
        <f t="shared" si="102"/>
        <v>2.7391052660853479</v>
      </c>
      <c r="BA35" s="1065">
        <f>1000*SUM(AW35:AW64)/SUM(D35:D64)</f>
        <v>2.3319175020095546</v>
      </c>
      <c r="BB35" s="90">
        <f t="shared" si="83"/>
        <v>10686</v>
      </c>
      <c r="BC35" s="59"/>
      <c r="BD35" s="56">
        <v>10686</v>
      </c>
      <c r="BE35" s="56"/>
      <c r="BF35" s="58">
        <f t="shared" si="54"/>
        <v>27378</v>
      </c>
      <c r="BG35" s="58">
        <f t="shared" si="55"/>
        <v>167.15792993055601</v>
      </c>
      <c r="BH35" s="1132">
        <f>1000*SUM(BE35:BE64)/SUM(D35:D64)</f>
        <v>70.645848061177801</v>
      </c>
      <c r="BI35" s="64">
        <f t="shared" si="89"/>
        <v>2112</v>
      </c>
      <c r="BJ35" s="64"/>
      <c r="BK35" s="64">
        <v>2000</v>
      </c>
      <c r="BL35" s="64">
        <f>BI35+BJ35-BK35</f>
        <v>112</v>
      </c>
      <c r="BM35" s="65">
        <f>BL35*1000/B35</f>
        <v>0.22566904828108691</v>
      </c>
      <c r="BN35" s="64">
        <f t="shared" si="57"/>
        <v>2532</v>
      </c>
      <c r="BO35" s="65">
        <f t="shared" si="58"/>
        <v>0.21540508789880247</v>
      </c>
      <c r="BP35" s="1067">
        <f>1000*SUM(BL35:BL64)/SUM(B35:B64)</f>
        <v>0.2343791372668656</v>
      </c>
      <c r="BQ35" s="77">
        <f t="shared" si="84"/>
        <v>92340</v>
      </c>
      <c r="BR35" s="35"/>
      <c r="BS35" s="35">
        <f>41340+20000+31000</f>
        <v>92340</v>
      </c>
      <c r="BT35" s="120"/>
      <c r="BU35" s="120">
        <f t="shared" si="37"/>
        <v>105357</v>
      </c>
      <c r="BV35" s="120">
        <f t="shared" si="38"/>
        <v>643.26313184650405</v>
      </c>
      <c r="BW35" s="1063">
        <f>1000*SUM(BT35:BT64)/SUM(D35:D64)</f>
        <v>354.36594793634708</v>
      </c>
      <c r="BX35" s="296">
        <f t="shared" si="79"/>
        <v>600</v>
      </c>
      <c r="BY35" s="296"/>
      <c r="BZ35" s="296">
        <v>600</v>
      </c>
      <c r="CA35" s="296"/>
      <c r="CB35" s="297"/>
      <c r="CC35" s="296">
        <f t="shared" si="62"/>
        <v>4400</v>
      </c>
      <c r="CD35" s="297">
        <f t="shared" si="17"/>
        <v>0.37432163773883526</v>
      </c>
      <c r="CE35" s="1060">
        <f>1000*SUM(CA35:CA64)/SUM(B35:B64)</f>
        <v>4.1808170431386835E-2</v>
      </c>
    </row>
    <row r="36" spans="1:83">
      <c r="A36" s="30">
        <v>43618</v>
      </c>
      <c r="B36" s="32">
        <v>302567</v>
      </c>
      <c r="C36" s="1">
        <f t="shared" si="5"/>
        <v>12057164</v>
      </c>
      <c r="D36" s="29">
        <v>2319.9</v>
      </c>
      <c r="E36" s="93">
        <f t="shared" si="18"/>
        <v>166105.13</v>
      </c>
      <c r="F36" s="240">
        <f t="shared" si="103"/>
        <v>8000</v>
      </c>
      <c r="G36" s="321">
        <v>17610</v>
      </c>
      <c r="H36" s="240">
        <v>22000</v>
      </c>
      <c r="I36" s="240">
        <f t="shared" si="85"/>
        <v>3610</v>
      </c>
      <c r="J36" s="280">
        <f>I36*1000/B36</f>
        <v>11.931241675397516</v>
      </c>
      <c r="K36" s="240">
        <f t="shared" si="90"/>
        <v>233880</v>
      </c>
      <c r="L36" s="280">
        <f t="shared" si="91"/>
        <v>19.397596317011196</v>
      </c>
      <c r="M36" s="280">
        <f t="shared" si="92"/>
        <v>2.375118931922517</v>
      </c>
      <c r="N36" s="1089"/>
      <c r="O36" s="1084"/>
      <c r="P36" s="35">
        <f t="shared" si="86"/>
        <v>38012</v>
      </c>
      <c r="Q36" s="35"/>
      <c r="R36" s="35">
        <v>37214</v>
      </c>
      <c r="S36" s="35">
        <f>P36+Q36-R36</f>
        <v>798</v>
      </c>
      <c r="T36" s="36">
        <f>1000*S36/B36</f>
        <v>2.6374323703510298</v>
      </c>
      <c r="U36" s="74">
        <f t="shared" si="93"/>
        <v>19534</v>
      </c>
      <c r="V36" s="36">
        <f t="shared" si="94"/>
        <v>1.6201156424512431</v>
      </c>
      <c r="W36" s="1136"/>
      <c r="X36" s="49">
        <f t="shared" si="87"/>
        <v>800</v>
      </c>
      <c r="Y36" s="50"/>
      <c r="Z36" s="50">
        <f>528+87</f>
        <v>615</v>
      </c>
      <c r="AA36" s="50">
        <f>X36+Y36-Z36</f>
        <v>185</v>
      </c>
      <c r="AB36" s="51">
        <f>AA36*1000/B36</f>
        <v>0.61143482270042671</v>
      </c>
      <c r="AC36" s="50">
        <f t="shared" si="63"/>
        <v>3679</v>
      </c>
      <c r="AD36" s="51">
        <f t="shared" si="64"/>
        <v>0.30512979669182572</v>
      </c>
      <c r="AE36" s="1047"/>
      <c r="AF36" s="40">
        <f t="shared" si="88"/>
        <v>1000</v>
      </c>
      <c r="AG36" s="44"/>
      <c r="AH36" s="41">
        <v>945</v>
      </c>
      <c r="AI36" s="41">
        <f>AF36+AG36-AH36</f>
        <v>55</v>
      </c>
      <c r="AJ36" s="42">
        <f>AI36*1000/B36</f>
        <v>0.18177792026228901</v>
      </c>
      <c r="AK36" s="41">
        <f t="shared" si="66"/>
        <v>1721</v>
      </c>
      <c r="AL36" s="42">
        <f t="shared" si="67"/>
        <v>0.14273671652803263</v>
      </c>
      <c r="AM36" s="1058"/>
      <c r="AN36" s="67">
        <v>2.4</v>
      </c>
      <c r="AO36" s="67">
        <v>24</v>
      </c>
      <c r="AP36" s="68">
        <f t="shared" si="95"/>
        <v>28.630079999999996</v>
      </c>
      <c r="AQ36" s="68">
        <f t="shared" si="96"/>
        <v>12.341083667399454</v>
      </c>
      <c r="AR36" s="69">
        <f t="shared" si="97"/>
        <v>1622.9676599999996</v>
      </c>
      <c r="AS36" s="140">
        <f t="shared" si="98"/>
        <v>9.77072568439036</v>
      </c>
      <c r="AT36" s="1073"/>
      <c r="AU36" s="70">
        <v>0.9</v>
      </c>
      <c r="AV36" s="71">
        <v>12</v>
      </c>
      <c r="AW36" s="72">
        <f t="shared" si="99"/>
        <v>5.5806840000000006</v>
      </c>
      <c r="AX36" s="72">
        <f t="shared" si="100"/>
        <v>2.4055709297814563</v>
      </c>
      <c r="AY36" s="73">
        <f t="shared" si="101"/>
        <v>454.20566999999994</v>
      </c>
      <c r="AZ36" s="192">
        <f t="shared" si="102"/>
        <v>2.7344469734318255</v>
      </c>
      <c r="BA36" s="1075"/>
      <c r="BB36" s="90">
        <f t="shared" si="83"/>
        <v>10686</v>
      </c>
      <c r="BC36" s="59"/>
      <c r="BD36" s="56">
        <v>10686</v>
      </c>
      <c r="BE36" s="56"/>
      <c r="BF36" s="58">
        <f t="shared" si="54"/>
        <v>27378</v>
      </c>
      <c r="BG36" s="58">
        <f t="shared" si="55"/>
        <v>164.82332604658265</v>
      </c>
      <c r="BH36" s="1133"/>
      <c r="BI36" s="64">
        <f t="shared" si="89"/>
        <v>2000</v>
      </c>
      <c r="BJ36" s="64"/>
      <c r="BK36" s="64">
        <v>1908</v>
      </c>
      <c r="BL36" s="64">
        <f>BI36+BJ36-BK36</f>
        <v>92</v>
      </c>
      <c r="BM36" s="65">
        <f>BL36*1000/B36</f>
        <v>0.30406488480237437</v>
      </c>
      <c r="BN36" s="64">
        <f t="shared" si="57"/>
        <v>2624</v>
      </c>
      <c r="BO36" s="65">
        <f t="shared" si="58"/>
        <v>0.21762995012757561</v>
      </c>
      <c r="BP36" s="1071"/>
      <c r="BQ36" s="77">
        <f t="shared" si="84"/>
        <v>92340</v>
      </c>
      <c r="BR36" s="35"/>
      <c r="BS36" s="35">
        <v>92340</v>
      </c>
      <c r="BT36" s="74"/>
      <c r="BU36" s="74">
        <f t="shared" si="37"/>
        <v>105357</v>
      </c>
      <c r="BV36" s="74">
        <f t="shared" si="38"/>
        <v>634.27902557855975</v>
      </c>
      <c r="BW36" s="1098"/>
      <c r="BX36" s="296">
        <f t="shared" si="79"/>
        <v>600</v>
      </c>
      <c r="BY36" s="296"/>
      <c r="BZ36" s="296">
        <v>600</v>
      </c>
      <c r="CA36" s="296"/>
      <c r="CB36" s="297"/>
      <c r="CC36" s="296">
        <f t="shared" si="62"/>
        <v>4400</v>
      </c>
      <c r="CD36" s="297">
        <f t="shared" si="17"/>
        <v>0.36492827003099571</v>
      </c>
      <c r="CE36" s="1061"/>
    </row>
    <row r="37" spans="1:83">
      <c r="A37" s="30">
        <v>43619</v>
      </c>
      <c r="B37" s="32"/>
      <c r="C37" s="1">
        <f t="shared" si="5"/>
        <v>12057164</v>
      </c>
      <c r="D37" s="29"/>
      <c r="E37" s="93">
        <f t="shared" si="18"/>
        <v>166105.13</v>
      </c>
      <c r="F37" s="240">
        <f t="shared" si="103"/>
        <v>22000</v>
      </c>
      <c r="G37" s="227"/>
      <c r="H37" s="240">
        <v>22000</v>
      </c>
      <c r="I37" s="240"/>
      <c r="J37" s="280"/>
      <c r="K37" s="240">
        <f t="shared" ref="K37:K54" si="104">K36+I37</f>
        <v>233880</v>
      </c>
      <c r="L37" s="280">
        <f t="shared" ref="L37:L54" si="105">K37*1000/C37</f>
        <v>19.397596317011196</v>
      </c>
      <c r="M37" s="280">
        <f t="shared" ref="M37:M60" si="106">L37/8.167</f>
        <v>2.375118931922517</v>
      </c>
      <c r="N37" s="1089"/>
      <c r="O37" s="1084"/>
      <c r="P37" s="35">
        <f t="shared" si="86"/>
        <v>37214</v>
      </c>
      <c r="Q37" s="35"/>
      <c r="R37" s="35">
        <v>37214</v>
      </c>
      <c r="S37" s="35"/>
      <c r="T37" s="36"/>
      <c r="U37" s="74">
        <f t="shared" ref="U37:U43" si="107">U36+S37</f>
        <v>19534</v>
      </c>
      <c r="V37" s="36">
        <f t="shared" ref="V37:V43" si="108">1000*U37/C37</f>
        <v>1.6201156424512431</v>
      </c>
      <c r="W37" s="1136"/>
      <c r="X37" s="49">
        <f t="shared" si="87"/>
        <v>615</v>
      </c>
      <c r="Y37" s="50"/>
      <c r="Z37" s="50">
        <f>528+87</f>
        <v>615</v>
      </c>
      <c r="AA37" s="50"/>
      <c r="AB37" s="51"/>
      <c r="AC37" s="50">
        <f t="shared" si="63"/>
        <v>3679</v>
      </c>
      <c r="AD37" s="51">
        <f t="shared" si="64"/>
        <v>0.30512979669182572</v>
      </c>
      <c r="AE37" s="1047"/>
      <c r="AF37" s="40">
        <f t="shared" si="88"/>
        <v>945</v>
      </c>
      <c r="AG37" s="44"/>
      <c r="AH37" s="41">
        <v>945</v>
      </c>
      <c r="AI37" s="41"/>
      <c r="AJ37" s="42"/>
      <c r="AK37" s="41">
        <f t="shared" si="66"/>
        <v>1721</v>
      </c>
      <c r="AL37" s="42">
        <f t="shared" si="67"/>
        <v>0.14273671652803263</v>
      </c>
      <c r="AM37" s="1058"/>
      <c r="AN37" s="67"/>
      <c r="AO37" s="67">
        <v>24</v>
      </c>
      <c r="AP37" s="68"/>
      <c r="AQ37" s="68"/>
      <c r="AR37" s="69">
        <f t="shared" ref="AR37:AR47" si="109">AR36+AP37</f>
        <v>1622.9676599999996</v>
      </c>
      <c r="AS37" s="140">
        <f t="shared" ref="AS37:AS47" si="110">AR37*1000/E37</f>
        <v>9.77072568439036</v>
      </c>
      <c r="AT37" s="1073"/>
      <c r="AU37" s="70"/>
      <c r="AV37" s="71">
        <v>12</v>
      </c>
      <c r="AW37" s="72"/>
      <c r="AX37" s="72"/>
      <c r="AY37" s="73">
        <f t="shared" ref="AY37:AY60" si="111">AY36+AW37</f>
        <v>454.20566999999994</v>
      </c>
      <c r="AZ37" s="192">
        <f t="shared" ref="AZ37:AZ60" si="112">AY37*1000/E37</f>
        <v>2.7344469734318255</v>
      </c>
      <c r="BA37" s="1075"/>
      <c r="BB37" s="90">
        <f t="shared" ref="BB37:BB64" si="113">BD36</f>
        <v>10686</v>
      </c>
      <c r="BC37" s="59"/>
      <c r="BD37" s="56">
        <v>10686</v>
      </c>
      <c r="BE37" s="56"/>
      <c r="BF37" s="58">
        <f t="shared" si="54"/>
        <v>27378</v>
      </c>
      <c r="BG37" s="58">
        <f t="shared" si="55"/>
        <v>164.82332604658265</v>
      </c>
      <c r="BH37" s="1133"/>
      <c r="BI37" s="64">
        <f t="shared" si="89"/>
        <v>1908</v>
      </c>
      <c r="BJ37" s="64"/>
      <c r="BK37" s="64">
        <v>1908</v>
      </c>
      <c r="BL37" s="64"/>
      <c r="BM37" s="65"/>
      <c r="BN37" s="64">
        <f t="shared" si="57"/>
        <v>2624</v>
      </c>
      <c r="BO37" s="65">
        <f t="shared" si="58"/>
        <v>0.21762995012757561</v>
      </c>
      <c r="BP37" s="1071"/>
      <c r="BQ37" s="77">
        <f t="shared" ref="BQ37:BQ64" si="114">BS36</f>
        <v>92340</v>
      </c>
      <c r="BR37" s="35"/>
      <c r="BS37" s="35">
        <v>92340</v>
      </c>
      <c r="BT37" s="35"/>
      <c r="BU37" s="74">
        <f t="shared" si="37"/>
        <v>105357</v>
      </c>
      <c r="BV37" s="74">
        <f t="shared" si="38"/>
        <v>634.27902557855975</v>
      </c>
      <c r="BW37" s="1098"/>
      <c r="BX37" s="296">
        <f t="shared" ref="BX37:BX42" si="115">BZ36</f>
        <v>600</v>
      </c>
      <c r="BY37" s="296"/>
      <c r="BZ37" s="296">
        <v>600</v>
      </c>
      <c r="CA37" s="296"/>
      <c r="CB37" s="297"/>
      <c r="CC37" s="296">
        <f t="shared" si="62"/>
        <v>4400</v>
      </c>
      <c r="CD37" s="297">
        <f t="shared" si="17"/>
        <v>0.36492827003099571</v>
      </c>
      <c r="CE37" s="1061"/>
    </row>
    <row r="38" spans="1:83">
      <c r="A38" s="30">
        <v>43620</v>
      </c>
      <c r="B38" s="32"/>
      <c r="C38" s="1">
        <f t="shared" si="5"/>
        <v>12057164</v>
      </c>
      <c r="D38" s="29"/>
      <c r="E38" s="93">
        <f t="shared" si="18"/>
        <v>166105.13</v>
      </c>
      <c r="F38" s="240">
        <f t="shared" si="103"/>
        <v>22000</v>
      </c>
      <c r="G38" s="321">
        <v>17930</v>
      </c>
      <c r="H38" s="240">
        <v>39930</v>
      </c>
      <c r="I38" s="240"/>
      <c r="J38" s="280"/>
      <c r="K38" s="240">
        <f t="shared" si="104"/>
        <v>233880</v>
      </c>
      <c r="L38" s="280">
        <f t="shared" si="105"/>
        <v>19.397596317011196</v>
      </c>
      <c r="M38" s="280">
        <f t="shared" si="106"/>
        <v>2.375118931922517</v>
      </c>
      <c r="N38" s="1089"/>
      <c r="O38" s="1084"/>
      <c r="P38" s="35">
        <f t="shared" si="86"/>
        <v>37214</v>
      </c>
      <c r="Q38" s="35"/>
      <c r="R38" s="35">
        <v>37214</v>
      </c>
      <c r="S38" s="35"/>
      <c r="T38" s="36"/>
      <c r="U38" s="74">
        <f t="shared" si="107"/>
        <v>19534</v>
      </c>
      <c r="V38" s="36">
        <f t="shared" si="108"/>
        <v>1.6201156424512431</v>
      </c>
      <c r="W38" s="1136"/>
      <c r="X38" s="49">
        <f t="shared" si="87"/>
        <v>615</v>
      </c>
      <c r="Y38" s="50"/>
      <c r="Z38" s="50">
        <f>528+87</f>
        <v>615</v>
      </c>
      <c r="AA38" s="50"/>
      <c r="AB38" s="51"/>
      <c r="AC38" s="50">
        <f t="shared" si="63"/>
        <v>3679</v>
      </c>
      <c r="AD38" s="51">
        <f t="shared" si="64"/>
        <v>0.30512979669182572</v>
      </c>
      <c r="AE38" s="1047"/>
      <c r="AF38" s="40">
        <f t="shared" si="88"/>
        <v>945</v>
      </c>
      <c r="AG38" s="44"/>
      <c r="AH38" s="41">
        <v>945</v>
      </c>
      <c r="AI38" s="41"/>
      <c r="AJ38" s="42"/>
      <c r="AK38" s="41">
        <f t="shared" si="66"/>
        <v>1721</v>
      </c>
      <c r="AL38" s="42">
        <f t="shared" si="67"/>
        <v>0.14273671652803263</v>
      </c>
      <c r="AM38" s="1058"/>
      <c r="AN38" s="67"/>
      <c r="AO38" s="67">
        <v>24</v>
      </c>
      <c r="AP38" s="68"/>
      <c r="AQ38" s="68"/>
      <c r="AR38" s="69">
        <f t="shared" si="109"/>
        <v>1622.9676599999996</v>
      </c>
      <c r="AS38" s="140">
        <f t="shared" si="110"/>
        <v>9.77072568439036</v>
      </c>
      <c r="AT38" s="1073"/>
      <c r="AU38" s="70"/>
      <c r="AV38" s="71">
        <v>12</v>
      </c>
      <c r="AW38" s="72"/>
      <c r="AX38" s="72"/>
      <c r="AY38" s="73">
        <f t="shared" si="111"/>
        <v>454.20566999999994</v>
      </c>
      <c r="AZ38" s="192">
        <f t="shared" si="112"/>
        <v>2.7344469734318255</v>
      </c>
      <c r="BA38" s="1075"/>
      <c r="BB38" s="90">
        <f t="shared" si="113"/>
        <v>10686</v>
      </c>
      <c r="BC38" s="59"/>
      <c r="BD38" s="56">
        <v>10686</v>
      </c>
      <c r="BE38" s="56"/>
      <c r="BF38" s="58">
        <f t="shared" si="54"/>
        <v>27378</v>
      </c>
      <c r="BG38" s="58">
        <f t="shared" si="55"/>
        <v>164.82332604658265</v>
      </c>
      <c r="BH38" s="1133"/>
      <c r="BI38" s="64">
        <f t="shared" si="89"/>
        <v>1908</v>
      </c>
      <c r="BJ38" s="64"/>
      <c r="BK38" s="64">
        <v>1908</v>
      </c>
      <c r="BL38" s="64"/>
      <c r="BM38" s="65"/>
      <c r="BN38" s="64">
        <f t="shared" si="57"/>
        <v>2624</v>
      </c>
      <c r="BO38" s="65">
        <f t="shared" si="58"/>
        <v>0.21762995012757561</v>
      </c>
      <c r="BP38" s="1071"/>
      <c r="BQ38" s="77">
        <f t="shared" si="114"/>
        <v>92340</v>
      </c>
      <c r="BR38" s="35"/>
      <c r="BS38" s="35">
        <v>92340</v>
      </c>
      <c r="BT38" s="35"/>
      <c r="BU38" s="74">
        <f t="shared" si="37"/>
        <v>105357</v>
      </c>
      <c r="BV38" s="74">
        <f t="shared" si="38"/>
        <v>634.27902557855975</v>
      </c>
      <c r="BW38" s="1098"/>
      <c r="BX38" s="296">
        <f t="shared" si="115"/>
        <v>600</v>
      </c>
      <c r="BY38" s="296"/>
      <c r="BZ38" s="296">
        <v>600</v>
      </c>
      <c r="CA38" s="296"/>
      <c r="CB38" s="297"/>
      <c r="CC38" s="296">
        <f t="shared" si="62"/>
        <v>4400</v>
      </c>
      <c r="CD38" s="297">
        <f t="shared" si="17"/>
        <v>0.36492827003099571</v>
      </c>
      <c r="CE38" s="1061"/>
    </row>
    <row r="39" spans="1:83">
      <c r="A39" s="30">
        <v>43621</v>
      </c>
      <c r="B39" s="32"/>
      <c r="C39" s="1">
        <f t="shared" si="5"/>
        <v>12057164</v>
      </c>
      <c r="D39" s="29"/>
      <c r="E39" s="93">
        <f t="shared" si="18"/>
        <v>166105.13</v>
      </c>
      <c r="F39" s="240">
        <f t="shared" si="103"/>
        <v>39930</v>
      </c>
      <c r="G39" s="227"/>
      <c r="H39" s="240">
        <v>39930</v>
      </c>
      <c r="I39" s="240"/>
      <c r="J39" s="280"/>
      <c r="K39" s="240">
        <f t="shared" si="104"/>
        <v>233880</v>
      </c>
      <c r="L39" s="280">
        <f t="shared" si="105"/>
        <v>19.397596317011196</v>
      </c>
      <c r="M39" s="280">
        <f t="shared" si="106"/>
        <v>2.375118931922517</v>
      </c>
      <c r="N39" s="1089"/>
      <c r="O39" s="1084"/>
      <c r="P39" s="35">
        <f t="shared" si="86"/>
        <v>37214</v>
      </c>
      <c r="Q39" s="35"/>
      <c r="R39" s="35">
        <v>37214</v>
      </c>
      <c r="S39" s="35"/>
      <c r="T39" s="36"/>
      <c r="U39" s="74">
        <f t="shared" si="107"/>
        <v>19534</v>
      </c>
      <c r="V39" s="36">
        <f t="shared" si="108"/>
        <v>1.6201156424512431</v>
      </c>
      <c r="W39" s="1136"/>
      <c r="X39" s="49">
        <f t="shared" si="87"/>
        <v>615</v>
      </c>
      <c r="Y39" s="50"/>
      <c r="Z39" s="50">
        <f>528+87</f>
        <v>615</v>
      </c>
      <c r="AA39" s="50"/>
      <c r="AB39" s="51"/>
      <c r="AC39" s="50">
        <f t="shared" si="63"/>
        <v>3679</v>
      </c>
      <c r="AD39" s="51">
        <f t="shared" si="64"/>
        <v>0.30512979669182572</v>
      </c>
      <c r="AE39" s="1047"/>
      <c r="AF39" s="40">
        <f t="shared" si="88"/>
        <v>945</v>
      </c>
      <c r="AG39" s="44"/>
      <c r="AH39" s="41">
        <v>945</v>
      </c>
      <c r="AI39" s="41"/>
      <c r="AJ39" s="42"/>
      <c r="AK39" s="41">
        <f t="shared" si="66"/>
        <v>1721</v>
      </c>
      <c r="AL39" s="42">
        <f t="shared" si="67"/>
        <v>0.14273671652803263</v>
      </c>
      <c r="AM39" s="1058"/>
      <c r="AN39" s="67"/>
      <c r="AO39" s="67">
        <v>24</v>
      </c>
      <c r="AP39" s="68"/>
      <c r="AQ39" s="68"/>
      <c r="AR39" s="69">
        <f t="shared" si="109"/>
        <v>1622.9676599999996</v>
      </c>
      <c r="AS39" s="140">
        <f t="shared" si="110"/>
        <v>9.77072568439036</v>
      </c>
      <c r="AT39" s="1073"/>
      <c r="AU39" s="70"/>
      <c r="AV39" s="71">
        <v>12</v>
      </c>
      <c r="AW39" s="72"/>
      <c r="AX39" s="72"/>
      <c r="AY39" s="73">
        <f t="shared" si="111"/>
        <v>454.20566999999994</v>
      </c>
      <c r="AZ39" s="192">
        <f t="shared" si="112"/>
        <v>2.7344469734318255</v>
      </c>
      <c r="BA39" s="1075"/>
      <c r="BB39" s="90">
        <f t="shared" si="113"/>
        <v>10686</v>
      </c>
      <c r="BC39" s="59"/>
      <c r="BD39" s="56">
        <v>10686</v>
      </c>
      <c r="BE39" s="56"/>
      <c r="BF39" s="58">
        <f t="shared" si="54"/>
        <v>27378</v>
      </c>
      <c r="BG39" s="58">
        <f t="shared" si="55"/>
        <v>164.82332604658265</v>
      </c>
      <c r="BH39" s="1133"/>
      <c r="BI39" s="64">
        <f t="shared" si="89"/>
        <v>1908</v>
      </c>
      <c r="BJ39" s="64"/>
      <c r="BK39" s="64">
        <v>1908</v>
      </c>
      <c r="BL39" s="64"/>
      <c r="BM39" s="65"/>
      <c r="BN39" s="64">
        <f t="shared" si="57"/>
        <v>2624</v>
      </c>
      <c r="BO39" s="65">
        <f t="shared" si="58"/>
        <v>0.21762995012757561</v>
      </c>
      <c r="BP39" s="1071"/>
      <c r="BQ39" s="77">
        <f t="shared" si="114"/>
        <v>92340</v>
      </c>
      <c r="BR39" s="35"/>
      <c r="BS39" s="35">
        <v>92340</v>
      </c>
      <c r="BT39" s="35"/>
      <c r="BU39" s="74">
        <f t="shared" si="37"/>
        <v>105357</v>
      </c>
      <c r="BV39" s="74">
        <f t="shared" si="38"/>
        <v>634.27902557855975</v>
      </c>
      <c r="BW39" s="1098"/>
      <c r="BX39" s="296">
        <f t="shared" si="115"/>
        <v>600</v>
      </c>
      <c r="BY39" s="296"/>
      <c r="BZ39" s="296">
        <v>600</v>
      </c>
      <c r="CA39" s="296"/>
      <c r="CB39" s="297"/>
      <c r="CC39" s="296">
        <f t="shared" si="62"/>
        <v>4400</v>
      </c>
      <c r="CD39" s="297">
        <f t="shared" si="17"/>
        <v>0.36492827003099571</v>
      </c>
      <c r="CE39" s="1061"/>
    </row>
    <row r="40" spans="1:83">
      <c r="A40" s="30">
        <v>43622</v>
      </c>
      <c r="B40" s="265">
        <v>278358</v>
      </c>
      <c r="C40" s="1">
        <f t="shared" si="5"/>
        <v>12335522</v>
      </c>
      <c r="D40" s="91">
        <v>6928.38</v>
      </c>
      <c r="E40" s="93">
        <f t="shared" si="18"/>
        <v>173033.51</v>
      </c>
      <c r="F40" s="240">
        <f t="shared" si="103"/>
        <v>39930</v>
      </c>
      <c r="G40" s="227"/>
      <c r="H40" s="240">
        <v>39930</v>
      </c>
      <c r="I40" s="240"/>
      <c r="J40" s="280"/>
      <c r="K40" s="240">
        <f t="shared" si="104"/>
        <v>233880</v>
      </c>
      <c r="L40" s="280">
        <f t="shared" si="105"/>
        <v>18.959878633429536</v>
      </c>
      <c r="M40" s="280">
        <f t="shared" si="106"/>
        <v>2.3215230358062371</v>
      </c>
      <c r="N40" s="1089"/>
      <c r="O40" s="1084"/>
      <c r="P40" s="35">
        <f t="shared" si="86"/>
        <v>37214</v>
      </c>
      <c r="Q40" s="35"/>
      <c r="R40" s="35">
        <v>37214</v>
      </c>
      <c r="S40" s="35"/>
      <c r="T40" s="36"/>
      <c r="U40" s="74">
        <f t="shared" si="107"/>
        <v>19534</v>
      </c>
      <c r="V40" s="36">
        <f t="shared" si="108"/>
        <v>1.5835568207004129</v>
      </c>
      <c r="W40" s="1136"/>
      <c r="X40" s="49">
        <f t="shared" si="87"/>
        <v>615</v>
      </c>
      <c r="Y40" s="50"/>
      <c r="Z40" s="50">
        <f>528+87</f>
        <v>615</v>
      </c>
      <c r="AA40" s="50"/>
      <c r="AB40" s="51"/>
      <c r="AC40" s="50">
        <f t="shared" si="63"/>
        <v>3679</v>
      </c>
      <c r="AD40" s="51">
        <f t="shared" si="64"/>
        <v>0.29824437101243062</v>
      </c>
      <c r="AE40" s="1047"/>
      <c r="AF40" s="40">
        <f t="shared" si="88"/>
        <v>945</v>
      </c>
      <c r="AG40" s="44"/>
      <c r="AH40" s="41">
        <v>945</v>
      </c>
      <c r="AI40" s="41"/>
      <c r="AJ40" s="42"/>
      <c r="AK40" s="41">
        <f t="shared" si="66"/>
        <v>1721</v>
      </c>
      <c r="AL40" s="42">
        <f t="shared" si="67"/>
        <v>0.13951578214525498</v>
      </c>
      <c r="AM40" s="1058"/>
      <c r="AN40" s="67">
        <v>2.9</v>
      </c>
      <c r="AO40" s="67">
        <v>24</v>
      </c>
      <c r="AP40" s="68">
        <f t="shared" ref="AP40:AP47" si="116">AN40*AO40*0.49705</f>
        <v>34.594679999999997</v>
      </c>
      <c r="AQ40" s="68">
        <f t="shared" ref="AQ40:AQ47" si="117">AP40*1000/D40</f>
        <v>4.9931845539649959</v>
      </c>
      <c r="AR40" s="69">
        <f t="shared" si="109"/>
        <v>1657.5623399999995</v>
      </c>
      <c r="AS40" s="140">
        <f t="shared" si="110"/>
        <v>9.5794296723218491</v>
      </c>
      <c r="AT40" s="1073"/>
      <c r="AU40" s="70">
        <v>2.2000000000000002</v>
      </c>
      <c r="AV40" s="71">
        <v>12</v>
      </c>
      <c r="AW40" s="72">
        <f t="shared" ref="AW40:AW64" si="118">AU40*AV40*0.51673</f>
        <v>13.641672000000002</v>
      </c>
      <c r="AX40" s="72">
        <f t="shared" ref="AX40:AX64" si="119">AW40*1000/D40</f>
        <v>1.9689555134100616</v>
      </c>
      <c r="AY40" s="73">
        <f t="shared" si="111"/>
        <v>467.84734199999997</v>
      </c>
      <c r="AZ40" s="192">
        <f t="shared" si="112"/>
        <v>2.7037961721980901</v>
      </c>
      <c r="BA40" s="1075"/>
      <c r="BB40" s="90">
        <f t="shared" si="113"/>
        <v>10686</v>
      </c>
      <c r="BC40" s="59"/>
      <c r="BD40" s="56">
        <v>10686</v>
      </c>
      <c r="BE40" s="56"/>
      <c r="BF40" s="58">
        <f t="shared" si="54"/>
        <v>27378</v>
      </c>
      <c r="BG40" s="58">
        <f t="shared" si="55"/>
        <v>158.22368742332048</v>
      </c>
      <c r="BH40" s="1133"/>
      <c r="BI40" s="64">
        <f t="shared" si="89"/>
        <v>1908</v>
      </c>
      <c r="BJ40" s="64"/>
      <c r="BK40" s="64">
        <v>1908</v>
      </c>
      <c r="BL40" s="64"/>
      <c r="BM40" s="65"/>
      <c r="BN40" s="64">
        <f t="shared" si="57"/>
        <v>2624</v>
      </c>
      <c r="BO40" s="65">
        <f t="shared" si="58"/>
        <v>0.2127190077566235</v>
      </c>
      <c r="BP40" s="1071"/>
      <c r="BQ40" s="77">
        <f t="shared" si="114"/>
        <v>92340</v>
      </c>
      <c r="BR40" s="35"/>
      <c r="BS40" s="35">
        <f>40416+12000+31000</f>
        <v>83416</v>
      </c>
      <c r="BT40" s="35">
        <f>BQ40-BS40+BR40</f>
        <v>8924</v>
      </c>
      <c r="BU40" s="74">
        <f t="shared" si="37"/>
        <v>114281</v>
      </c>
      <c r="BV40" s="74">
        <f t="shared" si="38"/>
        <v>660.45588510572315</v>
      </c>
      <c r="BW40" s="1098"/>
      <c r="BX40" s="296">
        <f t="shared" si="115"/>
        <v>600</v>
      </c>
      <c r="BY40" s="296"/>
      <c r="BZ40" s="296">
        <v>600</v>
      </c>
      <c r="CA40" s="296"/>
      <c r="CB40" s="297"/>
      <c r="CC40" s="296">
        <f t="shared" si="62"/>
        <v>4400</v>
      </c>
      <c r="CD40" s="297">
        <f t="shared" si="17"/>
        <v>0.35669345812848458</v>
      </c>
      <c r="CE40" s="1061"/>
    </row>
    <row r="41" spans="1:83">
      <c r="A41" s="30">
        <v>43623</v>
      </c>
      <c r="B41" s="265">
        <v>655289</v>
      </c>
      <c r="C41" s="1">
        <f t="shared" si="5"/>
        <v>12990811</v>
      </c>
      <c r="D41" s="91">
        <v>6846.42</v>
      </c>
      <c r="E41" s="93">
        <f t="shared" si="18"/>
        <v>179879.93000000002</v>
      </c>
      <c r="F41" s="240">
        <f t="shared" si="103"/>
        <v>39930</v>
      </c>
      <c r="G41" s="227"/>
      <c r="H41" s="240">
        <v>3000</v>
      </c>
      <c r="I41" s="240">
        <f t="shared" ref="I41:I54" si="120">F41+G41-H41</f>
        <v>36930</v>
      </c>
      <c r="J41" s="280">
        <f t="shared" ref="J41:J54" si="121">I41*1000/B41</f>
        <v>56.356813558597807</v>
      </c>
      <c r="K41" s="240">
        <f t="shared" si="104"/>
        <v>270810</v>
      </c>
      <c r="L41" s="280">
        <f t="shared" si="105"/>
        <v>20.846273569833322</v>
      </c>
      <c r="M41" s="280">
        <f t="shared" si="106"/>
        <v>2.5525007432145612</v>
      </c>
      <c r="N41" s="1089"/>
      <c r="O41" s="1084"/>
      <c r="P41" s="35">
        <f t="shared" si="86"/>
        <v>37214</v>
      </c>
      <c r="Q41" s="35"/>
      <c r="R41" s="35">
        <v>37214</v>
      </c>
      <c r="S41" s="35"/>
      <c r="T41" s="36"/>
      <c r="U41" s="74">
        <f t="shared" si="107"/>
        <v>19534</v>
      </c>
      <c r="V41" s="36">
        <f t="shared" si="108"/>
        <v>1.5036782538057092</v>
      </c>
      <c r="W41" s="1136"/>
      <c r="X41" s="49">
        <f t="shared" si="87"/>
        <v>615</v>
      </c>
      <c r="Y41" s="50"/>
      <c r="Z41" s="50">
        <f>261+50</f>
        <v>311</v>
      </c>
      <c r="AA41" s="50">
        <f t="shared" ref="AA41:AA54" si="122">X41+Y41-Z41</f>
        <v>304</v>
      </c>
      <c r="AB41" s="51">
        <f t="shared" ref="AB41:AB54" si="123">AA41*1000/B41</f>
        <v>0.46391744711112198</v>
      </c>
      <c r="AC41" s="50">
        <f t="shared" si="63"/>
        <v>3983</v>
      </c>
      <c r="AD41" s="51">
        <f t="shared" si="64"/>
        <v>0.30660133535927819</v>
      </c>
      <c r="AE41" s="1047"/>
      <c r="AF41" s="40">
        <f t="shared" si="88"/>
        <v>945</v>
      </c>
      <c r="AG41" s="44"/>
      <c r="AH41" s="41">
        <v>785</v>
      </c>
      <c r="AI41" s="41">
        <f t="shared" ref="AI41:AI54" si="124">AF41+AG41-AH41</f>
        <v>160</v>
      </c>
      <c r="AJ41" s="42">
        <f t="shared" ref="AJ41:AJ54" si="125">AI41*1000/B41</f>
        <v>0.2441670774269063</v>
      </c>
      <c r="AK41" s="41">
        <f t="shared" si="66"/>
        <v>1881</v>
      </c>
      <c r="AL41" s="42">
        <f t="shared" si="67"/>
        <v>0.14479465523745977</v>
      </c>
      <c r="AM41" s="1058"/>
      <c r="AN41" s="67">
        <v>4.0999999999999996</v>
      </c>
      <c r="AO41" s="67">
        <v>24</v>
      </c>
      <c r="AP41" s="68">
        <f t="shared" si="116"/>
        <v>48.909719999999993</v>
      </c>
      <c r="AQ41" s="68">
        <f t="shared" si="117"/>
        <v>7.1438386777323029</v>
      </c>
      <c r="AR41" s="69">
        <f t="shared" si="109"/>
        <v>1706.4720599999996</v>
      </c>
      <c r="AS41" s="140">
        <f t="shared" si="110"/>
        <v>9.4867285082888309</v>
      </c>
      <c r="AT41" s="1073"/>
      <c r="AU41" s="70">
        <v>2.5</v>
      </c>
      <c r="AV41" s="71">
        <v>12</v>
      </c>
      <c r="AW41" s="72">
        <f t="shared" si="118"/>
        <v>15.501900000000001</v>
      </c>
      <c r="AX41" s="72">
        <f t="shared" si="119"/>
        <v>2.2642344466158959</v>
      </c>
      <c r="AY41" s="73">
        <f t="shared" si="111"/>
        <v>483.34924199999995</v>
      </c>
      <c r="AZ41" s="192">
        <f t="shared" si="112"/>
        <v>2.6870659889627482</v>
      </c>
      <c r="BA41" s="1075"/>
      <c r="BB41" s="90">
        <f t="shared" si="113"/>
        <v>10686</v>
      </c>
      <c r="BC41" s="59"/>
      <c r="BD41" s="56">
        <v>5500</v>
      </c>
      <c r="BE41" s="56">
        <f>BB41+BC41-BD41</f>
        <v>5186</v>
      </c>
      <c r="BF41" s="58">
        <f t="shared" si="54"/>
        <v>32564</v>
      </c>
      <c r="BG41" s="58">
        <f t="shared" si="55"/>
        <v>181.03186942534387</v>
      </c>
      <c r="BH41" s="1133"/>
      <c r="BI41" s="64">
        <f t="shared" si="89"/>
        <v>1908</v>
      </c>
      <c r="BJ41" s="64"/>
      <c r="BK41" s="64">
        <v>1722</v>
      </c>
      <c r="BL41" s="64">
        <f t="shared" ref="BL41:BL54" si="126">BI41+BJ41-BK41</f>
        <v>186</v>
      </c>
      <c r="BM41" s="65">
        <f t="shared" ref="BM41:BM54" si="127">BL41*1000/B41</f>
        <v>0.28384422750877858</v>
      </c>
      <c r="BN41" s="64">
        <f t="shared" si="57"/>
        <v>2810</v>
      </c>
      <c r="BO41" s="65">
        <f t="shared" si="58"/>
        <v>0.21630674174229769</v>
      </c>
      <c r="BP41" s="1071"/>
      <c r="BQ41" s="77">
        <f t="shared" si="114"/>
        <v>83416</v>
      </c>
      <c r="BR41" s="98"/>
      <c r="BS41" s="35">
        <f>40416+12000+31000</f>
        <v>83416</v>
      </c>
      <c r="BT41" s="35"/>
      <c r="BU41" s="74">
        <f t="shared" si="37"/>
        <v>114281</v>
      </c>
      <c r="BV41" s="74">
        <f t="shared" si="38"/>
        <v>635.31823700398365</v>
      </c>
      <c r="BW41" s="1098"/>
      <c r="BX41" s="296">
        <f t="shared" si="115"/>
        <v>600</v>
      </c>
      <c r="BY41" s="296"/>
      <c r="BZ41" s="296">
        <v>600</v>
      </c>
      <c r="CA41" s="296"/>
      <c r="CB41" s="297"/>
      <c r="CC41" s="296">
        <f t="shared" si="62"/>
        <v>4400</v>
      </c>
      <c r="CD41" s="297">
        <f t="shared" si="17"/>
        <v>0.3387009479238825</v>
      </c>
      <c r="CE41" s="1061"/>
    </row>
    <row r="42" spans="1:83">
      <c r="A42" s="30">
        <v>43624</v>
      </c>
      <c r="B42" s="265">
        <v>657444</v>
      </c>
      <c r="C42" s="1">
        <f t="shared" si="5"/>
        <v>13648255</v>
      </c>
      <c r="D42" s="91">
        <v>7869.3</v>
      </c>
      <c r="E42" s="93">
        <f t="shared" si="18"/>
        <v>187749.23</v>
      </c>
      <c r="F42" s="240">
        <f t="shared" si="103"/>
        <v>3000</v>
      </c>
      <c r="G42" s="321">
        <v>30500</v>
      </c>
      <c r="H42" s="240">
        <v>10000</v>
      </c>
      <c r="I42" s="240">
        <f t="shared" si="120"/>
        <v>23500</v>
      </c>
      <c r="J42" s="280">
        <f t="shared" si="121"/>
        <v>35.744489264484884</v>
      </c>
      <c r="K42" s="240">
        <f t="shared" si="104"/>
        <v>294310</v>
      </c>
      <c r="L42" s="280">
        <f t="shared" si="105"/>
        <v>21.563928868562318</v>
      </c>
      <c r="M42" s="280">
        <f t="shared" si="106"/>
        <v>2.6403733156069937</v>
      </c>
      <c r="N42" s="1089"/>
      <c r="O42" s="1084"/>
      <c r="P42" s="35">
        <f t="shared" ref="P42:P64" si="128">R41</f>
        <v>37214</v>
      </c>
      <c r="Q42" s="35"/>
      <c r="R42" s="35">
        <v>37214</v>
      </c>
      <c r="S42" s="35"/>
      <c r="T42" s="36"/>
      <c r="U42" s="74">
        <f t="shared" si="107"/>
        <v>19534</v>
      </c>
      <c r="V42" s="36">
        <f t="shared" si="108"/>
        <v>1.431245239776074</v>
      </c>
      <c r="W42" s="1136"/>
      <c r="X42" s="49">
        <f t="shared" si="87"/>
        <v>311</v>
      </c>
      <c r="Y42" s="50">
        <v>900</v>
      </c>
      <c r="Z42" s="50">
        <f>1024+78</f>
        <v>1102</v>
      </c>
      <c r="AA42" s="50">
        <f t="shared" si="122"/>
        <v>109</v>
      </c>
      <c r="AB42" s="51">
        <f t="shared" si="123"/>
        <v>0.16579358850335543</v>
      </c>
      <c r="AC42" s="50">
        <f t="shared" si="63"/>
        <v>4092</v>
      </c>
      <c r="AD42" s="51">
        <f t="shared" si="64"/>
        <v>0.29981854823199011</v>
      </c>
      <c r="AE42" s="1047"/>
      <c r="AF42" s="40">
        <f t="shared" si="88"/>
        <v>785</v>
      </c>
      <c r="AG42" s="44"/>
      <c r="AH42" s="41">
        <v>745</v>
      </c>
      <c r="AI42" s="41">
        <f t="shared" si="124"/>
        <v>40</v>
      </c>
      <c r="AJ42" s="42">
        <f t="shared" si="125"/>
        <v>6.0841683854442358E-2</v>
      </c>
      <c r="AK42" s="41">
        <f t="shared" si="66"/>
        <v>1921</v>
      </c>
      <c r="AL42" s="42">
        <f t="shared" si="67"/>
        <v>0.1407505941235711</v>
      </c>
      <c r="AM42" s="1058"/>
      <c r="AN42" s="67">
        <v>5.5</v>
      </c>
      <c r="AO42" s="67">
        <v>24</v>
      </c>
      <c r="AP42" s="68">
        <f t="shared" si="116"/>
        <v>65.610600000000005</v>
      </c>
      <c r="AQ42" s="68">
        <f t="shared" si="117"/>
        <v>8.3375395524379563</v>
      </c>
      <c r="AR42" s="69">
        <f t="shared" si="109"/>
        <v>1772.0826599999996</v>
      </c>
      <c r="AS42" s="140">
        <f t="shared" si="110"/>
        <v>9.4385615323162693</v>
      </c>
      <c r="AT42" s="1073"/>
      <c r="AU42" s="70">
        <v>2.9</v>
      </c>
      <c r="AV42" s="71">
        <v>12</v>
      </c>
      <c r="AW42" s="72">
        <f t="shared" si="118"/>
        <v>17.982203999999999</v>
      </c>
      <c r="AX42" s="72">
        <f t="shared" si="119"/>
        <v>2.2851084594563682</v>
      </c>
      <c r="AY42" s="73">
        <f t="shared" si="111"/>
        <v>501.33144599999997</v>
      </c>
      <c r="AZ42" s="192">
        <f t="shared" si="112"/>
        <v>2.6702183865148208</v>
      </c>
      <c r="BA42" s="1075"/>
      <c r="BB42" s="90">
        <f t="shared" si="113"/>
        <v>5500</v>
      </c>
      <c r="BC42" s="59"/>
      <c r="BD42" s="56">
        <v>5500</v>
      </c>
      <c r="BE42" s="56"/>
      <c r="BF42" s="58">
        <f t="shared" ref="BF42:BF54" si="129">BF41+BE42</f>
        <v>32564</v>
      </c>
      <c r="BG42" s="58">
        <f t="shared" ref="BG42:BG54" si="130">BF42*1000/E42</f>
        <v>173.44412011703056</v>
      </c>
      <c r="BH42" s="1133"/>
      <c r="BI42" s="64">
        <f t="shared" si="89"/>
        <v>1722</v>
      </c>
      <c r="BJ42" s="64"/>
      <c r="BK42" s="64">
        <v>1620</v>
      </c>
      <c r="BL42" s="64">
        <f t="shared" si="126"/>
        <v>102</v>
      </c>
      <c r="BM42" s="65">
        <f t="shared" si="127"/>
        <v>0.155146293828828</v>
      </c>
      <c r="BN42" s="64">
        <f t="shared" si="57"/>
        <v>2912</v>
      </c>
      <c r="BO42" s="65">
        <f t="shared" si="58"/>
        <v>0.2133606091035081</v>
      </c>
      <c r="BP42" s="1071"/>
      <c r="BQ42" s="77">
        <f t="shared" si="114"/>
        <v>83416</v>
      </c>
      <c r="BR42" s="98"/>
      <c r="BS42" s="35">
        <f>40416+12000+31000</f>
        <v>83416</v>
      </c>
      <c r="BT42" s="35"/>
      <c r="BU42" s="74">
        <f t="shared" si="37"/>
        <v>114281</v>
      </c>
      <c r="BV42" s="74">
        <f t="shared" si="38"/>
        <v>608.68958024488302</v>
      </c>
      <c r="BW42" s="1098"/>
      <c r="BX42" s="296">
        <f t="shared" si="115"/>
        <v>600</v>
      </c>
      <c r="BY42" s="296"/>
      <c r="BZ42" s="296">
        <v>600</v>
      </c>
      <c r="CA42" s="296"/>
      <c r="CB42" s="297"/>
      <c r="CC42" s="296">
        <f t="shared" si="62"/>
        <v>4400</v>
      </c>
      <c r="CD42" s="297">
        <f t="shared" si="17"/>
        <v>0.32238553573332268</v>
      </c>
      <c r="CE42" s="1061"/>
    </row>
    <row r="43" spans="1:83">
      <c r="A43" s="30">
        <v>43625</v>
      </c>
      <c r="B43" s="265">
        <v>608448</v>
      </c>
      <c r="C43" s="1">
        <f t="shared" si="5"/>
        <v>14256703</v>
      </c>
      <c r="D43" s="91">
        <v>8186.06</v>
      </c>
      <c r="E43" s="93">
        <f t="shared" si="18"/>
        <v>195935.29</v>
      </c>
      <c r="F43" s="240">
        <f t="shared" si="103"/>
        <v>10000</v>
      </c>
      <c r="G43" s="280"/>
      <c r="H43" s="240">
        <v>0</v>
      </c>
      <c r="I43" s="240">
        <f t="shared" si="120"/>
        <v>10000</v>
      </c>
      <c r="J43" s="280">
        <f t="shared" si="121"/>
        <v>16.435258230777322</v>
      </c>
      <c r="K43" s="240">
        <f t="shared" si="104"/>
        <v>304310</v>
      </c>
      <c r="L43" s="280">
        <f t="shared" si="105"/>
        <v>21.345047308623879</v>
      </c>
      <c r="M43" s="280">
        <f t="shared" si="106"/>
        <v>2.6135725858483996</v>
      </c>
      <c r="N43" s="1089"/>
      <c r="O43" s="1084"/>
      <c r="P43" s="35">
        <f t="shared" si="128"/>
        <v>37214</v>
      </c>
      <c r="Q43" s="35"/>
      <c r="R43" s="35">
        <v>35344</v>
      </c>
      <c r="S43" s="35">
        <f>P43+Q43-R43</f>
        <v>1870</v>
      </c>
      <c r="T43" s="36">
        <f>1000*S43/B43</f>
        <v>3.073393289155359</v>
      </c>
      <c r="U43" s="74">
        <f t="shared" si="107"/>
        <v>21404</v>
      </c>
      <c r="V43" s="36">
        <f t="shared" si="108"/>
        <v>1.501328883683696</v>
      </c>
      <c r="W43" s="1136"/>
      <c r="X43" s="49">
        <f t="shared" si="87"/>
        <v>1102</v>
      </c>
      <c r="Y43" s="50"/>
      <c r="Z43" s="50">
        <f>868+50</f>
        <v>918</v>
      </c>
      <c r="AA43" s="50">
        <f t="shared" si="122"/>
        <v>184</v>
      </c>
      <c r="AB43" s="51">
        <f t="shared" si="123"/>
        <v>0.30240875144630275</v>
      </c>
      <c r="AC43" s="50">
        <f t="shared" si="63"/>
        <v>4276</v>
      </c>
      <c r="AD43" s="51">
        <f t="shared" si="64"/>
        <v>0.29992909300277909</v>
      </c>
      <c r="AE43" s="1047"/>
      <c r="AF43" s="40">
        <f t="shared" si="88"/>
        <v>745</v>
      </c>
      <c r="AG43" s="44"/>
      <c r="AH43" s="41">
        <v>666</v>
      </c>
      <c r="AI43" s="41">
        <f t="shared" si="124"/>
        <v>79</v>
      </c>
      <c r="AJ43" s="42">
        <f t="shared" si="125"/>
        <v>0.12983854002314085</v>
      </c>
      <c r="AK43" s="41">
        <f t="shared" si="66"/>
        <v>2000</v>
      </c>
      <c r="AL43" s="42">
        <f t="shared" si="67"/>
        <v>0.14028488915003701</v>
      </c>
      <c r="AM43" s="1058"/>
      <c r="AN43" s="67">
        <v>4.8</v>
      </c>
      <c r="AO43" s="67">
        <v>24</v>
      </c>
      <c r="AP43" s="68">
        <f t="shared" si="116"/>
        <v>57.260159999999992</v>
      </c>
      <c r="AQ43" s="68">
        <f t="shared" si="117"/>
        <v>6.9948375653244641</v>
      </c>
      <c r="AR43" s="69">
        <f t="shared" si="109"/>
        <v>1829.3428199999996</v>
      </c>
      <c r="AS43" s="140">
        <f t="shared" si="110"/>
        <v>9.336464196929505</v>
      </c>
      <c r="AT43" s="1073"/>
      <c r="AU43" s="70">
        <v>2.8</v>
      </c>
      <c r="AV43" s="71">
        <v>12</v>
      </c>
      <c r="AW43" s="72">
        <f t="shared" si="118"/>
        <v>17.362127999999998</v>
      </c>
      <c r="AX43" s="72">
        <f t="shared" si="119"/>
        <v>2.1209382779994277</v>
      </c>
      <c r="AY43" s="73">
        <f t="shared" si="111"/>
        <v>518.69357400000001</v>
      </c>
      <c r="AZ43" s="192">
        <f t="shared" si="112"/>
        <v>2.6472697899393212</v>
      </c>
      <c r="BA43" s="1075"/>
      <c r="BB43" s="90">
        <f t="shared" si="113"/>
        <v>5500</v>
      </c>
      <c r="BC43" s="59"/>
      <c r="BD43" s="56">
        <v>5500</v>
      </c>
      <c r="BE43" s="56"/>
      <c r="BF43" s="58">
        <f t="shared" si="129"/>
        <v>32564</v>
      </c>
      <c r="BG43" s="58">
        <f t="shared" si="130"/>
        <v>166.19772783146925</v>
      </c>
      <c r="BH43" s="1133"/>
      <c r="BI43" s="64">
        <f t="shared" si="89"/>
        <v>1620</v>
      </c>
      <c r="BJ43" s="64"/>
      <c r="BK43" s="64">
        <v>1476</v>
      </c>
      <c r="BL43" s="64">
        <f t="shared" si="126"/>
        <v>144</v>
      </c>
      <c r="BM43" s="65">
        <f t="shared" si="127"/>
        <v>0.23666771852319343</v>
      </c>
      <c r="BN43" s="64">
        <f t="shared" si="57"/>
        <v>3056</v>
      </c>
      <c r="BO43" s="65">
        <f t="shared" si="58"/>
        <v>0.21435531062125654</v>
      </c>
      <c r="BP43" s="1071"/>
      <c r="BQ43" s="77">
        <f t="shared" si="114"/>
        <v>83416</v>
      </c>
      <c r="BR43" s="98"/>
      <c r="BS43" s="35">
        <f>40416+12000+31000</f>
        <v>83416</v>
      </c>
      <c r="BT43" s="35"/>
      <c r="BU43" s="74">
        <f t="shared" si="37"/>
        <v>114281</v>
      </c>
      <c r="BV43" s="74">
        <f t="shared" si="38"/>
        <v>583.25889123904119</v>
      </c>
      <c r="BW43" s="1098"/>
      <c r="BX43" s="296">
        <v>600</v>
      </c>
      <c r="BY43" s="296"/>
      <c r="BZ43" s="296">
        <v>600</v>
      </c>
      <c r="CA43" s="296"/>
      <c r="CB43" s="297"/>
      <c r="CC43" s="296">
        <f t="shared" si="62"/>
        <v>4400</v>
      </c>
      <c r="CD43" s="297">
        <f t="shared" si="17"/>
        <v>0.30862675613008139</v>
      </c>
      <c r="CE43" s="1061"/>
    </row>
    <row r="44" spans="1:83">
      <c r="A44" s="30">
        <v>43626</v>
      </c>
      <c r="B44" s="32">
        <v>648919</v>
      </c>
      <c r="C44" s="1">
        <f t="shared" si="5"/>
        <v>14905622</v>
      </c>
      <c r="D44" s="29">
        <v>6151.26</v>
      </c>
      <c r="E44" s="93">
        <f t="shared" si="18"/>
        <v>202086.55000000002</v>
      </c>
      <c r="F44" s="240"/>
      <c r="G44" s="321">
        <v>31900</v>
      </c>
      <c r="H44" s="240">
        <v>18500</v>
      </c>
      <c r="I44" s="240">
        <f t="shared" si="120"/>
        <v>13400</v>
      </c>
      <c r="J44" s="280">
        <f t="shared" si="121"/>
        <v>20.649726699326109</v>
      </c>
      <c r="K44" s="240">
        <f t="shared" si="104"/>
        <v>317710</v>
      </c>
      <c r="L44" s="280">
        <f t="shared" si="105"/>
        <v>21.314776397791384</v>
      </c>
      <c r="M44" s="280">
        <f t="shared" si="106"/>
        <v>2.6098660949909864</v>
      </c>
      <c r="N44" s="1089"/>
      <c r="O44" s="1084"/>
      <c r="P44" s="35">
        <f t="shared" si="128"/>
        <v>35344</v>
      </c>
      <c r="Q44" s="35"/>
      <c r="R44" s="35">
        <v>34539</v>
      </c>
      <c r="S44" s="35">
        <f>P44+Q44-R44</f>
        <v>805</v>
      </c>
      <c r="T44" s="36">
        <f>1000*S44/B44</f>
        <v>1.2405246263401133</v>
      </c>
      <c r="U44" s="74">
        <f t="shared" ref="U44:U54" si="131">U43+S44</f>
        <v>22209</v>
      </c>
      <c r="V44" s="36">
        <f t="shared" ref="V44:V54" si="132">1000*U44/C44</f>
        <v>1.4899747222893482</v>
      </c>
      <c r="W44" s="1136"/>
      <c r="X44" s="49">
        <f t="shared" si="87"/>
        <v>918</v>
      </c>
      <c r="Y44" s="50"/>
      <c r="Z44" s="50">
        <f>707+15</f>
        <v>722</v>
      </c>
      <c r="AA44" s="50">
        <f t="shared" si="122"/>
        <v>196</v>
      </c>
      <c r="AB44" s="51">
        <f t="shared" si="123"/>
        <v>0.30204077858715805</v>
      </c>
      <c r="AC44" s="50">
        <f t="shared" si="63"/>
        <v>4472</v>
      </c>
      <c r="AD44" s="51">
        <f t="shared" si="64"/>
        <v>0.3000210256237546</v>
      </c>
      <c r="AE44" s="1047"/>
      <c r="AF44" s="40">
        <f t="shared" si="88"/>
        <v>666</v>
      </c>
      <c r="AG44" s="41"/>
      <c r="AH44" s="41">
        <v>587</v>
      </c>
      <c r="AI44" s="41">
        <f t="shared" si="124"/>
        <v>79</v>
      </c>
      <c r="AJ44" s="42">
        <f t="shared" si="125"/>
        <v>0.12174092606319124</v>
      </c>
      <c r="AK44" s="41">
        <f t="shared" si="66"/>
        <v>2079</v>
      </c>
      <c r="AL44" s="42">
        <f t="shared" si="67"/>
        <v>0.13947757430048877</v>
      </c>
      <c r="AM44" s="1058"/>
      <c r="AN44" s="67">
        <v>4.2</v>
      </c>
      <c r="AO44" s="67">
        <v>24</v>
      </c>
      <c r="AP44" s="68">
        <f t="shared" si="116"/>
        <v>50.102640000000008</v>
      </c>
      <c r="AQ44" s="68">
        <f t="shared" si="117"/>
        <v>8.1451019791067196</v>
      </c>
      <c r="AR44" s="69">
        <f t="shared" si="109"/>
        <v>1879.4454599999997</v>
      </c>
      <c r="AS44" s="140">
        <f t="shared" si="110"/>
        <v>9.3002006318579813</v>
      </c>
      <c r="AT44" s="1073"/>
      <c r="AU44" s="70">
        <v>2.2000000000000002</v>
      </c>
      <c r="AV44" s="71">
        <v>12</v>
      </c>
      <c r="AW44" s="72">
        <f t="shared" si="118"/>
        <v>13.641672000000002</v>
      </c>
      <c r="AX44" s="72">
        <f t="shared" si="119"/>
        <v>2.2177036899757128</v>
      </c>
      <c r="AY44" s="73">
        <f t="shared" si="111"/>
        <v>532.33524599999998</v>
      </c>
      <c r="AZ44" s="192">
        <f t="shared" si="112"/>
        <v>2.6341943390096958</v>
      </c>
      <c r="BA44" s="1075"/>
      <c r="BB44" s="90">
        <f t="shared" si="113"/>
        <v>5500</v>
      </c>
      <c r="BC44" s="59"/>
      <c r="BD44" s="56">
        <v>5500</v>
      </c>
      <c r="BE44" s="56"/>
      <c r="BF44" s="58">
        <f t="shared" si="129"/>
        <v>32564</v>
      </c>
      <c r="BG44" s="58">
        <f t="shared" si="130"/>
        <v>161.13887836671958</v>
      </c>
      <c r="BH44" s="1133"/>
      <c r="BI44" s="64">
        <f t="shared" si="89"/>
        <v>1476</v>
      </c>
      <c r="BJ44" s="64"/>
      <c r="BK44" s="64">
        <v>1380</v>
      </c>
      <c r="BL44" s="64">
        <f t="shared" si="126"/>
        <v>96</v>
      </c>
      <c r="BM44" s="65">
        <f t="shared" si="127"/>
        <v>0.14793834053248556</v>
      </c>
      <c r="BN44" s="64">
        <f t="shared" si="57"/>
        <v>3152</v>
      </c>
      <c r="BO44" s="65">
        <f t="shared" si="58"/>
        <v>0.21146383559169821</v>
      </c>
      <c r="BP44" s="1071"/>
      <c r="BQ44" s="77">
        <f t="shared" si="114"/>
        <v>83416</v>
      </c>
      <c r="BR44" s="98"/>
      <c r="BS44" s="35">
        <f>40416+12000+31000</f>
        <v>83416</v>
      </c>
      <c r="BT44" s="35"/>
      <c r="BU44" s="74">
        <f t="shared" si="37"/>
        <v>114281</v>
      </c>
      <c r="BV44" s="74">
        <f t="shared" si="38"/>
        <v>565.50522536012409</v>
      </c>
      <c r="BW44" s="1098"/>
      <c r="BX44" s="296">
        <v>600</v>
      </c>
      <c r="BY44" s="296"/>
      <c r="BZ44" s="296">
        <v>600</v>
      </c>
      <c r="CA44" s="296"/>
      <c r="CB44" s="297"/>
      <c r="CC44" s="296">
        <f t="shared" si="62"/>
        <v>4400</v>
      </c>
      <c r="CD44" s="297">
        <f t="shared" ref="CD44:CD54" si="133">CC44*1000/C44</f>
        <v>0.29519063344018787</v>
      </c>
      <c r="CE44" s="1061"/>
    </row>
    <row r="45" spans="1:83">
      <c r="A45" s="30">
        <v>43627</v>
      </c>
      <c r="B45" s="32">
        <v>615850</v>
      </c>
      <c r="C45" s="1">
        <f t="shared" si="5"/>
        <v>15521472</v>
      </c>
      <c r="D45" s="29">
        <v>7762.96</v>
      </c>
      <c r="E45" s="93">
        <f t="shared" si="18"/>
        <v>209849.51</v>
      </c>
      <c r="F45" s="240">
        <f t="shared" si="103"/>
        <v>18500</v>
      </c>
      <c r="G45" s="227"/>
      <c r="H45" s="240">
        <v>2500</v>
      </c>
      <c r="I45" s="240">
        <f t="shared" si="120"/>
        <v>16000</v>
      </c>
      <c r="J45" s="280">
        <f t="shared" si="121"/>
        <v>25.980352358528862</v>
      </c>
      <c r="K45" s="240">
        <f t="shared" si="104"/>
        <v>333710</v>
      </c>
      <c r="L45" s="280">
        <f t="shared" si="105"/>
        <v>21.499893824503243</v>
      </c>
      <c r="M45" s="280">
        <f t="shared" si="106"/>
        <v>2.6325326098326487</v>
      </c>
      <c r="N45" s="1089"/>
      <c r="O45" s="1084"/>
      <c r="P45" s="35">
        <f t="shared" si="128"/>
        <v>34539</v>
      </c>
      <c r="Q45" s="35"/>
      <c r="R45" s="35">
        <v>34270</v>
      </c>
      <c r="S45" s="35">
        <f>P45+Q45-R45</f>
        <v>269</v>
      </c>
      <c r="T45" s="36">
        <f>1000*S45/B45</f>
        <v>0.43679467402776651</v>
      </c>
      <c r="U45" s="74">
        <f t="shared" si="131"/>
        <v>22478</v>
      </c>
      <c r="V45" s="36">
        <f t="shared" si="132"/>
        <v>1.4481873884126455</v>
      </c>
      <c r="W45" s="1136"/>
      <c r="X45" s="49">
        <f t="shared" si="87"/>
        <v>722</v>
      </c>
      <c r="Y45" s="50"/>
      <c r="Z45" s="50">
        <f>528+110</f>
        <v>638</v>
      </c>
      <c r="AA45" s="50">
        <f t="shared" si="122"/>
        <v>84</v>
      </c>
      <c r="AB45" s="51">
        <f t="shared" si="123"/>
        <v>0.13639684988227652</v>
      </c>
      <c r="AC45" s="50">
        <f t="shared" si="63"/>
        <v>4556</v>
      </c>
      <c r="AD45" s="51">
        <f t="shared" si="64"/>
        <v>0.29352886118017674</v>
      </c>
      <c r="AE45" s="1047"/>
      <c r="AF45" s="40">
        <f t="shared" si="88"/>
        <v>587</v>
      </c>
      <c r="AG45" s="41"/>
      <c r="AH45" s="41">
        <v>548</v>
      </c>
      <c r="AI45" s="41">
        <f t="shared" si="124"/>
        <v>39</v>
      </c>
      <c r="AJ45" s="42">
        <f t="shared" si="125"/>
        <v>6.3327108873914101E-2</v>
      </c>
      <c r="AK45" s="41">
        <f t="shared" si="66"/>
        <v>2118</v>
      </c>
      <c r="AL45" s="42">
        <f t="shared" si="67"/>
        <v>0.13645612993406811</v>
      </c>
      <c r="AM45" s="1058"/>
      <c r="AN45" s="311">
        <v>4</v>
      </c>
      <c r="AO45" s="67">
        <v>24</v>
      </c>
      <c r="AP45" s="68">
        <f t="shared" si="116"/>
        <v>47.716799999999999</v>
      </c>
      <c r="AQ45" s="68">
        <f t="shared" si="117"/>
        <v>6.1467275369189069</v>
      </c>
      <c r="AR45" s="69">
        <f t="shared" si="109"/>
        <v>1927.1622599999996</v>
      </c>
      <c r="AS45" s="140">
        <f t="shared" si="110"/>
        <v>9.1835442455881804</v>
      </c>
      <c r="AT45" s="1073"/>
      <c r="AU45" s="70">
        <v>3.1</v>
      </c>
      <c r="AV45" s="71">
        <v>12</v>
      </c>
      <c r="AW45" s="72">
        <f t="shared" si="118"/>
        <v>19.222356000000001</v>
      </c>
      <c r="AX45" s="72">
        <f t="shared" si="119"/>
        <v>2.4761632160928304</v>
      </c>
      <c r="AY45" s="73">
        <f t="shared" si="111"/>
        <v>551.55760199999997</v>
      </c>
      <c r="AZ45" s="192">
        <f t="shared" si="112"/>
        <v>2.6283482958811768</v>
      </c>
      <c r="BA45" s="1075"/>
      <c r="BB45" s="90">
        <f t="shared" si="113"/>
        <v>5500</v>
      </c>
      <c r="BC45" s="59"/>
      <c r="BD45" s="56">
        <v>5500</v>
      </c>
      <c r="BE45" s="56"/>
      <c r="BF45" s="58">
        <f t="shared" si="129"/>
        <v>32564</v>
      </c>
      <c r="BG45" s="58">
        <f t="shared" si="130"/>
        <v>155.17787008413791</v>
      </c>
      <c r="BH45" s="1133"/>
      <c r="BI45" s="64">
        <f t="shared" si="89"/>
        <v>1380</v>
      </c>
      <c r="BJ45" s="64"/>
      <c r="BK45" s="64">
        <v>1260</v>
      </c>
      <c r="BL45" s="64">
        <f t="shared" si="126"/>
        <v>120</v>
      </c>
      <c r="BM45" s="65">
        <f t="shared" si="127"/>
        <v>0.19485264268896646</v>
      </c>
      <c r="BN45" s="64">
        <f t="shared" si="57"/>
        <v>3272</v>
      </c>
      <c r="BO45" s="65">
        <f t="shared" si="58"/>
        <v>0.2108047484156142</v>
      </c>
      <c r="BP45" s="1071"/>
      <c r="BQ45" s="77">
        <f t="shared" si="114"/>
        <v>83416</v>
      </c>
      <c r="BR45" s="98"/>
      <c r="BS45" s="35">
        <f>45961+4000+31000</f>
        <v>80961</v>
      </c>
      <c r="BT45" s="35">
        <f>BQ45-BS45+BR45</f>
        <v>2455</v>
      </c>
      <c r="BU45" s="74">
        <f t="shared" si="37"/>
        <v>116736</v>
      </c>
      <c r="BV45" s="74">
        <f t="shared" si="38"/>
        <v>556.28435825273073</v>
      </c>
      <c r="BW45" s="1098"/>
      <c r="BX45" s="296">
        <v>600</v>
      </c>
      <c r="BY45" s="296"/>
      <c r="BZ45" s="296">
        <v>600</v>
      </c>
      <c r="CA45" s="296"/>
      <c r="CB45" s="297"/>
      <c r="CC45" s="296">
        <f t="shared" si="62"/>
        <v>4400</v>
      </c>
      <c r="CD45" s="297">
        <f t="shared" si="133"/>
        <v>0.28347826804055698</v>
      </c>
      <c r="CE45" s="1061"/>
    </row>
    <row r="46" spans="1:83">
      <c r="A46" s="30">
        <v>43628</v>
      </c>
      <c r="B46" s="32">
        <v>631657</v>
      </c>
      <c r="C46" s="1">
        <f t="shared" si="5"/>
        <v>16153129</v>
      </c>
      <c r="D46" s="29">
        <v>7495.7</v>
      </c>
      <c r="E46" s="93">
        <f t="shared" si="18"/>
        <v>217345.21000000002</v>
      </c>
      <c r="F46" s="240">
        <f t="shared" si="103"/>
        <v>2500</v>
      </c>
      <c r="G46" s="321">
        <v>31250</v>
      </c>
      <c r="H46" s="240">
        <v>10000</v>
      </c>
      <c r="I46" s="240">
        <f t="shared" si="120"/>
        <v>23750</v>
      </c>
      <c r="J46" s="280">
        <f t="shared" si="121"/>
        <v>37.599519992654244</v>
      </c>
      <c r="K46" s="240">
        <f t="shared" si="104"/>
        <v>357460</v>
      </c>
      <c r="L46" s="280">
        <f t="shared" si="105"/>
        <v>22.129458633061123</v>
      </c>
      <c r="M46" s="280">
        <f t="shared" si="106"/>
        <v>2.7096190318429194</v>
      </c>
      <c r="N46" s="1089"/>
      <c r="O46" s="1084"/>
      <c r="P46" s="35">
        <f t="shared" si="128"/>
        <v>34270</v>
      </c>
      <c r="Q46" s="35"/>
      <c r="R46" s="35">
        <v>32916</v>
      </c>
      <c r="S46" s="35">
        <f>P46+Q46-R46</f>
        <v>1354</v>
      </c>
      <c r="T46" s="36">
        <f>1000*S46/B46</f>
        <v>2.1435684240022672</v>
      </c>
      <c r="U46" s="74">
        <f t="shared" si="131"/>
        <v>23832</v>
      </c>
      <c r="V46" s="36">
        <f t="shared" si="132"/>
        <v>1.4753797855511461</v>
      </c>
      <c r="W46" s="1136"/>
      <c r="X46" s="49">
        <f t="shared" si="87"/>
        <v>638</v>
      </c>
      <c r="Y46" s="50"/>
      <c r="Z46" s="50">
        <f>424+62</f>
        <v>486</v>
      </c>
      <c r="AA46" s="50">
        <f t="shared" si="122"/>
        <v>152</v>
      </c>
      <c r="AB46" s="51">
        <f t="shared" si="123"/>
        <v>0.24063692795298713</v>
      </c>
      <c r="AC46" s="50">
        <f t="shared" si="63"/>
        <v>4708</v>
      </c>
      <c r="AD46" s="51">
        <f t="shared" si="64"/>
        <v>0.29146055850850938</v>
      </c>
      <c r="AE46" s="1047"/>
      <c r="AF46" s="40">
        <f t="shared" si="88"/>
        <v>548</v>
      </c>
      <c r="AG46" s="41"/>
      <c r="AH46" s="41">
        <v>471</v>
      </c>
      <c r="AI46" s="41">
        <f t="shared" si="124"/>
        <v>77</v>
      </c>
      <c r="AJ46" s="42">
        <f t="shared" si="125"/>
        <v>0.12190160166039481</v>
      </c>
      <c r="AK46" s="41">
        <f t="shared" si="66"/>
        <v>2195</v>
      </c>
      <c r="AL46" s="42">
        <f t="shared" si="67"/>
        <v>0.13588698511601066</v>
      </c>
      <c r="AM46" s="1058"/>
      <c r="AN46" s="67">
        <v>4.9000000000000004</v>
      </c>
      <c r="AO46" s="67">
        <v>24</v>
      </c>
      <c r="AP46" s="68">
        <f t="shared" si="116"/>
        <v>58.45308</v>
      </c>
      <c r="AQ46" s="68">
        <f t="shared" si="117"/>
        <v>7.7982149765865767</v>
      </c>
      <c r="AR46" s="69">
        <f t="shared" si="109"/>
        <v>1985.6153399999996</v>
      </c>
      <c r="AS46" s="140">
        <f t="shared" si="110"/>
        <v>9.1357676573594571</v>
      </c>
      <c r="AT46" s="1073"/>
      <c r="AU46" s="70">
        <v>4.7</v>
      </c>
      <c r="AV46" s="71">
        <v>12</v>
      </c>
      <c r="AW46" s="72">
        <f t="shared" si="118"/>
        <v>29.143572000000002</v>
      </c>
      <c r="AX46" s="72">
        <f t="shared" si="119"/>
        <v>3.8880387422122022</v>
      </c>
      <c r="AY46" s="73">
        <f t="shared" si="111"/>
        <v>580.70117399999992</v>
      </c>
      <c r="AZ46" s="192">
        <f t="shared" si="112"/>
        <v>2.6717919111260828</v>
      </c>
      <c r="BA46" s="1075"/>
      <c r="BB46" s="90">
        <f t="shared" si="113"/>
        <v>5500</v>
      </c>
      <c r="BC46" s="59"/>
      <c r="BD46" s="56">
        <v>5500</v>
      </c>
      <c r="BE46" s="56"/>
      <c r="BF46" s="58">
        <f t="shared" si="129"/>
        <v>32564</v>
      </c>
      <c r="BG46" s="58">
        <f t="shared" si="130"/>
        <v>149.82616824175696</v>
      </c>
      <c r="BH46" s="1133"/>
      <c r="BI46" s="64">
        <f t="shared" si="89"/>
        <v>1260</v>
      </c>
      <c r="BJ46" s="64"/>
      <c r="BK46" s="64">
        <v>1140</v>
      </c>
      <c r="BL46" s="64">
        <f t="shared" si="126"/>
        <v>120</v>
      </c>
      <c r="BM46" s="65">
        <f t="shared" si="127"/>
        <v>0.18997652206814775</v>
      </c>
      <c r="BN46" s="64">
        <f t="shared" si="57"/>
        <v>3392</v>
      </c>
      <c r="BO46" s="65">
        <f t="shared" si="58"/>
        <v>0.20999027494920644</v>
      </c>
      <c r="BP46" s="1071"/>
      <c r="BQ46" s="77">
        <f t="shared" si="114"/>
        <v>80961</v>
      </c>
      <c r="BR46" s="98"/>
      <c r="BS46" s="35">
        <f>39492+2242+4000+31000</f>
        <v>76734</v>
      </c>
      <c r="BT46" s="35">
        <f>BQ46-BS46+BR46</f>
        <v>4227</v>
      </c>
      <c r="BU46" s="74">
        <f t="shared" ref="BU46:BU54" si="134">BU45+BT46</f>
        <v>120963</v>
      </c>
      <c r="BV46" s="74">
        <f t="shared" ref="BV46:BV54" si="135">BU46*1000/E46</f>
        <v>556.54780705772157</v>
      </c>
      <c r="BW46" s="1098"/>
      <c r="BX46" s="296">
        <f>BZ45</f>
        <v>600</v>
      </c>
      <c r="BY46" s="296"/>
      <c r="BZ46" s="296">
        <v>400</v>
      </c>
      <c r="CA46" s="296">
        <v>200</v>
      </c>
      <c r="CB46" s="297">
        <f>CA46*1000/B46</f>
        <v>0.31662753678024624</v>
      </c>
      <c r="CC46" s="296">
        <f t="shared" si="62"/>
        <v>4600</v>
      </c>
      <c r="CD46" s="297">
        <f t="shared" si="133"/>
        <v>0.28477454739573987</v>
      </c>
      <c r="CE46" s="1061"/>
    </row>
    <row r="47" spans="1:83">
      <c r="A47" s="30">
        <v>43629</v>
      </c>
      <c r="B47" s="32">
        <v>632108</v>
      </c>
      <c r="C47" s="1">
        <f t="shared" si="5"/>
        <v>16785237</v>
      </c>
      <c r="D47" s="29">
        <v>7291.36</v>
      </c>
      <c r="E47" s="93">
        <f t="shared" si="18"/>
        <v>224636.57</v>
      </c>
      <c r="F47" s="240">
        <f t="shared" si="103"/>
        <v>10000</v>
      </c>
      <c r="G47" s="321">
        <v>31010</v>
      </c>
      <c r="H47" s="240">
        <v>20000</v>
      </c>
      <c r="I47" s="240">
        <f t="shared" si="120"/>
        <v>21010</v>
      </c>
      <c r="J47" s="280">
        <f t="shared" si="121"/>
        <v>33.237990976225582</v>
      </c>
      <c r="K47" s="240">
        <f t="shared" si="104"/>
        <v>378470</v>
      </c>
      <c r="L47" s="280">
        <f t="shared" si="105"/>
        <v>22.547790060992288</v>
      </c>
      <c r="M47" s="280">
        <f t="shared" si="106"/>
        <v>2.7608411976236424</v>
      </c>
      <c r="N47" s="1089"/>
      <c r="O47" s="1084"/>
      <c r="P47" s="35">
        <f t="shared" si="128"/>
        <v>32916</v>
      </c>
      <c r="Q47" s="35"/>
      <c r="R47" s="35">
        <v>32916</v>
      </c>
      <c r="S47" s="35"/>
      <c r="T47" s="36"/>
      <c r="U47" s="74">
        <f t="shared" si="131"/>
        <v>23832</v>
      </c>
      <c r="V47" s="36">
        <f t="shared" si="132"/>
        <v>1.4198190946008091</v>
      </c>
      <c r="W47" s="1136"/>
      <c r="X47" s="49">
        <f t="shared" si="87"/>
        <v>486</v>
      </c>
      <c r="Y47" s="50"/>
      <c r="Z47" s="50">
        <f>261+80</f>
        <v>341</v>
      </c>
      <c r="AA47" s="50">
        <f t="shared" si="122"/>
        <v>145</v>
      </c>
      <c r="AB47" s="51">
        <f t="shared" si="123"/>
        <v>0.22939117998822986</v>
      </c>
      <c r="AC47" s="50">
        <f t="shared" si="63"/>
        <v>4853</v>
      </c>
      <c r="AD47" s="51">
        <f t="shared" si="64"/>
        <v>0.28912311455596368</v>
      </c>
      <c r="AE47" s="1047"/>
      <c r="AF47" s="40">
        <f t="shared" si="88"/>
        <v>471</v>
      </c>
      <c r="AG47" s="41"/>
      <c r="AH47" s="41">
        <v>396</v>
      </c>
      <c r="AI47" s="41">
        <f t="shared" si="124"/>
        <v>75</v>
      </c>
      <c r="AJ47" s="42">
        <f t="shared" si="125"/>
        <v>0.11865061033873958</v>
      </c>
      <c r="AK47" s="41">
        <f t="shared" si="66"/>
        <v>2270</v>
      </c>
      <c r="AL47" s="42">
        <f t="shared" si="67"/>
        <v>0.13523788791305122</v>
      </c>
      <c r="AM47" s="1058"/>
      <c r="AN47" s="67">
        <v>4.7</v>
      </c>
      <c r="AO47" s="67">
        <v>24</v>
      </c>
      <c r="AP47" s="68">
        <f t="shared" si="116"/>
        <v>56.067240000000005</v>
      </c>
      <c r="AQ47" s="68">
        <f t="shared" si="117"/>
        <v>7.6895448860020634</v>
      </c>
      <c r="AR47" s="69">
        <f t="shared" si="109"/>
        <v>2041.6825799999997</v>
      </c>
      <c r="AS47" s="140">
        <f t="shared" si="110"/>
        <v>9.088825474854783</v>
      </c>
      <c r="AT47" s="1073"/>
      <c r="AU47" s="70">
        <v>3.5</v>
      </c>
      <c r="AV47" s="71">
        <v>12</v>
      </c>
      <c r="AW47" s="72">
        <f t="shared" si="118"/>
        <v>21.702660000000002</v>
      </c>
      <c r="AX47" s="72">
        <f t="shared" si="119"/>
        <v>2.9764899826644138</v>
      </c>
      <c r="AY47" s="73">
        <f t="shared" si="111"/>
        <v>602.40383399999996</v>
      </c>
      <c r="AZ47" s="192">
        <f t="shared" si="112"/>
        <v>2.6816819451970795</v>
      </c>
      <c r="BA47" s="1075"/>
      <c r="BB47" s="90">
        <f t="shared" si="113"/>
        <v>5500</v>
      </c>
      <c r="BC47" s="312">
        <v>35398</v>
      </c>
      <c r="BD47" s="56">
        <f>39398+1500</f>
        <v>40898</v>
      </c>
      <c r="BE47" s="56"/>
      <c r="BF47" s="58">
        <f t="shared" si="129"/>
        <v>32564</v>
      </c>
      <c r="BG47" s="58">
        <f t="shared" si="130"/>
        <v>144.96303963330635</v>
      </c>
      <c r="BH47" s="1133"/>
      <c r="BI47" s="64">
        <f t="shared" si="89"/>
        <v>1140</v>
      </c>
      <c r="BJ47" s="64"/>
      <c r="BK47" s="66">
        <v>1080</v>
      </c>
      <c r="BL47" s="64">
        <f t="shared" si="126"/>
        <v>60</v>
      </c>
      <c r="BM47" s="65">
        <f t="shared" si="127"/>
        <v>9.4920488270991671E-2</v>
      </c>
      <c r="BN47" s="64">
        <f t="shared" si="57"/>
        <v>3452</v>
      </c>
      <c r="BO47" s="65">
        <f t="shared" si="58"/>
        <v>0.20565691148715981</v>
      </c>
      <c r="BP47" s="1071"/>
      <c r="BQ47" s="77">
        <f t="shared" si="114"/>
        <v>76734</v>
      </c>
      <c r="BR47" s="98"/>
      <c r="BS47" s="35">
        <f>48734+28000</f>
        <v>76734</v>
      </c>
      <c r="BT47" s="35"/>
      <c r="BU47" s="74">
        <f t="shared" si="134"/>
        <v>120963</v>
      </c>
      <c r="BV47" s="74">
        <f t="shared" si="135"/>
        <v>538.48311519357685</v>
      </c>
      <c r="BW47" s="1098"/>
      <c r="BX47" s="296">
        <f t="shared" ref="BX47:BX52" si="136">BZ46</f>
        <v>400</v>
      </c>
      <c r="BY47" s="296"/>
      <c r="BZ47" s="298">
        <v>400</v>
      </c>
      <c r="CA47" s="296"/>
      <c r="CB47" s="297"/>
      <c r="CC47" s="296">
        <f t="shared" si="62"/>
        <v>4600</v>
      </c>
      <c r="CD47" s="297">
        <f t="shared" si="133"/>
        <v>0.27405034555067648</v>
      </c>
      <c r="CE47" s="1061"/>
    </row>
    <row r="48" spans="1:83">
      <c r="A48" s="30">
        <v>43630</v>
      </c>
      <c r="B48" s="32">
        <v>599215</v>
      </c>
      <c r="C48" s="1">
        <f t="shared" si="5"/>
        <v>17384452</v>
      </c>
      <c r="D48" s="29">
        <v>7405.92</v>
      </c>
      <c r="E48" s="93">
        <f t="shared" si="18"/>
        <v>232042.49000000002</v>
      </c>
      <c r="F48" s="240">
        <f t="shared" si="103"/>
        <v>20000</v>
      </c>
      <c r="G48" s="227"/>
      <c r="H48" s="240">
        <v>3500</v>
      </c>
      <c r="I48" s="240">
        <f t="shared" si="120"/>
        <v>16500</v>
      </c>
      <c r="J48" s="280">
        <f t="shared" si="121"/>
        <v>27.536026301077243</v>
      </c>
      <c r="K48" s="240">
        <f t="shared" si="104"/>
        <v>394970</v>
      </c>
      <c r="L48" s="280">
        <f t="shared" si="105"/>
        <v>22.719726799556295</v>
      </c>
      <c r="M48" s="280">
        <f t="shared" si="106"/>
        <v>2.7818938165245863</v>
      </c>
      <c r="N48" s="1089"/>
      <c r="O48" s="1084"/>
      <c r="P48" s="35">
        <f t="shared" si="128"/>
        <v>32916</v>
      </c>
      <c r="Q48" s="35"/>
      <c r="R48" s="35">
        <v>32387</v>
      </c>
      <c r="S48" s="35">
        <f>P48+Q48-R48</f>
        <v>529</v>
      </c>
      <c r="T48" s="36">
        <f>1000*S48/B48</f>
        <v>0.88282169171332492</v>
      </c>
      <c r="U48" s="74">
        <f t="shared" si="131"/>
        <v>24361</v>
      </c>
      <c r="V48" s="36">
        <f t="shared" si="132"/>
        <v>1.4013096300073191</v>
      </c>
      <c r="W48" s="1136"/>
      <c r="X48" s="49">
        <f t="shared" si="87"/>
        <v>341</v>
      </c>
      <c r="Y48" s="50">
        <v>900</v>
      </c>
      <c r="Z48" s="50">
        <f>973+25</f>
        <v>998</v>
      </c>
      <c r="AA48" s="50">
        <f t="shared" si="122"/>
        <v>243</v>
      </c>
      <c r="AB48" s="51">
        <f t="shared" si="123"/>
        <v>0.40553056916131941</v>
      </c>
      <c r="AC48" s="50">
        <f t="shared" si="63"/>
        <v>5096</v>
      </c>
      <c r="AD48" s="51">
        <f t="shared" si="64"/>
        <v>0.29313549831769214</v>
      </c>
      <c r="AE48" s="1047"/>
      <c r="AF48" s="40">
        <f t="shared" si="88"/>
        <v>396</v>
      </c>
      <c r="AG48" s="41">
        <v>1000</v>
      </c>
      <c r="AH48" s="41">
        <v>1331</v>
      </c>
      <c r="AI48" s="41">
        <f t="shared" si="124"/>
        <v>65</v>
      </c>
      <c r="AJ48" s="42">
        <f t="shared" si="125"/>
        <v>0.10847525512545581</v>
      </c>
      <c r="AK48" s="41">
        <f t="shared" si="66"/>
        <v>2335</v>
      </c>
      <c r="AL48" s="42">
        <f t="shared" si="67"/>
        <v>0.13431542161927221</v>
      </c>
      <c r="AM48" s="1058"/>
      <c r="AN48" s="67">
        <v>4.4000000000000004</v>
      </c>
      <c r="AO48" s="67">
        <v>24</v>
      </c>
      <c r="AP48" s="68">
        <f t="shared" ref="AP48:AP64" si="137">AN48*AO48*0.49705</f>
        <v>52.488480000000003</v>
      </c>
      <c r="AQ48" s="68">
        <f t="shared" ref="AQ48:AQ64" si="138">AP48*1000/D48</f>
        <v>7.0873679434830521</v>
      </c>
      <c r="AR48" s="69">
        <f t="shared" ref="AR48:AR60" si="139">AR47+AP48</f>
        <v>2094.1710599999997</v>
      </c>
      <c r="AS48" s="140">
        <f t="shared" ref="AS48:AS60" si="140">AR48*1000/E48</f>
        <v>9.0249465087191556</v>
      </c>
      <c r="AT48" s="1073"/>
      <c r="AU48" s="70">
        <v>3.1</v>
      </c>
      <c r="AV48" s="71">
        <v>12</v>
      </c>
      <c r="AW48" s="72">
        <f t="shared" si="118"/>
        <v>19.222356000000001</v>
      </c>
      <c r="AX48" s="72">
        <f t="shared" si="119"/>
        <v>2.5955392442802516</v>
      </c>
      <c r="AY48" s="73">
        <f t="shared" si="111"/>
        <v>621.62618999999995</v>
      </c>
      <c r="AZ48" s="192">
        <f t="shared" si="112"/>
        <v>2.6789325954914545</v>
      </c>
      <c r="BA48" s="1075"/>
      <c r="BB48" s="90">
        <f t="shared" si="113"/>
        <v>40898</v>
      </c>
      <c r="BC48" s="59"/>
      <c r="BD48" s="56">
        <v>40898</v>
      </c>
      <c r="BE48" s="56"/>
      <c r="BF48" s="58">
        <f t="shared" si="129"/>
        <v>32564</v>
      </c>
      <c r="BG48" s="58">
        <f t="shared" si="130"/>
        <v>140.33636684384828</v>
      </c>
      <c r="BH48" s="1133"/>
      <c r="BI48" s="64">
        <f t="shared" si="89"/>
        <v>1080</v>
      </c>
      <c r="BJ48" s="64"/>
      <c r="BK48" s="66">
        <v>948</v>
      </c>
      <c r="BL48" s="64">
        <f t="shared" si="126"/>
        <v>132</v>
      </c>
      <c r="BM48" s="65">
        <f t="shared" si="127"/>
        <v>0.22028821040861793</v>
      </c>
      <c r="BN48" s="64">
        <f t="shared" si="57"/>
        <v>3584</v>
      </c>
      <c r="BO48" s="65">
        <f t="shared" si="58"/>
        <v>0.20616122958606919</v>
      </c>
      <c r="BP48" s="1071"/>
      <c r="BQ48" s="77">
        <f t="shared" si="114"/>
        <v>76734</v>
      </c>
      <c r="BR48" s="98"/>
      <c r="BS48" s="35">
        <f>48734+28000</f>
        <v>76734</v>
      </c>
      <c r="BT48" s="35"/>
      <c r="BU48" s="74">
        <f t="shared" si="134"/>
        <v>120963</v>
      </c>
      <c r="BV48" s="74">
        <f t="shared" si="135"/>
        <v>521.29676767388594</v>
      </c>
      <c r="BW48" s="1098"/>
      <c r="BX48" s="296">
        <f t="shared" si="136"/>
        <v>400</v>
      </c>
      <c r="BY48" s="296"/>
      <c r="BZ48" s="298">
        <v>400</v>
      </c>
      <c r="CA48" s="296"/>
      <c r="CB48" s="297"/>
      <c r="CC48" s="296">
        <f t="shared" si="62"/>
        <v>4600</v>
      </c>
      <c r="CD48" s="297">
        <f t="shared" si="133"/>
        <v>0.26460425672319149</v>
      </c>
      <c r="CE48" s="1061"/>
    </row>
    <row r="49" spans="1:83">
      <c r="A49" s="30">
        <v>43631</v>
      </c>
      <c r="B49" s="32">
        <v>622487</v>
      </c>
      <c r="C49" s="1">
        <f t="shared" si="5"/>
        <v>18006939</v>
      </c>
      <c r="D49" s="29">
        <v>7891</v>
      </c>
      <c r="E49" s="93">
        <f t="shared" si="18"/>
        <v>239933.49000000002</v>
      </c>
      <c r="F49" s="240">
        <f t="shared" si="103"/>
        <v>3500</v>
      </c>
      <c r="G49" s="321">
        <v>31380</v>
      </c>
      <c r="H49" s="240">
        <v>14300</v>
      </c>
      <c r="I49" s="240">
        <f t="shared" si="120"/>
        <v>20580</v>
      </c>
      <c r="J49" s="280">
        <f t="shared" si="121"/>
        <v>33.060931392944752</v>
      </c>
      <c r="K49" s="240">
        <f t="shared" si="104"/>
        <v>415550</v>
      </c>
      <c r="L49" s="280">
        <f t="shared" si="105"/>
        <v>23.077214844788447</v>
      </c>
      <c r="M49" s="280">
        <f t="shared" si="106"/>
        <v>2.8256660762566974</v>
      </c>
      <c r="N49" s="1089"/>
      <c r="O49" s="1084"/>
      <c r="P49" s="35">
        <f t="shared" si="128"/>
        <v>32387</v>
      </c>
      <c r="Q49" s="35"/>
      <c r="R49" s="35">
        <v>32387</v>
      </c>
      <c r="S49" s="35"/>
      <c r="T49" s="36"/>
      <c r="U49" s="74">
        <f t="shared" si="131"/>
        <v>24361</v>
      </c>
      <c r="V49" s="36">
        <f t="shared" si="132"/>
        <v>1.3528673585221787</v>
      </c>
      <c r="W49" s="1136"/>
      <c r="X49" s="49">
        <f t="shared" si="87"/>
        <v>998</v>
      </c>
      <c r="Y49" s="50"/>
      <c r="Z49" s="50">
        <f>797+55</f>
        <v>852</v>
      </c>
      <c r="AA49" s="50">
        <f t="shared" si="122"/>
        <v>146</v>
      </c>
      <c r="AB49" s="51">
        <f t="shared" si="123"/>
        <v>0.23454305069824752</v>
      </c>
      <c r="AC49" s="50">
        <f t="shared" si="63"/>
        <v>5242</v>
      </c>
      <c r="AD49" s="51">
        <f t="shared" si="64"/>
        <v>0.29110999931748532</v>
      </c>
      <c r="AE49" s="1047"/>
      <c r="AF49" s="40">
        <f t="shared" si="88"/>
        <v>1331</v>
      </c>
      <c r="AG49" s="41"/>
      <c r="AH49" s="41">
        <v>1281</v>
      </c>
      <c r="AI49" s="41">
        <f t="shared" si="124"/>
        <v>50</v>
      </c>
      <c r="AJ49" s="42">
        <f t="shared" si="125"/>
        <v>8.032296256789298E-2</v>
      </c>
      <c r="AK49" s="41">
        <f t="shared" si="66"/>
        <v>2385</v>
      </c>
      <c r="AL49" s="42">
        <f t="shared" si="67"/>
        <v>0.13244894093327023</v>
      </c>
      <c r="AM49" s="1058"/>
      <c r="AN49" s="311">
        <v>4</v>
      </c>
      <c r="AO49" s="67">
        <v>24</v>
      </c>
      <c r="AP49" s="68">
        <f t="shared" si="137"/>
        <v>47.716799999999999</v>
      </c>
      <c r="AQ49" s="68">
        <f t="shared" si="138"/>
        <v>6.0469902420479018</v>
      </c>
      <c r="AR49" s="69">
        <f t="shared" si="139"/>
        <v>2141.8878599999998</v>
      </c>
      <c r="AS49" s="140">
        <f t="shared" si="140"/>
        <v>8.9270066467169702</v>
      </c>
      <c r="AT49" s="1073"/>
      <c r="AU49" s="70">
        <v>2.8</v>
      </c>
      <c r="AV49" s="71">
        <v>12</v>
      </c>
      <c r="AW49" s="72">
        <f t="shared" si="118"/>
        <v>17.362127999999998</v>
      </c>
      <c r="AX49" s="72">
        <f t="shared" si="119"/>
        <v>2.2002443289823845</v>
      </c>
      <c r="AY49" s="73">
        <f t="shared" si="111"/>
        <v>638.98831799999994</v>
      </c>
      <c r="AZ49" s="192">
        <f t="shared" si="112"/>
        <v>2.6631893613517641</v>
      </c>
      <c r="BA49" s="1075"/>
      <c r="BB49" s="90">
        <f t="shared" si="113"/>
        <v>40898</v>
      </c>
      <c r="BC49" s="59"/>
      <c r="BD49" s="56">
        <v>40898</v>
      </c>
      <c r="BE49" s="56"/>
      <c r="BF49" s="58">
        <f t="shared" si="129"/>
        <v>32564</v>
      </c>
      <c r="BG49" s="58">
        <f t="shared" si="130"/>
        <v>135.72094500021652</v>
      </c>
      <c r="BH49" s="1133"/>
      <c r="BI49" s="64">
        <f t="shared" si="89"/>
        <v>948</v>
      </c>
      <c r="BJ49" s="64"/>
      <c r="BK49" s="66">
        <v>780</v>
      </c>
      <c r="BL49" s="64">
        <f t="shared" si="126"/>
        <v>168</v>
      </c>
      <c r="BM49" s="65">
        <f t="shared" si="127"/>
        <v>0.26988515422812043</v>
      </c>
      <c r="BN49" s="64">
        <f t="shared" si="57"/>
        <v>3752</v>
      </c>
      <c r="BO49" s="65">
        <f t="shared" si="58"/>
        <v>0.2083641200761551</v>
      </c>
      <c r="BP49" s="1071"/>
      <c r="BQ49" s="77">
        <f t="shared" si="114"/>
        <v>76734</v>
      </c>
      <c r="BR49" s="98"/>
      <c r="BS49" s="35">
        <f>48734+28000</f>
        <v>76734</v>
      </c>
      <c r="BT49" s="35"/>
      <c r="BU49" s="74">
        <f t="shared" si="134"/>
        <v>120963</v>
      </c>
      <c r="BV49" s="74">
        <f t="shared" si="135"/>
        <v>504.15221318207801</v>
      </c>
      <c r="BW49" s="1098"/>
      <c r="BX49" s="296">
        <f t="shared" si="136"/>
        <v>400</v>
      </c>
      <c r="BY49" s="296"/>
      <c r="BZ49" s="298">
        <v>400</v>
      </c>
      <c r="CA49" s="296"/>
      <c r="CB49" s="297"/>
      <c r="CC49" s="296">
        <f t="shared" si="62"/>
        <v>4600</v>
      </c>
      <c r="CD49" s="297">
        <f t="shared" si="133"/>
        <v>0.25545707685242897</v>
      </c>
      <c r="CE49" s="1061"/>
    </row>
    <row r="50" spans="1:83">
      <c r="A50" s="30">
        <v>43632</v>
      </c>
      <c r="B50" s="32">
        <v>637986</v>
      </c>
      <c r="C50" s="1">
        <f t="shared" si="5"/>
        <v>18644925</v>
      </c>
      <c r="D50" s="29">
        <v>7536.38</v>
      </c>
      <c r="E50" s="93">
        <f t="shared" si="18"/>
        <v>247469.87000000002</v>
      </c>
      <c r="F50" s="240">
        <f t="shared" si="103"/>
        <v>14300</v>
      </c>
      <c r="G50" s="227"/>
      <c r="H50" s="240">
        <v>1500</v>
      </c>
      <c r="I50" s="240">
        <f t="shared" si="120"/>
        <v>12800</v>
      </c>
      <c r="J50" s="280">
        <f t="shared" si="121"/>
        <v>20.063136181671698</v>
      </c>
      <c r="K50" s="240">
        <f t="shared" si="104"/>
        <v>428350</v>
      </c>
      <c r="L50" s="280">
        <f t="shared" si="105"/>
        <v>22.974080078090957</v>
      </c>
      <c r="M50" s="280">
        <f t="shared" si="106"/>
        <v>2.8130378447521682</v>
      </c>
      <c r="N50" s="1089"/>
      <c r="O50" s="1084"/>
      <c r="P50" s="35">
        <f t="shared" si="128"/>
        <v>32387</v>
      </c>
      <c r="Q50" s="35"/>
      <c r="R50" s="35">
        <v>31041</v>
      </c>
      <c r="S50" s="35">
        <f>P50+Q50-R50</f>
        <v>1346</v>
      </c>
      <c r="T50" s="36">
        <f>1000*S50/B50</f>
        <v>2.1097641641039147</v>
      </c>
      <c r="U50" s="74">
        <f t="shared" si="131"/>
        <v>25707</v>
      </c>
      <c r="V50" s="36">
        <f t="shared" si="132"/>
        <v>1.3787666080716334</v>
      </c>
      <c r="W50" s="1136"/>
      <c r="X50" s="49">
        <f t="shared" si="87"/>
        <v>852</v>
      </c>
      <c r="Y50" s="50"/>
      <c r="Z50" s="50">
        <f>546+37</f>
        <v>583</v>
      </c>
      <c r="AA50" s="50">
        <f t="shared" si="122"/>
        <v>269</v>
      </c>
      <c r="AB50" s="51">
        <f t="shared" si="123"/>
        <v>0.42163934631794431</v>
      </c>
      <c r="AC50" s="50">
        <f t="shared" si="63"/>
        <v>5511</v>
      </c>
      <c r="AD50" s="51">
        <f t="shared" si="64"/>
        <v>0.29557641020277636</v>
      </c>
      <c r="AE50" s="1047"/>
      <c r="AF50" s="40">
        <f t="shared" si="88"/>
        <v>1281</v>
      </c>
      <c r="AG50" s="41"/>
      <c r="AH50" s="41">
        <v>1211</v>
      </c>
      <c r="AI50" s="41">
        <f t="shared" si="124"/>
        <v>70</v>
      </c>
      <c r="AJ50" s="42">
        <f t="shared" si="125"/>
        <v>0.10972027599351709</v>
      </c>
      <c r="AK50" s="41">
        <f t="shared" si="66"/>
        <v>2455</v>
      </c>
      <c r="AL50" s="42">
        <f t="shared" si="67"/>
        <v>0.13167121884373362</v>
      </c>
      <c r="AM50" s="1058"/>
      <c r="AN50" s="311">
        <v>4</v>
      </c>
      <c r="AO50" s="67">
        <v>24</v>
      </c>
      <c r="AP50" s="68">
        <f t="shared" si="137"/>
        <v>47.716799999999999</v>
      </c>
      <c r="AQ50" s="68">
        <f t="shared" si="138"/>
        <v>6.3315278688176546</v>
      </c>
      <c r="AR50" s="69">
        <f t="shared" si="139"/>
        <v>2189.60466</v>
      </c>
      <c r="AS50" s="140">
        <f t="shared" si="140"/>
        <v>8.8479646431300907</v>
      </c>
      <c r="AT50" s="1073"/>
      <c r="AU50" s="70">
        <v>2.7</v>
      </c>
      <c r="AV50" s="71">
        <v>12</v>
      </c>
      <c r="AW50" s="72">
        <f t="shared" si="118"/>
        <v>16.742052000000005</v>
      </c>
      <c r="AX50" s="72">
        <f t="shared" si="119"/>
        <v>2.2214978544075543</v>
      </c>
      <c r="AY50" s="73">
        <f t="shared" si="111"/>
        <v>655.73036999999999</v>
      </c>
      <c r="AZ50" s="192">
        <f t="shared" si="112"/>
        <v>2.6497382085342345</v>
      </c>
      <c r="BA50" s="1075"/>
      <c r="BB50" s="90">
        <f t="shared" si="113"/>
        <v>40898</v>
      </c>
      <c r="BC50" s="59"/>
      <c r="BD50" s="56">
        <v>40898</v>
      </c>
      <c r="BE50" s="56"/>
      <c r="BF50" s="58">
        <f t="shared" si="129"/>
        <v>32564</v>
      </c>
      <c r="BG50" s="58">
        <f t="shared" si="130"/>
        <v>131.58773631715246</v>
      </c>
      <c r="BH50" s="1133"/>
      <c r="BI50" s="64">
        <f t="shared" si="89"/>
        <v>780</v>
      </c>
      <c r="BJ50" s="64"/>
      <c r="BK50" s="64">
        <v>624</v>
      </c>
      <c r="BL50" s="64">
        <f t="shared" si="126"/>
        <v>156</v>
      </c>
      <c r="BM50" s="65">
        <f t="shared" si="127"/>
        <v>0.24451947221412382</v>
      </c>
      <c r="BN50" s="64">
        <f t="shared" si="57"/>
        <v>3908</v>
      </c>
      <c r="BO50" s="65">
        <f t="shared" si="58"/>
        <v>0.20960127219605335</v>
      </c>
      <c r="BP50" s="1071"/>
      <c r="BQ50" s="77">
        <f t="shared" si="114"/>
        <v>76734</v>
      </c>
      <c r="BR50" s="35"/>
      <c r="BS50" s="35">
        <f>48734+28000</f>
        <v>76734</v>
      </c>
      <c r="BT50" s="35"/>
      <c r="BU50" s="74">
        <f t="shared" si="134"/>
        <v>120963</v>
      </c>
      <c r="BV50" s="74">
        <f t="shared" si="135"/>
        <v>488.79889903364796</v>
      </c>
      <c r="BW50" s="1098"/>
      <c r="BX50" s="296">
        <f t="shared" si="136"/>
        <v>400</v>
      </c>
      <c r="BY50" s="296"/>
      <c r="BZ50" s="296">
        <v>400</v>
      </c>
      <c r="CA50" s="296"/>
      <c r="CB50" s="297"/>
      <c r="CC50" s="296">
        <f t="shared" si="62"/>
        <v>4600</v>
      </c>
      <c r="CD50" s="297">
        <f t="shared" si="133"/>
        <v>0.24671592940170045</v>
      </c>
      <c r="CE50" s="1061"/>
    </row>
    <row r="51" spans="1:83">
      <c r="A51" s="30">
        <v>43633</v>
      </c>
      <c r="B51" s="32">
        <v>633956</v>
      </c>
      <c r="C51" s="1">
        <f t="shared" si="5"/>
        <v>19278881</v>
      </c>
      <c r="D51" s="91">
        <v>7436.68</v>
      </c>
      <c r="E51" s="93">
        <f t="shared" si="18"/>
        <v>254906.55000000002</v>
      </c>
      <c r="F51" s="240">
        <f t="shared" si="103"/>
        <v>1500</v>
      </c>
      <c r="G51" s="227"/>
      <c r="H51" s="240"/>
      <c r="I51" s="240">
        <f t="shared" si="120"/>
        <v>1500</v>
      </c>
      <c r="J51" s="280">
        <f t="shared" si="121"/>
        <v>2.3660948078415536</v>
      </c>
      <c r="K51" s="240">
        <f t="shared" si="104"/>
        <v>429850</v>
      </c>
      <c r="L51" s="280">
        <f t="shared" si="105"/>
        <v>22.296418552508314</v>
      </c>
      <c r="M51" s="280">
        <f t="shared" si="106"/>
        <v>2.7300622691941121</v>
      </c>
      <c r="N51" s="1089"/>
      <c r="O51" s="1084"/>
      <c r="P51" s="35">
        <f t="shared" si="128"/>
        <v>31041</v>
      </c>
      <c r="Q51" s="35"/>
      <c r="R51" s="35">
        <v>27545</v>
      </c>
      <c r="S51" s="35">
        <f>P51+Q51-R51</f>
        <v>3496</v>
      </c>
      <c r="T51" s="36">
        <f>1000*S51/B51</f>
        <v>5.514578298809381</v>
      </c>
      <c r="U51" s="74">
        <f t="shared" si="131"/>
        <v>29203</v>
      </c>
      <c r="V51" s="36">
        <f t="shared" si="132"/>
        <v>1.5147663393949058</v>
      </c>
      <c r="W51" s="1136"/>
      <c r="X51" s="49">
        <f t="shared" si="87"/>
        <v>583</v>
      </c>
      <c r="Y51" s="50">
        <v>900</v>
      </c>
      <c r="Z51" s="50">
        <f>707+62+500</f>
        <v>1269</v>
      </c>
      <c r="AA51" s="50">
        <f t="shared" si="122"/>
        <v>214</v>
      </c>
      <c r="AB51" s="51">
        <f t="shared" si="123"/>
        <v>0.33756285925206164</v>
      </c>
      <c r="AC51" s="50">
        <f t="shared" si="63"/>
        <v>5725</v>
      </c>
      <c r="AD51" s="51">
        <f t="shared" si="64"/>
        <v>0.29695706924068882</v>
      </c>
      <c r="AE51" s="1047"/>
      <c r="AF51" s="40">
        <f t="shared" si="88"/>
        <v>1211</v>
      </c>
      <c r="AG51" s="41"/>
      <c r="AH51" s="41">
        <v>1137</v>
      </c>
      <c r="AI51" s="41">
        <f t="shared" si="124"/>
        <v>74</v>
      </c>
      <c r="AJ51" s="42">
        <f t="shared" si="125"/>
        <v>0.11672734385351664</v>
      </c>
      <c r="AK51" s="41">
        <f t="shared" si="66"/>
        <v>2529</v>
      </c>
      <c r="AL51" s="42">
        <f t="shared" si="67"/>
        <v>0.13117981277025362</v>
      </c>
      <c r="AM51" s="1058"/>
      <c r="AN51" s="311">
        <v>4</v>
      </c>
      <c r="AO51" s="67">
        <v>24</v>
      </c>
      <c r="AP51" s="68">
        <f t="shared" si="137"/>
        <v>47.716799999999999</v>
      </c>
      <c r="AQ51" s="68">
        <f t="shared" si="138"/>
        <v>6.4164116245421337</v>
      </c>
      <c r="AR51" s="69">
        <f t="shared" si="139"/>
        <v>2237.3214600000001</v>
      </c>
      <c r="AS51" s="140">
        <f t="shared" si="140"/>
        <v>8.7770261690019336</v>
      </c>
      <c r="AT51" s="1073"/>
      <c r="AU51" s="70">
        <v>2.7</v>
      </c>
      <c r="AV51" s="71">
        <v>12</v>
      </c>
      <c r="AW51" s="72">
        <f t="shared" si="118"/>
        <v>16.742052000000005</v>
      </c>
      <c r="AX51" s="72">
        <f t="shared" si="119"/>
        <v>2.2512804100754642</v>
      </c>
      <c r="AY51" s="73">
        <f t="shared" si="111"/>
        <v>672.47242200000005</v>
      </c>
      <c r="AZ51" s="192">
        <f t="shared" si="112"/>
        <v>2.6381135439634642</v>
      </c>
      <c r="BA51" s="1075"/>
      <c r="BB51" s="90">
        <f t="shared" si="113"/>
        <v>40898</v>
      </c>
      <c r="BC51" s="59"/>
      <c r="BD51" s="56">
        <v>40898</v>
      </c>
      <c r="BE51" s="56"/>
      <c r="BF51" s="58">
        <f t="shared" si="129"/>
        <v>32564</v>
      </c>
      <c r="BG51" s="58">
        <f t="shared" si="130"/>
        <v>127.74877695375029</v>
      </c>
      <c r="BH51" s="1133"/>
      <c r="BI51" s="64">
        <f t="shared" si="89"/>
        <v>624</v>
      </c>
      <c r="BJ51" s="64"/>
      <c r="BK51" s="64">
        <v>480</v>
      </c>
      <c r="BL51" s="64">
        <f t="shared" si="126"/>
        <v>144</v>
      </c>
      <c r="BM51" s="65">
        <f t="shared" si="127"/>
        <v>0.22714510155278916</v>
      </c>
      <c r="BN51" s="64">
        <f t="shared" si="57"/>
        <v>4052</v>
      </c>
      <c r="BO51" s="65">
        <f t="shared" si="58"/>
        <v>0.21017817372284212</v>
      </c>
      <c r="BP51" s="1071"/>
      <c r="BQ51" s="77">
        <f t="shared" si="114"/>
        <v>76734</v>
      </c>
      <c r="BR51" s="98"/>
      <c r="BS51" s="35">
        <f>44113+20000</f>
        <v>64113</v>
      </c>
      <c r="BT51" s="35">
        <f>BQ51-BS51+BR51</f>
        <v>12621</v>
      </c>
      <c r="BU51" s="74">
        <f t="shared" si="134"/>
        <v>133584</v>
      </c>
      <c r="BV51" s="74">
        <f t="shared" si="135"/>
        <v>524.05087276101767</v>
      </c>
      <c r="BW51" s="1098"/>
      <c r="BX51" s="296">
        <f>BZ50</f>
        <v>400</v>
      </c>
      <c r="BY51" s="296"/>
      <c r="BZ51" s="296">
        <v>400</v>
      </c>
      <c r="CA51" s="296"/>
      <c r="CB51" s="297"/>
      <c r="CC51" s="296">
        <f t="shared" si="62"/>
        <v>4600</v>
      </c>
      <c r="CD51" s="297">
        <f t="shared" si="133"/>
        <v>0.23860306000125214</v>
      </c>
      <c r="CE51" s="1061"/>
    </row>
    <row r="52" spans="1:83">
      <c r="A52" s="30">
        <v>43634</v>
      </c>
      <c r="B52" s="32">
        <v>626635</v>
      </c>
      <c r="C52" s="1">
        <f t="shared" si="5"/>
        <v>19905516</v>
      </c>
      <c r="D52" s="29">
        <v>6620.22</v>
      </c>
      <c r="E52" s="93">
        <f t="shared" si="18"/>
        <v>261526.77000000002</v>
      </c>
      <c r="F52" s="240"/>
      <c r="G52" s="321">
        <v>31970</v>
      </c>
      <c r="H52" s="240">
        <v>2700</v>
      </c>
      <c r="I52" s="240">
        <f t="shared" si="120"/>
        <v>29270</v>
      </c>
      <c r="J52" s="280">
        <f t="shared" si="121"/>
        <v>46.709807144509959</v>
      </c>
      <c r="K52" s="240">
        <f t="shared" si="104"/>
        <v>459120</v>
      </c>
      <c r="L52" s="280">
        <f t="shared" si="105"/>
        <v>23.064963500569391</v>
      </c>
      <c r="M52" s="280">
        <f t="shared" si="106"/>
        <v>2.8241659728871547</v>
      </c>
      <c r="N52" s="1089"/>
      <c r="O52" s="1084"/>
      <c r="P52" s="35">
        <f t="shared" si="128"/>
        <v>27545</v>
      </c>
      <c r="Q52" s="35"/>
      <c r="R52" s="35">
        <v>27545</v>
      </c>
      <c r="S52" s="35"/>
      <c r="T52" s="36"/>
      <c r="U52" s="74">
        <f t="shared" si="131"/>
        <v>29203</v>
      </c>
      <c r="V52" s="36">
        <f t="shared" si="132"/>
        <v>1.4670807830352151</v>
      </c>
      <c r="W52" s="1136"/>
      <c r="X52" s="49">
        <f t="shared" si="87"/>
        <v>1269</v>
      </c>
      <c r="Y52" s="50"/>
      <c r="Z52" s="50">
        <f>441+100+500</f>
        <v>1041</v>
      </c>
      <c r="AA52" s="50">
        <f t="shared" si="122"/>
        <v>228</v>
      </c>
      <c r="AB52" s="51">
        <f t="shared" si="123"/>
        <v>0.36384817317896384</v>
      </c>
      <c r="AC52" s="50">
        <f t="shared" si="63"/>
        <v>5953</v>
      </c>
      <c r="AD52" s="51">
        <f t="shared" si="64"/>
        <v>0.29906283263392919</v>
      </c>
      <c r="AE52" s="1047"/>
      <c r="AF52" s="40">
        <f t="shared" si="88"/>
        <v>1137</v>
      </c>
      <c r="AG52" s="41"/>
      <c r="AH52" s="41">
        <v>1081</v>
      </c>
      <c r="AI52" s="41">
        <f t="shared" si="124"/>
        <v>56</v>
      </c>
      <c r="AJ52" s="42">
        <f t="shared" si="125"/>
        <v>8.9366217973780596E-2</v>
      </c>
      <c r="AK52" s="41">
        <f t="shared" si="66"/>
        <v>2585</v>
      </c>
      <c r="AL52" s="42">
        <f t="shared" si="67"/>
        <v>0.12986350115214296</v>
      </c>
      <c r="AM52" s="1058"/>
      <c r="AN52" s="67">
        <v>3.1</v>
      </c>
      <c r="AO52" s="67">
        <v>24</v>
      </c>
      <c r="AP52" s="68">
        <f t="shared" si="137"/>
        <v>36.980520000000006</v>
      </c>
      <c r="AQ52" s="68">
        <f t="shared" si="138"/>
        <v>5.5859956315651145</v>
      </c>
      <c r="AR52" s="69">
        <f t="shared" si="139"/>
        <v>2274.3019800000002</v>
      </c>
      <c r="AS52" s="140">
        <f t="shared" si="140"/>
        <v>8.6962492596838175</v>
      </c>
      <c r="AT52" s="1073"/>
      <c r="AU52" s="70">
        <v>2.6</v>
      </c>
      <c r="AV52" s="71">
        <v>12</v>
      </c>
      <c r="AW52" s="72">
        <f t="shared" si="118"/>
        <v>16.121976000000004</v>
      </c>
      <c r="AX52" s="72">
        <f t="shared" si="119"/>
        <v>2.4352628764602993</v>
      </c>
      <c r="AY52" s="73">
        <f t="shared" si="111"/>
        <v>688.59439800000007</v>
      </c>
      <c r="AZ52" s="192">
        <f t="shared" si="112"/>
        <v>2.6329786354184699</v>
      </c>
      <c r="BA52" s="1075"/>
      <c r="BB52" s="90">
        <f t="shared" si="113"/>
        <v>40898</v>
      </c>
      <c r="BC52" s="59"/>
      <c r="BD52" s="56">
        <v>40898</v>
      </c>
      <c r="BE52" s="56"/>
      <c r="BF52" s="58">
        <f t="shared" si="129"/>
        <v>32564</v>
      </c>
      <c r="BG52" s="58">
        <f t="shared" si="130"/>
        <v>124.51497795044078</v>
      </c>
      <c r="BH52" s="1133"/>
      <c r="BI52" s="64">
        <f t="shared" si="89"/>
        <v>480</v>
      </c>
      <c r="BJ52" s="64"/>
      <c r="BK52" s="64">
        <v>384</v>
      </c>
      <c r="BL52" s="64">
        <f t="shared" si="126"/>
        <v>96</v>
      </c>
      <c r="BM52" s="65">
        <f t="shared" si="127"/>
        <v>0.1531992308121953</v>
      </c>
      <c r="BN52" s="64">
        <f t="shared" si="57"/>
        <v>4148</v>
      </c>
      <c r="BO52" s="65">
        <f t="shared" si="58"/>
        <v>0.20838444981782939</v>
      </c>
      <c r="BP52" s="1071"/>
      <c r="BQ52" s="77">
        <f t="shared" si="114"/>
        <v>64113</v>
      </c>
      <c r="BR52" s="35"/>
      <c r="BS52" s="35">
        <f>47810+12000</f>
        <v>59810</v>
      </c>
      <c r="BT52" s="35">
        <f>BQ52-BS52+BR52</f>
        <v>4303</v>
      </c>
      <c r="BU52" s="74">
        <f t="shared" si="134"/>
        <v>137887</v>
      </c>
      <c r="BV52" s="74">
        <f t="shared" si="135"/>
        <v>527.23856911474104</v>
      </c>
      <c r="BW52" s="1098"/>
      <c r="BX52" s="296">
        <f t="shared" si="136"/>
        <v>400</v>
      </c>
      <c r="BY52" s="296"/>
      <c r="BZ52" s="296">
        <v>400</v>
      </c>
      <c r="CA52" s="296"/>
      <c r="CB52" s="297"/>
      <c r="CC52" s="296">
        <f t="shared" si="62"/>
        <v>4600</v>
      </c>
      <c r="CD52" s="297">
        <f t="shared" si="133"/>
        <v>0.23109172352025439</v>
      </c>
      <c r="CE52" s="1061"/>
    </row>
    <row r="53" spans="1:83">
      <c r="A53" s="30">
        <v>43635</v>
      </c>
      <c r="B53" s="32">
        <v>647207</v>
      </c>
      <c r="C53" s="1">
        <f t="shared" si="5"/>
        <v>20552723</v>
      </c>
      <c r="D53" s="29">
        <v>7329.68</v>
      </c>
      <c r="E53" s="93">
        <f t="shared" si="18"/>
        <v>268856.45</v>
      </c>
      <c r="F53" s="240">
        <f t="shared" si="103"/>
        <v>2700</v>
      </c>
      <c r="G53" s="321">
        <v>31100</v>
      </c>
      <c r="H53" s="240">
        <v>15500</v>
      </c>
      <c r="I53" s="240">
        <f t="shared" si="120"/>
        <v>18300</v>
      </c>
      <c r="J53" s="280">
        <f t="shared" si="121"/>
        <v>28.275343128241815</v>
      </c>
      <c r="K53" s="240">
        <f t="shared" si="104"/>
        <v>477420</v>
      </c>
      <c r="L53" s="280">
        <f t="shared" si="105"/>
        <v>23.229038799384394</v>
      </c>
      <c r="M53" s="280">
        <f t="shared" si="106"/>
        <v>2.8442560058019342</v>
      </c>
      <c r="N53" s="1089"/>
      <c r="O53" s="1084"/>
      <c r="P53" s="35">
        <f t="shared" si="128"/>
        <v>27545</v>
      </c>
      <c r="Q53" s="35"/>
      <c r="R53" s="35">
        <v>26741</v>
      </c>
      <c r="S53" s="35">
        <f>P53+Q53-R53</f>
        <v>804</v>
      </c>
      <c r="T53" s="36">
        <f>1000*S53/B53</f>
        <v>1.2422609767817716</v>
      </c>
      <c r="U53" s="74">
        <f t="shared" si="131"/>
        <v>30007</v>
      </c>
      <c r="V53" s="36">
        <f t="shared" si="132"/>
        <v>1.4600011881637289</v>
      </c>
      <c r="W53" s="1136"/>
      <c r="X53" s="49">
        <f t="shared" si="87"/>
        <v>1041</v>
      </c>
      <c r="Y53" s="50"/>
      <c r="Z53" s="50">
        <f>231+110+500</f>
        <v>841</v>
      </c>
      <c r="AA53" s="50">
        <f t="shared" si="122"/>
        <v>200</v>
      </c>
      <c r="AB53" s="51">
        <f t="shared" si="123"/>
        <v>0.30902014347805262</v>
      </c>
      <c r="AC53" s="50">
        <f t="shared" si="63"/>
        <v>6153</v>
      </c>
      <c r="AD53" s="51">
        <f t="shared" si="64"/>
        <v>0.29937638920156712</v>
      </c>
      <c r="AE53" s="1047"/>
      <c r="AF53" s="40">
        <f t="shared" si="88"/>
        <v>1081</v>
      </c>
      <c r="AG53" s="41"/>
      <c r="AH53" s="41">
        <v>1023</v>
      </c>
      <c r="AI53" s="41">
        <f t="shared" si="124"/>
        <v>58</v>
      </c>
      <c r="AJ53" s="42">
        <f t="shared" si="125"/>
        <v>8.9615841608635255E-2</v>
      </c>
      <c r="AK53" s="41">
        <f t="shared" si="66"/>
        <v>2643</v>
      </c>
      <c r="AL53" s="42">
        <f t="shared" si="67"/>
        <v>0.12859609892080967</v>
      </c>
      <c r="AM53" s="1058"/>
      <c r="AN53" s="67">
        <v>3.1</v>
      </c>
      <c r="AO53" s="67">
        <v>24</v>
      </c>
      <c r="AP53" s="68">
        <f t="shared" si="137"/>
        <v>36.980520000000006</v>
      </c>
      <c r="AQ53" s="68">
        <f t="shared" si="138"/>
        <v>5.0453116643564249</v>
      </c>
      <c r="AR53" s="69">
        <f t="shared" si="139"/>
        <v>2311.2825000000003</v>
      </c>
      <c r="AS53" s="140">
        <f t="shared" si="140"/>
        <v>8.5967158310689609</v>
      </c>
      <c r="AT53" s="1073"/>
      <c r="AU53" s="70">
        <v>2.7</v>
      </c>
      <c r="AV53" s="71">
        <v>12</v>
      </c>
      <c r="AW53" s="72">
        <f t="shared" si="118"/>
        <v>16.742052000000005</v>
      </c>
      <c r="AX53" s="72">
        <f t="shared" si="119"/>
        <v>2.2841450104233747</v>
      </c>
      <c r="AY53" s="73">
        <f t="shared" si="111"/>
        <v>705.33645000000013</v>
      </c>
      <c r="AZ53" s="192">
        <f t="shared" si="112"/>
        <v>2.6234685833276457</v>
      </c>
      <c r="BA53" s="1075"/>
      <c r="BB53" s="90">
        <f t="shared" si="113"/>
        <v>40898</v>
      </c>
      <c r="BC53" s="59"/>
      <c r="BD53" s="56">
        <v>40898</v>
      </c>
      <c r="BE53" s="56"/>
      <c r="BF53" s="58">
        <f t="shared" si="129"/>
        <v>32564</v>
      </c>
      <c r="BG53" s="58">
        <f t="shared" si="130"/>
        <v>121.12039714873866</v>
      </c>
      <c r="BH53" s="1133"/>
      <c r="BI53" s="64">
        <f t="shared" si="89"/>
        <v>384</v>
      </c>
      <c r="BJ53" s="64"/>
      <c r="BK53" s="64">
        <v>216</v>
      </c>
      <c r="BL53" s="64">
        <f t="shared" si="126"/>
        <v>168</v>
      </c>
      <c r="BM53" s="65">
        <f t="shared" si="127"/>
        <v>0.25957692052156423</v>
      </c>
      <c r="BN53" s="64">
        <f t="shared" si="57"/>
        <v>4316</v>
      </c>
      <c r="BO53" s="65">
        <f t="shared" si="58"/>
        <v>0.20999650508596843</v>
      </c>
      <c r="BP53" s="1071"/>
      <c r="BQ53" s="77">
        <f t="shared" si="114"/>
        <v>59810</v>
      </c>
      <c r="BR53" s="35"/>
      <c r="BS53" s="35">
        <f>41340+12000</f>
        <v>53340</v>
      </c>
      <c r="BT53" s="35">
        <f>BQ53-BS53+BR53</f>
        <v>6470</v>
      </c>
      <c r="BU53" s="74">
        <f t="shared" si="134"/>
        <v>144357</v>
      </c>
      <c r="BV53" s="74">
        <f t="shared" si="135"/>
        <v>536.92965149246004</v>
      </c>
      <c r="BW53" s="1098"/>
      <c r="BX53" s="296">
        <v>400</v>
      </c>
      <c r="BY53" s="296"/>
      <c r="BZ53" s="296">
        <v>400</v>
      </c>
      <c r="CA53" s="296"/>
      <c r="CB53" s="297"/>
      <c r="CC53" s="296">
        <f t="shared" si="62"/>
        <v>4600</v>
      </c>
      <c r="CD53" s="297">
        <f t="shared" si="133"/>
        <v>0.2238146254391693</v>
      </c>
      <c r="CE53" s="1061"/>
    </row>
    <row r="54" spans="1:83">
      <c r="A54" s="30">
        <v>43636</v>
      </c>
      <c r="B54" s="32">
        <v>628574</v>
      </c>
      <c r="C54" s="1">
        <f t="shared" si="5"/>
        <v>21181297</v>
      </c>
      <c r="D54" s="29">
        <v>6805.36</v>
      </c>
      <c r="E54" s="93">
        <f t="shared" si="18"/>
        <v>275661.81</v>
      </c>
      <c r="F54" s="240">
        <f t="shared" si="103"/>
        <v>15500</v>
      </c>
      <c r="G54" s="240"/>
      <c r="H54" s="227"/>
      <c r="I54" s="240">
        <f t="shared" si="120"/>
        <v>15500</v>
      </c>
      <c r="J54" s="280">
        <f t="shared" si="121"/>
        <v>24.658990031404418</v>
      </c>
      <c r="K54" s="240">
        <f t="shared" si="104"/>
        <v>492920</v>
      </c>
      <c r="L54" s="280">
        <f t="shared" si="105"/>
        <v>23.271473885664321</v>
      </c>
      <c r="M54" s="280">
        <f t="shared" si="106"/>
        <v>2.8494519267373972</v>
      </c>
      <c r="N54" s="1089"/>
      <c r="O54" s="1084"/>
      <c r="P54" s="35">
        <f t="shared" si="128"/>
        <v>26741</v>
      </c>
      <c r="Q54" s="35"/>
      <c r="R54" s="35">
        <v>25673</v>
      </c>
      <c r="S54" s="35">
        <f>P54+Q54-R54</f>
        <v>1068</v>
      </c>
      <c r="T54" s="36">
        <f>1000*S54/B54</f>
        <v>1.6990839582928978</v>
      </c>
      <c r="U54" s="74">
        <f t="shared" si="131"/>
        <v>31075</v>
      </c>
      <c r="V54" s="36">
        <f t="shared" si="132"/>
        <v>1.4670961839588954</v>
      </c>
      <c r="W54" s="1136"/>
      <c r="X54" s="49">
        <f t="shared" si="87"/>
        <v>841</v>
      </c>
      <c r="Y54" s="50"/>
      <c r="Z54" s="50">
        <f>133+37+500</f>
        <v>670</v>
      </c>
      <c r="AA54" s="50">
        <f t="shared" si="122"/>
        <v>171</v>
      </c>
      <c r="AB54" s="51">
        <f t="shared" si="123"/>
        <v>0.2720443416367842</v>
      </c>
      <c r="AC54" s="50">
        <f t="shared" si="63"/>
        <v>6324</v>
      </c>
      <c r="AD54" s="51">
        <f t="shared" si="64"/>
        <v>0.29856528615787786</v>
      </c>
      <c r="AE54" s="1047"/>
      <c r="AF54" s="40">
        <f t="shared" si="88"/>
        <v>1023</v>
      </c>
      <c r="AG54" s="41"/>
      <c r="AH54" s="41">
        <v>984</v>
      </c>
      <c r="AI54" s="41">
        <f t="shared" si="124"/>
        <v>39</v>
      </c>
      <c r="AJ54" s="42">
        <f t="shared" si="125"/>
        <v>6.2045200724178858E-2</v>
      </c>
      <c r="AK54" s="41">
        <f t="shared" si="66"/>
        <v>2682</v>
      </c>
      <c r="AL54" s="42">
        <f t="shared" si="67"/>
        <v>0.12662114128327459</v>
      </c>
      <c r="AM54" s="1058"/>
      <c r="AN54" s="67">
        <v>3.3</v>
      </c>
      <c r="AO54" s="67">
        <v>24</v>
      </c>
      <c r="AP54" s="68">
        <f t="shared" si="137"/>
        <v>39.366359999999993</v>
      </c>
      <c r="AQ54" s="68">
        <f t="shared" si="138"/>
        <v>5.7846109537188326</v>
      </c>
      <c r="AR54" s="69">
        <f t="shared" si="139"/>
        <v>2350.6488600000002</v>
      </c>
      <c r="AS54" s="140">
        <f t="shared" si="140"/>
        <v>8.5272924094926328</v>
      </c>
      <c r="AT54" s="1073"/>
      <c r="AU54" s="70">
        <v>2.4</v>
      </c>
      <c r="AV54" s="71">
        <v>12</v>
      </c>
      <c r="AW54" s="72">
        <f t="shared" si="118"/>
        <v>14.881824</v>
      </c>
      <c r="AX54" s="72">
        <f t="shared" si="119"/>
        <v>2.1867798323674283</v>
      </c>
      <c r="AY54" s="73">
        <f t="shared" si="111"/>
        <v>720.21827400000018</v>
      </c>
      <c r="AZ54" s="192">
        <f t="shared" si="112"/>
        <v>2.6126878946343717</v>
      </c>
      <c r="BA54" s="1075"/>
      <c r="BB54" s="90">
        <f t="shared" si="113"/>
        <v>40898</v>
      </c>
      <c r="BC54" s="59"/>
      <c r="BD54" s="56">
        <v>40898</v>
      </c>
      <c r="BE54" s="56"/>
      <c r="BF54" s="58">
        <f t="shared" si="129"/>
        <v>32564</v>
      </c>
      <c r="BG54" s="58">
        <f t="shared" si="130"/>
        <v>118.13025532989137</v>
      </c>
      <c r="BH54" s="1133"/>
      <c r="BI54" s="64">
        <f t="shared" si="89"/>
        <v>216</v>
      </c>
      <c r="BJ54" s="64">
        <v>1100</v>
      </c>
      <c r="BK54" s="64">
        <v>1068</v>
      </c>
      <c r="BL54" s="64">
        <f t="shared" si="126"/>
        <v>248</v>
      </c>
      <c r="BM54" s="65">
        <f t="shared" si="127"/>
        <v>0.39454384050247066</v>
      </c>
      <c r="BN54" s="64">
        <f t="shared" si="57"/>
        <v>4564</v>
      </c>
      <c r="BO54" s="65">
        <f t="shared" si="58"/>
        <v>0.21547311290710858</v>
      </c>
      <c r="BP54" s="1071"/>
      <c r="BQ54" s="77">
        <f t="shared" si="114"/>
        <v>53340</v>
      </c>
      <c r="BR54" s="35"/>
      <c r="BS54" s="35">
        <f>38568+12000</f>
        <v>50568</v>
      </c>
      <c r="BT54" s="35">
        <f>BQ54-BS54+BR54</f>
        <v>2772</v>
      </c>
      <c r="BU54" s="74">
        <f t="shared" si="134"/>
        <v>147129</v>
      </c>
      <c r="BV54" s="74">
        <f t="shared" si="135"/>
        <v>533.73008034736472</v>
      </c>
      <c r="BW54" s="1098"/>
      <c r="BX54" s="296">
        <v>400</v>
      </c>
      <c r="BY54" s="296"/>
      <c r="BZ54" s="296">
        <v>400</v>
      </c>
      <c r="CA54" s="296"/>
      <c r="CB54" s="297"/>
      <c r="CC54" s="296">
        <f t="shared" si="62"/>
        <v>4600</v>
      </c>
      <c r="CD54" s="297">
        <f t="shared" si="133"/>
        <v>0.21717272554178341</v>
      </c>
      <c r="CE54" s="1061"/>
    </row>
    <row r="55" spans="1:83">
      <c r="A55" s="30">
        <v>43637</v>
      </c>
      <c r="B55" s="32">
        <v>556394</v>
      </c>
      <c r="C55" s="1">
        <f t="shared" si="5"/>
        <v>21737691</v>
      </c>
      <c r="D55" s="29">
        <v>7561.72</v>
      </c>
      <c r="E55" s="93">
        <f t="shared" si="18"/>
        <v>283223.52999999997</v>
      </c>
      <c r="F55" s="240"/>
      <c r="G55" s="321">
        <v>32480</v>
      </c>
      <c r="H55" s="240">
        <v>12000</v>
      </c>
      <c r="I55" s="240">
        <f t="shared" ref="I55:I60" si="141">F55+G55-H55</f>
        <v>20480</v>
      </c>
      <c r="J55" s="280">
        <f t="shared" ref="J55:J60" si="142">I55*1000/B55</f>
        <v>36.808448689238205</v>
      </c>
      <c r="K55" s="240">
        <f t="shared" ref="K55:K60" si="143">K54+I55</f>
        <v>513400</v>
      </c>
      <c r="L55" s="280">
        <f t="shared" ref="L55:L60" si="144">K55*1000/C55</f>
        <v>23.617963839857694</v>
      </c>
      <c r="M55" s="280">
        <f t="shared" si="106"/>
        <v>2.8918775364096603</v>
      </c>
      <c r="N55" s="1089"/>
      <c r="O55" s="1084"/>
      <c r="P55" s="35">
        <f t="shared" si="128"/>
        <v>25673</v>
      </c>
      <c r="Q55" s="35"/>
      <c r="R55" s="35">
        <v>24874</v>
      </c>
      <c r="S55" s="35">
        <f t="shared" ref="S55:S60" si="145">P55+Q55-R55</f>
        <v>799</v>
      </c>
      <c r="T55" s="36">
        <f t="shared" ref="T55:T60" si="146">1000*S55/B55</f>
        <v>1.436032739389713</v>
      </c>
      <c r="U55" s="74">
        <f t="shared" ref="U55:U60" si="147">U54+S55</f>
        <v>31874</v>
      </c>
      <c r="V55" s="36">
        <f t="shared" ref="V55:V60" si="148">1000*U55/C55</f>
        <v>1.4663010896603508</v>
      </c>
      <c r="W55" s="1136"/>
      <c r="X55" s="49">
        <f t="shared" si="87"/>
        <v>670</v>
      </c>
      <c r="Y55" s="50"/>
      <c r="Z55" s="50">
        <f>373+112</f>
        <v>485</v>
      </c>
      <c r="AA55" s="50">
        <f t="shared" ref="AA55:AA60" si="149">X55+Y55-Z55</f>
        <v>185</v>
      </c>
      <c r="AB55" s="51">
        <f t="shared" ref="AB55:AB60" si="150">AA55*1000/B55</f>
        <v>0.33249819372602868</v>
      </c>
      <c r="AC55" s="50">
        <f t="shared" ref="AC55:AC60" si="151">AC54+AA55</f>
        <v>6509</v>
      </c>
      <c r="AD55" s="51">
        <f t="shared" ref="AD55:AD60" si="152">AC55*1000/C55</f>
        <v>0.2994338267114019</v>
      </c>
      <c r="AE55" s="1047"/>
      <c r="AF55" s="40">
        <f t="shared" si="88"/>
        <v>984</v>
      </c>
      <c r="AG55" s="41"/>
      <c r="AH55" s="41">
        <v>945</v>
      </c>
      <c r="AI55" s="41">
        <f t="shared" ref="AI55:AI60" si="153">AF55+AG55-AH55</f>
        <v>39</v>
      </c>
      <c r="AJ55" s="42">
        <f t="shared" ref="AJ55:AJ60" si="154">AI55*1000/B55</f>
        <v>7.0094213812514156E-2</v>
      </c>
      <c r="AK55" s="41">
        <f t="shared" ref="AK55:AK60" si="155">AK54+AI55</f>
        <v>2721</v>
      </c>
      <c r="AL55" s="42">
        <f t="shared" ref="AL55:AL60" si="156">AK55*1000/C55</f>
        <v>0.12517428829032484</v>
      </c>
      <c r="AM55" s="1058"/>
      <c r="AN55" s="67">
        <v>3.6</v>
      </c>
      <c r="AO55" s="67">
        <v>24</v>
      </c>
      <c r="AP55" s="68">
        <f t="shared" si="137"/>
        <v>42.945120000000003</v>
      </c>
      <c r="AQ55" s="68">
        <f t="shared" si="138"/>
        <v>5.6792793174039771</v>
      </c>
      <c r="AR55" s="69">
        <f t="shared" si="139"/>
        <v>2393.5939800000001</v>
      </c>
      <c r="AS55" s="140">
        <f t="shared" si="140"/>
        <v>8.451253961844202</v>
      </c>
      <c r="AT55" s="1073"/>
      <c r="AU55" s="70">
        <v>2.7</v>
      </c>
      <c r="AV55" s="71">
        <v>12</v>
      </c>
      <c r="AW55" s="72">
        <f t="shared" si="118"/>
        <v>16.742052000000005</v>
      </c>
      <c r="AX55" s="72">
        <f t="shared" si="119"/>
        <v>2.2140534164184871</v>
      </c>
      <c r="AY55" s="73">
        <f t="shared" si="111"/>
        <v>736.96032600000024</v>
      </c>
      <c r="AZ55" s="192">
        <f t="shared" si="112"/>
        <v>2.602044844226044</v>
      </c>
      <c r="BA55" s="1075"/>
      <c r="BB55" s="90">
        <f t="shared" si="113"/>
        <v>40898</v>
      </c>
      <c r="BC55" s="59"/>
      <c r="BD55" s="56">
        <v>37637</v>
      </c>
      <c r="BE55" s="56">
        <f t="shared" ref="BE55:BE60" si="157">BB55+BC55-BD55</f>
        <v>3261</v>
      </c>
      <c r="BF55" s="58">
        <f t="shared" ref="BF55:BF60" si="158">BF54+BE55</f>
        <v>35825</v>
      </c>
      <c r="BG55" s="58">
        <f t="shared" ref="BG55:BG60" si="159">BF55*1000/E55</f>
        <v>126.49019663020232</v>
      </c>
      <c r="BH55" s="1133"/>
      <c r="BI55" s="64">
        <f t="shared" si="89"/>
        <v>1068</v>
      </c>
      <c r="BJ55" s="64"/>
      <c r="BK55" s="64">
        <v>900</v>
      </c>
      <c r="BL55" s="64">
        <f t="shared" ref="BL55:BL60" si="160">BI55+BJ55-BK55</f>
        <v>168</v>
      </c>
      <c r="BM55" s="65">
        <f t="shared" ref="BM55:BM60" si="161">BL55*1000/B55</f>
        <v>0.30194430565390712</v>
      </c>
      <c r="BN55" s="64">
        <f t="shared" ref="BN55:BN60" si="162">BN54+BL55</f>
        <v>4732</v>
      </c>
      <c r="BO55" s="65">
        <f t="shared" ref="BO55:BO60" si="163">BN55*1000/C55</f>
        <v>0.2176864138882092</v>
      </c>
      <c r="BP55" s="1071"/>
      <c r="BQ55" s="77">
        <f t="shared" si="114"/>
        <v>50568</v>
      </c>
      <c r="BR55" s="35"/>
      <c r="BS55" s="35">
        <f>34871+12000</f>
        <v>46871</v>
      </c>
      <c r="BT55" s="35">
        <f>BQ55-BS55+BR55</f>
        <v>3697</v>
      </c>
      <c r="BU55" s="74">
        <f t="shared" ref="BU55:BU66" si="164">BU54+BT55</f>
        <v>150826</v>
      </c>
      <c r="BV55" s="74">
        <f>BU55*1000/E55</f>
        <v>532.53343745839197</v>
      </c>
      <c r="BW55" s="1098"/>
      <c r="BX55" s="296">
        <v>400</v>
      </c>
      <c r="BY55" s="296"/>
      <c r="BZ55" s="296">
        <v>400</v>
      </c>
      <c r="CA55" s="296"/>
      <c r="CB55" s="297"/>
      <c r="CC55" s="296">
        <f t="shared" ref="CC55:CC60" si="165">CC54+CA55</f>
        <v>4600</v>
      </c>
      <c r="CD55" s="297">
        <f t="shared" ref="CD55:CD60" si="166">CC55*1000/C55</f>
        <v>0.211614011810178</v>
      </c>
      <c r="CE55" s="1061"/>
    </row>
    <row r="56" spans="1:83">
      <c r="A56" s="30">
        <v>43638</v>
      </c>
      <c r="B56" s="32">
        <v>614348</v>
      </c>
      <c r="C56" s="1">
        <f t="shared" si="5"/>
        <v>22352039</v>
      </c>
      <c r="D56" s="91">
        <v>7367.3</v>
      </c>
      <c r="E56" s="93">
        <f t="shared" si="18"/>
        <v>290590.82999999996</v>
      </c>
      <c r="F56" s="240">
        <f t="shared" si="103"/>
        <v>12000</v>
      </c>
      <c r="G56" s="321">
        <v>31000</v>
      </c>
      <c r="H56" s="240">
        <v>21500</v>
      </c>
      <c r="I56" s="240">
        <f t="shared" si="141"/>
        <v>21500</v>
      </c>
      <c r="J56" s="280">
        <f t="shared" si="142"/>
        <v>34.996451522589801</v>
      </c>
      <c r="K56" s="240">
        <f t="shared" si="143"/>
        <v>534900</v>
      </c>
      <c r="L56" s="280">
        <f t="shared" si="144"/>
        <v>23.930702697861257</v>
      </c>
      <c r="M56" s="280">
        <f t="shared" si="106"/>
        <v>2.9301705274716858</v>
      </c>
      <c r="N56" s="1089"/>
      <c r="O56" s="1084"/>
      <c r="P56" s="35">
        <f t="shared" si="128"/>
        <v>24874</v>
      </c>
      <c r="Q56" s="35"/>
      <c r="R56" s="35">
        <v>24874</v>
      </c>
      <c r="S56" s="35"/>
      <c r="T56" s="36"/>
      <c r="U56" s="74">
        <f t="shared" si="147"/>
        <v>31874</v>
      </c>
      <c r="V56" s="36">
        <f t="shared" si="148"/>
        <v>1.4259996593599358</v>
      </c>
      <c r="W56" s="1136"/>
      <c r="X56" s="49">
        <f t="shared" si="87"/>
        <v>485</v>
      </c>
      <c r="Y56" s="50"/>
      <c r="Z56" s="50">
        <f>308+25</f>
        <v>333</v>
      </c>
      <c r="AA56" s="50">
        <f t="shared" si="149"/>
        <v>152</v>
      </c>
      <c r="AB56" s="51">
        <f t="shared" si="150"/>
        <v>0.24741677355505348</v>
      </c>
      <c r="AC56" s="50">
        <f t="shared" si="151"/>
        <v>6661</v>
      </c>
      <c r="AD56" s="51">
        <f t="shared" si="152"/>
        <v>0.29800413286680466</v>
      </c>
      <c r="AE56" s="1047"/>
      <c r="AF56" s="40">
        <f t="shared" si="88"/>
        <v>945</v>
      </c>
      <c r="AG56" s="41"/>
      <c r="AH56" s="41">
        <v>865</v>
      </c>
      <c r="AI56" s="41">
        <f t="shared" si="153"/>
        <v>80</v>
      </c>
      <c r="AJ56" s="42">
        <f t="shared" si="154"/>
        <v>0.13021935450265973</v>
      </c>
      <c r="AK56" s="41">
        <f t="shared" si="155"/>
        <v>2801</v>
      </c>
      <c r="AL56" s="42">
        <f t="shared" si="156"/>
        <v>0.1253129524335565</v>
      </c>
      <c r="AM56" s="1058"/>
      <c r="AN56" s="67">
        <v>3.7</v>
      </c>
      <c r="AO56" s="67">
        <v>24</v>
      </c>
      <c r="AP56" s="68">
        <f t="shared" si="137"/>
        <v>44.138040000000004</v>
      </c>
      <c r="AQ56" s="68">
        <f t="shared" si="138"/>
        <v>5.9910740705550198</v>
      </c>
      <c r="AR56" s="69">
        <f t="shared" si="139"/>
        <v>2437.7320199999999</v>
      </c>
      <c r="AS56" s="140">
        <f t="shared" si="140"/>
        <v>8.3888814385505572</v>
      </c>
      <c r="AT56" s="1073"/>
      <c r="AU56" s="70">
        <v>2.5</v>
      </c>
      <c r="AV56" s="71">
        <v>12</v>
      </c>
      <c r="AW56" s="72">
        <f t="shared" si="118"/>
        <v>15.501900000000001</v>
      </c>
      <c r="AX56" s="72">
        <f t="shared" si="119"/>
        <v>2.1041494170184465</v>
      </c>
      <c r="AY56" s="73">
        <f t="shared" si="111"/>
        <v>752.46222600000021</v>
      </c>
      <c r="AZ56" s="192">
        <f t="shared" si="112"/>
        <v>2.5894217859524349</v>
      </c>
      <c r="BA56" s="1075"/>
      <c r="BB56" s="90">
        <f t="shared" si="113"/>
        <v>37637</v>
      </c>
      <c r="BC56" s="59"/>
      <c r="BD56" s="56">
        <v>37424</v>
      </c>
      <c r="BE56" s="56">
        <f t="shared" si="157"/>
        <v>213</v>
      </c>
      <c r="BF56" s="58">
        <f t="shared" si="158"/>
        <v>36038</v>
      </c>
      <c r="BG56" s="58">
        <f t="shared" si="159"/>
        <v>124.01630154674876</v>
      </c>
      <c r="BH56" s="1133"/>
      <c r="BI56" s="64">
        <f t="shared" si="89"/>
        <v>900</v>
      </c>
      <c r="BJ56" s="64"/>
      <c r="BK56" s="64">
        <v>780</v>
      </c>
      <c r="BL56" s="64">
        <f t="shared" si="160"/>
        <v>120</v>
      </c>
      <c r="BM56" s="65">
        <f t="shared" si="161"/>
        <v>0.19532903175398961</v>
      </c>
      <c r="BN56" s="64">
        <f t="shared" si="162"/>
        <v>4852</v>
      </c>
      <c r="BO56" s="65">
        <f t="shared" si="163"/>
        <v>0.21707191903163733</v>
      </c>
      <c r="BP56" s="1071"/>
      <c r="BQ56" s="77">
        <f t="shared" si="114"/>
        <v>46871</v>
      </c>
      <c r="BR56" s="35"/>
      <c r="BS56" s="35">
        <f>34871+12000</f>
        <v>46871</v>
      </c>
      <c r="BT56" s="35"/>
      <c r="BU56" s="74">
        <f t="shared" si="164"/>
        <v>150826</v>
      </c>
      <c r="BV56" s="74">
        <f>BU56*1000/E56</f>
        <v>519.0322075889319</v>
      </c>
      <c r="BW56" s="1098"/>
      <c r="BX56" s="296">
        <v>400</v>
      </c>
      <c r="BY56" s="296"/>
      <c r="BZ56" s="296">
        <v>400</v>
      </c>
      <c r="CA56" s="296"/>
      <c r="CB56" s="297"/>
      <c r="CC56" s="296">
        <f t="shared" si="165"/>
        <v>4600</v>
      </c>
      <c r="CD56" s="297">
        <f t="shared" si="166"/>
        <v>0.20579777979091751</v>
      </c>
      <c r="CE56" s="1061"/>
    </row>
    <row r="57" spans="1:83">
      <c r="A57" s="30">
        <v>43639</v>
      </c>
      <c r="B57" s="32">
        <v>627864</v>
      </c>
      <c r="C57" s="1">
        <f t="shared" si="5"/>
        <v>22979903</v>
      </c>
      <c r="D57" s="91">
        <v>6751.78</v>
      </c>
      <c r="E57" s="93">
        <f t="shared" si="18"/>
        <v>297342.61</v>
      </c>
      <c r="F57" s="240">
        <f t="shared" si="103"/>
        <v>21500</v>
      </c>
      <c r="G57" s="227"/>
      <c r="H57" s="240"/>
      <c r="I57" s="240">
        <f t="shared" si="141"/>
        <v>21500</v>
      </c>
      <c r="J57" s="280">
        <f t="shared" si="142"/>
        <v>34.243084489634697</v>
      </c>
      <c r="K57" s="240">
        <f t="shared" si="143"/>
        <v>556400</v>
      </c>
      <c r="L57" s="280">
        <f t="shared" si="144"/>
        <v>24.212460774964978</v>
      </c>
      <c r="M57" s="280">
        <f t="shared" si="106"/>
        <v>2.9646701083586358</v>
      </c>
      <c r="N57" s="1089"/>
      <c r="O57" s="1084"/>
      <c r="P57" s="35">
        <f t="shared" si="128"/>
        <v>24874</v>
      </c>
      <c r="Q57" s="35"/>
      <c r="R57" s="35">
        <v>24874</v>
      </c>
      <c r="S57" s="35"/>
      <c r="T57" s="36"/>
      <c r="U57" s="74">
        <f t="shared" si="147"/>
        <v>31874</v>
      </c>
      <c r="V57" s="36">
        <f t="shared" si="148"/>
        <v>1.3870380566880547</v>
      </c>
      <c r="W57" s="1136"/>
      <c r="X57" s="49">
        <f t="shared" si="87"/>
        <v>333</v>
      </c>
      <c r="Y57" s="50"/>
      <c r="Z57" s="50">
        <f>108+87</f>
        <v>195</v>
      </c>
      <c r="AA57" s="50">
        <f t="shared" si="149"/>
        <v>138</v>
      </c>
      <c r="AB57" s="51">
        <f t="shared" si="150"/>
        <v>0.21979282137532968</v>
      </c>
      <c r="AC57" s="50">
        <f t="shared" si="151"/>
        <v>6799</v>
      </c>
      <c r="AD57" s="51">
        <f t="shared" si="152"/>
        <v>0.29586721928286641</v>
      </c>
      <c r="AE57" s="1047"/>
      <c r="AF57" s="40">
        <f t="shared" si="88"/>
        <v>865</v>
      </c>
      <c r="AG57" s="41"/>
      <c r="AH57" s="41">
        <v>805</v>
      </c>
      <c r="AI57" s="41">
        <f t="shared" si="153"/>
        <v>60</v>
      </c>
      <c r="AJ57" s="42">
        <f t="shared" si="154"/>
        <v>9.556209625014335E-2</v>
      </c>
      <c r="AK57" s="41">
        <f t="shared" si="155"/>
        <v>2861</v>
      </c>
      <c r="AL57" s="42">
        <f t="shared" si="156"/>
        <v>0.12450009036156506</v>
      </c>
      <c r="AM57" s="1058"/>
      <c r="AN57" s="67">
        <v>3.8</v>
      </c>
      <c r="AO57" s="67">
        <v>24</v>
      </c>
      <c r="AP57" s="68">
        <f t="shared" si="137"/>
        <v>45.33095999999999</v>
      </c>
      <c r="AQ57" s="68">
        <f t="shared" si="138"/>
        <v>6.7139272902849312</v>
      </c>
      <c r="AR57" s="69">
        <f t="shared" si="139"/>
        <v>2483.0629799999997</v>
      </c>
      <c r="AS57" s="140">
        <f t="shared" si="140"/>
        <v>8.3508481344130256</v>
      </c>
      <c r="AT57" s="1073"/>
      <c r="AU57" s="70">
        <v>2.4</v>
      </c>
      <c r="AV57" s="71">
        <v>12</v>
      </c>
      <c r="AW57" s="72">
        <f t="shared" si="118"/>
        <v>14.881824</v>
      </c>
      <c r="AX57" s="72">
        <f t="shared" si="119"/>
        <v>2.2041334285181096</v>
      </c>
      <c r="AY57" s="73">
        <f t="shared" si="111"/>
        <v>767.34405000000027</v>
      </c>
      <c r="AZ57" s="192">
        <f t="shared" si="112"/>
        <v>2.5806730155493027</v>
      </c>
      <c r="BA57" s="1075"/>
      <c r="BB57" s="90">
        <f t="shared" si="113"/>
        <v>37424</v>
      </c>
      <c r="BC57" s="59"/>
      <c r="BD57" s="56">
        <v>37424</v>
      </c>
      <c r="BE57" s="56"/>
      <c r="BF57" s="58">
        <f t="shared" si="158"/>
        <v>36038</v>
      </c>
      <c r="BG57" s="58">
        <f t="shared" si="159"/>
        <v>121.20025448084955</v>
      </c>
      <c r="BH57" s="1133"/>
      <c r="BI57" s="64">
        <f t="shared" si="89"/>
        <v>780</v>
      </c>
      <c r="BJ57" s="64"/>
      <c r="BK57" s="64">
        <v>612</v>
      </c>
      <c r="BL57" s="64">
        <f t="shared" si="160"/>
        <v>168</v>
      </c>
      <c r="BM57" s="65">
        <f t="shared" si="161"/>
        <v>0.26757386950040135</v>
      </c>
      <c r="BN57" s="64">
        <f t="shared" si="162"/>
        <v>5020</v>
      </c>
      <c r="BO57" s="65">
        <f t="shared" si="163"/>
        <v>0.21845174890424907</v>
      </c>
      <c r="BP57" s="1071"/>
      <c r="BQ57" s="77">
        <f t="shared" si="114"/>
        <v>46871</v>
      </c>
      <c r="BR57" s="35"/>
      <c r="BS57" s="35">
        <f>38568+8000</f>
        <v>46568</v>
      </c>
      <c r="BT57" s="35">
        <f>BQ57-BS57+BR57</f>
        <v>303</v>
      </c>
      <c r="BU57" s="74">
        <f t="shared" si="164"/>
        <v>151129</v>
      </c>
      <c r="BV57" s="74">
        <f>BU57*1000/E57</f>
        <v>508.26553247783761</v>
      </c>
      <c r="BW57" s="1098"/>
      <c r="BX57" s="296">
        <v>400</v>
      </c>
      <c r="BY57" s="296"/>
      <c r="BZ57" s="296">
        <v>400</v>
      </c>
      <c r="CA57" s="296"/>
      <c r="CB57" s="297"/>
      <c r="CC57" s="296">
        <f t="shared" si="165"/>
        <v>4600</v>
      </c>
      <c r="CD57" s="297">
        <f t="shared" si="166"/>
        <v>0.20017490935449117</v>
      </c>
      <c r="CE57" s="1061"/>
    </row>
    <row r="58" spans="1:83">
      <c r="A58" s="30">
        <v>43640</v>
      </c>
      <c r="B58" s="32">
        <v>556284</v>
      </c>
      <c r="C58" s="1">
        <f t="shared" si="5"/>
        <v>23536187</v>
      </c>
      <c r="D58" s="91">
        <v>6465.38</v>
      </c>
      <c r="E58" s="93">
        <f t="shared" si="18"/>
        <v>303807.99</v>
      </c>
      <c r="F58" s="240"/>
      <c r="G58" s="321">
        <v>31200</v>
      </c>
      <c r="H58" s="240">
        <v>8400</v>
      </c>
      <c r="I58" s="240">
        <f t="shared" si="141"/>
        <v>22800</v>
      </c>
      <c r="J58" s="280">
        <f t="shared" si="142"/>
        <v>40.986258817438575</v>
      </c>
      <c r="K58" s="240">
        <f t="shared" si="143"/>
        <v>579200</v>
      </c>
      <c r="L58" s="280">
        <f t="shared" si="144"/>
        <v>24.608913924757651</v>
      </c>
      <c r="M58" s="280">
        <f t="shared" si="106"/>
        <v>3.0132134106474413</v>
      </c>
      <c r="N58" s="1089"/>
      <c r="O58" s="1084"/>
      <c r="P58" s="35">
        <f t="shared" si="128"/>
        <v>24874</v>
      </c>
      <c r="Q58" s="35"/>
      <c r="R58" s="35">
        <v>24874</v>
      </c>
      <c r="S58" s="35"/>
      <c r="T58" s="36"/>
      <c r="U58" s="74">
        <f t="shared" si="147"/>
        <v>31874</v>
      </c>
      <c r="V58" s="36">
        <f t="shared" si="148"/>
        <v>1.354255045645244</v>
      </c>
      <c r="W58" s="1136"/>
      <c r="X58" s="49">
        <f t="shared" si="87"/>
        <v>195</v>
      </c>
      <c r="Y58" s="50">
        <v>900</v>
      </c>
      <c r="Z58" s="50">
        <f>761+100</f>
        <v>861</v>
      </c>
      <c r="AA58" s="50">
        <f t="shared" si="149"/>
        <v>234</v>
      </c>
      <c r="AB58" s="51">
        <f t="shared" si="150"/>
        <v>0.42064844575792221</v>
      </c>
      <c r="AC58" s="50">
        <f t="shared" si="151"/>
        <v>7033</v>
      </c>
      <c r="AD58" s="51">
        <f t="shared" si="152"/>
        <v>0.29881645654837802</v>
      </c>
      <c r="AE58" s="1047"/>
      <c r="AF58" s="40">
        <f t="shared" si="88"/>
        <v>805</v>
      </c>
      <c r="AG58" s="41"/>
      <c r="AH58" s="41">
        <v>725</v>
      </c>
      <c r="AI58" s="41">
        <f t="shared" si="153"/>
        <v>80</v>
      </c>
      <c r="AJ58" s="42">
        <f t="shared" si="154"/>
        <v>0.14381143444715289</v>
      </c>
      <c r="AK58" s="41">
        <f t="shared" si="155"/>
        <v>2941</v>
      </c>
      <c r="AL58" s="42">
        <f t="shared" si="156"/>
        <v>0.12495651908272143</v>
      </c>
      <c r="AM58" s="1058"/>
      <c r="AN58" s="67">
        <v>2.7</v>
      </c>
      <c r="AO58" s="67">
        <v>24</v>
      </c>
      <c r="AP58" s="68">
        <f t="shared" si="137"/>
        <v>32.208840000000002</v>
      </c>
      <c r="AQ58" s="68">
        <f t="shared" si="138"/>
        <v>4.9817396657273054</v>
      </c>
      <c r="AR58" s="69">
        <f t="shared" si="139"/>
        <v>2515.2718199999995</v>
      </c>
      <c r="AS58" s="140">
        <f t="shared" si="140"/>
        <v>8.2791496695001321</v>
      </c>
      <c r="AT58" s="1073"/>
      <c r="AU58" s="70">
        <v>2.2999999999999998</v>
      </c>
      <c r="AV58" s="71">
        <v>12</v>
      </c>
      <c r="AW58" s="72">
        <f t="shared" si="118"/>
        <v>14.261747999999999</v>
      </c>
      <c r="AX58" s="72">
        <f t="shared" si="119"/>
        <v>2.205863847136595</v>
      </c>
      <c r="AY58" s="73">
        <f t="shared" si="111"/>
        <v>781.60579800000028</v>
      </c>
      <c r="AZ58" s="192">
        <f t="shared" si="112"/>
        <v>2.5726966496174124</v>
      </c>
      <c r="BA58" s="1075"/>
      <c r="BB58" s="90">
        <f t="shared" si="113"/>
        <v>37424</v>
      </c>
      <c r="BC58" s="59"/>
      <c r="BD58" s="56">
        <v>36782</v>
      </c>
      <c r="BE58" s="56">
        <f t="shared" si="157"/>
        <v>642</v>
      </c>
      <c r="BF58" s="58">
        <f t="shared" si="158"/>
        <v>36680</v>
      </c>
      <c r="BG58" s="58">
        <f t="shared" si="159"/>
        <v>120.73415185690146</v>
      </c>
      <c r="BH58" s="1133"/>
      <c r="BI58" s="64">
        <f t="shared" si="89"/>
        <v>612</v>
      </c>
      <c r="BJ58" s="64">
        <v>1100</v>
      </c>
      <c r="BK58" s="64">
        <v>1680</v>
      </c>
      <c r="BL58" s="64">
        <f t="shared" si="160"/>
        <v>32</v>
      </c>
      <c r="BM58" s="65">
        <f t="shared" si="161"/>
        <v>5.7524573778861159E-2</v>
      </c>
      <c r="BN58" s="64">
        <f t="shared" si="162"/>
        <v>5052</v>
      </c>
      <c r="BO58" s="65">
        <f t="shared" si="163"/>
        <v>0.21464819258956433</v>
      </c>
      <c r="BP58" s="1071"/>
      <c r="BQ58" s="77">
        <f t="shared" si="114"/>
        <v>46568</v>
      </c>
      <c r="BR58" s="35"/>
      <c r="BS58" s="99">
        <f>36719+8000</f>
        <v>44719</v>
      </c>
      <c r="BT58" s="35">
        <f>BQ58-BS58+BR58</f>
        <v>1849</v>
      </c>
      <c r="BU58" s="74">
        <f t="shared" si="164"/>
        <v>152978</v>
      </c>
      <c r="BV58" s="74">
        <f>BU58*1000/E58</f>
        <v>503.53514402303904</v>
      </c>
      <c r="BW58" s="1098"/>
      <c r="BX58" s="296">
        <v>400</v>
      </c>
      <c r="BY58" s="296"/>
      <c r="BZ58" s="296">
        <v>400</v>
      </c>
      <c r="CA58" s="296"/>
      <c r="CB58" s="297"/>
      <c r="CC58" s="296">
        <f t="shared" si="165"/>
        <v>4600</v>
      </c>
      <c r="CD58" s="297">
        <f t="shared" si="166"/>
        <v>0.19544372246872443</v>
      </c>
      <c r="CE58" s="1061"/>
    </row>
    <row r="59" spans="1:83">
      <c r="A59" s="30">
        <v>43641</v>
      </c>
      <c r="B59" s="32">
        <v>558705</v>
      </c>
      <c r="C59" s="1">
        <f t="shared" si="5"/>
        <v>24094892</v>
      </c>
      <c r="D59" s="91">
        <v>7099.79</v>
      </c>
      <c r="E59" s="93">
        <f t="shared" si="18"/>
        <v>310907.77999999997</v>
      </c>
      <c r="F59" s="240">
        <f t="shared" si="103"/>
        <v>8400</v>
      </c>
      <c r="G59" s="227"/>
      <c r="H59" s="240">
        <v>5000</v>
      </c>
      <c r="I59" s="240">
        <f t="shared" si="141"/>
        <v>3400</v>
      </c>
      <c r="J59" s="280">
        <f t="shared" si="142"/>
        <v>6.0855012931690249</v>
      </c>
      <c r="K59" s="240">
        <f t="shared" si="143"/>
        <v>582600</v>
      </c>
      <c r="L59" s="280">
        <f t="shared" si="144"/>
        <v>24.179398687489449</v>
      </c>
      <c r="M59" s="280">
        <f t="shared" si="106"/>
        <v>2.9606218547189238</v>
      </c>
      <c r="N59" s="1089"/>
      <c r="O59" s="1084"/>
      <c r="P59" s="35">
        <f t="shared" si="128"/>
        <v>24874</v>
      </c>
      <c r="Q59" s="35"/>
      <c r="R59" s="35">
        <v>23021</v>
      </c>
      <c r="S59" s="35">
        <f t="shared" si="145"/>
        <v>1853</v>
      </c>
      <c r="T59" s="36">
        <f t="shared" si="146"/>
        <v>3.3165982047771183</v>
      </c>
      <c r="U59" s="74">
        <f t="shared" si="147"/>
        <v>33727</v>
      </c>
      <c r="V59" s="36">
        <f t="shared" si="148"/>
        <v>1.3997572597544741</v>
      </c>
      <c r="W59" s="1136"/>
      <c r="X59" s="49">
        <f t="shared" si="87"/>
        <v>861</v>
      </c>
      <c r="Y59" s="50"/>
      <c r="Z59" s="50">
        <f>599+125</f>
        <v>724</v>
      </c>
      <c r="AA59" s="50">
        <f t="shared" si="149"/>
        <v>137</v>
      </c>
      <c r="AB59" s="51">
        <f t="shared" si="150"/>
        <v>0.2452099050482813</v>
      </c>
      <c r="AC59" s="50">
        <f t="shared" si="151"/>
        <v>7170</v>
      </c>
      <c r="AD59" s="51">
        <f t="shared" si="152"/>
        <v>0.29757344419721821</v>
      </c>
      <c r="AE59" s="1047"/>
      <c r="AF59" s="40">
        <f t="shared" si="88"/>
        <v>725</v>
      </c>
      <c r="AG59" s="41"/>
      <c r="AH59" s="41">
        <v>666</v>
      </c>
      <c r="AI59" s="41">
        <f t="shared" si="153"/>
        <v>59</v>
      </c>
      <c r="AJ59" s="42">
        <f t="shared" si="154"/>
        <v>0.10560134596969778</v>
      </c>
      <c r="AK59" s="41">
        <f t="shared" si="155"/>
        <v>3000</v>
      </c>
      <c r="AL59" s="42">
        <f t="shared" si="156"/>
        <v>0.1245077172373298</v>
      </c>
      <c r="AM59" s="1058"/>
      <c r="AN59" s="67">
        <v>3.2</v>
      </c>
      <c r="AO59" s="67">
        <v>24</v>
      </c>
      <c r="AP59" s="68">
        <f t="shared" si="137"/>
        <v>38.173440000000006</v>
      </c>
      <c r="AQ59" s="68">
        <f t="shared" si="138"/>
        <v>5.3766998742216332</v>
      </c>
      <c r="AR59" s="69">
        <f t="shared" si="139"/>
        <v>2553.4452599999995</v>
      </c>
      <c r="AS59" s="140">
        <f t="shared" si="140"/>
        <v>8.2128702601137853</v>
      </c>
      <c r="AT59" s="1073"/>
      <c r="AU59" s="70">
        <v>2.4</v>
      </c>
      <c r="AV59" s="71">
        <v>12</v>
      </c>
      <c r="AW59" s="72">
        <f t="shared" si="118"/>
        <v>14.881824</v>
      </c>
      <c r="AX59" s="72">
        <f t="shared" si="119"/>
        <v>2.0960935464288379</v>
      </c>
      <c r="AY59" s="73">
        <f t="shared" si="111"/>
        <v>796.48762200000033</v>
      </c>
      <c r="AZ59" s="192">
        <f t="shared" si="112"/>
        <v>2.5618130945452711</v>
      </c>
      <c r="BA59" s="1075"/>
      <c r="BB59" s="90">
        <f t="shared" si="113"/>
        <v>36782</v>
      </c>
      <c r="BC59" s="59"/>
      <c r="BD59" s="56">
        <v>36782</v>
      </c>
      <c r="BE59" s="56"/>
      <c r="BF59" s="58">
        <f t="shared" si="158"/>
        <v>36680</v>
      </c>
      <c r="BG59" s="58">
        <f t="shared" si="159"/>
        <v>117.977105622767</v>
      </c>
      <c r="BH59" s="1133"/>
      <c r="BI59" s="64">
        <f t="shared" si="89"/>
        <v>1680</v>
      </c>
      <c r="BJ59" s="64"/>
      <c r="BK59" s="64">
        <v>1536</v>
      </c>
      <c r="BL59" s="64">
        <f t="shared" si="160"/>
        <v>144</v>
      </c>
      <c r="BM59" s="65">
        <f t="shared" si="161"/>
        <v>0.25773887829892339</v>
      </c>
      <c r="BN59" s="64">
        <f t="shared" si="162"/>
        <v>5196</v>
      </c>
      <c r="BO59" s="65">
        <f t="shared" si="163"/>
        <v>0.21564736625505523</v>
      </c>
      <c r="BP59" s="1071"/>
      <c r="BQ59" s="77">
        <f t="shared" si="114"/>
        <v>44719</v>
      </c>
      <c r="BR59" s="35"/>
      <c r="BS59" s="99">
        <f>28402+8000</f>
        <v>36402</v>
      </c>
      <c r="BT59" s="35">
        <f>BQ59-BS59+BR59</f>
        <v>8317</v>
      </c>
      <c r="BU59" s="74">
        <f t="shared" si="164"/>
        <v>161295</v>
      </c>
      <c r="BV59" s="74">
        <f>BU59*1000/E59</f>
        <v>518.78727512061619</v>
      </c>
      <c r="BW59" s="1098"/>
      <c r="BX59" s="296">
        <v>400</v>
      </c>
      <c r="BY59" s="296"/>
      <c r="BZ59" s="296">
        <v>400</v>
      </c>
      <c r="CA59" s="296"/>
      <c r="CB59" s="297"/>
      <c r="CC59" s="296">
        <f t="shared" si="165"/>
        <v>4600</v>
      </c>
      <c r="CD59" s="297">
        <f t="shared" si="166"/>
        <v>0.19091183309723903</v>
      </c>
      <c r="CE59" s="1061"/>
    </row>
    <row r="60" spans="1:83">
      <c r="A60" s="30">
        <v>43642</v>
      </c>
      <c r="B60" s="32">
        <v>618113</v>
      </c>
      <c r="C60" s="1">
        <f t="shared" si="5"/>
        <v>24713005</v>
      </c>
      <c r="D60" s="1">
        <v>6852.04</v>
      </c>
      <c r="E60" s="93">
        <f t="shared" si="18"/>
        <v>317759.81999999995</v>
      </c>
      <c r="F60" s="240">
        <f t="shared" si="103"/>
        <v>5000</v>
      </c>
      <c r="G60" s="321">
        <v>33320</v>
      </c>
      <c r="H60" s="240">
        <v>10500</v>
      </c>
      <c r="I60" s="240">
        <f t="shared" si="141"/>
        <v>27820</v>
      </c>
      <c r="J60" s="280">
        <f t="shared" si="142"/>
        <v>45.007951620496577</v>
      </c>
      <c r="K60" s="240">
        <f t="shared" si="143"/>
        <v>610420</v>
      </c>
      <c r="L60" s="280">
        <f t="shared" si="144"/>
        <v>24.70035513690059</v>
      </c>
      <c r="M60" s="280">
        <f t="shared" si="106"/>
        <v>3.0244098367700003</v>
      </c>
      <c r="N60" s="1089"/>
      <c r="O60" s="1084"/>
      <c r="P60" s="35">
        <f t="shared" si="128"/>
        <v>23021</v>
      </c>
      <c r="Q60" s="35"/>
      <c r="R60" s="35">
        <v>21971</v>
      </c>
      <c r="S60" s="35">
        <f t="shared" si="145"/>
        <v>1050</v>
      </c>
      <c r="T60" s="36">
        <f t="shared" si="146"/>
        <v>1.6987185191057299</v>
      </c>
      <c r="U60" s="74">
        <f t="shared" si="147"/>
        <v>34777</v>
      </c>
      <c r="V60" s="36">
        <f t="shared" si="148"/>
        <v>1.4072347737557613</v>
      </c>
      <c r="W60" s="1136"/>
      <c r="X60" s="49">
        <f t="shared" si="87"/>
        <v>724</v>
      </c>
      <c r="Y60" s="50"/>
      <c r="Z60" s="50">
        <f>373+50</f>
        <v>423</v>
      </c>
      <c r="AA60" s="50">
        <f t="shared" si="149"/>
        <v>301</v>
      </c>
      <c r="AB60" s="51">
        <f t="shared" si="150"/>
        <v>0.4869659754769759</v>
      </c>
      <c r="AC60" s="50">
        <f t="shared" si="151"/>
        <v>7471</v>
      </c>
      <c r="AD60" s="51">
        <f t="shared" si="152"/>
        <v>0.3023104636607325</v>
      </c>
      <c r="AE60" s="1047"/>
      <c r="AF60" s="40">
        <f t="shared" si="88"/>
        <v>666</v>
      </c>
      <c r="AG60" s="41"/>
      <c r="AH60" s="41">
        <f>606</f>
        <v>606</v>
      </c>
      <c r="AI60" s="41">
        <f t="shared" si="153"/>
        <v>60</v>
      </c>
      <c r="AJ60" s="42">
        <f t="shared" si="154"/>
        <v>9.7069629663184567E-2</v>
      </c>
      <c r="AK60" s="41">
        <f t="shared" si="155"/>
        <v>3060</v>
      </c>
      <c r="AL60" s="42">
        <f t="shared" si="156"/>
        <v>0.12382144542923858</v>
      </c>
      <c r="AM60" s="1058"/>
      <c r="AN60" s="67">
        <v>3.1</v>
      </c>
      <c r="AO60" s="67">
        <v>24</v>
      </c>
      <c r="AP60" s="68">
        <f t="shared" si="137"/>
        <v>36.980520000000006</v>
      </c>
      <c r="AQ60" s="68">
        <f t="shared" si="138"/>
        <v>5.3970087740293406</v>
      </c>
      <c r="AR60" s="69">
        <f t="shared" si="139"/>
        <v>2590.4257799999996</v>
      </c>
      <c r="AS60" s="140">
        <f t="shared" si="140"/>
        <v>8.1521501994808538</v>
      </c>
      <c r="AT60" s="1073"/>
      <c r="AU60" s="70">
        <v>2.5</v>
      </c>
      <c r="AV60" s="71">
        <v>12</v>
      </c>
      <c r="AW60" s="72">
        <f t="shared" si="118"/>
        <v>15.501900000000001</v>
      </c>
      <c r="AX60" s="72">
        <f t="shared" si="119"/>
        <v>2.2623773358007253</v>
      </c>
      <c r="AY60" s="73">
        <f t="shared" si="111"/>
        <v>811.98952200000031</v>
      </c>
      <c r="AZ60" s="192">
        <f t="shared" si="112"/>
        <v>2.555356186946482</v>
      </c>
      <c r="BA60" s="1075"/>
      <c r="BB60" s="90">
        <f t="shared" si="113"/>
        <v>36782</v>
      </c>
      <c r="BC60" s="59"/>
      <c r="BD60" s="56">
        <v>33952</v>
      </c>
      <c r="BE60" s="56">
        <f t="shared" si="157"/>
        <v>2830</v>
      </c>
      <c r="BF60" s="58">
        <f t="shared" si="158"/>
        <v>39510</v>
      </c>
      <c r="BG60" s="58">
        <f t="shared" si="159"/>
        <v>124.33919430090313</v>
      </c>
      <c r="BH60" s="1133"/>
      <c r="BI60" s="64">
        <f t="shared" si="89"/>
        <v>1536</v>
      </c>
      <c r="BJ60" s="64"/>
      <c r="BK60" s="64">
        <v>1428</v>
      </c>
      <c r="BL60" s="64">
        <f t="shared" si="160"/>
        <v>108</v>
      </c>
      <c r="BM60" s="65">
        <f t="shared" si="161"/>
        <v>0.17472533339373222</v>
      </c>
      <c r="BN60" s="64">
        <f t="shared" si="162"/>
        <v>5304</v>
      </c>
      <c r="BO60" s="65">
        <f t="shared" si="163"/>
        <v>0.21462383874401353</v>
      </c>
      <c r="BP60" s="1071"/>
      <c r="BQ60" s="77">
        <f t="shared" si="114"/>
        <v>36402</v>
      </c>
      <c r="BR60" s="35"/>
      <c r="BS60" s="99">
        <v>36402</v>
      </c>
      <c r="BT60" s="35"/>
      <c r="BU60" s="74">
        <f t="shared" si="164"/>
        <v>161295</v>
      </c>
      <c r="BV60" s="74">
        <f t="shared" ref="BV60:BV66" si="167">BU60*1000/E60</f>
        <v>507.60036306667098</v>
      </c>
      <c r="BW60" s="1098"/>
      <c r="BX60" s="296">
        <v>400</v>
      </c>
      <c r="BY60" s="296"/>
      <c r="BZ60" s="296">
        <v>400</v>
      </c>
      <c r="CA60" s="296"/>
      <c r="CB60" s="297"/>
      <c r="CC60" s="296">
        <f t="shared" si="165"/>
        <v>4600</v>
      </c>
      <c r="CD60" s="297">
        <f t="shared" si="166"/>
        <v>0.18613681339035865</v>
      </c>
      <c r="CE60" s="1061"/>
    </row>
    <row r="61" spans="1:83">
      <c r="A61" s="30">
        <v>43643</v>
      </c>
      <c r="B61" s="32">
        <v>433754</v>
      </c>
      <c r="C61" s="1">
        <f t="shared" si="5"/>
        <v>25146759</v>
      </c>
      <c r="D61" s="91">
        <v>6713.54</v>
      </c>
      <c r="E61" s="93">
        <f t="shared" si="18"/>
        <v>324473.35999999993</v>
      </c>
      <c r="F61" s="240">
        <f t="shared" si="103"/>
        <v>10500</v>
      </c>
      <c r="G61" s="321">
        <v>27660</v>
      </c>
      <c r="H61" s="240">
        <v>17000</v>
      </c>
      <c r="I61" s="240">
        <f>F61+G61-H61</f>
        <v>21160</v>
      </c>
      <c r="J61" s="280">
        <f>I61*1000/B61</f>
        <v>48.783411795626094</v>
      </c>
      <c r="K61" s="240">
        <f t="shared" ref="K61:K68" si="168">K60+I61</f>
        <v>631580</v>
      </c>
      <c r="L61" s="280">
        <f t="shared" ref="L61:L68" si="169">K61*1000/C61</f>
        <v>25.115761438680824</v>
      </c>
      <c r="M61" s="280">
        <f t="shared" ref="M61:M68" si="170">L61/8.167</f>
        <v>3.0752738384573068</v>
      </c>
      <c r="N61" s="1089"/>
      <c r="O61" s="1084"/>
      <c r="P61" s="35">
        <f t="shared" si="128"/>
        <v>21971</v>
      </c>
      <c r="Q61" s="35"/>
      <c r="R61" s="35">
        <v>21971</v>
      </c>
      <c r="S61" s="35"/>
      <c r="T61" s="36"/>
      <c r="U61" s="74">
        <f t="shared" ref="U61:U66" si="171">U60+S61</f>
        <v>34777</v>
      </c>
      <c r="V61" s="36">
        <f t="shared" ref="V61:V66" si="172">1000*U61/C61</f>
        <v>1.3829615180230581</v>
      </c>
      <c r="W61" s="1136"/>
      <c r="X61" s="49">
        <f t="shared" si="87"/>
        <v>423</v>
      </c>
      <c r="Y61" s="50"/>
      <c r="Z61" s="50">
        <v>261</v>
      </c>
      <c r="AA61" s="50">
        <f>X61+Y61-Z61</f>
        <v>162</v>
      </c>
      <c r="AB61" s="51">
        <f>AA61*1000/B61</f>
        <v>0.37348358747123944</v>
      </c>
      <c r="AC61" s="50">
        <f t="shared" ref="AC61:AC67" si="173">AC60+AA61</f>
        <v>7633</v>
      </c>
      <c r="AD61" s="51">
        <f t="shared" ref="AD61:AD67" si="174">AC61*1000/C61</f>
        <v>0.30353812195042706</v>
      </c>
      <c r="AE61" s="1047"/>
      <c r="AF61" s="40">
        <f t="shared" si="88"/>
        <v>606</v>
      </c>
      <c r="AG61" s="41"/>
      <c r="AH61" s="41">
        <v>567</v>
      </c>
      <c r="AI61" s="41">
        <f>AF61+AG61-AH61</f>
        <v>39</v>
      </c>
      <c r="AJ61" s="42">
        <f>AI61*1000/B61</f>
        <v>8.9912715502335427E-2</v>
      </c>
      <c r="AK61" s="41">
        <f t="shared" ref="AK61:AK68" si="175">AK60+AI61</f>
        <v>3099</v>
      </c>
      <c r="AL61" s="42">
        <f t="shared" ref="AL61:AL68" si="176">AK61*1000/C61</f>
        <v>0.1232365570449854</v>
      </c>
      <c r="AM61" s="1058"/>
      <c r="AN61" s="67">
        <v>3.8</v>
      </c>
      <c r="AO61" s="67">
        <v>24</v>
      </c>
      <c r="AP61" s="68">
        <f t="shared" si="137"/>
        <v>45.33095999999999</v>
      </c>
      <c r="AQ61" s="68">
        <f t="shared" si="138"/>
        <v>6.752169496271712</v>
      </c>
      <c r="AR61" s="69">
        <f t="shared" ref="AR61:AR66" si="177">AR60+AP61</f>
        <v>2635.7567399999994</v>
      </c>
      <c r="AS61" s="140">
        <f t="shared" ref="AS61:AS66" si="178">AR61*1000/E61</f>
        <v>8.1231837954277655</v>
      </c>
      <c r="AT61" s="1073"/>
      <c r="AU61" s="70">
        <v>2.5</v>
      </c>
      <c r="AV61" s="71">
        <v>12</v>
      </c>
      <c r="AW61" s="72">
        <f t="shared" si="118"/>
        <v>15.501900000000001</v>
      </c>
      <c r="AX61" s="72">
        <f t="shared" si="119"/>
        <v>2.3090500689651066</v>
      </c>
      <c r="AY61" s="73">
        <f t="shared" ref="AY61:AY66" si="179">AY60+AW61</f>
        <v>827.49142200000028</v>
      </c>
      <c r="AZ61" s="192">
        <f t="shared" ref="AZ61:AZ66" si="180">AY61*1000/E61</f>
        <v>2.5502599720359185</v>
      </c>
      <c r="BA61" s="1075"/>
      <c r="BB61" s="90">
        <f t="shared" si="113"/>
        <v>33952</v>
      </c>
      <c r="BC61" s="59"/>
      <c r="BD61" s="56">
        <v>33952</v>
      </c>
      <c r="BE61" s="56"/>
      <c r="BF61" s="58">
        <f t="shared" ref="BF61:BF66" si="181">BF60+BE61</f>
        <v>39510</v>
      </c>
      <c r="BG61" s="58">
        <f t="shared" ref="BG61:BG66" si="182">BF61*1000/E61</f>
        <v>121.76654502545297</v>
      </c>
      <c r="BH61" s="1133"/>
      <c r="BI61" s="64">
        <f t="shared" si="89"/>
        <v>1428</v>
      </c>
      <c r="BJ61" s="64"/>
      <c r="BK61" s="64">
        <v>1140</v>
      </c>
      <c r="BL61" s="64">
        <f>BI61+BJ61-BK61</f>
        <v>288</v>
      </c>
      <c r="BM61" s="65">
        <f t="shared" ref="BM61:BM67" si="183">BL61*1000/B61</f>
        <v>0.66397082217109238</v>
      </c>
      <c r="BN61" s="64">
        <f t="shared" ref="BN61:BN67" si="184">BN60+BL61</f>
        <v>5592</v>
      </c>
      <c r="BO61" s="65">
        <f t="shared" ref="BO61:BO67" si="185">BN61*1000/C61</f>
        <v>0.22237458115377812</v>
      </c>
      <c r="BP61" s="1071"/>
      <c r="BQ61" s="77">
        <f t="shared" si="114"/>
        <v>36402</v>
      </c>
      <c r="BR61" s="35"/>
      <c r="BS61" s="35">
        <v>31174</v>
      </c>
      <c r="BT61" s="35">
        <f>BQ61-BS61+BR61</f>
        <v>5228</v>
      </c>
      <c r="BU61" s="74">
        <f t="shared" si="164"/>
        <v>166523</v>
      </c>
      <c r="BV61" s="74">
        <f t="shared" si="167"/>
        <v>513.21008294795001</v>
      </c>
      <c r="BW61" s="1098"/>
      <c r="BX61" s="296">
        <v>400</v>
      </c>
      <c r="BY61" s="296"/>
      <c r="BZ61" s="296">
        <v>400</v>
      </c>
      <c r="CA61" s="296"/>
      <c r="CB61" s="297"/>
      <c r="CC61" s="296">
        <f t="shared" ref="CC61:CC97" si="186">CC60+CA61</f>
        <v>4600</v>
      </c>
      <c r="CD61" s="297">
        <f t="shared" ref="CD61:CD97" si="187">CC61*1000/C61</f>
        <v>0.18292615760146269</v>
      </c>
      <c r="CE61" s="1061"/>
    </row>
    <row r="62" spans="1:83">
      <c r="A62" s="30">
        <v>43644</v>
      </c>
      <c r="B62" s="32">
        <v>641428</v>
      </c>
      <c r="C62" s="1">
        <f t="shared" si="5"/>
        <v>25788187</v>
      </c>
      <c r="D62" s="91">
        <v>7240.36</v>
      </c>
      <c r="E62" s="93">
        <f t="shared" si="18"/>
        <v>331713.71999999991</v>
      </c>
      <c r="F62" s="240">
        <f t="shared" si="103"/>
        <v>17000</v>
      </c>
      <c r="G62" s="227"/>
      <c r="H62" s="240"/>
      <c r="I62" s="240">
        <f>F62+G62-H62</f>
        <v>17000</v>
      </c>
      <c r="J62" s="280">
        <f>I62*1000/B62</f>
        <v>26.503364368253333</v>
      </c>
      <c r="K62" s="240">
        <f t="shared" si="168"/>
        <v>648580</v>
      </c>
      <c r="L62" s="280">
        <f t="shared" si="169"/>
        <v>25.150275201587455</v>
      </c>
      <c r="M62" s="280">
        <f t="shared" si="170"/>
        <v>3.0794998410171979</v>
      </c>
      <c r="N62" s="1089"/>
      <c r="O62" s="1084"/>
      <c r="P62" s="35">
        <f t="shared" si="128"/>
        <v>21971</v>
      </c>
      <c r="Q62" s="35"/>
      <c r="R62" s="35">
        <v>20409</v>
      </c>
      <c r="S62" s="35">
        <f>P62+Q62-R62</f>
        <v>1562</v>
      </c>
      <c r="T62" s="36">
        <f>1000*S62/B62</f>
        <v>2.4351914790124534</v>
      </c>
      <c r="U62" s="74">
        <f t="shared" si="171"/>
        <v>36339</v>
      </c>
      <c r="V62" s="36">
        <f t="shared" si="172"/>
        <v>1.4091335695681126</v>
      </c>
      <c r="W62" s="1136"/>
      <c r="X62" s="49">
        <f t="shared" si="87"/>
        <v>261</v>
      </c>
      <c r="Y62" s="50"/>
      <c r="Z62" s="50">
        <f>96+87</f>
        <v>183</v>
      </c>
      <c r="AA62" s="50">
        <f>X62+Y62-Z62</f>
        <v>78</v>
      </c>
      <c r="AB62" s="51">
        <f>AA62*1000/B62</f>
        <v>0.12160367180728</v>
      </c>
      <c r="AC62" s="50">
        <f t="shared" si="173"/>
        <v>7711</v>
      </c>
      <c r="AD62" s="51">
        <f t="shared" si="174"/>
        <v>0.29901287748533856</v>
      </c>
      <c r="AE62" s="1047"/>
      <c r="AF62" s="40">
        <f t="shared" si="88"/>
        <v>567</v>
      </c>
      <c r="AG62" s="41"/>
      <c r="AH62" s="41">
        <v>471</v>
      </c>
      <c r="AI62" s="41">
        <f>AF62+AG62-AH62</f>
        <v>96</v>
      </c>
      <c r="AJ62" s="42">
        <f>AI62*1000/B62</f>
        <v>0.14966605760896001</v>
      </c>
      <c r="AK62" s="41">
        <f t="shared" si="175"/>
        <v>3195</v>
      </c>
      <c r="AL62" s="42">
        <f t="shared" si="176"/>
        <v>0.123893936398088</v>
      </c>
      <c r="AM62" s="1058"/>
      <c r="AN62" s="67">
        <v>3.6</v>
      </c>
      <c r="AO62" s="67">
        <v>24</v>
      </c>
      <c r="AP62" s="68">
        <f t="shared" si="137"/>
        <v>42.945120000000003</v>
      </c>
      <c r="AQ62" s="68">
        <f t="shared" si="138"/>
        <v>5.9313514797606759</v>
      </c>
      <c r="AR62" s="69">
        <f t="shared" si="177"/>
        <v>2678.7018599999992</v>
      </c>
      <c r="AS62" s="140">
        <f t="shared" si="178"/>
        <v>8.0753423765528911</v>
      </c>
      <c r="AT62" s="1073"/>
      <c r="AU62" s="70">
        <v>2.4</v>
      </c>
      <c r="AV62" s="71">
        <v>12</v>
      </c>
      <c r="AW62" s="72">
        <f t="shared" si="118"/>
        <v>14.881824</v>
      </c>
      <c r="AX62" s="72">
        <f t="shared" si="119"/>
        <v>2.0553983503582698</v>
      </c>
      <c r="AY62" s="73">
        <f t="shared" si="179"/>
        <v>842.37324600000034</v>
      </c>
      <c r="AZ62" s="192">
        <f t="shared" si="180"/>
        <v>2.5394585608337232</v>
      </c>
      <c r="BA62" s="1075"/>
      <c r="BB62" s="90">
        <f t="shared" si="113"/>
        <v>33952</v>
      </c>
      <c r="BC62" s="59"/>
      <c r="BD62" s="56">
        <v>32784</v>
      </c>
      <c r="BE62" s="56">
        <f>BB62+BC62-BD62</f>
        <v>1168</v>
      </c>
      <c r="BF62" s="58">
        <f t="shared" si="181"/>
        <v>40678</v>
      </c>
      <c r="BG62" s="58">
        <f t="shared" si="182"/>
        <v>122.62983876578879</v>
      </c>
      <c r="BH62" s="1133"/>
      <c r="BI62" s="64">
        <f t="shared" si="89"/>
        <v>1140</v>
      </c>
      <c r="BJ62" s="64"/>
      <c r="BK62" s="64">
        <v>960</v>
      </c>
      <c r="BL62" s="64">
        <f>BI62+BJ62-BK62</f>
        <v>180</v>
      </c>
      <c r="BM62" s="65">
        <f t="shared" si="183"/>
        <v>0.28062385801680001</v>
      </c>
      <c r="BN62" s="64">
        <f t="shared" si="184"/>
        <v>5772</v>
      </c>
      <c r="BO62" s="65">
        <f t="shared" si="185"/>
        <v>0.22382341185908106</v>
      </c>
      <c r="BP62" s="1071"/>
      <c r="BQ62" s="77">
        <f t="shared" si="114"/>
        <v>31174</v>
      </c>
      <c r="BR62" s="35"/>
      <c r="BS62" s="35">
        <v>31174</v>
      </c>
      <c r="BT62" s="35"/>
      <c r="BU62" s="74">
        <f t="shared" si="164"/>
        <v>166523</v>
      </c>
      <c r="BV62" s="74">
        <f t="shared" si="167"/>
        <v>502.00817741274022</v>
      </c>
      <c r="BW62" s="1098"/>
      <c r="BX62" s="296">
        <v>400</v>
      </c>
      <c r="BY62" s="296"/>
      <c r="BZ62" s="296">
        <v>400</v>
      </c>
      <c r="CA62" s="296"/>
      <c r="CB62" s="297"/>
      <c r="CC62" s="296">
        <f t="shared" si="186"/>
        <v>4600</v>
      </c>
      <c r="CD62" s="297">
        <f t="shared" si="187"/>
        <v>0.1783762464573411</v>
      </c>
      <c r="CE62" s="1061"/>
    </row>
    <row r="63" spans="1:83">
      <c r="A63" s="30">
        <v>43645</v>
      </c>
      <c r="B63" s="32">
        <v>661447</v>
      </c>
      <c r="C63" s="1">
        <f t="shared" si="5"/>
        <v>26449634</v>
      </c>
      <c r="D63" s="91">
        <v>7319.04</v>
      </c>
      <c r="E63" s="93">
        <f t="shared" si="18"/>
        <v>339032.75999999989</v>
      </c>
      <c r="F63" s="240"/>
      <c r="G63" s="321">
        <v>32510</v>
      </c>
      <c r="H63" s="240">
        <v>15000</v>
      </c>
      <c r="I63" s="240">
        <f>F63+G63-H63</f>
        <v>17510</v>
      </c>
      <c r="J63" s="280">
        <f>I63*1000/B63</f>
        <v>26.472264595651655</v>
      </c>
      <c r="K63" s="240">
        <f t="shared" si="168"/>
        <v>666090</v>
      </c>
      <c r="L63" s="280">
        <f t="shared" si="169"/>
        <v>25.183335240102</v>
      </c>
      <c r="M63" s="280">
        <f t="shared" si="170"/>
        <v>3.0835478437739683</v>
      </c>
      <c r="N63" s="1089"/>
      <c r="O63" s="1084"/>
      <c r="P63" s="35">
        <f t="shared" si="128"/>
        <v>20409</v>
      </c>
      <c r="Q63" s="35"/>
      <c r="R63" s="35">
        <v>20409</v>
      </c>
      <c r="S63" s="35">
        <f>P63+Q63-R63</f>
        <v>0</v>
      </c>
      <c r="T63" s="36">
        <f>1000*S63/B63</f>
        <v>0</v>
      </c>
      <c r="U63" s="74">
        <f t="shared" si="171"/>
        <v>36339</v>
      </c>
      <c r="V63" s="36">
        <f t="shared" si="172"/>
        <v>1.373894247459152</v>
      </c>
      <c r="W63" s="1136"/>
      <c r="X63" s="49">
        <f t="shared" si="87"/>
        <v>183</v>
      </c>
      <c r="Y63" s="50">
        <v>900</v>
      </c>
      <c r="Z63" s="50">
        <f>797+100</f>
        <v>897</v>
      </c>
      <c r="AA63" s="50">
        <f>X63+Y63-Z63</f>
        <v>186</v>
      </c>
      <c r="AB63" s="51">
        <f>AA63*1000/B63</f>
        <v>0.28120166846323286</v>
      </c>
      <c r="AC63" s="50">
        <f t="shared" si="173"/>
        <v>7897</v>
      </c>
      <c r="AD63" s="51">
        <f t="shared" si="174"/>
        <v>0.29856745843817728</v>
      </c>
      <c r="AE63" s="1047"/>
      <c r="AF63" s="40">
        <f t="shared" si="88"/>
        <v>471</v>
      </c>
      <c r="AG63" s="41"/>
      <c r="AH63" s="41">
        <v>415</v>
      </c>
      <c r="AI63" s="41">
        <f>AF63+AG63-AH63</f>
        <v>56</v>
      </c>
      <c r="AJ63" s="42">
        <f>AI63*1000/B63</f>
        <v>8.4662867924414201E-2</v>
      </c>
      <c r="AK63" s="41">
        <f t="shared" si="175"/>
        <v>3251</v>
      </c>
      <c r="AL63" s="42">
        <f t="shared" si="176"/>
        <v>0.12291285391699561</v>
      </c>
      <c r="AM63" s="1058"/>
      <c r="AN63" s="67">
        <v>3.8</v>
      </c>
      <c r="AO63" s="67">
        <v>24</v>
      </c>
      <c r="AP63" s="68">
        <f t="shared" si="137"/>
        <v>45.33095999999999</v>
      </c>
      <c r="AQ63" s="68">
        <f t="shared" si="138"/>
        <v>6.1935663693599148</v>
      </c>
      <c r="AR63" s="69">
        <f t="shared" si="177"/>
        <v>2724.032819999999</v>
      </c>
      <c r="AS63" s="140">
        <f t="shared" si="178"/>
        <v>8.0347185917962616</v>
      </c>
      <c r="AT63" s="1073"/>
      <c r="AU63" s="70">
        <v>2.5</v>
      </c>
      <c r="AV63" s="71">
        <v>12</v>
      </c>
      <c r="AW63" s="72">
        <f t="shared" si="118"/>
        <v>15.501900000000001</v>
      </c>
      <c r="AX63" s="72">
        <f t="shared" si="119"/>
        <v>2.1180236752360968</v>
      </c>
      <c r="AY63" s="73">
        <f t="shared" si="179"/>
        <v>857.87514600000031</v>
      </c>
      <c r="AZ63" s="192">
        <f t="shared" si="180"/>
        <v>2.5303606235574421</v>
      </c>
      <c r="BA63" s="1075"/>
      <c r="BB63" s="90">
        <f t="shared" si="113"/>
        <v>32784</v>
      </c>
      <c r="BC63" s="59"/>
      <c r="BD63" s="56">
        <v>32784</v>
      </c>
      <c r="BE63" s="56"/>
      <c r="BF63" s="58">
        <f t="shared" si="181"/>
        <v>40678</v>
      </c>
      <c r="BG63" s="58">
        <f t="shared" si="182"/>
        <v>119.98250552542478</v>
      </c>
      <c r="BH63" s="1133"/>
      <c r="BI63" s="64">
        <f t="shared" si="89"/>
        <v>960</v>
      </c>
      <c r="BJ63" s="64"/>
      <c r="BK63" s="64">
        <v>756</v>
      </c>
      <c r="BL63" s="64">
        <f>BI63+BJ63-BK63</f>
        <v>204</v>
      </c>
      <c r="BM63" s="65">
        <f t="shared" si="183"/>
        <v>0.30841473315322315</v>
      </c>
      <c r="BN63" s="64">
        <f t="shared" si="184"/>
        <v>5976</v>
      </c>
      <c r="BO63" s="65">
        <f t="shared" si="185"/>
        <v>0.22593885420115833</v>
      </c>
      <c r="BP63" s="1071"/>
      <c r="BQ63" s="77">
        <f t="shared" si="114"/>
        <v>31174</v>
      </c>
      <c r="BR63" s="35"/>
      <c r="BS63" s="35">
        <v>31174</v>
      </c>
      <c r="BT63" s="35"/>
      <c r="BU63" s="74">
        <f t="shared" si="164"/>
        <v>166523</v>
      </c>
      <c r="BV63" s="74">
        <f t="shared" si="167"/>
        <v>491.17082372806703</v>
      </c>
      <c r="BW63" s="1098"/>
      <c r="BX63" s="296">
        <v>400</v>
      </c>
      <c r="BY63" s="296"/>
      <c r="BZ63" s="296">
        <v>400</v>
      </c>
      <c r="CA63" s="296"/>
      <c r="CB63" s="297"/>
      <c r="CC63" s="296">
        <f t="shared" si="186"/>
        <v>4600</v>
      </c>
      <c r="CD63" s="297">
        <f t="shared" si="187"/>
        <v>0.17391545002097195</v>
      </c>
      <c r="CE63" s="1061"/>
    </row>
    <row r="64" spans="1:83" ht="15.75" thickBot="1">
      <c r="A64" s="30">
        <v>43646</v>
      </c>
      <c r="B64" s="109">
        <v>595049</v>
      </c>
      <c r="C64" s="78">
        <f t="shared" si="5"/>
        <v>27044683</v>
      </c>
      <c r="D64" s="110">
        <v>6198.1</v>
      </c>
      <c r="E64" s="94">
        <f t="shared" si="18"/>
        <v>345230.85999999987</v>
      </c>
      <c r="F64" s="240">
        <f t="shared" si="103"/>
        <v>15000</v>
      </c>
      <c r="G64" s="324">
        <v>31500</v>
      </c>
      <c r="H64" s="231">
        <v>7500</v>
      </c>
      <c r="I64" s="231">
        <f>F64+G64-H64</f>
        <v>39000</v>
      </c>
      <c r="J64" s="230">
        <f>I64*1000/B64</f>
        <v>65.540821008017829</v>
      </c>
      <c r="K64" s="231">
        <f t="shared" si="168"/>
        <v>705090</v>
      </c>
      <c r="L64" s="230">
        <f t="shared" si="169"/>
        <v>26.071298376838065</v>
      </c>
      <c r="M64" s="230">
        <f t="shared" si="170"/>
        <v>3.1922735859970692</v>
      </c>
      <c r="N64" s="1090"/>
      <c r="O64" s="1085"/>
      <c r="P64" s="35">
        <f t="shared" si="128"/>
        <v>20409</v>
      </c>
      <c r="Q64" s="76"/>
      <c r="R64" s="76">
        <v>20409</v>
      </c>
      <c r="S64" s="76">
        <f>P64+Q64-R64</f>
        <v>0</v>
      </c>
      <c r="T64" s="80">
        <f>1000*S64/B64</f>
        <v>0</v>
      </c>
      <c r="U64" s="81">
        <f t="shared" si="171"/>
        <v>36339</v>
      </c>
      <c r="V64" s="80">
        <f t="shared" si="172"/>
        <v>1.3436652224764476</v>
      </c>
      <c r="W64" s="1137"/>
      <c r="X64" s="49">
        <f t="shared" si="87"/>
        <v>897</v>
      </c>
      <c r="Y64" s="82"/>
      <c r="Z64" s="82">
        <v>897</v>
      </c>
      <c r="AA64" s="82"/>
      <c r="AB64" s="84"/>
      <c r="AC64" s="82">
        <f t="shared" si="173"/>
        <v>7897</v>
      </c>
      <c r="AD64" s="84">
        <f t="shared" si="174"/>
        <v>0.29199824601382829</v>
      </c>
      <c r="AE64" s="1048"/>
      <c r="AF64" s="40">
        <f t="shared" si="88"/>
        <v>415</v>
      </c>
      <c r="AG64" s="96"/>
      <c r="AH64" s="96">
        <v>360</v>
      </c>
      <c r="AI64" s="41">
        <f>AF64+AG64-AH64</f>
        <v>55</v>
      </c>
      <c r="AJ64" s="42">
        <f>AI64*1000/B64</f>
        <v>9.2429362960025144E-2</v>
      </c>
      <c r="AK64" s="96">
        <f t="shared" si="175"/>
        <v>3306</v>
      </c>
      <c r="AL64" s="97">
        <f t="shared" si="176"/>
        <v>0.1222421427531615</v>
      </c>
      <c r="AM64" s="1059"/>
      <c r="AN64" s="310">
        <v>3</v>
      </c>
      <c r="AO64" s="101">
        <v>24</v>
      </c>
      <c r="AP64" s="111">
        <f t="shared" si="137"/>
        <v>35.787599999999998</v>
      </c>
      <c r="AQ64" s="111">
        <f t="shared" si="138"/>
        <v>5.7739629886578143</v>
      </c>
      <c r="AR64" s="69">
        <f t="shared" si="177"/>
        <v>2759.8204199999991</v>
      </c>
      <c r="AS64" s="140">
        <f t="shared" si="178"/>
        <v>7.9941301307768375</v>
      </c>
      <c r="AT64" s="1074"/>
      <c r="AU64" s="113">
        <v>2.2999999999999998</v>
      </c>
      <c r="AV64" s="104">
        <v>12</v>
      </c>
      <c r="AW64" s="105">
        <f t="shared" si="118"/>
        <v>14.261747999999999</v>
      </c>
      <c r="AX64" s="105">
        <f t="shared" si="119"/>
        <v>2.3009870766847902</v>
      </c>
      <c r="AY64" s="73">
        <f t="shared" si="179"/>
        <v>872.13689400000032</v>
      </c>
      <c r="AZ64" s="192">
        <f t="shared" si="180"/>
        <v>2.5262425670752626</v>
      </c>
      <c r="BA64" s="1076"/>
      <c r="BB64" s="90">
        <f t="shared" si="113"/>
        <v>32784</v>
      </c>
      <c r="BC64" s="100"/>
      <c r="BD64" s="88">
        <f>31284+1500</f>
        <v>32784</v>
      </c>
      <c r="BE64" s="88"/>
      <c r="BF64" s="89">
        <f t="shared" si="181"/>
        <v>40678</v>
      </c>
      <c r="BG64" s="89">
        <f t="shared" si="182"/>
        <v>117.82840039271117</v>
      </c>
      <c r="BH64" s="1134"/>
      <c r="BI64" s="207">
        <f t="shared" si="89"/>
        <v>756</v>
      </c>
      <c r="BJ64" s="85"/>
      <c r="BK64" s="85">
        <v>612</v>
      </c>
      <c r="BL64" s="85">
        <f>BI64+BJ64-BK64</f>
        <v>144</v>
      </c>
      <c r="BM64" s="86">
        <f t="shared" si="183"/>
        <v>0.24199687756806582</v>
      </c>
      <c r="BN64" s="85">
        <f t="shared" si="184"/>
        <v>6120</v>
      </c>
      <c r="BO64" s="86">
        <f t="shared" si="185"/>
        <v>0.22629216988788517</v>
      </c>
      <c r="BP64" s="1072"/>
      <c r="BQ64" s="77">
        <f t="shared" si="114"/>
        <v>31174</v>
      </c>
      <c r="BR64" s="76"/>
      <c r="BS64" s="76">
        <v>25626</v>
      </c>
      <c r="BT64" s="35">
        <f>BQ64-BS64+BR64</f>
        <v>5548</v>
      </c>
      <c r="BU64" s="74">
        <f t="shared" si="164"/>
        <v>172071</v>
      </c>
      <c r="BV64" s="74">
        <f t="shared" si="167"/>
        <v>498.42299729520141</v>
      </c>
      <c r="BW64" s="1099"/>
      <c r="BX64" s="296">
        <v>400</v>
      </c>
      <c r="BY64" s="299">
        <v>1250</v>
      </c>
      <c r="BZ64" s="299">
        <v>1190</v>
      </c>
      <c r="CA64" s="299">
        <f>BY64+BX64-BZ64</f>
        <v>460</v>
      </c>
      <c r="CB64" s="300">
        <f>CA64*1000/B64</f>
        <v>0.77304558112021027</v>
      </c>
      <c r="CC64" s="299">
        <f t="shared" si="186"/>
        <v>5060</v>
      </c>
      <c r="CD64" s="300">
        <f t="shared" si="187"/>
        <v>0.18709777444978742</v>
      </c>
      <c r="CE64" s="1062"/>
    </row>
    <row r="65" spans="1:83">
      <c r="A65" s="30">
        <v>43647</v>
      </c>
      <c r="B65" s="265">
        <v>527582</v>
      </c>
      <c r="C65" s="206">
        <f t="shared" si="5"/>
        <v>27572265</v>
      </c>
      <c r="D65" s="91">
        <v>6690.9</v>
      </c>
      <c r="E65" s="205">
        <f t="shared" si="18"/>
        <v>351921.75999999989</v>
      </c>
      <c r="F65" s="242">
        <f>H64</f>
        <v>7500</v>
      </c>
      <c r="G65" s="240"/>
      <c r="H65" s="240"/>
      <c r="I65" s="241">
        <f>F65+G65-H65</f>
        <v>7500</v>
      </c>
      <c r="J65" s="313">
        <f>I65*1000/B65</f>
        <v>14.215799629251945</v>
      </c>
      <c r="K65" s="241">
        <f t="shared" si="168"/>
        <v>712590</v>
      </c>
      <c r="L65" s="313">
        <f t="shared" si="169"/>
        <v>25.844449123058986</v>
      </c>
      <c r="M65" s="313">
        <f t="shared" si="170"/>
        <v>3.1644972600782402</v>
      </c>
      <c r="N65" s="1052">
        <f>1000*SUM(I65:I95)/SUM(B65:B95)</f>
        <v>28.723932993666832</v>
      </c>
      <c r="O65" s="1083">
        <f>N65/8.167</f>
        <v>3.5170727309497773</v>
      </c>
      <c r="P65" s="117">
        <f>R64</f>
        <v>20409</v>
      </c>
      <c r="Q65" s="118"/>
      <c r="R65" s="35">
        <v>20409</v>
      </c>
      <c r="S65" s="35">
        <f>P65+Q65-R65</f>
        <v>0</v>
      </c>
      <c r="T65" s="36">
        <f>1000*S65/B65</f>
        <v>0</v>
      </c>
      <c r="U65" s="74">
        <f t="shared" si="171"/>
        <v>36339</v>
      </c>
      <c r="V65" s="36">
        <f t="shared" si="172"/>
        <v>1.317954836136966</v>
      </c>
      <c r="W65" s="1135">
        <f>1000*SUM(S65:S95)/SUM(B65:B95)</f>
        <v>1.5295454082593718</v>
      </c>
      <c r="X65" s="121">
        <f>Z64</f>
        <v>897</v>
      </c>
      <c r="Y65" s="122"/>
      <c r="Z65" s="50">
        <v>897</v>
      </c>
      <c r="AA65" s="50"/>
      <c r="AB65" s="51"/>
      <c r="AC65" s="50">
        <f t="shared" si="173"/>
        <v>7897</v>
      </c>
      <c r="AD65" s="51">
        <f t="shared" si="174"/>
        <v>0.28641100032949779</v>
      </c>
      <c r="AE65" s="1046">
        <f>1000*SUM(AA65:AA95)/SUM(B65:B95)</f>
        <v>0.21814391592966234</v>
      </c>
      <c r="AF65" s="124">
        <f>AH64</f>
        <v>360</v>
      </c>
      <c r="AG65" s="125"/>
      <c r="AH65" s="41">
        <v>360</v>
      </c>
      <c r="AI65" s="125"/>
      <c r="AJ65" s="126"/>
      <c r="AK65" s="41">
        <f t="shared" si="175"/>
        <v>3306</v>
      </c>
      <c r="AL65" s="42">
        <f t="shared" si="176"/>
        <v>0.11990309827647457</v>
      </c>
      <c r="AM65" s="1057">
        <f>1000*SUM(AI65:AI95)/SUM(B65:B95)</f>
        <v>0.1446658148489276</v>
      </c>
      <c r="AN65" s="135">
        <v>3.5</v>
      </c>
      <c r="AO65" s="135">
        <v>24</v>
      </c>
      <c r="AP65" s="102">
        <f>AN65*AO65*0.49705</f>
        <v>41.752200000000002</v>
      </c>
      <c r="AQ65" s="102">
        <f>AP65*1000/D65</f>
        <v>6.2401470654172098</v>
      </c>
      <c r="AR65" s="103">
        <f t="shared" si="177"/>
        <v>2801.572619999999</v>
      </c>
      <c r="AS65" s="136">
        <f t="shared" si="178"/>
        <v>7.9607825898574731</v>
      </c>
      <c r="AT65" s="1064">
        <f>1000*SUM(AP65:AP95)/SUM(D65:D95)</f>
        <v>6.5054293754226089</v>
      </c>
      <c r="AU65" s="137">
        <v>2.2999999999999998</v>
      </c>
      <c r="AV65" s="137">
        <v>12</v>
      </c>
      <c r="AW65" s="138">
        <f>AU65*AV65*0.51673</f>
        <v>14.261747999999999</v>
      </c>
      <c r="AX65" s="138">
        <f>AW65*1000/D65</f>
        <v>2.1315141460790028</v>
      </c>
      <c r="AY65" s="139">
        <f t="shared" si="179"/>
        <v>886.39864200000034</v>
      </c>
      <c r="AZ65" s="194">
        <f t="shared" si="180"/>
        <v>2.5187378069489101</v>
      </c>
      <c r="BA65" s="1065">
        <f>1000*SUM(AW65:AW95)/SUM(D65:D95)</f>
        <v>2.3100372794636588</v>
      </c>
      <c r="BB65" s="127">
        <f>BD64</f>
        <v>32784</v>
      </c>
      <c r="BC65" s="128"/>
      <c r="BD65" s="56">
        <v>32784</v>
      </c>
      <c r="BE65" s="56"/>
      <c r="BF65" s="58">
        <f t="shared" si="181"/>
        <v>40678</v>
      </c>
      <c r="BG65" s="58">
        <f t="shared" si="182"/>
        <v>115.58819210269922</v>
      </c>
      <c r="BH65" s="1132">
        <f>1000*SUM(BE65:BE95)/SUM(D65:D95)</f>
        <v>31.75845900558927</v>
      </c>
      <c r="BI65" s="64">
        <f t="shared" si="89"/>
        <v>612</v>
      </c>
      <c r="BJ65" s="64"/>
      <c r="BK65" s="64">
        <v>612</v>
      </c>
      <c r="BL65" s="64"/>
      <c r="BM65" s="65">
        <f t="shared" si="183"/>
        <v>0</v>
      </c>
      <c r="BN65" s="64">
        <f t="shared" si="184"/>
        <v>6120</v>
      </c>
      <c r="BO65" s="65">
        <f t="shared" si="185"/>
        <v>0.22196217829764803</v>
      </c>
      <c r="BP65" s="1067">
        <f>1000*SUM(BL65:BL95)/SUM(B65:B95)</f>
        <v>0.35061496589829949</v>
      </c>
      <c r="BQ65" s="117">
        <f>BS64</f>
        <v>25626</v>
      </c>
      <c r="BR65" s="315">
        <v>36740</v>
      </c>
      <c r="BS65" s="35">
        <v>60626</v>
      </c>
      <c r="BT65" s="118"/>
      <c r="BU65" s="120">
        <f t="shared" si="164"/>
        <v>172071</v>
      </c>
      <c r="BV65" s="120">
        <f t="shared" si="167"/>
        <v>488.94674770892271</v>
      </c>
      <c r="BW65" s="1063">
        <f>1000*SUM(BT65:BT95)/SUM(D65:D95)</f>
        <v>387.68570772114185</v>
      </c>
      <c r="BX65" s="301">
        <f>BZ64</f>
        <v>1190</v>
      </c>
      <c r="BY65" s="302"/>
      <c r="BZ65" s="314">
        <v>1190</v>
      </c>
      <c r="CA65" s="302"/>
      <c r="CB65" s="304"/>
      <c r="CC65" s="296">
        <f t="shared" si="186"/>
        <v>5060</v>
      </c>
      <c r="CD65" s="297">
        <f t="shared" si="187"/>
        <v>0.1835177487232188</v>
      </c>
      <c r="CE65" s="1060">
        <f>1000*SUM(CA65:CA95)/SUM(B65:B95)</f>
        <v>0.17642172542552145</v>
      </c>
    </row>
    <row r="66" spans="1:83">
      <c r="A66" s="30">
        <v>43648</v>
      </c>
      <c r="B66" s="265">
        <v>558833</v>
      </c>
      <c r="C66" s="1">
        <f t="shared" si="5"/>
        <v>28131098</v>
      </c>
      <c r="D66" s="91">
        <v>6788.66</v>
      </c>
      <c r="E66" s="93">
        <f t="shared" si="18"/>
        <v>358710.41999999987</v>
      </c>
      <c r="F66" s="243"/>
      <c r="G66" s="227"/>
      <c r="H66" s="227"/>
      <c r="I66" s="240"/>
      <c r="J66" s="280"/>
      <c r="K66" s="240">
        <f t="shared" si="168"/>
        <v>712590</v>
      </c>
      <c r="L66" s="280">
        <f t="shared" si="169"/>
        <v>25.331041113290354</v>
      </c>
      <c r="M66" s="280">
        <f t="shared" si="170"/>
        <v>3.1016335390339602</v>
      </c>
      <c r="N66" s="1089"/>
      <c r="O66" s="1084"/>
      <c r="P66" s="77">
        <f>R65</f>
        <v>20409</v>
      </c>
      <c r="Q66" s="35"/>
      <c r="R66" s="35">
        <v>17345</v>
      </c>
      <c r="S66" s="35">
        <f>P66+Q66-R66</f>
        <v>3064</v>
      </c>
      <c r="T66" s="36">
        <f>1000*S66/B66</f>
        <v>5.4828544484667159</v>
      </c>
      <c r="U66" s="74">
        <f t="shared" si="171"/>
        <v>39403</v>
      </c>
      <c r="V66" s="36">
        <f t="shared" si="172"/>
        <v>1.400691860658976</v>
      </c>
      <c r="W66" s="1136"/>
      <c r="X66" s="49">
        <f>Z65</f>
        <v>897</v>
      </c>
      <c r="Y66" s="50"/>
      <c r="Z66" s="50">
        <f>653+95</f>
        <v>748</v>
      </c>
      <c r="AA66" s="50">
        <f>X66+Y66-Z66</f>
        <v>149</v>
      </c>
      <c r="AB66" s="51">
        <f>AA66*1000/B66</f>
        <v>0.26662706032034617</v>
      </c>
      <c r="AC66" s="50">
        <f t="shared" si="173"/>
        <v>8046</v>
      </c>
      <c r="AD66" s="51">
        <f t="shared" si="174"/>
        <v>0.28601798621582419</v>
      </c>
      <c r="AE66" s="1047"/>
      <c r="AF66" s="40">
        <f>AH65</f>
        <v>360</v>
      </c>
      <c r="AG66" s="41"/>
      <c r="AH66" s="41">
        <v>240</v>
      </c>
      <c r="AI66" s="41">
        <f>AF66+AG66-AH66</f>
        <v>120</v>
      </c>
      <c r="AJ66" s="42">
        <f>AI66*1000/B66</f>
        <v>0.21473320294256065</v>
      </c>
      <c r="AK66" s="41">
        <f t="shared" si="175"/>
        <v>3426</v>
      </c>
      <c r="AL66" s="42">
        <f t="shared" si="176"/>
        <v>0.12178692776229354</v>
      </c>
      <c r="AM66" s="1058"/>
      <c r="AN66" s="67">
        <v>4</v>
      </c>
      <c r="AO66" s="67">
        <v>24</v>
      </c>
      <c r="AP66" s="68">
        <f>AN66*AO66*0.49705</f>
        <v>47.716799999999999</v>
      </c>
      <c r="AQ66" s="68">
        <f>AP66*1000/D66</f>
        <v>7.0288981919848688</v>
      </c>
      <c r="AR66" s="69">
        <f t="shared" si="177"/>
        <v>2849.2894199999992</v>
      </c>
      <c r="AS66" s="140">
        <f t="shared" si="178"/>
        <v>7.9431465079826786</v>
      </c>
      <c r="AT66" s="1073"/>
      <c r="AU66" s="71">
        <v>2.5</v>
      </c>
      <c r="AV66" s="71">
        <v>12</v>
      </c>
      <c r="AW66" s="72">
        <f>AU66*AV66*0.51673</f>
        <v>15.501900000000001</v>
      </c>
      <c r="AX66" s="72">
        <f>AW66*1000/D66</f>
        <v>2.2834992472741309</v>
      </c>
      <c r="AY66" s="73">
        <f t="shared" si="179"/>
        <v>901.90054200000031</v>
      </c>
      <c r="AZ66" s="192">
        <f t="shared" si="180"/>
        <v>2.5142858743830212</v>
      </c>
      <c r="BA66" s="1075"/>
      <c r="BB66" s="90">
        <f>BD65</f>
        <v>32784</v>
      </c>
      <c r="BC66" s="59"/>
      <c r="BD66" s="56">
        <v>31060</v>
      </c>
      <c r="BE66" s="56">
        <f>BB66+BC66-BD66</f>
        <v>1724</v>
      </c>
      <c r="BF66" s="58">
        <f t="shared" si="181"/>
        <v>42402</v>
      </c>
      <c r="BG66" s="58">
        <f t="shared" si="182"/>
        <v>118.20676968346784</v>
      </c>
      <c r="BH66" s="1133"/>
      <c r="BI66" s="64">
        <f t="shared" si="89"/>
        <v>612</v>
      </c>
      <c r="BJ66" s="64"/>
      <c r="BK66" s="64">
        <v>372</v>
      </c>
      <c r="BL66" s="64">
        <f>BI66+BJ66-BK66</f>
        <v>240</v>
      </c>
      <c r="BM66" s="65">
        <f t="shared" si="183"/>
        <v>0.42946640588512131</v>
      </c>
      <c r="BN66" s="64">
        <f t="shared" si="184"/>
        <v>6360</v>
      </c>
      <c r="BO66" s="65">
        <f t="shared" si="185"/>
        <v>0.22608431423473055</v>
      </c>
      <c r="BP66" s="1071"/>
      <c r="BQ66" s="77">
        <f>BS65</f>
        <v>60626</v>
      </c>
      <c r="BR66" s="35"/>
      <c r="BS66" s="35">
        <f t="shared" ref="BS66:BS72" si="188">41340+13000</f>
        <v>54340</v>
      </c>
      <c r="BT66" s="35">
        <f>BQ66-BS66+BR66</f>
        <v>6286</v>
      </c>
      <c r="BU66" s="74">
        <f t="shared" si="164"/>
        <v>178357</v>
      </c>
      <c r="BV66" s="74">
        <f t="shared" si="167"/>
        <v>497.21722608448357</v>
      </c>
      <c r="BW66" s="1098"/>
      <c r="BX66" s="295">
        <f>BZ65</f>
        <v>1190</v>
      </c>
      <c r="BY66" s="296"/>
      <c r="BZ66" s="296">
        <v>600</v>
      </c>
      <c r="CA66" s="296">
        <f>BY66+BX66-BZ66</f>
        <v>590</v>
      </c>
      <c r="CB66" s="297">
        <f>CA66*1000/B66</f>
        <v>1.0557715811342565</v>
      </c>
      <c r="CC66" s="296">
        <f t="shared" si="186"/>
        <v>5650</v>
      </c>
      <c r="CD66" s="297">
        <f t="shared" si="187"/>
        <v>0.20084534204814899</v>
      </c>
      <c r="CE66" s="1061"/>
    </row>
    <row r="67" spans="1:83">
      <c r="A67" s="30">
        <v>43649</v>
      </c>
      <c r="B67" s="265">
        <v>569632</v>
      </c>
      <c r="C67" s="1">
        <f t="shared" si="5"/>
        <v>28700730</v>
      </c>
      <c r="D67" s="91">
        <v>6811.5</v>
      </c>
      <c r="E67" s="93">
        <f t="shared" si="18"/>
        <v>365521.91999999987</v>
      </c>
      <c r="F67" s="243"/>
      <c r="G67" s="321">
        <v>31800</v>
      </c>
      <c r="H67" s="227"/>
      <c r="I67" s="240">
        <f>F67+G67-H67</f>
        <v>31800</v>
      </c>
      <c r="J67" s="280">
        <f>I67*1000/B67</f>
        <v>55.825515420481999</v>
      </c>
      <c r="K67" s="240">
        <f t="shared" si="168"/>
        <v>744390</v>
      </c>
      <c r="L67" s="280">
        <f t="shared" si="169"/>
        <v>25.936274094770411</v>
      </c>
      <c r="M67" s="280">
        <f t="shared" si="170"/>
        <v>3.1757406752504482</v>
      </c>
      <c r="N67" s="1089"/>
      <c r="O67" s="1084"/>
      <c r="P67" s="77">
        <f t="shared" ref="P67:P95" si="189">R66</f>
        <v>17345</v>
      </c>
      <c r="Q67" s="35"/>
      <c r="R67" s="35">
        <v>17345</v>
      </c>
      <c r="S67" s="35"/>
      <c r="T67" s="36"/>
      <c r="U67" s="74">
        <f t="shared" ref="U67:U72" si="190">U66+S67</f>
        <v>39403</v>
      </c>
      <c r="V67" s="36">
        <f t="shared" ref="V67:V72" si="191">1000*U67/C67</f>
        <v>1.3728919090211293</v>
      </c>
      <c r="W67" s="1136"/>
      <c r="X67" s="49">
        <f>Z66</f>
        <v>748</v>
      </c>
      <c r="Y67" s="50"/>
      <c r="Z67" s="50">
        <f>563+20</f>
        <v>583</v>
      </c>
      <c r="AA67" s="50">
        <f>X67+Y67-Z67</f>
        <v>165</v>
      </c>
      <c r="AB67" s="51">
        <f>AA67*1000/B67</f>
        <v>0.28966069321948207</v>
      </c>
      <c r="AC67" s="50">
        <f t="shared" si="173"/>
        <v>8211</v>
      </c>
      <c r="AD67" s="51">
        <f t="shared" si="174"/>
        <v>0.28609028411472459</v>
      </c>
      <c r="AE67" s="1047"/>
      <c r="AF67" s="40">
        <f>AH66</f>
        <v>240</v>
      </c>
      <c r="AG67" s="41"/>
      <c r="AH67" s="41">
        <v>192</v>
      </c>
      <c r="AI67" s="41">
        <f>AF67+AG67-AH67</f>
        <v>48</v>
      </c>
      <c r="AJ67" s="42">
        <f>AI67*1000/B67</f>
        <v>8.4264928936576597E-2</v>
      </c>
      <c r="AK67" s="41">
        <f t="shared" si="175"/>
        <v>3474</v>
      </c>
      <c r="AL67" s="42">
        <f t="shared" si="176"/>
        <v>0.12104221739307676</v>
      </c>
      <c r="AM67" s="1058"/>
      <c r="AN67" s="67">
        <v>2.8</v>
      </c>
      <c r="AO67" s="67">
        <v>24</v>
      </c>
      <c r="AP67" s="68">
        <f t="shared" ref="AP67:AP78" si="192">AN67*AO67*0.49705</f>
        <v>33.401759999999996</v>
      </c>
      <c r="AQ67" s="68">
        <f t="shared" ref="AQ67:AQ78" si="193">AP67*1000/D67</f>
        <v>4.9037304558467287</v>
      </c>
      <c r="AR67" s="69">
        <f t="shared" ref="AR67:AR78" si="194">AR66+AP67</f>
        <v>2882.6911799999993</v>
      </c>
      <c r="AS67" s="140">
        <f t="shared" ref="AS67:AS78" si="195">AR67*1000/E67</f>
        <v>7.886506997993445</v>
      </c>
      <c r="AT67" s="1073"/>
      <c r="AU67" s="71">
        <v>2.4</v>
      </c>
      <c r="AV67" s="71">
        <v>12</v>
      </c>
      <c r="AW67" s="72">
        <f t="shared" ref="AW67:AW78" si="196">AU67*AV67*0.51673</f>
        <v>14.881824</v>
      </c>
      <c r="AX67" s="72">
        <f t="shared" ref="AX67:AX78" si="197">AW67*1000/D67</f>
        <v>2.1848086324598106</v>
      </c>
      <c r="AY67" s="73">
        <f t="shared" ref="AY67:AY78" si="198">AY66+AW67</f>
        <v>916.78236600000037</v>
      </c>
      <c r="AZ67" s="192">
        <f t="shared" ref="AZ67:AZ78" si="199">AY67*1000/E67</f>
        <v>2.5081460668624218</v>
      </c>
      <c r="BA67" s="1075"/>
      <c r="BB67" s="90">
        <f>BD66</f>
        <v>31060</v>
      </c>
      <c r="BC67" s="59"/>
      <c r="BD67" s="56">
        <v>31060</v>
      </c>
      <c r="BE67" s="56"/>
      <c r="BF67" s="58">
        <f t="shared" ref="BF67:BF73" si="200">BF66+BE67</f>
        <v>42402</v>
      </c>
      <c r="BG67" s="58">
        <f t="shared" ref="BG67:BG73" si="201">BF67*1000/E67</f>
        <v>116.00398684708161</v>
      </c>
      <c r="BH67" s="1133"/>
      <c r="BI67" s="64">
        <f t="shared" si="89"/>
        <v>372</v>
      </c>
      <c r="BJ67" s="64">
        <v>1100</v>
      </c>
      <c r="BK67" s="64">
        <v>1464</v>
      </c>
      <c r="BL67" s="64">
        <f>BI67+BJ67-BK67</f>
        <v>8</v>
      </c>
      <c r="BM67" s="65">
        <f t="shared" si="183"/>
        <v>1.4044154822762766E-2</v>
      </c>
      <c r="BN67" s="64">
        <f t="shared" si="184"/>
        <v>6368</v>
      </c>
      <c r="BO67" s="65">
        <f t="shared" si="185"/>
        <v>0.2218758895679657</v>
      </c>
      <c r="BP67" s="1071"/>
      <c r="BQ67" s="77">
        <f t="shared" ref="BQ67:BQ94" si="202">BS66</f>
        <v>54340</v>
      </c>
      <c r="BR67" s="35"/>
      <c r="BS67" s="35">
        <f t="shared" si="188"/>
        <v>54340</v>
      </c>
      <c r="BT67" s="35"/>
      <c r="BU67" s="74">
        <f t="shared" ref="BU67:BU77" si="203">BU66+BT67</f>
        <v>178357</v>
      </c>
      <c r="BV67" s="74">
        <f t="shared" ref="BV67:BV77" si="204">BU67*1000/E67</f>
        <v>487.95158440839901</v>
      </c>
      <c r="BW67" s="1098"/>
      <c r="BX67" s="295">
        <f>BZ66</f>
        <v>600</v>
      </c>
      <c r="BY67" s="296"/>
      <c r="BZ67" s="296">
        <v>600</v>
      </c>
      <c r="CA67" s="296"/>
      <c r="CB67" s="297"/>
      <c r="CC67" s="296">
        <f t="shared" si="186"/>
        <v>5650</v>
      </c>
      <c r="CD67" s="297">
        <f t="shared" si="187"/>
        <v>0.19685910428062284</v>
      </c>
      <c r="CE67" s="1061"/>
    </row>
    <row r="68" spans="1:83">
      <c r="A68" s="30">
        <v>43650</v>
      </c>
      <c r="B68" s="265">
        <v>229247</v>
      </c>
      <c r="C68" s="1">
        <f t="shared" si="5"/>
        <v>28929977</v>
      </c>
      <c r="D68" s="91">
        <v>115.18</v>
      </c>
      <c r="E68" s="93">
        <f t="shared" si="18"/>
        <v>365637.09999999986</v>
      </c>
      <c r="F68" s="243"/>
      <c r="G68" s="321">
        <v>30930</v>
      </c>
      <c r="H68" s="240">
        <v>15000</v>
      </c>
      <c r="I68" s="240">
        <f>F68+G68-H68</f>
        <v>15930</v>
      </c>
      <c r="J68" s="280">
        <f>I68*1000/B68</f>
        <v>69.488368441026495</v>
      </c>
      <c r="K68" s="240">
        <f t="shared" si="168"/>
        <v>760320</v>
      </c>
      <c r="L68" s="280">
        <f t="shared" si="169"/>
        <v>26.281389715588091</v>
      </c>
      <c r="M68" s="280">
        <f t="shared" si="170"/>
        <v>3.2179980060717632</v>
      </c>
      <c r="N68" s="1089"/>
      <c r="O68" s="1084"/>
      <c r="P68" s="77">
        <f t="shared" si="189"/>
        <v>17345</v>
      </c>
      <c r="Q68" s="35"/>
      <c r="R68" s="35">
        <v>17345</v>
      </c>
      <c r="S68" s="35"/>
      <c r="T68" s="36"/>
      <c r="U68" s="74">
        <f t="shared" si="190"/>
        <v>39403</v>
      </c>
      <c r="V68" s="36">
        <f t="shared" si="191"/>
        <v>1.362012835336855</v>
      </c>
      <c r="W68" s="1136"/>
      <c r="X68" s="49">
        <f>Z67</f>
        <v>583</v>
      </c>
      <c r="Y68" s="50"/>
      <c r="Z68" s="50">
        <f>563+20</f>
        <v>583</v>
      </c>
      <c r="AA68" s="50"/>
      <c r="AB68" s="51"/>
      <c r="AC68" s="50">
        <f t="shared" ref="AC68:AC74" si="205">AC67+AA68</f>
        <v>8211</v>
      </c>
      <c r="AD68" s="51">
        <f t="shared" ref="AD68:AD74" si="206">AC68*1000/C68</f>
        <v>0.2838232467312366</v>
      </c>
      <c r="AE68" s="1047"/>
      <c r="AF68" s="40">
        <f>AH67</f>
        <v>192</v>
      </c>
      <c r="AG68" s="41"/>
      <c r="AH68" s="41">
        <v>192</v>
      </c>
      <c r="AI68" s="41"/>
      <c r="AJ68" s="42"/>
      <c r="AK68" s="41">
        <f t="shared" si="175"/>
        <v>3474</v>
      </c>
      <c r="AL68" s="42">
        <f t="shared" si="176"/>
        <v>0.12008305433495506</v>
      </c>
      <c r="AM68" s="1058"/>
      <c r="AN68" s="67">
        <v>0.6</v>
      </c>
      <c r="AO68" s="67">
        <v>24</v>
      </c>
      <c r="AP68" s="68">
        <f t="shared" si="192"/>
        <v>7.157519999999999</v>
      </c>
      <c r="AQ68" s="68">
        <f t="shared" si="193"/>
        <v>62.142038548359075</v>
      </c>
      <c r="AR68" s="69">
        <f t="shared" si="194"/>
        <v>2889.8486999999996</v>
      </c>
      <c r="AS68" s="140">
        <f t="shared" si="195"/>
        <v>7.9035981304960599</v>
      </c>
      <c r="AT68" s="1073"/>
      <c r="AU68" s="216">
        <v>0.1</v>
      </c>
      <c r="AV68" s="71">
        <v>12</v>
      </c>
      <c r="AW68" s="72">
        <f t="shared" si="196"/>
        <v>0.62007600000000007</v>
      </c>
      <c r="AX68" s="72">
        <f t="shared" si="197"/>
        <v>5.3835388088209761</v>
      </c>
      <c r="AY68" s="73">
        <f t="shared" si="198"/>
        <v>917.40244200000041</v>
      </c>
      <c r="AZ68" s="192">
        <f t="shared" si="199"/>
        <v>2.5090518494977689</v>
      </c>
      <c r="BA68" s="1075"/>
      <c r="BB68" s="90">
        <f>BD67</f>
        <v>31060</v>
      </c>
      <c r="BC68" s="59"/>
      <c r="BD68" s="56">
        <v>31060</v>
      </c>
      <c r="BE68" s="56"/>
      <c r="BF68" s="58">
        <f t="shared" si="200"/>
        <v>42402</v>
      </c>
      <c r="BG68" s="58">
        <f t="shared" si="201"/>
        <v>115.96744422270064</v>
      </c>
      <c r="BH68" s="1133"/>
      <c r="BI68" s="64">
        <f t="shared" si="89"/>
        <v>1464</v>
      </c>
      <c r="BJ68" s="64"/>
      <c r="BK68" s="64">
        <v>1464</v>
      </c>
      <c r="BL68" s="64"/>
      <c r="BM68" s="65"/>
      <c r="BN68" s="64">
        <f t="shared" ref="BN68:BN74" si="207">BN67+BL68</f>
        <v>6368</v>
      </c>
      <c r="BO68" s="65">
        <f t="shared" ref="BO68:BO74" si="208">BN68*1000/C68</f>
        <v>0.22011770005900799</v>
      </c>
      <c r="BP68" s="1071"/>
      <c r="BQ68" s="77">
        <f t="shared" si="202"/>
        <v>54340</v>
      </c>
      <c r="BR68" s="35"/>
      <c r="BS68" s="35">
        <f t="shared" si="188"/>
        <v>54340</v>
      </c>
      <c r="BT68" s="35"/>
      <c r="BU68" s="74">
        <f t="shared" si="203"/>
        <v>178357</v>
      </c>
      <c r="BV68" s="74">
        <f t="shared" si="204"/>
        <v>487.79787390283991</v>
      </c>
      <c r="BW68" s="1098"/>
      <c r="BX68" s="295">
        <f>BZ67</f>
        <v>600</v>
      </c>
      <c r="BY68" s="296"/>
      <c r="BZ68" s="296">
        <v>600</v>
      </c>
      <c r="CA68" s="296"/>
      <c r="CB68" s="297"/>
      <c r="CC68" s="296">
        <f t="shared" si="186"/>
        <v>5650</v>
      </c>
      <c r="CD68" s="297">
        <f t="shared" si="187"/>
        <v>0.1952991528475809</v>
      </c>
      <c r="CE68" s="1061"/>
    </row>
    <row r="69" spans="1:83">
      <c r="A69" s="30">
        <v>43651</v>
      </c>
      <c r="B69" s="265"/>
      <c r="C69" s="1">
        <f t="shared" si="5"/>
        <v>28929977</v>
      </c>
      <c r="D69" s="325"/>
      <c r="E69" s="93">
        <f t="shared" si="18"/>
        <v>365637.09999999986</v>
      </c>
      <c r="F69" s="243">
        <f t="shared" ref="F69:F95" si="209">H68</f>
        <v>15000</v>
      </c>
      <c r="G69" s="227"/>
      <c r="H69" s="240">
        <v>15000</v>
      </c>
      <c r="I69" s="240"/>
      <c r="J69" s="280"/>
      <c r="K69" s="240">
        <f t="shared" ref="K69:K74" si="210">K68+I69</f>
        <v>760320</v>
      </c>
      <c r="L69" s="280">
        <f t="shared" ref="L69:L74" si="211">K69*1000/C69</f>
        <v>26.281389715588091</v>
      </c>
      <c r="M69" s="280">
        <f t="shared" ref="M69:M74" si="212">L69/8.167</f>
        <v>3.2179980060717632</v>
      </c>
      <c r="N69" s="1089"/>
      <c r="O69" s="1084"/>
      <c r="P69" s="77">
        <f t="shared" si="189"/>
        <v>17345</v>
      </c>
      <c r="Q69" s="35"/>
      <c r="R69" s="35">
        <v>17345</v>
      </c>
      <c r="S69" s="35"/>
      <c r="T69" s="36"/>
      <c r="U69" s="74">
        <f t="shared" si="190"/>
        <v>39403</v>
      </c>
      <c r="V69" s="36">
        <f t="shared" si="191"/>
        <v>1.362012835336855</v>
      </c>
      <c r="W69" s="1136"/>
      <c r="X69" s="49">
        <f t="shared" ref="X69:X94" si="213">Z68</f>
        <v>583</v>
      </c>
      <c r="Y69" s="50"/>
      <c r="Z69" s="50">
        <f>563+20</f>
        <v>583</v>
      </c>
      <c r="AA69" s="50"/>
      <c r="AB69" s="51"/>
      <c r="AC69" s="50">
        <f t="shared" si="205"/>
        <v>8211</v>
      </c>
      <c r="AD69" s="51">
        <f t="shared" si="206"/>
        <v>0.2838232467312366</v>
      </c>
      <c r="AE69" s="1047"/>
      <c r="AF69" s="40">
        <f t="shared" ref="AF69:AF86" si="214">AH68</f>
        <v>192</v>
      </c>
      <c r="AG69" s="41"/>
      <c r="AH69" s="41">
        <v>192</v>
      </c>
      <c r="AI69" s="41"/>
      <c r="AJ69" s="42"/>
      <c r="AK69" s="41">
        <f t="shared" ref="AK69:AK74" si="215">AK68+AI69</f>
        <v>3474</v>
      </c>
      <c r="AL69" s="42">
        <f t="shared" ref="AL69:AL74" si="216">AK69*1000/C69</f>
        <v>0.12008305433495506</v>
      </c>
      <c r="AM69" s="1058"/>
      <c r="AN69" s="67"/>
      <c r="AO69" s="67">
        <v>24</v>
      </c>
      <c r="AP69" s="68"/>
      <c r="AQ69" s="68"/>
      <c r="AR69" s="69">
        <f t="shared" si="194"/>
        <v>2889.8486999999996</v>
      </c>
      <c r="AS69" s="140">
        <f t="shared" si="195"/>
        <v>7.9035981304960599</v>
      </c>
      <c r="AT69" s="1073"/>
      <c r="AU69" s="71"/>
      <c r="AV69" s="71">
        <v>12</v>
      </c>
      <c r="AW69" s="72"/>
      <c r="AX69" s="72"/>
      <c r="AY69" s="73">
        <f t="shared" si="198"/>
        <v>917.40244200000041</v>
      </c>
      <c r="AZ69" s="192">
        <f t="shared" si="199"/>
        <v>2.5090518494977689</v>
      </c>
      <c r="BA69" s="1075"/>
      <c r="BB69" s="90">
        <f t="shared" ref="BB69:BB95" si="217">BD68</f>
        <v>31060</v>
      </c>
      <c r="BC69" s="59"/>
      <c r="BD69" s="56">
        <v>31060</v>
      </c>
      <c r="BE69" s="56"/>
      <c r="BF69" s="58">
        <f t="shared" si="200"/>
        <v>42402</v>
      </c>
      <c r="BG69" s="58">
        <f t="shared" si="201"/>
        <v>115.96744422270064</v>
      </c>
      <c r="BH69" s="1133"/>
      <c r="BI69" s="64">
        <f t="shared" si="89"/>
        <v>1464</v>
      </c>
      <c r="BJ69" s="64"/>
      <c r="BK69" s="64">
        <v>1464</v>
      </c>
      <c r="BL69" s="64"/>
      <c r="BM69" s="65"/>
      <c r="BN69" s="64">
        <f t="shared" si="207"/>
        <v>6368</v>
      </c>
      <c r="BO69" s="65">
        <f t="shared" si="208"/>
        <v>0.22011770005900799</v>
      </c>
      <c r="BP69" s="1071"/>
      <c r="BQ69" s="77">
        <f t="shared" si="202"/>
        <v>54340</v>
      </c>
      <c r="BR69" s="35"/>
      <c r="BS69" s="35">
        <f t="shared" si="188"/>
        <v>54340</v>
      </c>
      <c r="BT69" s="35"/>
      <c r="BU69" s="74">
        <f t="shared" si="203"/>
        <v>178357</v>
      </c>
      <c r="BV69" s="74">
        <f t="shared" si="204"/>
        <v>487.79787390283991</v>
      </c>
      <c r="BW69" s="1098"/>
      <c r="BX69" s="295">
        <f t="shared" ref="BX69:BX81" si="218">BZ68</f>
        <v>600</v>
      </c>
      <c r="BY69" s="296"/>
      <c r="BZ69" s="296">
        <v>600</v>
      </c>
      <c r="CA69" s="296"/>
      <c r="CB69" s="297"/>
      <c r="CC69" s="296">
        <f t="shared" si="186"/>
        <v>5650</v>
      </c>
      <c r="CD69" s="297">
        <f t="shared" si="187"/>
        <v>0.1952991528475809</v>
      </c>
      <c r="CE69" s="1061"/>
    </row>
    <row r="70" spans="1:83">
      <c r="A70" s="30">
        <v>43652</v>
      </c>
      <c r="B70" s="265"/>
      <c r="C70" s="1">
        <f t="shared" ref="C70:C95" si="219">C69+B70</f>
        <v>28929977</v>
      </c>
      <c r="D70" s="91"/>
      <c r="E70" s="93">
        <f t="shared" ref="E70:E95" si="220">E69+D70</f>
        <v>365637.09999999986</v>
      </c>
      <c r="F70" s="243">
        <f t="shared" si="209"/>
        <v>15000</v>
      </c>
      <c r="G70" s="227"/>
      <c r="H70" s="240">
        <v>15000</v>
      </c>
      <c r="I70" s="240"/>
      <c r="J70" s="280"/>
      <c r="K70" s="240">
        <f t="shared" si="210"/>
        <v>760320</v>
      </c>
      <c r="L70" s="280">
        <f t="shared" si="211"/>
        <v>26.281389715588091</v>
      </c>
      <c r="M70" s="280">
        <f t="shared" si="212"/>
        <v>3.2179980060717632</v>
      </c>
      <c r="N70" s="1089"/>
      <c r="O70" s="1084"/>
      <c r="P70" s="77">
        <f t="shared" si="189"/>
        <v>17345</v>
      </c>
      <c r="Q70" s="35"/>
      <c r="R70" s="35">
        <v>17345</v>
      </c>
      <c r="S70" s="35"/>
      <c r="T70" s="36"/>
      <c r="U70" s="74">
        <f t="shared" si="190"/>
        <v>39403</v>
      </c>
      <c r="V70" s="36">
        <f t="shared" si="191"/>
        <v>1.362012835336855</v>
      </c>
      <c r="W70" s="1136"/>
      <c r="X70" s="49">
        <f t="shared" si="213"/>
        <v>583</v>
      </c>
      <c r="Y70" s="50"/>
      <c r="Z70" s="50">
        <f>563+20</f>
        <v>583</v>
      </c>
      <c r="AA70" s="50"/>
      <c r="AB70" s="51"/>
      <c r="AC70" s="50">
        <f t="shared" si="205"/>
        <v>8211</v>
      </c>
      <c r="AD70" s="51">
        <f t="shared" si="206"/>
        <v>0.2838232467312366</v>
      </c>
      <c r="AE70" s="1047"/>
      <c r="AF70" s="40">
        <f t="shared" si="214"/>
        <v>192</v>
      </c>
      <c r="AG70" s="41"/>
      <c r="AH70" s="41">
        <v>192</v>
      </c>
      <c r="AI70" s="41"/>
      <c r="AJ70" s="42"/>
      <c r="AK70" s="41">
        <f t="shared" si="215"/>
        <v>3474</v>
      </c>
      <c r="AL70" s="42">
        <f t="shared" si="216"/>
        <v>0.12008305433495506</v>
      </c>
      <c r="AM70" s="1058"/>
      <c r="AN70" s="67"/>
      <c r="AO70" s="67">
        <v>24</v>
      </c>
      <c r="AP70" s="68"/>
      <c r="AQ70" s="68"/>
      <c r="AR70" s="69">
        <f t="shared" si="194"/>
        <v>2889.8486999999996</v>
      </c>
      <c r="AS70" s="140">
        <f t="shared" si="195"/>
        <v>7.9035981304960599</v>
      </c>
      <c r="AT70" s="1073"/>
      <c r="AU70" s="216"/>
      <c r="AV70" s="71">
        <v>12</v>
      </c>
      <c r="AW70" s="72"/>
      <c r="AX70" s="72"/>
      <c r="AY70" s="73">
        <f t="shared" si="198"/>
        <v>917.40244200000041</v>
      </c>
      <c r="AZ70" s="192">
        <f t="shared" si="199"/>
        <v>2.5090518494977689</v>
      </c>
      <c r="BA70" s="1075"/>
      <c r="BB70" s="90">
        <f t="shared" si="217"/>
        <v>31060</v>
      </c>
      <c r="BC70" s="59"/>
      <c r="BD70" s="56">
        <v>31060</v>
      </c>
      <c r="BE70" s="56"/>
      <c r="BF70" s="58">
        <f t="shared" si="200"/>
        <v>42402</v>
      </c>
      <c r="BG70" s="58">
        <f t="shared" si="201"/>
        <v>115.96744422270064</v>
      </c>
      <c r="BH70" s="1133"/>
      <c r="BI70" s="64">
        <f t="shared" si="89"/>
        <v>1464</v>
      </c>
      <c r="BJ70" s="64"/>
      <c r="BK70" s="64">
        <v>1464</v>
      </c>
      <c r="BL70" s="64"/>
      <c r="BM70" s="65"/>
      <c r="BN70" s="64">
        <f t="shared" si="207"/>
        <v>6368</v>
      </c>
      <c r="BO70" s="65">
        <f t="shared" si="208"/>
        <v>0.22011770005900799</v>
      </c>
      <c r="BP70" s="1071"/>
      <c r="BQ70" s="77">
        <f t="shared" si="202"/>
        <v>54340</v>
      </c>
      <c r="BR70" s="35"/>
      <c r="BS70" s="35">
        <f t="shared" si="188"/>
        <v>54340</v>
      </c>
      <c r="BT70" s="35"/>
      <c r="BU70" s="74">
        <f t="shared" si="203"/>
        <v>178357</v>
      </c>
      <c r="BV70" s="74">
        <f t="shared" si="204"/>
        <v>487.79787390283991</v>
      </c>
      <c r="BW70" s="1098"/>
      <c r="BX70" s="295">
        <f t="shared" si="218"/>
        <v>600</v>
      </c>
      <c r="BY70" s="296"/>
      <c r="BZ70" s="296">
        <v>600</v>
      </c>
      <c r="CA70" s="296"/>
      <c r="CB70" s="297"/>
      <c r="CC70" s="296">
        <f t="shared" si="186"/>
        <v>5650</v>
      </c>
      <c r="CD70" s="297">
        <f t="shared" si="187"/>
        <v>0.1952991528475809</v>
      </c>
      <c r="CE70" s="1061"/>
    </row>
    <row r="71" spans="1:83">
      <c r="A71" s="30">
        <v>43653</v>
      </c>
      <c r="B71" s="265"/>
      <c r="C71" s="1">
        <f t="shared" si="219"/>
        <v>28929977</v>
      </c>
      <c r="D71" s="91"/>
      <c r="E71" s="93">
        <f t="shared" si="220"/>
        <v>365637.09999999986</v>
      </c>
      <c r="F71" s="243">
        <f t="shared" si="209"/>
        <v>15000</v>
      </c>
      <c r="G71" s="227"/>
      <c r="H71" s="240">
        <v>15000</v>
      </c>
      <c r="I71" s="240"/>
      <c r="J71" s="280"/>
      <c r="K71" s="240">
        <f t="shared" si="210"/>
        <v>760320</v>
      </c>
      <c r="L71" s="280">
        <f t="shared" si="211"/>
        <v>26.281389715588091</v>
      </c>
      <c r="M71" s="280">
        <f t="shared" si="212"/>
        <v>3.2179980060717632</v>
      </c>
      <c r="N71" s="1089"/>
      <c r="O71" s="1084"/>
      <c r="P71" s="77">
        <f t="shared" si="189"/>
        <v>17345</v>
      </c>
      <c r="Q71" s="35"/>
      <c r="R71" s="35">
        <v>17345</v>
      </c>
      <c r="S71" s="35"/>
      <c r="T71" s="36"/>
      <c r="U71" s="74">
        <f t="shared" si="190"/>
        <v>39403</v>
      </c>
      <c r="V71" s="36">
        <f t="shared" si="191"/>
        <v>1.362012835336855</v>
      </c>
      <c r="W71" s="1136"/>
      <c r="X71" s="49">
        <f t="shared" si="213"/>
        <v>583</v>
      </c>
      <c r="Y71" s="50"/>
      <c r="Z71" s="50">
        <f>563+20</f>
        <v>583</v>
      </c>
      <c r="AA71" s="50"/>
      <c r="AB71" s="51"/>
      <c r="AC71" s="50">
        <f t="shared" si="205"/>
        <v>8211</v>
      </c>
      <c r="AD71" s="51">
        <f t="shared" si="206"/>
        <v>0.2838232467312366</v>
      </c>
      <c r="AE71" s="1047"/>
      <c r="AF71" s="40">
        <f t="shared" si="214"/>
        <v>192</v>
      </c>
      <c r="AG71" s="41"/>
      <c r="AH71" s="41">
        <v>192</v>
      </c>
      <c r="AI71" s="41"/>
      <c r="AJ71" s="42"/>
      <c r="AK71" s="41">
        <f t="shared" si="215"/>
        <v>3474</v>
      </c>
      <c r="AL71" s="42">
        <f t="shared" si="216"/>
        <v>0.12008305433495506</v>
      </c>
      <c r="AM71" s="1058"/>
      <c r="AN71" s="67"/>
      <c r="AO71" s="67">
        <v>24</v>
      </c>
      <c r="AP71" s="68"/>
      <c r="AQ71" s="68"/>
      <c r="AR71" s="69">
        <f t="shared" si="194"/>
        <v>2889.8486999999996</v>
      </c>
      <c r="AS71" s="140">
        <f t="shared" si="195"/>
        <v>7.9035981304960599</v>
      </c>
      <c r="AT71" s="1073"/>
      <c r="AU71" s="71"/>
      <c r="AV71" s="71">
        <v>12</v>
      </c>
      <c r="AW71" s="72"/>
      <c r="AX71" s="72"/>
      <c r="AY71" s="73">
        <f t="shared" si="198"/>
        <v>917.40244200000041</v>
      </c>
      <c r="AZ71" s="192">
        <f t="shared" si="199"/>
        <v>2.5090518494977689</v>
      </c>
      <c r="BA71" s="1075"/>
      <c r="BB71" s="90">
        <f t="shared" si="217"/>
        <v>31060</v>
      </c>
      <c r="BC71" s="59"/>
      <c r="BD71" s="56">
        <v>31060</v>
      </c>
      <c r="BE71" s="56"/>
      <c r="BF71" s="58">
        <f t="shared" si="200"/>
        <v>42402</v>
      </c>
      <c r="BG71" s="58">
        <f t="shared" si="201"/>
        <v>115.96744422270064</v>
      </c>
      <c r="BH71" s="1133"/>
      <c r="BI71" s="64">
        <f t="shared" si="89"/>
        <v>1464</v>
      </c>
      <c r="BJ71" s="64"/>
      <c r="BK71" s="64">
        <v>1464</v>
      </c>
      <c r="BL71" s="64"/>
      <c r="BM71" s="65"/>
      <c r="BN71" s="64">
        <f t="shared" si="207"/>
        <v>6368</v>
      </c>
      <c r="BO71" s="65">
        <f t="shared" si="208"/>
        <v>0.22011770005900799</v>
      </c>
      <c r="BP71" s="1071"/>
      <c r="BQ71" s="77">
        <f t="shared" si="202"/>
        <v>54340</v>
      </c>
      <c r="BR71" s="35"/>
      <c r="BS71" s="35">
        <f t="shared" si="188"/>
        <v>54340</v>
      </c>
      <c r="BT71" s="35"/>
      <c r="BU71" s="74">
        <f t="shared" si="203"/>
        <v>178357</v>
      </c>
      <c r="BV71" s="74">
        <f t="shared" si="204"/>
        <v>487.79787390283991</v>
      </c>
      <c r="BW71" s="1098"/>
      <c r="BX71" s="295">
        <f t="shared" si="218"/>
        <v>600</v>
      </c>
      <c r="BY71" s="296"/>
      <c r="BZ71" s="296">
        <v>600</v>
      </c>
      <c r="CA71" s="296"/>
      <c r="CB71" s="297"/>
      <c r="CC71" s="296">
        <f t="shared" si="186"/>
        <v>5650</v>
      </c>
      <c r="CD71" s="297">
        <f t="shared" si="187"/>
        <v>0.1952991528475809</v>
      </c>
      <c r="CE71" s="1061"/>
    </row>
    <row r="72" spans="1:83">
      <c r="A72" s="30">
        <v>43654</v>
      </c>
      <c r="B72" s="265">
        <v>29945</v>
      </c>
      <c r="C72" s="1">
        <f t="shared" si="219"/>
        <v>28959922</v>
      </c>
      <c r="D72" s="91">
        <v>2273.6999999999998</v>
      </c>
      <c r="E72" s="93">
        <f t="shared" si="220"/>
        <v>367910.79999999987</v>
      </c>
      <c r="F72" s="243">
        <f t="shared" si="209"/>
        <v>15000</v>
      </c>
      <c r="G72" s="227"/>
      <c r="H72" s="240">
        <v>15000</v>
      </c>
      <c r="I72" s="240"/>
      <c r="J72" s="280"/>
      <c r="K72" s="240">
        <f t="shared" si="210"/>
        <v>760320</v>
      </c>
      <c r="L72" s="280">
        <f t="shared" si="211"/>
        <v>26.254214358726518</v>
      </c>
      <c r="M72" s="280">
        <f t="shared" si="212"/>
        <v>3.214670547168669</v>
      </c>
      <c r="N72" s="1089"/>
      <c r="O72" s="1084"/>
      <c r="P72" s="77">
        <f t="shared" si="189"/>
        <v>17345</v>
      </c>
      <c r="Q72" s="35"/>
      <c r="R72" s="35">
        <v>13900</v>
      </c>
      <c r="S72" s="35">
        <f>P72+Q72-R72</f>
        <v>3445</v>
      </c>
      <c r="T72" s="36">
        <f>1000*S72/B72</f>
        <v>115.04424778761062</v>
      </c>
      <c r="U72" s="74">
        <f t="shared" si="190"/>
        <v>42848</v>
      </c>
      <c r="V72" s="36">
        <f t="shared" si="191"/>
        <v>1.4795619960578623</v>
      </c>
      <c r="W72" s="1136"/>
      <c r="X72" s="49">
        <f t="shared" si="213"/>
        <v>583</v>
      </c>
      <c r="Y72" s="50"/>
      <c r="Z72" s="50">
        <f>528+39</f>
        <v>567</v>
      </c>
      <c r="AA72" s="50">
        <f t="shared" ref="AA72:AA95" si="221">X72+Y72-Z72</f>
        <v>16</v>
      </c>
      <c r="AB72" s="51">
        <f t="shared" ref="AB72:AB97" si="222">AA72*1000/B72</f>
        <v>0.53431290699615963</v>
      </c>
      <c r="AC72" s="50">
        <f t="shared" si="205"/>
        <v>8227</v>
      </c>
      <c r="AD72" s="51">
        <f t="shared" si="206"/>
        <v>0.28408225685138239</v>
      </c>
      <c r="AE72" s="1047"/>
      <c r="AF72" s="40">
        <f t="shared" si="214"/>
        <v>192</v>
      </c>
      <c r="AG72" s="41"/>
      <c r="AH72" s="41">
        <v>94</v>
      </c>
      <c r="AI72" s="41">
        <f t="shared" ref="AI72:AI97" si="223">AF72+AG72-AH72</f>
        <v>98</v>
      </c>
      <c r="AJ72" s="42">
        <f t="shared" ref="AJ72:AJ97" si="224">AI72*1000/B72</f>
        <v>3.2726665553514778</v>
      </c>
      <c r="AK72" s="41">
        <f t="shared" si="215"/>
        <v>3572</v>
      </c>
      <c r="AL72" s="42">
        <f t="shared" si="216"/>
        <v>0.12334287364448011</v>
      </c>
      <c r="AM72" s="1058"/>
      <c r="AN72" s="67">
        <v>0.8</v>
      </c>
      <c r="AO72" s="67">
        <v>24</v>
      </c>
      <c r="AP72" s="68">
        <f t="shared" si="192"/>
        <v>9.5433600000000016</v>
      </c>
      <c r="AQ72" s="68">
        <f t="shared" si="193"/>
        <v>4.1972819633197007</v>
      </c>
      <c r="AR72" s="69">
        <f t="shared" si="194"/>
        <v>2899.3920599999997</v>
      </c>
      <c r="AS72" s="140">
        <f t="shared" si="195"/>
        <v>7.8806929831904924</v>
      </c>
      <c r="AT72" s="1073"/>
      <c r="AU72" s="71">
        <v>0.7</v>
      </c>
      <c r="AV72" s="71">
        <v>12</v>
      </c>
      <c r="AW72" s="72">
        <f t="shared" si="196"/>
        <v>4.3405319999999996</v>
      </c>
      <c r="AX72" s="72">
        <f t="shared" si="197"/>
        <v>1.9090170207151338</v>
      </c>
      <c r="AY72" s="73">
        <f t="shared" si="198"/>
        <v>921.74297400000046</v>
      </c>
      <c r="AZ72" s="192">
        <f t="shared" si="199"/>
        <v>2.5053436158982039</v>
      </c>
      <c r="BA72" s="1075"/>
      <c r="BB72" s="90">
        <f t="shared" si="217"/>
        <v>31060</v>
      </c>
      <c r="BC72" s="59"/>
      <c r="BD72" s="56">
        <v>28810</v>
      </c>
      <c r="BE72" s="56">
        <f>BB72+BC72-BD72</f>
        <v>2250</v>
      </c>
      <c r="BF72" s="58">
        <f t="shared" si="200"/>
        <v>44652</v>
      </c>
      <c r="BG72" s="58">
        <f t="shared" si="201"/>
        <v>121.36637467560075</v>
      </c>
      <c r="BH72" s="1133"/>
      <c r="BI72" s="64">
        <f t="shared" si="89"/>
        <v>1464</v>
      </c>
      <c r="BJ72" s="64"/>
      <c r="BK72" s="64">
        <v>1380</v>
      </c>
      <c r="BL72" s="64">
        <f t="shared" ref="BL72:BL95" si="225">BI72+BJ72-BK72</f>
        <v>84</v>
      </c>
      <c r="BM72" s="65">
        <f t="shared" ref="BM72:BM95" si="226">BL72*1000/B72</f>
        <v>2.8051427617298379</v>
      </c>
      <c r="BN72" s="64">
        <f t="shared" si="207"/>
        <v>6452</v>
      </c>
      <c r="BO72" s="65">
        <f t="shared" si="208"/>
        <v>0.222790655306323</v>
      </c>
      <c r="BP72" s="1071"/>
      <c r="BQ72" s="77">
        <f t="shared" si="202"/>
        <v>54340</v>
      </c>
      <c r="BR72" s="35"/>
      <c r="BS72" s="35">
        <f t="shared" si="188"/>
        <v>54340</v>
      </c>
      <c r="BT72" s="35"/>
      <c r="BU72" s="74">
        <f t="shared" si="203"/>
        <v>178357</v>
      </c>
      <c r="BV72" s="74">
        <f t="shared" si="204"/>
        <v>484.78326811825059</v>
      </c>
      <c r="BW72" s="1098"/>
      <c r="BX72" s="295">
        <f t="shared" si="218"/>
        <v>600</v>
      </c>
      <c r="BY72" s="296"/>
      <c r="BZ72" s="296">
        <v>600</v>
      </c>
      <c r="CA72" s="296"/>
      <c r="CB72" s="297"/>
      <c r="CC72" s="296">
        <f t="shared" si="186"/>
        <v>5650</v>
      </c>
      <c r="CD72" s="297">
        <f t="shared" si="187"/>
        <v>0.19509721055187926</v>
      </c>
      <c r="CE72" s="1061"/>
    </row>
    <row r="73" spans="1:83">
      <c r="A73" s="30">
        <v>43655</v>
      </c>
      <c r="B73" s="265">
        <v>411558</v>
      </c>
      <c r="C73" s="1">
        <f t="shared" si="219"/>
        <v>29371480</v>
      </c>
      <c r="D73" s="91">
        <v>6473.3</v>
      </c>
      <c r="E73" s="93">
        <f t="shared" si="220"/>
        <v>374384.09999999986</v>
      </c>
      <c r="F73" s="243">
        <f t="shared" si="209"/>
        <v>15000</v>
      </c>
      <c r="G73" s="227"/>
      <c r="H73" s="240">
        <v>4600</v>
      </c>
      <c r="I73" s="240">
        <f>F73+G73-H73</f>
        <v>10400</v>
      </c>
      <c r="J73" s="280">
        <f>I73*1000/B73</f>
        <v>25.269828310954956</v>
      </c>
      <c r="K73" s="240">
        <f t="shared" si="210"/>
        <v>770720</v>
      </c>
      <c r="L73" s="280">
        <f t="shared" si="211"/>
        <v>26.240420979807624</v>
      </c>
      <c r="M73" s="280">
        <f t="shared" si="212"/>
        <v>3.2129816309302832</v>
      </c>
      <c r="N73" s="1089"/>
      <c r="O73" s="1084"/>
      <c r="P73" s="77">
        <f t="shared" si="189"/>
        <v>13900</v>
      </c>
      <c r="Q73" s="35"/>
      <c r="R73" s="35">
        <v>13900</v>
      </c>
      <c r="S73" s="35"/>
      <c r="T73" s="36"/>
      <c r="U73" s="74">
        <f t="shared" ref="U73:U78" si="227">U72+S73</f>
        <v>42848</v>
      </c>
      <c r="V73" s="36">
        <f t="shared" ref="V73:V78" si="228">1000*U73/C73</f>
        <v>1.4588301304530791</v>
      </c>
      <c r="W73" s="1136"/>
      <c r="X73" s="49">
        <f t="shared" si="213"/>
        <v>567</v>
      </c>
      <c r="Y73" s="50"/>
      <c r="Z73" s="50">
        <f>390+88</f>
        <v>478</v>
      </c>
      <c r="AA73" s="50">
        <f t="shared" si="221"/>
        <v>89</v>
      </c>
      <c r="AB73" s="51">
        <f t="shared" si="222"/>
        <v>0.21625141535336453</v>
      </c>
      <c r="AC73" s="50">
        <f t="shared" si="205"/>
        <v>8316</v>
      </c>
      <c r="AD73" s="51">
        <f t="shared" si="206"/>
        <v>0.28313179996377436</v>
      </c>
      <c r="AE73" s="1047"/>
      <c r="AF73" s="40">
        <f t="shared" si="214"/>
        <v>94</v>
      </c>
      <c r="AG73" s="41">
        <v>1000</v>
      </c>
      <c r="AH73" s="41">
        <v>1023</v>
      </c>
      <c r="AI73" s="41">
        <f t="shared" si="223"/>
        <v>71</v>
      </c>
      <c r="AJ73" s="42">
        <f t="shared" si="224"/>
        <v>0.17251517404594249</v>
      </c>
      <c r="AK73" s="41">
        <f t="shared" si="215"/>
        <v>3643</v>
      </c>
      <c r="AL73" s="42">
        <f t="shared" si="216"/>
        <v>0.12403188399086461</v>
      </c>
      <c r="AM73" s="1058"/>
      <c r="AN73" s="67">
        <v>3.9</v>
      </c>
      <c r="AO73" s="67">
        <v>24</v>
      </c>
      <c r="AP73" s="68">
        <f t="shared" si="192"/>
        <v>46.523879999999998</v>
      </c>
      <c r="AQ73" s="68">
        <f t="shared" si="193"/>
        <v>7.1870421577865997</v>
      </c>
      <c r="AR73" s="69">
        <f t="shared" si="194"/>
        <v>2945.9159399999999</v>
      </c>
      <c r="AS73" s="140">
        <f t="shared" si="195"/>
        <v>7.8686993918812282</v>
      </c>
      <c r="AT73" s="1073"/>
      <c r="AU73" s="71">
        <v>2.6</v>
      </c>
      <c r="AV73" s="71">
        <v>12</v>
      </c>
      <c r="AW73" s="72">
        <f t="shared" si="196"/>
        <v>16.121976000000004</v>
      </c>
      <c r="AX73" s="72">
        <f t="shared" si="197"/>
        <v>2.4905343487865546</v>
      </c>
      <c r="AY73" s="73">
        <f t="shared" si="198"/>
        <v>937.86495000000048</v>
      </c>
      <c r="AZ73" s="192">
        <f t="shared" si="199"/>
        <v>2.5050875558016505</v>
      </c>
      <c r="BA73" s="1075"/>
      <c r="BB73" s="90">
        <f t="shared" si="217"/>
        <v>28810</v>
      </c>
      <c r="BC73" s="59"/>
      <c r="BD73" s="56">
        <v>28810</v>
      </c>
      <c r="BE73" s="56"/>
      <c r="BF73" s="58">
        <f t="shared" si="200"/>
        <v>44652</v>
      </c>
      <c r="BG73" s="58">
        <f t="shared" si="201"/>
        <v>119.26788557526886</v>
      </c>
      <c r="BH73" s="1133"/>
      <c r="BI73" s="64">
        <f t="shared" si="89"/>
        <v>1380</v>
      </c>
      <c r="BJ73" s="64"/>
      <c r="BK73" s="64">
        <v>1260</v>
      </c>
      <c r="BL73" s="64">
        <f t="shared" si="225"/>
        <v>120</v>
      </c>
      <c r="BM73" s="65">
        <f t="shared" si="226"/>
        <v>0.29157494204948026</v>
      </c>
      <c r="BN73" s="64">
        <f t="shared" si="207"/>
        <v>6572</v>
      </c>
      <c r="BO73" s="65">
        <f t="shared" si="208"/>
        <v>0.22375447202524354</v>
      </c>
      <c r="BP73" s="1071"/>
      <c r="BQ73" s="77">
        <f t="shared" si="202"/>
        <v>54340</v>
      </c>
      <c r="BR73" s="35"/>
      <c r="BS73" s="35">
        <f>38568+13000</f>
        <v>51568</v>
      </c>
      <c r="BT73" s="35">
        <f>BQ73-BS73+BR73</f>
        <v>2772</v>
      </c>
      <c r="BU73" s="74">
        <f t="shared" si="203"/>
        <v>181129</v>
      </c>
      <c r="BV73" s="74">
        <f t="shared" si="204"/>
        <v>483.80526843955198</v>
      </c>
      <c r="BW73" s="1098"/>
      <c r="BX73" s="295">
        <f t="shared" si="218"/>
        <v>600</v>
      </c>
      <c r="BY73" s="296"/>
      <c r="BZ73" s="296">
        <v>600</v>
      </c>
      <c r="CA73" s="296"/>
      <c r="CB73" s="297"/>
      <c r="CC73" s="296">
        <f t="shared" si="186"/>
        <v>5650</v>
      </c>
      <c r="CD73" s="297">
        <f t="shared" si="187"/>
        <v>0.19236347640636428</v>
      </c>
      <c r="CE73" s="1061"/>
    </row>
    <row r="74" spans="1:83">
      <c r="A74" s="30">
        <v>43656</v>
      </c>
      <c r="B74" s="265">
        <v>613382</v>
      </c>
      <c r="C74" s="1">
        <f t="shared" si="219"/>
        <v>29984862</v>
      </c>
      <c r="D74" s="91">
        <v>6840.22</v>
      </c>
      <c r="E74" s="93">
        <f t="shared" si="220"/>
        <v>381224.31999999983</v>
      </c>
      <c r="F74" s="243">
        <f t="shared" si="209"/>
        <v>4600</v>
      </c>
      <c r="G74" s="321">
        <v>31030</v>
      </c>
      <c r="H74" s="240">
        <v>15500</v>
      </c>
      <c r="I74" s="240">
        <f>F74+G74-H74</f>
        <v>20130</v>
      </c>
      <c r="J74" s="280">
        <f>I74*1000/B74</f>
        <v>32.81804813313726</v>
      </c>
      <c r="K74" s="240">
        <f t="shared" si="210"/>
        <v>790850</v>
      </c>
      <c r="L74" s="280">
        <f t="shared" si="211"/>
        <v>26.374975479293518</v>
      </c>
      <c r="M74" s="280">
        <f t="shared" si="212"/>
        <v>3.2294570196269765</v>
      </c>
      <c r="N74" s="1089"/>
      <c r="O74" s="1084"/>
      <c r="P74" s="77">
        <f t="shared" si="189"/>
        <v>13900</v>
      </c>
      <c r="Q74" s="35"/>
      <c r="R74" s="35">
        <v>13900</v>
      </c>
      <c r="S74" s="35"/>
      <c r="T74" s="36"/>
      <c r="U74" s="74">
        <f t="shared" si="227"/>
        <v>42848</v>
      </c>
      <c r="V74" s="36">
        <f t="shared" si="228"/>
        <v>1.428987733877181</v>
      </c>
      <c r="W74" s="1136"/>
      <c r="X74" s="49">
        <f t="shared" si="213"/>
        <v>478</v>
      </c>
      <c r="Y74" s="50"/>
      <c r="Z74" s="50">
        <f>231+125</f>
        <v>356</v>
      </c>
      <c r="AA74" s="50">
        <f t="shared" si="221"/>
        <v>122</v>
      </c>
      <c r="AB74" s="51">
        <f t="shared" si="222"/>
        <v>0.19889726141295311</v>
      </c>
      <c r="AC74" s="50">
        <f t="shared" si="205"/>
        <v>8438</v>
      </c>
      <c r="AD74" s="51">
        <f t="shared" si="206"/>
        <v>0.28140866547926752</v>
      </c>
      <c r="AE74" s="1047"/>
      <c r="AF74" s="40">
        <f t="shared" si="214"/>
        <v>1023</v>
      </c>
      <c r="AG74" s="41"/>
      <c r="AH74" s="41">
        <v>925</v>
      </c>
      <c r="AI74" s="41">
        <f t="shared" si="223"/>
        <v>98</v>
      </c>
      <c r="AJ74" s="42">
        <f t="shared" si="224"/>
        <v>0.15976993129892955</v>
      </c>
      <c r="AK74" s="41">
        <f t="shared" si="215"/>
        <v>3741</v>
      </c>
      <c r="AL74" s="42">
        <f t="shared" si="216"/>
        <v>0.12476295538728843</v>
      </c>
      <c r="AM74" s="1058"/>
      <c r="AN74" s="67">
        <v>4.2</v>
      </c>
      <c r="AO74" s="67">
        <v>24</v>
      </c>
      <c r="AP74" s="68">
        <f t="shared" si="192"/>
        <v>50.102640000000008</v>
      </c>
      <c r="AQ74" s="68">
        <f t="shared" si="193"/>
        <v>7.3247117782761384</v>
      </c>
      <c r="AR74" s="69">
        <f t="shared" si="194"/>
        <v>2996.0185799999999</v>
      </c>
      <c r="AS74" s="140">
        <f t="shared" si="195"/>
        <v>7.8589387476643706</v>
      </c>
      <c r="AT74" s="1073"/>
      <c r="AU74" s="71">
        <v>2.6</v>
      </c>
      <c r="AV74" s="71">
        <v>12</v>
      </c>
      <c r="AW74" s="72">
        <f t="shared" si="196"/>
        <v>16.121976000000004</v>
      </c>
      <c r="AX74" s="72">
        <f t="shared" si="197"/>
        <v>2.3569382271330461</v>
      </c>
      <c r="AY74" s="73">
        <f t="shared" si="198"/>
        <v>953.98692600000049</v>
      </c>
      <c r="AZ74" s="192">
        <f t="shared" si="199"/>
        <v>2.5024293465852359</v>
      </c>
      <c r="BA74" s="1075"/>
      <c r="BB74" s="90">
        <f t="shared" si="217"/>
        <v>28810</v>
      </c>
      <c r="BC74" s="59"/>
      <c r="BD74" s="56">
        <v>28810</v>
      </c>
      <c r="BE74" s="56"/>
      <c r="BF74" s="58">
        <f t="shared" ref="BF74:BF85" si="229">BF73+BE74</f>
        <v>44652</v>
      </c>
      <c r="BG74" s="58">
        <f t="shared" ref="BG74:BG85" si="230">BF74*1000/E74</f>
        <v>117.12788942741119</v>
      </c>
      <c r="BH74" s="1133"/>
      <c r="BI74" s="64">
        <f t="shared" si="89"/>
        <v>1260</v>
      </c>
      <c r="BJ74" s="64"/>
      <c r="BK74" s="64">
        <v>1200</v>
      </c>
      <c r="BL74" s="64">
        <f t="shared" si="225"/>
        <v>60</v>
      </c>
      <c r="BM74" s="65">
        <f t="shared" si="226"/>
        <v>9.7818325285058905E-2</v>
      </c>
      <c r="BN74" s="64">
        <f t="shared" si="207"/>
        <v>6632</v>
      </c>
      <c r="BO74" s="65">
        <f t="shared" si="208"/>
        <v>0.22117827322333516</v>
      </c>
      <c r="BP74" s="1071"/>
      <c r="BQ74" s="77">
        <f t="shared" si="202"/>
        <v>51568</v>
      </c>
      <c r="BR74" s="35"/>
      <c r="BS74" s="35">
        <f>35795+13000</f>
        <v>48795</v>
      </c>
      <c r="BT74" s="35">
        <f>BQ74-BS74+BR74</f>
        <v>2773</v>
      </c>
      <c r="BU74" s="74">
        <f t="shared" si="203"/>
        <v>183902</v>
      </c>
      <c r="BV74" s="74">
        <f t="shared" si="204"/>
        <v>482.39839472990622</v>
      </c>
      <c r="BW74" s="1098"/>
      <c r="BX74" s="295">
        <f t="shared" si="218"/>
        <v>600</v>
      </c>
      <c r="BY74" s="296"/>
      <c r="BZ74" s="296">
        <v>600</v>
      </c>
      <c r="CA74" s="296"/>
      <c r="CB74" s="297"/>
      <c r="CC74" s="296">
        <f t="shared" si="186"/>
        <v>5650</v>
      </c>
      <c r="CD74" s="297">
        <f t="shared" si="187"/>
        <v>0.18842841431119475</v>
      </c>
      <c r="CE74" s="1061"/>
    </row>
    <row r="75" spans="1:83">
      <c r="A75" s="30">
        <v>43657</v>
      </c>
      <c r="B75" s="265">
        <v>599241</v>
      </c>
      <c r="C75" s="1">
        <f t="shared" si="219"/>
        <v>30584103</v>
      </c>
      <c r="D75" s="91">
        <v>6254.76</v>
      </c>
      <c r="E75" s="93">
        <f t="shared" si="220"/>
        <v>387479.07999999984</v>
      </c>
      <c r="F75" s="243">
        <f t="shared" si="209"/>
        <v>15500</v>
      </c>
      <c r="G75" s="321">
        <v>29500</v>
      </c>
      <c r="H75" s="240">
        <v>16000</v>
      </c>
      <c r="I75" s="240">
        <f>F75+G75-H75</f>
        <v>29000</v>
      </c>
      <c r="J75" s="280">
        <f>I75*1000/B75</f>
        <v>48.394552442172682</v>
      </c>
      <c r="K75" s="240">
        <f t="shared" ref="K75:K88" si="231">K74+I75</f>
        <v>819850</v>
      </c>
      <c r="L75" s="280">
        <f t="shared" ref="L75:L88" si="232">K75*1000/C75</f>
        <v>26.806409852857218</v>
      </c>
      <c r="M75" s="280">
        <f t="shared" ref="M75:M88" si="233">L75/8.167</f>
        <v>3.2822835622452819</v>
      </c>
      <c r="N75" s="1089"/>
      <c r="O75" s="1084"/>
      <c r="P75" s="77">
        <f t="shared" si="189"/>
        <v>13900</v>
      </c>
      <c r="Q75" s="35"/>
      <c r="R75" s="35">
        <v>13900</v>
      </c>
      <c r="S75" s="35"/>
      <c r="T75" s="36"/>
      <c r="U75" s="74">
        <f t="shared" si="227"/>
        <v>42848</v>
      </c>
      <c r="V75" s="36">
        <f t="shared" si="228"/>
        <v>1.4009892655671476</v>
      </c>
      <c r="W75" s="1136"/>
      <c r="X75" s="49">
        <f t="shared" si="213"/>
        <v>356</v>
      </c>
      <c r="Y75" s="50"/>
      <c r="Z75" s="50">
        <f>173+127</f>
        <v>300</v>
      </c>
      <c r="AA75" s="50">
        <f t="shared" si="221"/>
        <v>56</v>
      </c>
      <c r="AB75" s="51">
        <f t="shared" si="222"/>
        <v>9.3451549543505874E-2</v>
      </c>
      <c r="AC75" s="50">
        <f t="shared" ref="AC75:AC97" si="234">AC74+AA75</f>
        <v>8494</v>
      </c>
      <c r="AD75" s="51">
        <f t="shared" ref="AD75:AD97" si="235">AC75*1000/C75</f>
        <v>0.27772598071619103</v>
      </c>
      <c r="AE75" s="1047"/>
      <c r="AF75" s="40">
        <f t="shared" si="214"/>
        <v>925</v>
      </c>
      <c r="AG75" s="41"/>
      <c r="AH75" s="41">
        <v>845</v>
      </c>
      <c r="AI75" s="41">
        <f t="shared" si="223"/>
        <v>80</v>
      </c>
      <c r="AJ75" s="42">
        <f t="shared" si="224"/>
        <v>0.13350221363357981</v>
      </c>
      <c r="AK75" s="41">
        <f t="shared" ref="AK75:AK97" si="236">AK74+AI75</f>
        <v>3821</v>
      </c>
      <c r="AL75" s="42">
        <f t="shared" ref="AL75:AL97" si="237">AK75*1000/C75</f>
        <v>0.12493418558000541</v>
      </c>
      <c r="AM75" s="1058"/>
      <c r="AN75" s="67">
        <v>4.0999999999999996</v>
      </c>
      <c r="AO75" s="67">
        <v>24</v>
      </c>
      <c r="AP75" s="68">
        <f t="shared" si="192"/>
        <v>48.909719999999993</v>
      </c>
      <c r="AQ75" s="68">
        <f t="shared" si="193"/>
        <v>7.8195997927978036</v>
      </c>
      <c r="AR75" s="69">
        <f t="shared" si="194"/>
        <v>3044.9283</v>
      </c>
      <c r="AS75" s="140">
        <f t="shared" si="195"/>
        <v>7.8583037308749706</v>
      </c>
      <c r="AT75" s="1073"/>
      <c r="AU75" s="71">
        <v>2.5</v>
      </c>
      <c r="AV75" s="71">
        <v>12</v>
      </c>
      <c r="AW75" s="72">
        <f t="shared" si="196"/>
        <v>15.501900000000001</v>
      </c>
      <c r="AX75" s="72">
        <f t="shared" si="197"/>
        <v>2.4784164380407883</v>
      </c>
      <c r="AY75" s="73">
        <f t="shared" si="198"/>
        <v>969.48882600000047</v>
      </c>
      <c r="AZ75" s="192">
        <f t="shared" si="199"/>
        <v>2.5020417257107166</v>
      </c>
      <c r="BA75" s="1075"/>
      <c r="BB75" s="90">
        <f t="shared" si="217"/>
        <v>28810</v>
      </c>
      <c r="BC75" s="59"/>
      <c r="BD75" s="56">
        <v>28810</v>
      </c>
      <c r="BE75" s="56"/>
      <c r="BF75" s="58">
        <f t="shared" si="229"/>
        <v>44652</v>
      </c>
      <c r="BG75" s="58">
        <f t="shared" si="230"/>
        <v>115.23718906321348</v>
      </c>
      <c r="BH75" s="1133"/>
      <c r="BI75" s="64">
        <f t="shared" si="89"/>
        <v>1200</v>
      </c>
      <c r="BJ75" s="64"/>
      <c r="BK75" s="64">
        <v>804</v>
      </c>
      <c r="BL75" s="64">
        <f t="shared" si="225"/>
        <v>396</v>
      </c>
      <c r="BM75" s="65">
        <f t="shared" si="226"/>
        <v>0.66083595748622004</v>
      </c>
      <c r="BN75" s="64">
        <f t="shared" ref="BN75:BN97" si="238">BN74+BL75</f>
        <v>7028</v>
      </c>
      <c r="BO75" s="65">
        <f t="shared" ref="BO75:BO97" si="239">BN75*1000/C75</f>
        <v>0.22979258211365558</v>
      </c>
      <c r="BP75" s="1071"/>
      <c r="BQ75" s="77">
        <f t="shared" si="202"/>
        <v>48795</v>
      </c>
      <c r="BR75" s="35"/>
      <c r="BS75" s="35">
        <f>33023+13000</f>
        <v>46023</v>
      </c>
      <c r="BT75" s="35">
        <f>BQ75-BS75+BR75</f>
        <v>2772</v>
      </c>
      <c r="BU75" s="74">
        <f t="shared" si="203"/>
        <v>186674</v>
      </c>
      <c r="BV75" s="74">
        <f t="shared" si="204"/>
        <v>481.76536395203601</v>
      </c>
      <c r="BW75" s="1098"/>
      <c r="BX75" s="295">
        <f t="shared" si="218"/>
        <v>600</v>
      </c>
      <c r="BY75" s="296"/>
      <c r="BZ75" s="296">
        <v>600</v>
      </c>
      <c r="CA75" s="296"/>
      <c r="CB75" s="297"/>
      <c r="CC75" s="296">
        <f t="shared" si="186"/>
        <v>5650</v>
      </c>
      <c r="CD75" s="297">
        <f t="shared" si="187"/>
        <v>0.18473649529626551</v>
      </c>
      <c r="CE75" s="1061"/>
    </row>
    <row r="76" spans="1:83">
      <c r="A76" s="30">
        <v>43658</v>
      </c>
      <c r="B76" s="265">
        <v>575659</v>
      </c>
      <c r="C76" s="1">
        <f t="shared" si="219"/>
        <v>31159762</v>
      </c>
      <c r="D76" s="91">
        <v>7367.82</v>
      </c>
      <c r="E76" s="93">
        <f t="shared" si="220"/>
        <v>394846.89999999985</v>
      </c>
      <c r="F76" s="243">
        <f t="shared" si="209"/>
        <v>16000</v>
      </c>
      <c r="G76" s="321">
        <v>30620</v>
      </c>
      <c r="H76" s="240">
        <v>20900</v>
      </c>
      <c r="I76" s="240">
        <f>F76+G76-H76</f>
        <v>25720</v>
      </c>
      <c r="J76" s="280">
        <f>I76*1000/B76</f>
        <v>44.67922850159556</v>
      </c>
      <c r="K76" s="240">
        <f t="shared" si="231"/>
        <v>845570</v>
      </c>
      <c r="L76" s="280">
        <f t="shared" si="232"/>
        <v>27.13660008057828</v>
      </c>
      <c r="M76" s="280">
        <f t="shared" si="233"/>
        <v>3.3227133685047483</v>
      </c>
      <c r="N76" s="1089"/>
      <c r="O76" s="1084"/>
      <c r="P76" s="77">
        <f t="shared" si="189"/>
        <v>13900</v>
      </c>
      <c r="Q76" s="35"/>
      <c r="R76" s="35">
        <v>13900</v>
      </c>
      <c r="S76" s="35"/>
      <c r="T76" s="36"/>
      <c r="U76" s="74">
        <f t="shared" si="227"/>
        <v>42848</v>
      </c>
      <c r="V76" s="36">
        <f t="shared" si="228"/>
        <v>1.3751067803406201</v>
      </c>
      <c r="W76" s="1136"/>
      <c r="X76" s="49">
        <f t="shared" si="213"/>
        <v>300</v>
      </c>
      <c r="Y76" s="50">
        <v>900</v>
      </c>
      <c r="Z76" s="50">
        <f>850+100</f>
        <v>950</v>
      </c>
      <c r="AA76" s="50">
        <f t="shared" si="221"/>
        <v>250</v>
      </c>
      <c r="AB76" s="51">
        <f t="shared" si="222"/>
        <v>0.4342848804587438</v>
      </c>
      <c r="AC76" s="50">
        <f t="shared" si="234"/>
        <v>8744</v>
      </c>
      <c r="AD76" s="51">
        <f t="shared" si="235"/>
        <v>0.28061831794479047</v>
      </c>
      <c r="AE76" s="1047"/>
      <c r="AF76" s="40">
        <f t="shared" si="214"/>
        <v>845</v>
      </c>
      <c r="AG76" s="41"/>
      <c r="AH76" s="41">
        <v>765</v>
      </c>
      <c r="AI76" s="41">
        <f t="shared" si="223"/>
        <v>80</v>
      </c>
      <c r="AJ76" s="42">
        <f t="shared" si="224"/>
        <v>0.13897116174679802</v>
      </c>
      <c r="AK76" s="41">
        <f t="shared" si="236"/>
        <v>3901</v>
      </c>
      <c r="AL76" s="42">
        <f t="shared" si="237"/>
        <v>0.12519351078483848</v>
      </c>
      <c r="AM76" s="1058"/>
      <c r="AN76" s="67">
        <v>3.9</v>
      </c>
      <c r="AO76" s="67">
        <v>24</v>
      </c>
      <c r="AP76" s="68">
        <f t="shared" si="192"/>
        <v>46.523879999999998</v>
      </c>
      <c r="AQ76" s="68">
        <f t="shared" si="193"/>
        <v>6.314470223213922</v>
      </c>
      <c r="AR76" s="69">
        <f t="shared" si="194"/>
        <v>3091.4521800000002</v>
      </c>
      <c r="AS76" s="140">
        <f t="shared" si="195"/>
        <v>7.829495888153108</v>
      </c>
      <c r="AT76" s="1073"/>
      <c r="AU76" s="71">
        <v>2.8</v>
      </c>
      <c r="AV76" s="71">
        <v>12</v>
      </c>
      <c r="AW76" s="72">
        <f t="shared" si="196"/>
        <v>17.362127999999998</v>
      </c>
      <c r="AX76" s="72">
        <f t="shared" si="197"/>
        <v>2.3564810215233267</v>
      </c>
      <c r="AY76" s="73">
        <f t="shared" si="198"/>
        <v>986.85095400000046</v>
      </c>
      <c r="AZ76" s="192">
        <f t="shared" si="199"/>
        <v>2.4993255715063252</v>
      </c>
      <c r="BA76" s="1075"/>
      <c r="BB76" s="90">
        <f t="shared" si="217"/>
        <v>28810</v>
      </c>
      <c r="BC76" s="59"/>
      <c r="BD76" s="56">
        <v>28810</v>
      </c>
      <c r="BE76" s="56"/>
      <c r="BF76" s="58">
        <f t="shared" si="229"/>
        <v>44652</v>
      </c>
      <c r="BG76" s="58">
        <f t="shared" si="230"/>
        <v>113.08686987285456</v>
      </c>
      <c r="BH76" s="1133"/>
      <c r="BI76" s="64">
        <f t="shared" si="89"/>
        <v>804</v>
      </c>
      <c r="BJ76" s="64">
        <v>1100</v>
      </c>
      <c r="BK76" s="64">
        <v>1560</v>
      </c>
      <c r="BL76" s="64">
        <f t="shared" si="225"/>
        <v>344</v>
      </c>
      <c r="BM76" s="65">
        <f t="shared" si="226"/>
        <v>0.59757599551123153</v>
      </c>
      <c r="BN76" s="64">
        <f t="shared" si="238"/>
        <v>7372</v>
      </c>
      <c r="BO76" s="65">
        <f t="shared" si="239"/>
        <v>0.23658717290587777</v>
      </c>
      <c r="BP76" s="1071"/>
      <c r="BQ76" s="77">
        <f t="shared" si="202"/>
        <v>46023</v>
      </c>
      <c r="BR76" s="35"/>
      <c r="BS76" s="35">
        <f>33023+9000</f>
        <v>42023</v>
      </c>
      <c r="BT76" s="35">
        <f>BQ76-BS76+BR76</f>
        <v>4000</v>
      </c>
      <c r="BU76" s="74">
        <f t="shared" si="203"/>
        <v>190674</v>
      </c>
      <c r="BV76" s="74">
        <f t="shared" si="204"/>
        <v>482.90615932403188</v>
      </c>
      <c r="BW76" s="1098"/>
      <c r="BX76" s="295">
        <f t="shared" si="218"/>
        <v>600</v>
      </c>
      <c r="BY76" s="296"/>
      <c r="BZ76" s="296">
        <v>600</v>
      </c>
      <c r="CA76" s="296"/>
      <c r="CB76" s="297"/>
      <c r="CC76" s="296">
        <f t="shared" si="186"/>
        <v>5650</v>
      </c>
      <c r="CD76" s="297">
        <f t="shared" si="187"/>
        <v>0.1813235929080588</v>
      </c>
      <c r="CE76" s="1061"/>
    </row>
    <row r="77" spans="1:83">
      <c r="A77" s="30">
        <v>43659</v>
      </c>
      <c r="B77" s="265">
        <v>612771</v>
      </c>
      <c r="C77" s="1">
        <f t="shared" si="219"/>
        <v>31772533</v>
      </c>
      <c r="D77" s="91">
        <v>7410.34</v>
      </c>
      <c r="E77" s="93">
        <f t="shared" si="220"/>
        <v>402257.23999999987</v>
      </c>
      <c r="F77" s="243">
        <f t="shared" si="209"/>
        <v>20900</v>
      </c>
      <c r="G77" s="227"/>
      <c r="H77" s="240"/>
      <c r="I77" s="240">
        <f>F77+G77-H77</f>
        <v>20900</v>
      </c>
      <c r="J77" s="280">
        <f>I77*1000/B77</f>
        <v>34.107358213753585</v>
      </c>
      <c r="K77" s="240">
        <f t="shared" si="231"/>
        <v>866470</v>
      </c>
      <c r="L77" s="280">
        <f t="shared" si="232"/>
        <v>27.271039422635898</v>
      </c>
      <c r="M77" s="280">
        <f t="shared" si="233"/>
        <v>3.3391746568673808</v>
      </c>
      <c r="N77" s="1089"/>
      <c r="O77" s="1084"/>
      <c r="P77" s="77">
        <f t="shared" si="189"/>
        <v>13900</v>
      </c>
      <c r="Q77" s="35"/>
      <c r="R77" s="35">
        <v>11318</v>
      </c>
      <c r="S77" s="35">
        <f>P77+Q77-R77</f>
        <v>2582</v>
      </c>
      <c r="T77" s="36">
        <f>1000*S77/B77</f>
        <v>4.2136458807613284</v>
      </c>
      <c r="U77" s="74">
        <f t="shared" si="227"/>
        <v>45430</v>
      </c>
      <c r="V77" s="36">
        <f t="shared" si="228"/>
        <v>1.429851375085518</v>
      </c>
      <c r="W77" s="1136"/>
      <c r="X77" s="49">
        <f t="shared" si="213"/>
        <v>950</v>
      </c>
      <c r="Y77" s="50"/>
      <c r="Z77" s="50">
        <f>635+125</f>
        <v>760</v>
      </c>
      <c r="AA77" s="50">
        <f t="shared" si="221"/>
        <v>190</v>
      </c>
      <c r="AB77" s="51">
        <f t="shared" si="222"/>
        <v>0.31006689285230532</v>
      </c>
      <c r="AC77" s="50">
        <f t="shared" si="234"/>
        <v>8934</v>
      </c>
      <c r="AD77" s="51">
        <f t="shared" si="235"/>
        <v>0.28118626865538232</v>
      </c>
      <c r="AE77" s="1047"/>
      <c r="AF77" s="40">
        <f t="shared" si="214"/>
        <v>765</v>
      </c>
      <c r="AG77" s="41"/>
      <c r="AH77" s="41">
        <v>686</v>
      </c>
      <c r="AI77" s="41">
        <f t="shared" si="223"/>
        <v>79</v>
      </c>
      <c r="AJ77" s="42">
        <f t="shared" si="224"/>
        <v>0.12892255018595855</v>
      </c>
      <c r="AK77" s="41">
        <f t="shared" si="236"/>
        <v>3980</v>
      </c>
      <c r="AL77" s="42">
        <f t="shared" si="237"/>
        <v>0.1252654297345446</v>
      </c>
      <c r="AM77" s="1058"/>
      <c r="AN77" s="67">
        <v>3.9</v>
      </c>
      <c r="AO77" s="67">
        <v>24</v>
      </c>
      <c r="AP77" s="68">
        <f t="shared" si="192"/>
        <v>46.523879999999998</v>
      </c>
      <c r="AQ77" s="68">
        <f t="shared" si="193"/>
        <v>6.2782382454786143</v>
      </c>
      <c r="AR77" s="69">
        <f t="shared" si="194"/>
        <v>3137.9760600000004</v>
      </c>
      <c r="AS77" s="140">
        <f t="shared" si="195"/>
        <v>7.8009187852032236</v>
      </c>
      <c r="AT77" s="1073"/>
      <c r="AU77" s="71">
        <v>2.7</v>
      </c>
      <c r="AV77" s="71">
        <v>12</v>
      </c>
      <c r="AW77" s="72">
        <f t="shared" si="196"/>
        <v>16.742052000000005</v>
      </c>
      <c r="AX77" s="72">
        <f t="shared" si="197"/>
        <v>2.2592825700305252</v>
      </c>
      <c r="AY77" s="73">
        <f t="shared" si="198"/>
        <v>1003.5930060000005</v>
      </c>
      <c r="AZ77" s="192">
        <f t="shared" si="199"/>
        <v>2.4949035249185343</v>
      </c>
      <c r="BA77" s="1075"/>
      <c r="BB77" s="90">
        <f t="shared" si="217"/>
        <v>28810</v>
      </c>
      <c r="BC77" s="59"/>
      <c r="BD77" s="56">
        <v>28810</v>
      </c>
      <c r="BE77" s="56"/>
      <c r="BF77" s="58">
        <f t="shared" si="229"/>
        <v>44652</v>
      </c>
      <c r="BG77" s="58">
        <f t="shared" si="230"/>
        <v>111.00359560961542</v>
      </c>
      <c r="BH77" s="1133"/>
      <c r="BI77" s="64">
        <f t="shared" si="89"/>
        <v>1560</v>
      </c>
      <c r="BJ77" s="64"/>
      <c r="BK77" s="64">
        <v>1104</v>
      </c>
      <c r="BL77" s="64">
        <f t="shared" si="225"/>
        <v>456</v>
      </c>
      <c r="BM77" s="65">
        <f t="shared" si="226"/>
        <v>0.74416054284553279</v>
      </c>
      <c r="BN77" s="64">
        <f t="shared" si="238"/>
        <v>7828</v>
      </c>
      <c r="BO77" s="65">
        <f t="shared" si="239"/>
        <v>0.24637632762864706</v>
      </c>
      <c r="BP77" s="1071"/>
      <c r="BQ77" s="77">
        <f t="shared" si="202"/>
        <v>42023</v>
      </c>
      <c r="BR77" s="35"/>
      <c r="BS77" s="35">
        <f>33023+9000</f>
        <v>42023</v>
      </c>
      <c r="BT77" s="35"/>
      <c r="BU77" s="74">
        <f t="shared" si="203"/>
        <v>190674</v>
      </c>
      <c r="BV77" s="74">
        <f t="shared" si="204"/>
        <v>474.01011352834831</v>
      </c>
      <c r="BW77" s="1098"/>
      <c r="BX77" s="295">
        <f t="shared" si="218"/>
        <v>600</v>
      </c>
      <c r="BY77" s="296"/>
      <c r="BZ77" s="296">
        <v>600</v>
      </c>
      <c r="CA77" s="296"/>
      <c r="CB77" s="297"/>
      <c r="CC77" s="296">
        <f t="shared" si="186"/>
        <v>5650</v>
      </c>
      <c r="CD77" s="297">
        <f t="shared" si="187"/>
        <v>0.17782655226135102</v>
      </c>
      <c r="CE77" s="1061"/>
    </row>
    <row r="78" spans="1:83">
      <c r="A78" s="30">
        <v>43660</v>
      </c>
      <c r="B78" s="265">
        <v>649043</v>
      </c>
      <c r="C78" s="1">
        <f t="shared" si="219"/>
        <v>32421576</v>
      </c>
      <c r="D78" s="91">
        <v>7917.9</v>
      </c>
      <c r="E78" s="93">
        <f t="shared" si="220"/>
        <v>410175.1399999999</v>
      </c>
      <c r="F78" s="243"/>
      <c r="G78" s="227"/>
      <c r="H78" s="240"/>
      <c r="I78" s="240"/>
      <c r="J78" s="280"/>
      <c r="K78" s="240">
        <f t="shared" si="231"/>
        <v>866470</v>
      </c>
      <c r="L78" s="280">
        <f t="shared" si="232"/>
        <v>26.725104294744956</v>
      </c>
      <c r="M78" s="280">
        <f t="shared" si="233"/>
        <v>3.2723281859611797</v>
      </c>
      <c r="N78" s="1089"/>
      <c r="O78" s="1084"/>
      <c r="P78" s="77">
        <f t="shared" si="189"/>
        <v>11318</v>
      </c>
      <c r="Q78" s="35"/>
      <c r="R78" s="35">
        <v>8445</v>
      </c>
      <c r="S78" s="35">
        <f>P78+Q78-R78</f>
        <v>2873</v>
      </c>
      <c r="T78" s="36">
        <f>1000*S78/B78</f>
        <v>4.426517195316797</v>
      </c>
      <c r="U78" s="74">
        <f t="shared" si="227"/>
        <v>48303</v>
      </c>
      <c r="V78" s="36">
        <f t="shared" si="228"/>
        <v>1.4898412094464502</v>
      </c>
      <c r="W78" s="1136"/>
      <c r="X78" s="49">
        <f t="shared" si="213"/>
        <v>760</v>
      </c>
      <c r="Y78" s="50"/>
      <c r="Z78" s="50">
        <f>476+60</f>
        <v>536</v>
      </c>
      <c r="AA78" s="50">
        <f t="shared" si="221"/>
        <v>224</v>
      </c>
      <c r="AB78" s="51">
        <f t="shared" si="222"/>
        <v>0.34512351261780805</v>
      </c>
      <c r="AC78" s="50">
        <f t="shared" si="234"/>
        <v>9158</v>
      </c>
      <c r="AD78" s="51">
        <f t="shared" si="235"/>
        <v>0.28246621940895161</v>
      </c>
      <c r="AE78" s="1047"/>
      <c r="AF78" s="40">
        <f t="shared" si="214"/>
        <v>686</v>
      </c>
      <c r="AG78" s="41"/>
      <c r="AH78" s="41">
        <v>587</v>
      </c>
      <c r="AI78" s="41">
        <f t="shared" si="223"/>
        <v>99</v>
      </c>
      <c r="AJ78" s="42">
        <f t="shared" si="224"/>
        <v>0.1525322667373348</v>
      </c>
      <c r="AK78" s="41">
        <f t="shared" si="236"/>
        <v>4079</v>
      </c>
      <c r="AL78" s="42">
        <f t="shared" si="237"/>
        <v>0.12581128073477982</v>
      </c>
      <c r="AM78" s="1058"/>
      <c r="AN78" s="67">
        <v>4.4000000000000004</v>
      </c>
      <c r="AO78" s="67">
        <v>24</v>
      </c>
      <c r="AP78" s="68">
        <f t="shared" si="192"/>
        <v>52.488480000000003</v>
      </c>
      <c r="AQ78" s="68">
        <f t="shared" si="193"/>
        <v>6.6290910468684885</v>
      </c>
      <c r="AR78" s="69">
        <f t="shared" si="194"/>
        <v>3190.4645400000004</v>
      </c>
      <c r="AS78" s="140">
        <f t="shared" si="195"/>
        <v>7.7782981679484555</v>
      </c>
      <c r="AT78" s="1073"/>
      <c r="AU78" s="71">
        <v>2.8</v>
      </c>
      <c r="AV78" s="71">
        <v>12</v>
      </c>
      <c r="AW78" s="72">
        <f t="shared" si="196"/>
        <v>17.362127999999998</v>
      </c>
      <c r="AX78" s="72">
        <f t="shared" si="197"/>
        <v>2.1927692948887958</v>
      </c>
      <c r="AY78" s="73">
        <f t="shared" si="198"/>
        <v>1020.9551340000005</v>
      </c>
      <c r="AZ78" s="192">
        <f t="shared" si="199"/>
        <v>2.4890712147986367</v>
      </c>
      <c r="BA78" s="1075"/>
      <c r="BB78" s="90">
        <f t="shared" si="217"/>
        <v>28810</v>
      </c>
      <c r="BC78" s="59"/>
      <c r="BD78" s="56">
        <v>28810</v>
      </c>
      <c r="BE78" s="56"/>
      <c r="BF78" s="58">
        <f t="shared" si="229"/>
        <v>44652</v>
      </c>
      <c r="BG78" s="58">
        <f t="shared" si="230"/>
        <v>108.86081491920747</v>
      </c>
      <c r="BH78" s="1133"/>
      <c r="BI78" s="64">
        <f t="shared" si="89"/>
        <v>1104</v>
      </c>
      <c r="BJ78" s="64"/>
      <c r="BK78" s="64">
        <v>948</v>
      </c>
      <c r="BL78" s="64">
        <f t="shared" si="225"/>
        <v>156</v>
      </c>
      <c r="BM78" s="65">
        <f t="shared" si="226"/>
        <v>0.24035387485883061</v>
      </c>
      <c r="BN78" s="64">
        <f t="shared" si="238"/>
        <v>7984</v>
      </c>
      <c r="BO78" s="65">
        <f t="shared" si="239"/>
        <v>0.24625576498810545</v>
      </c>
      <c r="BP78" s="1071"/>
      <c r="BQ78" s="77">
        <f t="shared" si="202"/>
        <v>42023</v>
      </c>
      <c r="BR78" s="35"/>
      <c r="BS78" s="35">
        <f>32099+9000</f>
        <v>41099</v>
      </c>
      <c r="BT78" s="35">
        <f t="shared" ref="BT78:BT94" si="240">BQ78-BS78+BR78</f>
        <v>924</v>
      </c>
      <c r="BU78" s="74">
        <f t="shared" ref="BU78:BU106" si="241">BU77+BT78</f>
        <v>191598</v>
      </c>
      <c r="BV78" s="74">
        <f t="shared" ref="BV78:BV94" si="242">BU78*1000/E78</f>
        <v>467.11265826593012</v>
      </c>
      <c r="BW78" s="1098"/>
      <c r="BX78" s="295">
        <f t="shared" si="218"/>
        <v>600</v>
      </c>
      <c r="BY78" s="296"/>
      <c r="BZ78" s="296">
        <v>600</v>
      </c>
      <c r="CA78" s="296"/>
      <c r="CB78" s="297"/>
      <c r="CC78" s="296">
        <f t="shared" si="186"/>
        <v>5650</v>
      </c>
      <c r="CD78" s="297">
        <f t="shared" si="187"/>
        <v>0.1742666673575646</v>
      </c>
      <c r="CE78" s="1061"/>
    </row>
    <row r="79" spans="1:83">
      <c r="A79" s="30">
        <v>43661</v>
      </c>
      <c r="B79" s="265">
        <v>662047</v>
      </c>
      <c r="C79" s="1">
        <f t="shared" si="219"/>
        <v>33083623</v>
      </c>
      <c r="D79" s="91">
        <v>7396.34</v>
      </c>
      <c r="E79" s="93">
        <f t="shared" si="220"/>
        <v>417571.47999999992</v>
      </c>
      <c r="F79" s="243"/>
      <c r="G79" s="321">
        <v>32190</v>
      </c>
      <c r="H79" s="240">
        <v>23200</v>
      </c>
      <c r="I79" s="240">
        <f t="shared" ref="I79:I85" si="243">F79+G79-H79</f>
        <v>8990</v>
      </c>
      <c r="J79" s="280">
        <f t="shared" ref="J79:J88" si="244">I79*1000/B79</f>
        <v>13.579096348144468</v>
      </c>
      <c r="K79" s="240">
        <f t="shared" si="231"/>
        <v>875460</v>
      </c>
      <c r="L79" s="280">
        <f t="shared" si="232"/>
        <v>26.46203530973618</v>
      </c>
      <c r="M79" s="280">
        <f t="shared" si="233"/>
        <v>3.2401169719280252</v>
      </c>
      <c r="N79" s="1089"/>
      <c r="O79" s="1084"/>
      <c r="P79" s="77">
        <f t="shared" si="189"/>
        <v>8445</v>
      </c>
      <c r="Q79" s="35"/>
      <c r="R79" s="35">
        <v>6200</v>
      </c>
      <c r="S79" s="35">
        <f>P79+Q79-R79</f>
        <v>2245</v>
      </c>
      <c r="T79" s="36">
        <f>1000*S79/B79</f>
        <v>3.3909979200872447</v>
      </c>
      <c r="U79" s="74">
        <f t="shared" ref="U79:U97" si="245">U78+S79</f>
        <v>50548</v>
      </c>
      <c r="V79" s="36">
        <f t="shared" ref="V79:V97" si="246">1000*U79/C79</f>
        <v>1.5278858666718576</v>
      </c>
      <c r="W79" s="1136"/>
      <c r="X79" s="49">
        <f t="shared" si="213"/>
        <v>536</v>
      </c>
      <c r="Y79" s="50"/>
      <c r="Z79" s="50">
        <f>357+80</f>
        <v>437</v>
      </c>
      <c r="AA79" s="50">
        <f t="shared" si="221"/>
        <v>99</v>
      </c>
      <c r="AB79" s="51">
        <f t="shared" si="222"/>
        <v>0.14953621117533952</v>
      </c>
      <c r="AC79" s="50">
        <f t="shared" si="234"/>
        <v>9257</v>
      </c>
      <c r="AD79" s="51">
        <f t="shared" si="235"/>
        <v>0.27980611434243463</v>
      </c>
      <c r="AE79" s="1047"/>
      <c r="AF79" s="40">
        <f t="shared" si="214"/>
        <v>587</v>
      </c>
      <c r="AG79" s="41"/>
      <c r="AH79" s="41">
        <v>490</v>
      </c>
      <c r="AI79" s="41">
        <f t="shared" si="223"/>
        <v>97</v>
      </c>
      <c r="AJ79" s="42">
        <f t="shared" si="224"/>
        <v>0.14651527761624175</v>
      </c>
      <c r="AK79" s="41">
        <f t="shared" si="236"/>
        <v>4176</v>
      </c>
      <c r="AL79" s="42">
        <f t="shared" si="237"/>
        <v>0.12622559506254802</v>
      </c>
      <c r="AM79" s="1058"/>
      <c r="AN79" s="67">
        <v>4.2</v>
      </c>
      <c r="AO79" s="67">
        <v>24</v>
      </c>
      <c r="AP79" s="68">
        <f t="shared" ref="AP79:AP88" si="247">AN79*AO79*0.49705</f>
        <v>50.102640000000008</v>
      </c>
      <c r="AQ79" s="68">
        <f t="shared" ref="AQ79:AQ88" si="248">AP79*1000/D79</f>
        <v>6.7739773996327921</v>
      </c>
      <c r="AR79" s="69">
        <f t="shared" ref="AR79:AR88" si="249">AR78+AP79</f>
        <v>3240.5671800000005</v>
      </c>
      <c r="AS79" s="140">
        <f t="shared" ref="AS79:AS88" si="250">AR79*1000/E79</f>
        <v>7.760508883413209</v>
      </c>
      <c r="AT79" s="1073"/>
      <c r="AU79" s="71">
        <v>2.9</v>
      </c>
      <c r="AV79" s="71">
        <v>12</v>
      </c>
      <c r="AW79" s="72">
        <f t="shared" ref="AW79:AW88" si="251">AU79*AV79*0.51673</f>
        <v>17.982203999999999</v>
      </c>
      <c r="AX79" s="72">
        <f t="shared" ref="AX79:AX88" si="252">AW79*1000/D79</f>
        <v>2.4312300408039649</v>
      </c>
      <c r="AY79" s="73">
        <f t="shared" ref="AY79:AY88" si="253">AY78+AW79</f>
        <v>1038.9373380000004</v>
      </c>
      <c r="AZ79" s="192">
        <f t="shared" ref="AZ79:AZ88" si="254">AY79*1000/E79</f>
        <v>2.4880466884376315</v>
      </c>
      <c r="BA79" s="1075"/>
      <c r="BB79" s="90">
        <f t="shared" si="217"/>
        <v>28810</v>
      </c>
      <c r="BC79" s="59"/>
      <c r="BD79" s="56">
        <v>28810</v>
      </c>
      <c r="BE79" s="56"/>
      <c r="BF79" s="58">
        <f t="shared" si="229"/>
        <v>44652</v>
      </c>
      <c r="BG79" s="58">
        <f t="shared" si="230"/>
        <v>106.93259031962626</v>
      </c>
      <c r="BH79" s="1133"/>
      <c r="BI79" s="64">
        <f t="shared" si="89"/>
        <v>948</v>
      </c>
      <c r="BJ79" s="64"/>
      <c r="BK79" s="64">
        <v>780</v>
      </c>
      <c r="BL79" s="64">
        <f t="shared" si="225"/>
        <v>168</v>
      </c>
      <c r="BM79" s="65">
        <f t="shared" si="226"/>
        <v>0.25375841896421253</v>
      </c>
      <c r="BN79" s="64">
        <f t="shared" si="238"/>
        <v>8152</v>
      </c>
      <c r="BO79" s="65">
        <f t="shared" si="239"/>
        <v>0.24640590300524221</v>
      </c>
      <c r="BP79" s="1071"/>
      <c r="BQ79" s="77">
        <f t="shared" si="202"/>
        <v>41099</v>
      </c>
      <c r="BR79" s="35"/>
      <c r="BS79" s="35">
        <f>27478+9000</f>
        <v>36478</v>
      </c>
      <c r="BT79" s="35">
        <f t="shared" si="240"/>
        <v>4621</v>
      </c>
      <c r="BU79" s="74">
        <f t="shared" si="241"/>
        <v>196219</v>
      </c>
      <c r="BV79" s="74">
        <f t="shared" si="242"/>
        <v>469.90517647421717</v>
      </c>
      <c r="BW79" s="1098"/>
      <c r="BX79" s="295">
        <f t="shared" si="218"/>
        <v>600</v>
      </c>
      <c r="BY79" s="296"/>
      <c r="BZ79" s="296">
        <v>600</v>
      </c>
      <c r="CA79" s="296"/>
      <c r="CB79" s="297"/>
      <c r="CC79" s="296">
        <f t="shared" si="186"/>
        <v>5650</v>
      </c>
      <c r="CD79" s="297">
        <f t="shared" si="187"/>
        <v>0.17077936113587075</v>
      </c>
      <c r="CE79" s="1061"/>
    </row>
    <row r="80" spans="1:83">
      <c r="A80" s="30">
        <v>43662</v>
      </c>
      <c r="B80" s="265">
        <v>653279</v>
      </c>
      <c r="C80" s="1">
        <f t="shared" si="219"/>
        <v>33736902</v>
      </c>
      <c r="D80" s="91">
        <v>8030.1</v>
      </c>
      <c r="E80" s="93">
        <f t="shared" si="220"/>
        <v>425601.5799999999</v>
      </c>
      <c r="F80" s="243">
        <f t="shared" si="209"/>
        <v>23200</v>
      </c>
      <c r="G80" s="321">
        <v>31100</v>
      </c>
      <c r="H80" s="240">
        <v>28200</v>
      </c>
      <c r="I80" s="240">
        <f t="shared" si="243"/>
        <v>26100</v>
      </c>
      <c r="J80" s="280">
        <f t="shared" si="244"/>
        <v>39.952302155740504</v>
      </c>
      <c r="K80" s="240">
        <f t="shared" si="231"/>
        <v>901560</v>
      </c>
      <c r="L80" s="280">
        <f t="shared" si="232"/>
        <v>26.723259889126748</v>
      </c>
      <c r="M80" s="280">
        <f t="shared" si="233"/>
        <v>3.2721023495930877</v>
      </c>
      <c r="N80" s="1089"/>
      <c r="O80" s="1084"/>
      <c r="P80" s="77">
        <f t="shared" si="189"/>
        <v>6200</v>
      </c>
      <c r="Q80" s="35"/>
      <c r="R80" s="35">
        <v>6200</v>
      </c>
      <c r="S80" s="35"/>
      <c r="T80" s="36"/>
      <c r="U80" s="74">
        <f t="shared" si="245"/>
        <v>50548</v>
      </c>
      <c r="V80" s="36">
        <f t="shared" si="246"/>
        <v>1.4982999920976738</v>
      </c>
      <c r="W80" s="1136"/>
      <c r="X80" s="49">
        <f t="shared" si="213"/>
        <v>437</v>
      </c>
      <c r="Y80" s="50"/>
      <c r="Z80" s="50">
        <f>108+80</f>
        <v>188</v>
      </c>
      <c r="AA80" s="50">
        <f t="shared" si="221"/>
        <v>249</v>
      </c>
      <c r="AB80" s="51">
        <f t="shared" si="222"/>
        <v>0.38115414700304157</v>
      </c>
      <c r="AC80" s="50">
        <f t="shared" si="234"/>
        <v>9506</v>
      </c>
      <c r="AD80" s="51">
        <f t="shared" si="235"/>
        <v>0.28176861052624214</v>
      </c>
      <c r="AE80" s="1047"/>
      <c r="AF80" s="40">
        <f t="shared" si="214"/>
        <v>490</v>
      </c>
      <c r="AG80" s="41"/>
      <c r="AH80" s="41">
        <v>396</v>
      </c>
      <c r="AI80" s="41">
        <f t="shared" si="223"/>
        <v>94</v>
      </c>
      <c r="AJ80" s="42">
        <f t="shared" si="224"/>
        <v>0.14388951734251368</v>
      </c>
      <c r="AK80" s="41">
        <f t="shared" si="236"/>
        <v>4270</v>
      </c>
      <c r="AL80" s="42">
        <f t="shared" si="237"/>
        <v>0.1265676380125241</v>
      </c>
      <c r="AM80" s="1058"/>
      <c r="AN80" s="67">
        <v>4.7</v>
      </c>
      <c r="AO80" s="67">
        <v>24</v>
      </c>
      <c r="AP80" s="68">
        <f t="shared" si="247"/>
        <v>56.067240000000005</v>
      </c>
      <c r="AQ80" s="68">
        <f t="shared" si="248"/>
        <v>6.9821347181230626</v>
      </c>
      <c r="AR80" s="69">
        <f t="shared" si="249"/>
        <v>3296.6344200000003</v>
      </c>
      <c r="AS80" s="140">
        <f t="shared" si="250"/>
        <v>7.7458227951127467</v>
      </c>
      <c r="AT80" s="1073"/>
      <c r="AU80" s="216">
        <v>3</v>
      </c>
      <c r="AV80" s="71">
        <v>12</v>
      </c>
      <c r="AW80" s="72">
        <f t="shared" si="251"/>
        <v>18.60228</v>
      </c>
      <c r="AX80" s="72">
        <f t="shared" si="252"/>
        <v>2.3165689094780886</v>
      </c>
      <c r="AY80" s="73">
        <f t="shared" si="253"/>
        <v>1057.5396180000005</v>
      </c>
      <c r="AZ80" s="192">
        <f t="shared" si="254"/>
        <v>2.4848113063865993</v>
      </c>
      <c r="BA80" s="1075"/>
      <c r="BB80" s="90">
        <f t="shared" si="217"/>
        <v>28810</v>
      </c>
      <c r="BC80" s="59"/>
      <c r="BD80" s="56">
        <v>28810</v>
      </c>
      <c r="BE80" s="56"/>
      <c r="BF80" s="58">
        <f t="shared" si="229"/>
        <v>44652</v>
      </c>
      <c r="BG80" s="58">
        <f t="shared" si="230"/>
        <v>104.91502404666828</v>
      </c>
      <c r="BH80" s="1133"/>
      <c r="BI80" s="64">
        <f t="shared" si="89"/>
        <v>780</v>
      </c>
      <c r="BJ80" s="64"/>
      <c r="BK80" s="64">
        <v>672</v>
      </c>
      <c r="BL80" s="64">
        <f t="shared" si="225"/>
        <v>108</v>
      </c>
      <c r="BM80" s="65">
        <f t="shared" si="226"/>
        <v>0.16531987098927103</v>
      </c>
      <c r="BN80" s="64">
        <f t="shared" si="238"/>
        <v>8260</v>
      </c>
      <c r="BO80" s="65">
        <f t="shared" si="239"/>
        <v>0.24483575877832528</v>
      </c>
      <c r="BP80" s="1071"/>
      <c r="BQ80" s="77">
        <f t="shared" si="202"/>
        <v>36478</v>
      </c>
      <c r="BR80" s="35"/>
      <c r="BS80" s="35">
        <f>22857+9000</f>
        <v>31857</v>
      </c>
      <c r="BT80" s="35">
        <f t="shared" si="240"/>
        <v>4621</v>
      </c>
      <c r="BU80" s="74">
        <f t="shared" si="241"/>
        <v>200840</v>
      </c>
      <c r="BV80" s="74">
        <f t="shared" si="242"/>
        <v>471.89674436828932</v>
      </c>
      <c r="BW80" s="1098"/>
      <c r="BX80" s="295">
        <f t="shared" si="218"/>
        <v>600</v>
      </c>
      <c r="BY80" s="296"/>
      <c r="BZ80" s="296">
        <v>600</v>
      </c>
      <c r="CA80" s="296"/>
      <c r="CB80" s="297"/>
      <c r="CC80" s="296">
        <f t="shared" si="186"/>
        <v>5650</v>
      </c>
      <c r="CD80" s="297">
        <f t="shared" si="187"/>
        <v>0.16747240158565835</v>
      </c>
      <c r="CE80" s="1061"/>
    </row>
    <row r="81" spans="1:83">
      <c r="A81" s="30">
        <v>43663</v>
      </c>
      <c r="B81" s="265">
        <v>651454</v>
      </c>
      <c r="C81" s="114">
        <f>C80+B81</f>
        <v>34388356</v>
      </c>
      <c r="D81" s="91">
        <v>7818.16</v>
      </c>
      <c r="E81" s="93">
        <f t="shared" si="220"/>
        <v>433419.73999999987</v>
      </c>
      <c r="F81" s="243">
        <f t="shared" si="209"/>
        <v>28200</v>
      </c>
      <c r="G81" s="227"/>
      <c r="H81" s="240">
        <v>3500</v>
      </c>
      <c r="I81" s="240">
        <f t="shared" si="243"/>
        <v>24700</v>
      </c>
      <c r="J81" s="280">
        <f t="shared" si="244"/>
        <v>37.915186644030122</v>
      </c>
      <c r="K81" s="240">
        <f t="shared" si="231"/>
        <v>926260</v>
      </c>
      <c r="L81" s="280">
        <f t="shared" si="232"/>
        <v>26.93528006980037</v>
      </c>
      <c r="M81" s="280">
        <f t="shared" si="233"/>
        <v>3.2980629447533207</v>
      </c>
      <c r="N81" s="1089"/>
      <c r="O81" s="1084"/>
      <c r="P81" s="77">
        <f t="shared" si="189"/>
        <v>6200</v>
      </c>
      <c r="Q81" s="35"/>
      <c r="R81" s="35">
        <v>6200</v>
      </c>
      <c r="S81" s="35"/>
      <c r="T81" s="36"/>
      <c r="U81" s="74">
        <f t="shared" si="245"/>
        <v>50548</v>
      </c>
      <c r="V81" s="36">
        <f t="shared" si="246"/>
        <v>1.4699161541773036</v>
      </c>
      <c r="W81" s="1136"/>
      <c r="X81" s="49">
        <f t="shared" si="213"/>
        <v>188</v>
      </c>
      <c r="Y81" s="50">
        <v>900</v>
      </c>
      <c r="Z81" s="50">
        <f>886+75</f>
        <v>961</v>
      </c>
      <c r="AA81" s="50">
        <f t="shared" si="221"/>
        <v>127</v>
      </c>
      <c r="AB81" s="51">
        <f t="shared" si="222"/>
        <v>0.19494853051788769</v>
      </c>
      <c r="AC81" s="50">
        <f t="shared" si="234"/>
        <v>9633</v>
      </c>
      <c r="AD81" s="51">
        <f t="shared" si="235"/>
        <v>0.28012388844642644</v>
      </c>
      <c r="AE81" s="1047"/>
      <c r="AF81" s="40">
        <f t="shared" si="214"/>
        <v>396</v>
      </c>
      <c r="AG81" s="41"/>
      <c r="AH81" s="41">
        <v>290</v>
      </c>
      <c r="AI81" s="41">
        <f t="shared" si="223"/>
        <v>106</v>
      </c>
      <c r="AJ81" s="42">
        <f t="shared" si="224"/>
        <v>0.1627129467314653</v>
      </c>
      <c r="AK81" s="41">
        <f t="shared" si="236"/>
        <v>4376</v>
      </c>
      <c r="AL81" s="42">
        <f t="shared" si="237"/>
        <v>0.12725237577510248</v>
      </c>
      <c r="AM81" s="1058"/>
      <c r="AN81" s="67">
        <v>4.2</v>
      </c>
      <c r="AO81" s="67">
        <v>24</v>
      </c>
      <c r="AP81" s="68">
        <f t="shared" si="247"/>
        <v>50.102640000000008</v>
      </c>
      <c r="AQ81" s="68">
        <f t="shared" si="248"/>
        <v>6.4084950934746807</v>
      </c>
      <c r="AR81" s="69">
        <f t="shared" si="249"/>
        <v>3346.7370600000004</v>
      </c>
      <c r="AS81" s="140">
        <f t="shared" si="250"/>
        <v>7.7216996623181062</v>
      </c>
      <c r="AT81" s="1073"/>
      <c r="AU81" s="71">
        <v>2.8</v>
      </c>
      <c r="AV81" s="71">
        <v>12</v>
      </c>
      <c r="AW81" s="72">
        <f t="shared" si="251"/>
        <v>17.362127999999998</v>
      </c>
      <c r="AX81" s="72">
        <f t="shared" si="252"/>
        <v>2.2207434997493012</v>
      </c>
      <c r="AY81" s="73">
        <f t="shared" si="253"/>
        <v>1074.9017460000005</v>
      </c>
      <c r="AZ81" s="192">
        <f t="shared" si="254"/>
        <v>2.4800479692041733</v>
      </c>
      <c r="BA81" s="1075"/>
      <c r="BB81" s="90">
        <f t="shared" si="217"/>
        <v>28810</v>
      </c>
      <c r="BC81" s="59"/>
      <c r="BD81" s="56">
        <v>28810</v>
      </c>
      <c r="BE81" s="56"/>
      <c r="BF81" s="58">
        <f t="shared" si="229"/>
        <v>44652</v>
      </c>
      <c r="BG81" s="58">
        <f t="shared" si="230"/>
        <v>103.02253422975154</v>
      </c>
      <c r="BH81" s="1133"/>
      <c r="BI81" s="64">
        <f t="shared" si="89"/>
        <v>672</v>
      </c>
      <c r="BJ81" s="64"/>
      <c r="BK81" s="64">
        <v>516</v>
      </c>
      <c r="BL81" s="64">
        <f t="shared" si="225"/>
        <v>156</v>
      </c>
      <c r="BM81" s="65">
        <f t="shared" si="226"/>
        <v>0.23946433669913761</v>
      </c>
      <c r="BN81" s="64">
        <f t="shared" si="238"/>
        <v>8416</v>
      </c>
      <c r="BO81" s="65">
        <f t="shared" si="239"/>
        <v>0.24473400240476748</v>
      </c>
      <c r="BP81" s="1071"/>
      <c r="BQ81" s="77">
        <f t="shared" si="202"/>
        <v>31857</v>
      </c>
      <c r="BR81" s="35"/>
      <c r="BS81" s="35">
        <f>27478+4000</f>
        <v>31478</v>
      </c>
      <c r="BT81" s="35">
        <f t="shared" si="240"/>
        <v>379</v>
      </c>
      <c r="BU81" s="74">
        <f t="shared" si="241"/>
        <v>201219</v>
      </c>
      <c r="BV81" s="74">
        <f t="shared" si="242"/>
        <v>464.25896522387296</v>
      </c>
      <c r="BW81" s="1098"/>
      <c r="BX81" s="295">
        <f t="shared" si="218"/>
        <v>600</v>
      </c>
      <c r="BY81" s="296"/>
      <c r="BZ81" s="296">
        <v>600</v>
      </c>
      <c r="CA81" s="296"/>
      <c r="CB81" s="297"/>
      <c r="CC81" s="296">
        <f t="shared" si="186"/>
        <v>5650</v>
      </c>
      <c r="CD81" s="297">
        <f t="shared" si="187"/>
        <v>0.16429979961821961</v>
      </c>
      <c r="CE81" s="1061"/>
    </row>
    <row r="82" spans="1:83">
      <c r="A82" s="30">
        <v>43664</v>
      </c>
      <c r="B82" s="265">
        <v>669374</v>
      </c>
      <c r="C82" s="1">
        <f t="shared" si="219"/>
        <v>35057730</v>
      </c>
      <c r="D82" s="91">
        <v>7762</v>
      </c>
      <c r="E82" s="93">
        <f t="shared" si="220"/>
        <v>441181.73999999987</v>
      </c>
      <c r="F82" s="243">
        <f t="shared" si="209"/>
        <v>3500</v>
      </c>
      <c r="G82" s="321">
        <f>22680</f>
        <v>22680</v>
      </c>
      <c r="H82" s="240">
        <v>31400</v>
      </c>
      <c r="I82" s="240">
        <f t="shared" si="243"/>
        <v>-5220</v>
      </c>
      <c r="J82" s="280">
        <f t="shared" si="244"/>
        <v>-7.7983309778987531</v>
      </c>
      <c r="K82" s="240">
        <f t="shared" si="231"/>
        <v>921040</v>
      </c>
      <c r="L82" s="280">
        <f t="shared" si="232"/>
        <v>26.272094627918008</v>
      </c>
      <c r="M82" s="280">
        <f t="shared" si="233"/>
        <v>3.2168598785255305</v>
      </c>
      <c r="N82" s="1089"/>
      <c r="O82" s="1084"/>
      <c r="P82" s="77">
        <f t="shared" si="189"/>
        <v>6200</v>
      </c>
      <c r="Q82" s="35"/>
      <c r="R82" s="35">
        <v>6200</v>
      </c>
      <c r="S82" s="35"/>
      <c r="T82" s="36"/>
      <c r="U82" s="74">
        <f t="shared" si="245"/>
        <v>50548</v>
      </c>
      <c r="V82" s="36">
        <f t="shared" si="246"/>
        <v>1.4418503422782936</v>
      </c>
      <c r="W82" s="1136"/>
      <c r="X82" s="49">
        <f t="shared" si="213"/>
        <v>961</v>
      </c>
      <c r="Y82" s="50"/>
      <c r="Z82" s="50">
        <f>743+62</f>
        <v>805</v>
      </c>
      <c r="AA82" s="50">
        <f t="shared" si="221"/>
        <v>156</v>
      </c>
      <c r="AB82" s="51">
        <f t="shared" si="222"/>
        <v>0.2330535694544455</v>
      </c>
      <c r="AC82" s="50">
        <f t="shared" si="234"/>
        <v>9789</v>
      </c>
      <c r="AD82" s="51">
        <f t="shared" si="235"/>
        <v>0.27922515234158057</v>
      </c>
      <c r="AE82" s="1047"/>
      <c r="AF82" s="40">
        <f t="shared" si="214"/>
        <v>290</v>
      </c>
      <c r="AG82" s="41"/>
      <c r="AH82" s="41">
        <v>208</v>
      </c>
      <c r="AI82" s="41">
        <f t="shared" si="223"/>
        <v>82</v>
      </c>
      <c r="AJ82" s="42">
        <f t="shared" si="224"/>
        <v>0.12250251727733674</v>
      </c>
      <c r="AK82" s="41">
        <f t="shared" si="236"/>
        <v>4458</v>
      </c>
      <c r="AL82" s="42">
        <f t="shared" si="237"/>
        <v>0.12716168445589604</v>
      </c>
      <c r="AM82" s="1058"/>
      <c r="AN82" s="67">
        <v>3.9</v>
      </c>
      <c r="AO82" s="67">
        <v>24</v>
      </c>
      <c r="AP82" s="68">
        <f t="shared" si="247"/>
        <v>46.523879999999998</v>
      </c>
      <c r="AQ82" s="68">
        <f t="shared" si="248"/>
        <v>5.99380056686421</v>
      </c>
      <c r="AR82" s="69">
        <f t="shared" si="249"/>
        <v>3393.2609400000006</v>
      </c>
      <c r="AS82" s="140">
        <f t="shared" si="250"/>
        <v>7.691299599117591</v>
      </c>
      <c r="AT82" s="1073"/>
      <c r="AU82" s="71">
        <v>2.8</v>
      </c>
      <c r="AV82" s="71">
        <v>12</v>
      </c>
      <c r="AW82" s="72">
        <f t="shared" si="251"/>
        <v>17.362127999999998</v>
      </c>
      <c r="AX82" s="72">
        <f t="shared" si="252"/>
        <v>2.2368111311517644</v>
      </c>
      <c r="AY82" s="73">
        <f t="shared" si="253"/>
        <v>1092.2638740000004</v>
      </c>
      <c r="AZ82" s="192">
        <f t="shared" si="254"/>
        <v>2.4757685438205144</v>
      </c>
      <c r="BA82" s="1075"/>
      <c r="BB82" s="90">
        <f t="shared" si="217"/>
        <v>28810</v>
      </c>
      <c r="BC82" s="59"/>
      <c r="BD82" s="56">
        <v>28810</v>
      </c>
      <c r="BE82" s="56"/>
      <c r="BF82" s="58">
        <f t="shared" si="229"/>
        <v>44652</v>
      </c>
      <c r="BG82" s="58">
        <f t="shared" si="230"/>
        <v>101.20999114786576</v>
      </c>
      <c r="BH82" s="1133"/>
      <c r="BI82" s="64">
        <f t="shared" si="89"/>
        <v>516</v>
      </c>
      <c r="BJ82" s="64"/>
      <c r="BK82" s="64">
        <v>372</v>
      </c>
      <c r="BL82" s="64">
        <f t="shared" si="225"/>
        <v>144</v>
      </c>
      <c r="BM82" s="65">
        <f t="shared" si="226"/>
        <v>0.21512637180410354</v>
      </c>
      <c r="BN82" s="64">
        <f t="shared" si="238"/>
        <v>8560</v>
      </c>
      <c r="BO82" s="65">
        <f t="shared" si="239"/>
        <v>0.24416868975829295</v>
      </c>
      <c r="BP82" s="1071"/>
      <c r="BQ82" s="77">
        <f t="shared" si="202"/>
        <v>31478</v>
      </c>
      <c r="BR82" s="35"/>
      <c r="BS82" s="35">
        <f>21933+4000</f>
        <v>25933</v>
      </c>
      <c r="BT82" s="35">
        <f t="shared" si="240"/>
        <v>5545</v>
      </c>
      <c r="BU82" s="74">
        <f t="shared" si="241"/>
        <v>206764</v>
      </c>
      <c r="BV82" s="74">
        <f t="shared" si="242"/>
        <v>468.6594689979691</v>
      </c>
      <c r="BW82" s="1098"/>
      <c r="BX82" s="295">
        <v>600</v>
      </c>
      <c r="BY82" s="296"/>
      <c r="BZ82" s="296">
        <v>600</v>
      </c>
      <c r="CA82" s="296"/>
      <c r="CB82" s="297"/>
      <c r="CC82" s="296">
        <f t="shared" si="186"/>
        <v>5650</v>
      </c>
      <c r="CD82" s="297">
        <f t="shared" si="187"/>
        <v>0.16116274499233121</v>
      </c>
      <c r="CE82" s="1061"/>
    </row>
    <row r="83" spans="1:83">
      <c r="A83" s="30">
        <v>43665</v>
      </c>
      <c r="B83" s="265">
        <v>675601</v>
      </c>
      <c r="C83" s="1">
        <f t="shared" si="219"/>
        <v>35733331</v>
      </c>
      <c r="D83" s="91">
        <v>7468.02</v>
      </c>
      <c r="E83" s="93">
        <f t="shared" si="220"/>
        <v>448649.75999999989</v>
      </c>
      <c r="F83" s="243">
        <f t="shared" si="209"/>
        <v>31400</v>
      </c>
      <c r="G83" s="227"/>
      <c r="H83" s="240">
        <v>2500</v>
      </c>
      <c r="I83" s="240">
        <f t="shared" si="243"/>
        <v>28900</v>
      </c>
      <c r="J83" s="280">
        <f t="shared" si="244"/>
        <v>42.776727683943626</v>
      </c>
      <c r="K83" s="240">
        <f t="shared" si="231"/>
        <v>949940</v>
      </c>
      <c r="L83" s="280">
        <f t="shared" si="232"/>
        <v>26.584143526949671</v>
      </c>
      <c r="M83" s="280">
        <f t="shared" si="233"/>
        <v>3.2550683882637039</v>
      </c>
      <c r="N83" s="1089"/>
      <c r="O83" s="1084"/>
      <c r="P83" s="77">
        <f t="shared" si="189"/>
        <v>6200</v>
      </c>
      <c r="Q83" s="35"/>
      <c r="R83" s="35">
        <v>6006</v>
      </c>
      <c r="S83" s="35">
        <f>P83+Q83-R83</f>
        <v>194</v>
      </c>
      <c r="T83" s="36">
        <f>1000*S83/B83</f>
        <v>0.28715173600986382</v>
      </c>
      <c r="U83" s="74">
        <f t="shared" si="245"/>
        <v>50742</v>
      </c>
      <c r="V83" s="36">
        <f t="shared" si="246"/>
        <v>1.4200187494415228</v>
      </c>
      <c r="W83" s="1136"/>
      <c r="X83" s="49">
        <f t="shared" si="213"/>
        <v>805</v>
      </c>
      <c r="Y83" s="50"/>
      <c r="Z83" s="50">
        <f>546+105</f>
        <v>651</v>
      </c>
      <c r="AA83" s="50">
        <f t="shared" si="221"/>
        <v>154</v>
      </c>
      <c r="AB83" s="51">
        <f t="shared" si="222"/>
        <v>0.22794519250267539</v>
      </c>
      <c r="AC83" s="50">
        <f t="shared" si="234"/>
        <v>9943</v>
      </c>
      <c r="AD83" s="51">
        <f t="shared" si="235"/>
        <v>0.27825561518460173</v>
      </c>
      <c r="AE83" s="1047"/>
      <c r="AF83" s="40">
        <f t="shared" si="214"/>
        <v>208</v>
      </c>
      <c r="AG83" s="41"/>
      <c r="AH83" s="41">
        <v>134</v>
      </c>
      <c r="AI83" s="41">
        <f t="shared" si="223"/>
        <v>74</v>
      </c>
      <c r="AJ83" s="42">
        <f t="shared" si="224"/>
        <v>0.10953210548829857</v>
      </c>
      <c r="AK83" s="41">
        <f t="shared" si="236"/>
        <v>4532</v>
      </c>
      <c r="AL83" s="42">
        <f t="shared" si="237"/>
        <v>0.12682836649065826</v>
      </c>
      <c r="AM83" s="1058"/>
      <c r="AN83" s="67">
        <v>4.2</v>
      </c>
      <c r="AO83" s="67">
        <v>24</v>
      </c>
      <c r="AP83" s="68">
        <f t="shared" si="247"/>
        <v>50.102640000000008</v>
      </c>
      <c r="AQ83" s="68">
        <f t="shared" si="248"/>
        <v>6.7089590011810367</v>
      </c>
      <c r="AR83" s="69">
        <f t="shared" si="249"/>
        <v>3443.3635800000006</v>
      </c>
      <c r="AS83" s="140">
        <f t="shared" si="250"/>
        <v>7.6749480039842242</v>
      </c>
      <c r="AT83" s="1073"/>
      <c r="AU83" s="71">
        <v>2.6</v>
      </c>
      <c r="AV83" s="71">
        <v>12</v>
      </c>
      <c r="AW83" s="72">
        <f t="shared" si="251"/>
        <v>16.121976000000004</v>
      </c>
      <c r="AX83" s="72">
        <f t="shared" si="252"/>
        <v>2.1588019314356419</v>
      </c>
      <c r="AY83" s="73">
        <f t="shared" si="253"/>
        <v>1108.3858500000003</v>
      </c>
      <c r="AZ83" s="192">
        <f t="shared" si="254"/>
        <v>2.4704924616475905</v>
      </c>
      <c r="BA83" s="1075"/>
      <c r="BB83" s="90">
        <f t="shared" si="217"/>
        <v>28810</v>
      </c>
      <c r="BC83" s="59"/>
      <c r="BD83" s="56">
        <v>28810</v>
      </c>
      <c r="BE83" s="56"/>
      <c r="BF83" s="58">
        <f t="shared" si="229"/>
        <v>44652</v>
      </c>
      <c r="BG83" s="58">
        <f t="shared" si="230"/>
        <v>99.525295633725534</v>
      </c>
      <c r="BH83" s="1133"/>
      <c r="BI83" s="64">
        <f t="shared" si="89"/>
        <v>372</v>
      </c>
      <c r="BJ83" s="64">
        <v>1100</v>
      </c>
      <c r="BK83" s="64">
        <v>1320</v>
      </c>
      <c r="BL83" s="64">
        <f t="shared" si="225"/>
        <v>152</v>
      </c>
      <c r="BM83" s="65">
        <f t="shared" si="226"/>
        <v>0.22498486532731599</v>
      </c>
      <c r="BN83" s="64">
        <f t="shared" si="238"/>
        <v>8712</v>
      </c>
      <c r="BO83" s="65">
        <f t="shared" si="239"/>
        <v>0.24380598606942072</v>
      </c>
      <c r="BP83" s="1071"/>
      <c r="BQ83" s="77">
        <f t="shared" si="202"/>
        <v>25933</v>
      </c>
      <c r="BR83" s="35"/>
      <c r="BS83" s="35">
        <f>21008+4000</f>
        <v>25008</v>
      </c>
      <c r="BT83" s="35">
        <f t="shared" si="240"/>
        <v>925</v>
      </c>
      <c r="BU83" s="74">
        <f t="shared" si="241"/>
        <v>207689</v>
      </c>
      <c r="BV83" s="74">
        <f t="shared" si="242"/>
        <v>462.92011835691176</v>
      </c>
      <c r="BW83" s="1098"/>
      <c r="BX83" s="295">
        <v>600</v>
      </c>
      <c r="BY83" s="296"/>
      <c r="BZ83" s="296">
        <v>600</v>
      </c>
      <c r="CA83" s="296"/>
      <c r="CB83" s="297"/>
      <c r="CC83" s="296">
        <f t="shared" si="186"/>
        <v>5650</v>
      </c>
      <c r="CD83" s="297">
        <f t="shared" si="187"/>
        <v>0.15811568196650908</v>
      </c>
      <c r="CE83" s="1061"/>
    </row>
    <row r="84" spans="1:83">
      <c r="A84" s="30">
        <v>43666</v>
      </c>
      <c r="B84" s="265">
        <v>668811</v>
      </c>
      <c r="C84" s="1">
        <f t="shared" si="219"/>
        <v>36402142</v>
      </c>
      <c r="D84" s="91">
        <v>7477.48</v>
      </c>
      <c r="E84" s="93">
        <f t="shared" si="220"/>
        <v>456127.23999999987</v>
      </c>
      <c r="F84" s="243">
        <f t="shared" si="209"/>
        <v>2500</v>
      </c>
      <c r="G84" s="321">
        <v>22500</v>
      </c>
      <c r="H84" s="240">
        <v>12500</v>
      </c>
      <c r="I84" s="240">
        <f t="shared" si="243"/>
        <v>12500</v>
      </c>
      <c r="J84" s="280">
        <f t="shared" si="244"/>
        <v>18.689883988152108</v>
      </c>
      <c r="K84" s="240">
        <f t="shared" si="231"/>
        <v>962440</v>
      </c>
      <c r="L84" s="280">
        <f t="shared" si="232"/>
        <v>26.439103501107159</v>
      </c>
      <c r="M84" s="280">
        <f t="shared" si="233"/>
        <v>3.2373091099678168</v>
      </c>
      <c r="N84" s="1089"/>
      <c r="O84" s="1084"/>
      <c r="P84" s="77">
        <f t="shared" si="189"/>
        <v>6006</v>
      </c>
      <c r="Q84" s="35">
        <v>32650</v>
      </c>
      <c r="R84" s="35">
        <v>38012</v>
      </c>
      <c r="S84" s="35">
        <f>P84+Q84-R84</f>
        <v>644</v>
      </c>
      <c r="T84" s="36">
        <f>1000*S84/B84</f>
        <v>0.96290282306959663</v>
      </c>
      <c r="U84" s="74">
        <f t="shared" si="245"/>
        <v>51386</v>
      </c>
      <c r="V84" s="36">
        <f t="shared" si="246"/>
        <v>1.4116202282821708</v>
      </c>
      <c r="W84" s="1136"/>
      <c r="X84" s="49">
        <f t="shared" si="213"/>
        <v>651</v>
      </c>
      <c r="Y84" s="50"/>
      <c r="Z84" s="50">
        <f>458+37</f>
        <v>495</v>
      </c>
      <c r="AA84" s="50">
        <f t="shared" si="221"/>
        <v>156</v>
      </c>
      <c r="AB84" s="51">
        <f t="shared" si="222"/>
        <v>0.23324975217213831</v>
      </c>
      <c r="AC84" s="50">
        <f t="shared" si="234"/>
        <v>10099</v>
      </c>
      <c r="AD84" s="51">
        <f t="shared" si="235"/>
        <v>0.27742872933136736</v>
      </c>
      <c r="AE84" s="1047"/>
      <c r="AF84" s="40">
        <f t="shared" si="214"/>
        <v>134</v>
      </c>
      <c r="AG84" s="41">
        <v>1000</v>
      </c>
      <c r="AH84" s="41">
        <v>1004</v>
      </c>
      <c r="AI84" s="41">
        <f t="shared" si="223"/>
        <v>130</v>
      </c>
      <c r="AJ84" s="42">
        <f t="shared" si="224"/>
        <v>0.19437479347678194</v>
      </c>
      <c r="AK84" s="41">
        <f t="shared" si="236"/>
        <v>4662</v>
      </c>
      <c r="AL84" s="42">
        <f t="shared" si="237"/>
        <v>0.12806938668609116</v>
      </c>
      <c r="AM84" s="1058"/>
      <c r="AN84" s="67">
        <v>3.9</v>
      </c>
      <c r="AO84" s="67">
        <v>24</v>
      </c>
      <c r="AP84" s="68">
        <f t="shared" si="247"/>
        <v>46.523879999999998</v>
      </c>
      <c r="AQ84" s="68">
        <f t="shared" si="248"/>
        <v>6.2218661902138157</v>
      </c>
      <c r="AR84" s="69">
        <f t="shared" si="249"/>
        <v>3489.8874600000008</v>
      </c>
      <c r="AS84" s="140">
        <f t="shared" si="250"/>
        <v>7.6511270407792393</v>
      </c>
      <c r="AT84" s="1073"/>
      <c r="AU84" s="71">
        <v>2.7</v>
      </c>
      <c r="AV84" s="71">
        <v>12</v>
      </c>
      <c r="AW84" s="72">
        <f t="shared" si="251"/>
        <v>16.742052000000005</v>
      </c>
      <c r="AX84" s="72">
        <f t="shared" si="252"/>
        <v>2.2389965603385105</v>
      </c>
      <c r="AY84" s="73">
        <f t="shared" si="253"/>
        <v>1125.1279020000004</v>
      </c>
      <c r="AZ84" s="192">
        <f t="shared" si="254"/>
        <v>2.4666974548593079</v>
      </c>
      <c r="BA84" s="1075"/>
      <c r="BB84" s="90">
        <f t="shared" si="217"/>
        <v>28810</v>
      </c>
      <c r="BC84" s="59"/>
      <c r="BD84" s="56">
        <v>28810</v>
      </c>
      <c r="BE84" s="56"/>
      <c r="BF84" s="58">
        <f t="shared" si="229"/>
        <v>44652</v>
      </c>
      <c r="BG84" s="58">
        <f t="shared" si="230"/>
        <v>97.893736844131496</v>
      </c>
      <c r="BH84" s="1133"/>
      <c r="BI84" s="64">
        <f t="shared" si="89"/>
        <v>1320</v>
      </c>
      <c r="BJ84" s="64"/>
      <c r="BK84" s="64">
        <v>1080</v>
      </c>
      <c r="BL84" s="64">
        <f t="shared" si="225"/>
        <v>240</v>
      </c>
      <c r="BM84" s="65">
        <f t="shared" si="226"/>
        <v>0.35884577257252048</v>
      </c>
      <c r="BN84" s="64">
        <f t="shared" si="238"/>
        <v>8952</v>
      </c>
      <c r="BO84" s="65">
        <f t="shared" si="239"/>
        <v>0.2459195945117735</v>
      </c>
      <c r="BP84" s="1071"/>
      <c r="BQ84" s="77">
        <f t="shared" si="202"/>
        <v>25008</v>
      </c>
      <c r="BR84" s="35"/>
      <c r="BS84" s="35">
        <f>18236+4000</f>
        <v>22236</v>
      </c>
      <c r="BT84" s="35">
        <f t="shared" si="240"/>
        <v>2772</v>
      </c>
      <c r="BU84" s="74">
        <f t="shared" si="241"/>
        <v>210461</v>
      </c>
      <c r="BV84" s="74">
        <f t="shared" si="242"/>
        <v>461.40853153168416</v>
      </c>
      <c r="BW84" s="1098"/>
      <c r="BX84" s="295">
        <v>600</v>
      </c>
      <c r="BY84" s="296"/>
      <c r="BZ84" s="296">
        <v>600</v>
      </c>
      <c r="CA84" s="296"/>
      <c r="CB84" s="297"/>
      <c r="CC84" s="296">
        <f t="shared" si="186"/>
        <v>5650</v>
      </c>
      <c r="CD84" s="297">
        <f t="shared" si="187"/>
        <v>0.15521064667018772</v>
      </c>
      <c r="CE84" s="1061"/>
    </row>
    <row r="85" spans="1:83">
      <c r="A85" s="30">
        <v>43667</v>
      </c>
      <c r="B85" s="265">
        <v>655903</v>
      </c>
      <c r="C85" s="1">
        <f t="shared" si="219"/>
        <v>37058045</v>
      </c>
      <c r="D85" s="91">
        <v>7216.24</v>
      </c>
      <c r="E85" s="93">
        <f t="shared" si="220"/>
        <v>463343.47999999986</v>
      </c>
      <c r="F85" s="243">
        <f t="shared" si="209"/>
        <v>12500</v>
      </c>
      <c r="G85" s="321">
        <v>31220</v>
      </c>
      <c r="H85" s="240">
        <v>20000</v>
      </c>
      <c r="I85" s="240">
        <f t="shared" si="243"/>
        <v>23720</v>
      </c>
      <c r="J85" s="280">
        <f t="shared" si="244"/>
        <v>36.163883988943489</v>
      </c>
      <c r="K85" s="240">
        <f t="shared" si="231"/>
        <v>986160</v>
      </c>
      <c r="L85" s="280">
        <f t="shared" si="232"/>
        <v>26.611225713606856</v>
      </c>
      <c r="M85" s="280">
        <f t="shared" si="233"/>
        <v>3.2583844390359809</v>
      </c>
      <c r="N85" s="1089"/>
      <c r="O85" s="1084"/>
      <c r="P85" s="77">
        <f t="shared" si="189"/>
        <v>38012</v>
      </c>
      <c r="Q85" s="35"/>
      <c r="R85" s="35">
        <v>38012</v>
      </c>
      <c r="S85" s="35"/>
      <c r="T85" s="36"/>
      <c r="U85" s="74">
        <f t="shared" si="245"/>
        <v>51386</v>
      </c>
      <c r="V85" s="36">
        <f t="shared" si="246"/>
        <v>1.3866354795564635</v>
      </c>
      <c r="W85" s="1136"/>
      <c r="X85" s="49">
        <f t="shared" si="213"/>
        <v>495</v>
      </c>
      <c r="Y85" s="50"/>
      <c r="Z85" s="50">
        <f>324+112</f>
        <v>436</v>
      </c>
      <c r="AA85" s="50">
        <f t="shared" si="221"/>
        <v>59</v>
      </c>
      <c r="AB85" s="51">
        <f t="shared" si="222"/>
        <v>8.9952325267608171E-2</v>
      </c>
      <c r="AC85" s="50">
        <f t="shared" si="234"/>
        <v>10158</v>
      </c>
      <c r="AD85" s="51">
        <f t="shared" si="235"/>
        <v>0.27411052040117068</v>
      </c>
      <c r="AE85" s="1047"/>
      <c r="AF85" s="40">
        <f t="shared" si="214"/>
        <v>1004</v>
      </c>
      <c r="AG85" s="41"/>
      <c r="AH85" s="41">
        <v>925</v>
      </c>
      <c r="AI85" s="41">
        <f t="shared" si="223"/>
        <v>79</v>
      </c>
      <c r="AJ85" s="42">
        <f t="shared" si="224"/>
        <v>0.12044463891764483</v>
      </c>
      <c r="AK85" s="41">
        <f t="shared" si="236"/>
        <v>4741</v>
      </c>
      <c r="AL85" s="42">
        <f t="shared" si="237"/>
        <v>0.12793443367020577</v>
      </c>
      <c r="AM85" s="1058"/>
      <c r="AN85" s="311">
        <v>4</v>
      </c>
      <c r="AO85" s="67">
        <v>24</v>
      </c>
      <c r="AP85" s="68">
        <f t="shared" si="247"/>
        <v>47.716799999999999</v>
      </c>
      <c r="AQ85" s="68">
        <f t="shared" si="248"/>
        <v>6.6124186556988125</v>
      </c>
      <c r="AR85" s="69">
        <f t="shared" si="249"/>
        <v>3537.604260000001</v>
      </c>
      <c r="AS85" s="140">
        <f t="shared" si="250"/>
        <v>7.634949908003458</v>
      </c>
      <c r="AT85" s="1073"/>
      <c r="AU85" s="71">
        <v>2.8</v>
      </c>
      <c r="AV85" s="71">
        <v>12</v>
      </c>
      <c r="AW85" s="72">
        <f t="shared" si="251"/>
        <v>17.362127999999998</v>
      </c>
      <c r="AX85" s="72">
        <f t="shared" si="252"/>
        <v>2.4059798454596852</v>
      </c>
      <c r="AY85" s="73">
        <f t="shared" si="253"/>
        <v>1142.4900300000004</v>
      </c>
      <c r="AZ85" s="192">
        <f t="shared" si="254"/>
        <v>2.465751821952908</v>
      </c>
      <c r="BA85" s="1075"/>
      <c r="BB85" s="90">
        <f t="shared" si="217"/>
        <v>28810</v>
      </c>
      <c r="BC85" s="59"/>
      <c r="BD85" s="56">
        <v>28584</v>
      </c>
      <c r="BE85" s="56">
        <f>BB85+BC85-BD85</f>
        <v>226</v>
      </c>
      <c r="BF85" s="58">
        <f t="shared" si="229"/>
        <v>44878</v>
      </c>
      <c r="BG85" s="58">
        <f t="shared" si="230"/>
        <v>96.856871709946176</v>
      </c>
      <c r="BH85" s="1133"/>
      <c r="BI85" s="64">
        <f t="shared" si="89"/>
        <v>1080</v>
      </c>
      <c r="BJ85" s="64"/>
      <c r="BK85" s="64">
        <v>900</v>
      </c>
      <c r="BL85" s="64">
        <f t="shared" si="225"/>
        <v>180</v>
      </c>
      <c r="BM85" s="65">
        <f t="shared" si="226"/>
        <v>0.27443082285032999</v>
      </c>
      <c r="BN85" s="64">
        <f t="shared" si="238"/>
        <v>9132</v>
      </c>
      <c r="BO85" s="65">
        <f t="shared" si="239"/>
        <v>0.24642422448350959</v>
      </c>
      <c r="BP85" s="1071"/>
      <c r="BQ85" s="77">
        <f t="shared" si="202"/>
        <v>22236</v>
      </c>
      <c r="BR85" s="35"/>
      <c r="BS85" s="35">
        <f>15463+4000</f>
        <v>19463</v>
      </c>
      <c r="BT85" s="35">
        <f t="shared" si="240"/>
        <v>2773</v>
      </c>
      <c r="BU85" s="74">
        <f t="shared" si="241"/>
        <v>213234</v>
      </c>
      <c r="BV85" s="74">
        <f t="shared" si="242"/>
        <v>460.207187980718</v>
      </c>
      <c r="BW85" s="1098"/>
      <c r="BX85" s="295">
        <v>600</v>
      </c>
      <c r="BY85" s="296"/>
      <c r="BZ85" s="296">
        <v>600</v>
      </c>
      <c r="CA85" s="296"/>
      <c r="CB85" s="297"/>
      <c r="CC85" s="296">
        <f t="shared" si="186"/>
        <v>5650</v>
      </c>
      <c r="CD85" s="297">
        <f t="shared" si="187"/>
        <v>0.15246352040427388</v>
      </c>
      <c r="CE85" s="1061"/>
    </row>
    <row r="86" spans="1:83">
      <c r="A86" s="30">
        <v>43668</v>
      </c>
      <c r="B86" s="265">
        <v>642558</v>
      </c>
      <c r="C86" s="1">
        <f t="shared" si="219"/>
        <v>37700603</v>
      </c>
      <c r="D86" s="91">
        <v>7659.88</v>
      </c>
      <c r="E86" s="93">
        <f t="shared" si="220"/>
        <v>471003.35999999987</v>
      </c>
      <c r="F86" s="243">
        <f t="shared" si="209"/>
        <v>20000</v>
      </c>
      <c r="G86" s="227"/>
      <c r="H86" s="240">
        <v>2000</v>
      </c>
      <c r="I86" s="240">
        <f>F86+G86-H86</f>
        <v>18000</v>
      </c>
      <c r="J86" s="280">
        <f t="shared" si="244"/>
        <v>28.013035399139067</v>
      </c>
      <c r="K86" s="240">
        <f t="shared" si="231"/>
        <v>1004160</v>
      </c>
      <c r="L86" s="280">
        <f t="shared" si="232"/>
        <v>26.635117745994673</v>
      </c>
      <c r="M86" s="280">
        <f t="shared" si="233"/>
        <v>3.2613098746167104</v>
      </c>
      <c r="N86" s="1089"/>
      <c r="O86" s="1084"/>
      <c r="P86" s="77">
        <f t="shared" si="189"/>
        <v>38012</v>
      </c>
      <c r="Q86" s="35"/>
      <c r="R86" s="35">
        <v>38012</v>
      </c>
      <c r="S86" s="35"/>
      <c r="T86" s="36"/>
      <c r="U86" s="74">
        <f t="shared" si="245"/>
        <v>51386</v>
      </c>
      <c r="V86" s="36">
        <f t="shared" si="246"/>
        <v>1.3630020718766753</v>
      </c>
      <c r="W86" s="1136"/>
      <c r="X86" s="49">
        <f t="shared" si="213"/>
        <v>436</v>
      </c>
      <c r="Y86" s="50">
        <v>900</v>
      </c>
      <c r="Z86" s="50">
        <f>1122+50</f>
        <v>1172</v>
      </c>
      <c r="AA86" s="50">
        <f t="shared" si="221"/>
        <v>164</v>
      </c>
      <c r="AB86" s="51">
        <f t="shared" si="222"/>
        <v>0.2552298780810448</v>
      </c>
      <c r="AC86" s="50">
        <f t="shared" si="234"/>
        <v>10322</v>
      </c>
      <c r="AD86" s="51">
        <f t="shared" si="235"/>
        <v>0.27378872428114742</v>
      </c>
      <c r="AE86" s="1047"/>
      <c r="AF86" s="40">
        <f t="shared" si="214"/>
        <v>925</v>
      </c>
      <c r="AG86" s="41"/>
      <c r="AH86" s="41">
        <v>845</v>
      </c>
      <c r="AI86" s="41">
        <f t="shared" si="223"/>
        <v>80</v>
      </c>
      <c r="AJ86" s="42">
        <f t="shared" si="224"/>
        <v>0.12450237955172919</v>
      </c>
      <c r="AK86" s="41">
        <f t="shared" si="236"/>
        <v>4821</v>
      </c>
      <c r="AL86" s="42">
        <f t="shared" si="237"/>
        <v>0.1278759387482476</v>
      </c>
      <c r="AM86" s="1058"/>
      <c r="AN86" s="311">
        <v>4</v>
      </c>
      <c r="AO86" s="67">
        <v>24</v>
      </c>
      <c r="AP86" s="68">
        <f t="shared" si="247"/>
        <v>47.716799999999999</v>
      </c>
      <c r="AQ86" s="68">
        <f t="shared" si="248"/>
        <v>6.2294448476999635</v>
      </c>
      <c r="AR86" s="69">
        <f t="shared" si="249"/>
        <v>3585.3210600000011</v>
      </c>
      <c r="AS86" s="140">
        <f t="shared" si="250"/>
        <v>7.6120923213796221</v>
      </c>
      <c r="AT86" s="1073"/>
      <c r="AU86" s="71">
        <v>2.9</v>
      </c>
      <c r="AV86" s="71">
        <v>12</v>
      </c>
      <c r="AW86" s="72">
        <f t="shared" si="251"/>
        <v>17.982203999999999</v>
      </c>
      <c r="AX86" s="72">
        <f t="shared" si="252"/>
        <v>2.3475829908562531</v>
      </c>
      <c r="AY86" s="73">
        <f t="shared" si="253"/>
        <v>1160.4722340000003</v>
      </c>
      <c r="AZ86" s="192">
        <f t="shared" si="254"/>
        <v>2.4638300542059843</v>
      </c>
      <c r="BA86" s="1075"/>
      <c r="BB86" s="90">
        <f t="shared" si="217"/>
        <v>28584</v>
      </c>
      <c r="BC86" s="59"/>
      <c r="BD86" s="56">
        <v>28132</v>
      </c>
      <c r="BE86" s="56">
        <f t="shared" ref="BE86:BE92" si="255">BB86+BC86-BD86</f>
        <v>452</v>
      </c>
      <c r="BF86" s="58">
        <f t="shared" ref="BF86:BF92" si="256">BF85+BE86</f>
        <v>45330</v>
      </c>
      <c r="BG86" s="58">
        <f t="shared" ref="BG86:BG92" si="257">BF86*1000/E86</f>
        <v>96.241351654051925</v>
      </c>
      <c r="BH86" s="1133"/>
      <c r="BI86" s="64">
        <f t="shared" si="89"/>
        <v>900</v>
      </c>
      <c r="BJ86" s="64"/>
      <c r="BK86" s="64">
        <v>744</v>
      </c>
      <c r="BL86" s="64">
        <f t="shared" si="225"/>
        <v>156</v>
      </c>
      <c r="BM86" s="65">
        <f t="shared" si="226"/>
        <v>0.24277964012587192</v>
      </c>
      <c r="BN86" s="64">
        <f t="shared" si="238"/>
        <v>9288</v>
      </c>
      <c r="BO86" s="65">
        <f t="shared" si="239"/>
        <v>0.24636210725860275</v>
      </c>
      <c r="BP86" s="1071"/>
      <c r="BQ86" s="77">
        <f t="shared" si="202"/>
        <v>19463</v>
      </c>
      <c r="BR86" s="35"/>
      <c r="BS86" s="35">
        <f>9327+1000</f>
        <v>10327</v>
      </c>
      <c r="BT86" s="35">
        <f t="shared" si="240"/>
        <v>9136</v>
      </c>
      <c r="BU86" s="74">
        <f t="shared" si="241"/>
        <v>222370</v>
      </c>
      <c r="BV86" s="74">
        <f t="shared" si="242"/>
        <v>472.11977426233238</v>
      </c>
      <c r="BW86" s="1098"/>
      <c r="BX86" s="295">
        <v>600</v>
      </c>
      <c r="BY86" s="296"/>
      <c r="BZ86" s="296">
        <v>600</v>
      </c>
      <c r="CA86" s="296"/>
      <c r="CB86" s="297"/>
      <c r="CC86" s="296">
        <f t="shared" si="186"/>
        <v>5650</v>
      </c>
      <c r="CD86" s="297">
        <f t="shared" si="187"/>
        <v>0.14986497696071333</v>
      </c>
      <c r="CE86" s="1061"/>
    </row>
    <row r="87" spans="1:83">
      <c r="A87" s="30">
        <v>43669</v>
      </c>
      <c r="B87" s="265">
        <v>658423</v>
      </c>
      <c r="C87" s="1">
        <f t="shared" si="219"/>
        <v>38359026</v>
      </c>
      <c r="D87" s="91">
        <v>7540.88</v>
      </c>
      <c r="E87" s="93">
        <f t="shared" si="220"/>
        <v>478544.23999999987</v>
      </c>
      <c r="F87" s="243">
        <f t="shared" si="209"/>
        <v>2000</v>
      </c>
      <c r="G87" s="321">
        <v>30500</v>
      </c>
      <c r="H87" s="240">
        <v>19000</v>
      </c>
      <c r="I87" s="240">
        <f>F87+G87-H87</f>
        <v>13500</v>
      </c>
      <c r="J87" s="280">
        <f t="shared" si="244"/>
        <v>20.503536480347741</v>
      </c>
      <c r="K87" s="240">
        <f t="shared" si="231"/>
        <v>1017660</v>
      </c>
      <c r="L87" s="280">
        <f t="shared" si="232"/>
        <v>26.529870701096531</v>
      </c>
      <c r="M87" s="280">
        <f t="shared" si="233"/>
        <v>3.2484230073584586</v>
      </c>
      <c r="N87" s="1089"/>
      <c r="O87" s="1084"/>
      <c r="P87" s="77">
        <f t="shared" si="189"/>
        <v>38012</v>
      </c>
      <c r="Q87" s="35"/>
      <c r="R87" s="35">
        <v>36147</v>
      </c>
      <c r="S87" s="35">
        <f t="shared" ref="S87:S95" si="258">P87+Q87-R87</f>
        <v>1865</v>
      </c>
      <c r="T87" s="36">
        <f t="shared" ref="T87:T95" si="259">1000*S87/B87</f>
        <v>2.8325255952480397</v>
      </c>
      <c r="U87" s="74">
        <f t="shared" si="245"/>
        <v>53251</v>
      </c>
      <c r="V87" s="36">
        <f t="shared" si="246"/>
        <v>1.3882260722678412</v>
      </c>
      <c r="W87" s="1136"/>
      <c r="X87" s="49">
        <f t="shared" si="213"/>
        <v>1172</v>
      </c>
      <c r="Y87" s="50"/>
      <c r="Z87" s="50">
        <f>990+62</f>
        <v>1052</v>
      </c>
      <c r="AA87" s="50">
        <f t="shared" si="221"/>
        <v>120</v>
      </c>
      <c r="AB87" s="51">
        <f t="shared" si="222"/>
        <v>0.18225365760309103</v>
      </c>
      <c r="AC87" s="50">
        <f t="shared" si="234"/>
        <v>10442</v>
      </c>
      <c r="AD87" s="51">
        <f t="shared" si="235"/>
        <v>0.27221754796380909</v>
      </c>
      <c r="AE87" s="1047"/>
      <c r="AF87" s="40">
        <f>AH86</f>
        <v>845</v>
      </c>
      <c r="AG87" s="41"/>
      <c r="AH87" s="41">
        <v>745</v>
      </c>
      <c r="AI87" s="41">
        <f t="shared" si="223"/>
        <v>100</v>
      </c>
      <c r="AJ87" s="42">
        <f t="shared" si="224"/>
        <v>0.15187804800257584</v>
      </c>
      <c r="AK87" s="41">
        <f t="shared" si="236"/>
        <v>4921</v>
      </c>
      <c r="AL87" s="42">
        <f t="shared" si="237"/>
        <v>0.12828792889579627</v>
      </c>
      <c r="AM87" s="1058"/>
      <c r="AN87" s="311">
        <v>4</v>
      </c>
      <c r="AO87" s="67">
        <v>24</v>
      </c>
      <c r="AP87" s="68">
        <f t="shared" si="247"/>
        <v>47.716799999999999</v>
      </c>
      <c r="AQ87" s="68">
        <f t="shared" si="248"/>
        <v>6.3277495464720293</v>
      </c>
      <c r="AR87" s="69">
        <f t="shared" si="249"/>
        <v>3633.0378600000013</v>
      </c>
      <c r="AS87" s="140">
        <f t="shared" si="250"/>
        <v>7.5918537019691268</v>
      </c>
      <c r="AT87" s="1073"/>
      <c r="AU87" s="71">
        <v>2.8</v>
      </c>
      <c r="AV87" s="71">
        <v>12</v>
      </c>
      <c r="AW87" s="72">
        <f t="shared" si="251"/>
        <v>17.362127999999998</v>
      </c>
      <c r="AX87" s="72">
        <f t="shared" si="252"/>
        <v>2.3024007808107272</v>
      </c>
      <c r="AY87" s="73">
        <f t="shared" si="253"/>
        <v>1177.8343620000003</v>
      </c>
      <c r="AZ87" s="192">
        <f t="shared" si="254"/>
        <v>2.4612862585076782</v>
      </c>
      <c r="BA87" s="1075"/>
      <c r="BB87" s="90">
        <f t="shared" si="217"/>
        <v>28132</v>
      </c>
      <c r="BC87" s="59"/>
      <c r="BD87" s="56">
        <v>28132</v>
      </c>
      <c r="BE87" s="56"/>
      <c r="BF87" s="58">
        <f t="shared" si="256"/>
        <v>45330</v>
      </c>
      <c r="BG87" s="58">
        <f t="shared" si="257"/>
        <v>94.724784483875538</v>
      </c>
      <c r="BH87" s="1133"/>
      <c r="BI87" s="64">
        <f t="shared" si="89"/>
        <v>744</v>
      </c>
      <c r="BJ87" s="64">
        <v>1100</v>
      </c>
      <c r="BK87" s="64">
        <v>1740</v>
      </c>
      <c r="BL87" s="64">
        <f t="shared" si="225"/>
        <v>104</v>
      </c>
      <c r="BM87" s="65">
        <f t="shared" si="226"/>
        <v>0.15795316992267888</v>
      </c>
      <c r="BN87" s="64">
        <f t="shared" si="238"/>
        <v>9392</v>
      </c>
      <c r="BO87" s="65">
        <f t="shared" si="239"/>
        <v>0.2448445901624301</v>
      </c>
      <c r="BP87" s="1071"/>
      <c r="BQ87" s="77">
        <f t="shared" si="202"/>
        <v>10327</v>
      </c>
      <c r="BR87" s="317">
        <v>31900</v>
      </c>
      <c r="BS87" s="35">
        <f>41340+1000-113</f>
        <v>42227</v>
      </c>
      <c r="BT87" s="35">
        <f t="shared" si="240"/>
        <v>0</v>
      </c>
      <c r="BU87" s="74">
        <f t="shared" si="241"/>
        <v>222370</v>
      </c>
      <c r="BV87" s="74">
        <f t="shared" si="242"/>
        <v>464.68013072312823</v>
      </c>
      <c r="BW87" s="1098"/>
      <c r="BX87" s="295">
        <v>600</v>
      </c>
      <c r="BY87" s="296"/>
      <c r="BZ87" s="296">
        <v>600</v>
      </c>
      <c r="CA87" s="296"/>
      <c r="CB87" s="297"/>
      <c r="CC87" s="296">
        <f t="shared" si="186"/>
        <v>5650</v>
      </c>
      <c r="CD87" s="297">
        <f t="shared" si="187"/>
        <v>0.1472925824550394</v>
      </c>
      <c r="CE87" s="1061"/>
    </row>
    <row r="88" spans="1:83">
      <c r="A88" s="30">
        <v>43670</v>
      </c>
      <c r="B88" s="265">
        <v>664767</v>
      </c>
      <c r="C88" s="1">
        <f t="shared" si="219"/>
        <v>39023793</v>
      </c>
      <c r="D88" s="91">
        <v>7908.86</v>
      </c>
      <c r="E88" s="93">
        <f t="shared" si="220"/>
        <v>486453.09999999986</v>
      </c>
      <c r="F88" s="243">
        <f t="shared" si="209"/>
        <v>19000</v>
      </c>
      <c r="G88" s="321">
        <v>22200</v>
      </c>
      <c r="H88" s="240">
        <v>17600</v>
      </c>
      <c r="I88" s="240">
        <f>F88+G88-H88</f>
        <v>23600</v>
      </c>
      <c r="J88" s="280">
        <f t="shared" si="244"/>
        <v>35.501160557007189</v>
      </c>
      <c r="K88" s="240">
        <f t="shared" si="231"/>
        <v>1041260</v>
      </c>
      <c r="L88" s="280">
        <f t="shared" si="232"/>
        <v>26.682695861983483</v>
      </c>
      <c r="M88" s="280">
        <f t="shared" si="233"/>
        <v>3.2671355285886472</v>
      </c>
      <c r="N88" s="1089"/>
      <c r="O88" s="1084"/>
      <c r="P88" s="77">
        <f t="shared" si="189"/>
        <v>36147</v>
      </c>
      <c r="Q88" s="35"/>
      <c r="R88" s="35">
        <v>36147</v>
      </c>
      <c r="S88" s="35">
        <f t="shared" si="258"/>
        <v>0</v>
      </c>
      <c r="T88" s="36">
        <f t="shared" si="259"/>
        <v>0</v>
      </c>
      <c r="U88" s="74">
        <f t="shared" si="245"/>
        <v>53251</v>
      </c>
      <c r="V88" s="36">
        <f t="shared" si="246"/>
        <v>1.3645777590097405</v>
      </c>
      <c r="W88" s="1136"/>
      <c r="X88" s="49">
        <f t="shared" si="213"/>
        <v>1052</v>
      </c>
      <c r="Y88" s="50"/>
      <c r="Z88" s="50">
        <f>832+112</f>
        <v>944</v>
      </c>
      <c r="AA88" s="50">
        <f t="shared" si="221"/>
        <v>108</v>
      </c>
      <c r="AB88" s="51">
        <f t="shared" si="222"/>
        <v>0.16246293814223631</v>
      </c>
      <c r="AC88" s="50">
        <f t="shared" si="234"/>
        <v>10550</v>
      </c>
      <c r="AD88" s="51">
        <f t="shared" si="235"/>
        <v>0.27034788750545086</v>
      </c>
      <c r="AE88" s="1047"/>
      <c r="AF88" s="40">
        <f>AH87</f>
        <v>745</v>
      </c>
      <c r="AG88" s="41"/>
      <c r="AH88" s="41">
        <v>666</v>
      </c>
      <c r="AI88" s="41">
        <f t="shared" si="223"/>
        <v>79</v>
      </c>
      <c r="AJ88" s="42">
        <f t="shared" si="224"/>
        <v>0.1188386306781173</v>
      </c>
      <c r="AK88" s="41">
        <f t="shared" si="236"/>
        <v>5000</v>
      </c>
      <c r="AL88" s="42">
        <f t="shared" si="237"/>
        <v>0.12812696090305728</v>
      </c>
      <c r="AM88" s="1058"/>
      <c r="AN88" s="67">
        <v>3.8</v>
      </c>
      <c r="AO88" s="67">
        <v>24</v>
      </c>
      <c r="AP88" s="68">
        <f t="shared" si="247"/>
        <v>45.33095999999999</v>
      </c>
      <c r="AQ88" s="68">
        <f t="shared" si="248"/>
        <v>5.7316680280090928</v>
      </c>
      <c r="AR88" s="69">
        <f t="shared" si="249"/>
        <v>3678.3688200000011</v>
      </c>
      <c r="AS88" s="140">
        <f t="shared" si="250"/>
        <v>7.5616103998515012</v>
      </c>
      <c r="AT88" s="1073"/>
      <c r="AU88" s="216">
        <v>3</v>
      </c>
      <c r="AV88" s="71">
        <v>12</v>
      </c>
      <c r="AW88" s="72">
        <f t="shared" si="251"/>
        <v>18.60228</v>
      </c>
      <c r="AX88" s="72">
        <f t="shared" si="252"/>
        <v>2.3520810837465831</v>
      </c>
      <c r="AY88" s="73">
        <f t="shared" si="253"/>
        <v>1196.4366420000003</v>
      </c>
      <c r="AZ88" s="192">
        <f t="shared" si="254"/>
        <v>2.4595107770923872</v>
      </c>
      <c r="BA88" s="1075"/>
      <c r="BB88" s="90">
        <f t="shared" si="217"/>
        <v>28132</v>
      </c>
      <c r="BC88" s="59"/>
      <c r="BD88" s="56">
        <v>28132</v>
      </c>
      <c r="BE88" s="56"/>
      <c r="BF88" s="58">
        <f t="shared" si="256"/>
        <v>45330</v>
      </c>
      <c r="BG88" s="58">
        <f t="shared" si="257"/>
        <v>93.184728394165873</v>
      </c>
      <c r="BH88" s="1133"/>
      <c r="BI88" s="64">
        <f t="shared" si="89"/>
        <v>1740</v>
      </c>
      <c r="BJ88" s="64"/>
      <c r="BK88" s="64">
        <v>1548</v>
      </c>
      <c r="BL88" s="64">
        <f t="shared" si="225"/>
        <v>192</v>
      </c>
      <c r="BM88" s="65">
        <f t="shared" si="226"/>
        <v>0.28882300114175341</v>
      </c>
      <c r="BN88" s="64">
        <f t="shared" si="238"/>
        <v>9584</v>
      </c>
      <c r="BO88" s="65">
        <f t="shared" si="239"/>
        <v>0.24559375865898017</v>
      </c>
      <c r="BP88" s="1071"/>
      <c r="BQ88" s="77">
        <f t="shared" si="202"/>
        <v>42227</v>
      </c>
      <c r="BR88" s="35"/>
      <c r="BS88" s="35">
        <f>35795+1000</f>
        <v>36795</v>
      </c>
      <c r="BT88" s="35">
        <f t="shared" si="240"/>
        <v>5432</v>
      </c>
      <c r="BU88" s="74">
        <f t="shared" si="241"/>
        <v>227802</v>
      </c>
      <c r="BV88" s="74">
        <f t="shared" si="242"/>
        <v>468.29180449256069</v>
      </c>
      <c r="BW88" s="1098"/>
      <c r="BX88" s="295">
        <v>600</v>
      </c>
      <c r="BY88" s="296"/>
      <c r="BZ88" s="296">
        <v>600</v>
      </c>
      <c r="CA88" s="296"/>
      <c r="CB88" s="297"/>
      <c r="CC88" s="296">
        <f t="shared" si="186"/>
        <v>5650</v>
      </c>
      <c r="CD88" s="297">
        <f t="shared" si="187"/>
        <v>0.1447834658204547</v>
      </c>
      <c r="CE88" s="1061"/>
    </row>
    <row r="89" spans="1:83">
      <c r="A89" s="30">
        <v>43671</v>
      </c>
      <c r="B89" s="265">
        <v>666291</v>
      </c>
      <c r="C89" s="1">
        <f t="shared" si="219"/>
        <v>39690084</v>
      </c>
      <c r="D89" s="91">
        <v>7554.82</v>
      </c>
      <c r="E89" s="93">
        <f t="shared" si="220"/>
        <v>494007.91999999987</v>
      </c>
      <c r="F89" s="243">
        <f t="shared" si="209"/>
        <v>17600</v>
      </c>
      <c r="G89" s="227"/>
      <c r="H89" s="240">
        <v>1000</v>
      </c>
      <c r="I89" s="240">
        <f t="shared" ref="I89:I95" si="260">F89+G89-H89</f>
        <v>16600</v>
      </c>
      <c r="J89" s="280">
        <f t="shared" ref="J89:J97" si="261">I89*1000/B89</f>
        <v>24.914039061010879</v>
      </c>
      <c r="K89" s="240">
        <f t="shared" ref="K89:K94" si="262">K88+I89</f>
        <v>1057860</v>
      </c>
      <c r="L89" s="280">
        <f t="shared" ref="L89:L94" si="263">K89*1000/C89</f>
        <v>26.653004816013993</v>
      </c>
      <c r="M89" s="280">
        <f t="shared" ref="M89:M94" si="264">L89/8.167</f>
        <v>3.2635000386940116</v>
      </c>
      <c r="N89" s="1089"/>
      <c r="O89" s="1084"/>
      <c r="P89" s="77">
        <f t="shared" si="189"/>
        <v>36147</v>
      </c>
      <c r="Q89" s="35"/>
      <c r="R89" s="35">
        <v>35611</v>
      </c>
      <c r="S89" s="35">
        <f t="shared" si="258"/>
        <v>536</v>
      </c>
      <c r="T89" s="36">
        <f t="shared" si="259"/>
        <v>0.80445330943986937</v>
      </c>
      <c r="U89" s="74">
        <f t="shared" si="245"/>
        <v>53787</v>
      </c>
      <c r="V89" s="36">
        <f t="shared" si="246"/>
        <v>1.3551747585114711</v>
      </c>
      <c r="W89" s="1136"/>
      <c r="X89" s="49">
        <f t="shared" si="213"/>
        <v>944</v>
      </c>
      <c r="Y89" s="50"/>
      <c r="Z89" s="50">
        <f>725+78</f>
        <v>803</v>
      </c>
      <c r="AA89" s="50">
        <f t="shared" si="221"/>
        <v>141</v>
      </c>
      <c r="AB89" s="51">
        <f t="shared" si="222"/>
        <v>0.2116192474459358</v>
      </c>
      <c r="AC89" s="50">
        <f t="shared" si="234"/>
        <v>10691</v>
      </c>
      <c r="AD89" s="51">
        <f t="shared" si="235"/>
        <v>0.2693619897604651</v>
      </c>
      <c r="AE89" s="1047"/>
      <c r="AF89" s="40">
        <f t="shared" ref="AF89:AF95" si="265">AH88</f>
        <v>666</v>
      </c>
      <c r="AG89" s="41"/>
      <c r="AH89" s="41">
        <v>587</v>
      </c>
      <c r="AI89" s="41">
        <f t="shared" si="223"/>
        <v>79</v>
      </c>
      <c r="AJ89" s="42">
        <f t="shared" si="224"/>
        <v>0.11856681239878672</v>
      </c>
      <c r="AK89" s="41">
        <f t="shared" si="236"/>
        <v>5079</v>
      </c>
      <c r="AL89" s="42">
        <f t="shared" si="237"/>
        <v>0.1279664714239456</v>
      </c>
      <c r="AM89" s="1058"/>
      <c r="AN89" s="67">
        <v>4.0999999999999996</v>
      </c>
      <c r="AO89" s="67">
        <v>24</v>
      </c>
      <c r="AP89" s="68">
        <f t="shared" ref="AP89:AP98" si="266">AN89*AO89*0.49705</f>
        <v>48.909719999999993</v>
      </c>
      <c r="AQ89" s="68">
        <f t="shared" ref="AQ89:AQ98" si="267">AP89*1000/D89</f>
        <v>6.473975554678999</v>
      </c>
      <c r="AR89" s="69">
        <f t="shared" ref="AR89:AR94" si="268">AR88+AP89</f>
        <v>3727.2785400000012</v>
      </c>
      <c r="AS89" s="140">
        <f t="shared" ref="AS89:AS97" si="269">AR89*1000/E89</f>
        <v>7.5449772951008596</v>
      </c>
      <c r="AT89" s="1073"/>
      <c r="AU89" s="216">
        <v>3</v>
      </c>
      <c r="AV89" s="71">
        <v>12</v>
      </c>
      <c r="AW89" s="72">
        <f t="shared" ref="AW89:AW103" si="270">AU89*AV89*0.51673</f>
        <v>18.60228</v>
      </c>
      <c r="AX89" s="72">
        <f t="shared" ref="AX89:AX103" si="271">AW89*1000/D89</f>
        <v>2.4623061833372599</v>
      </c>
      <c r="AY89" s="73">
        <f t="shared" ref="AY89:AY94" si="272">AY88+AW89</f>
        <v>1215.0389220000004</v>
      </c>
      <c r="AZ89" s="192">
        <f t="shared" ref="AZ89:AZ97" si="273">AY89*1000/E89</f>
        <v>2.4595535269960869</v>
      </c>
      <c r="BA89" s="1075"/>
      <c r="BB89" s="90">
        <f t="shared" si="217"/>
        <v>28132</v>
      </c>
      <c r="BC89" s="59"/>
      <c r="BD89" s="56">
        <v>27906</v>
      </c>
      <c r="BE89" s="56">
        <f t="shared" si="255"/>
        <v>226</v>
      </c>
      <c r="BF89" s="58">
        <f t="shared" si="256"/>
        <v>45556</v>
      </c>
      <c r="BG89" s="58">
        <f t="shared" si="257"/>
        <v>92.217145020670955</v>
      </c>
      <c r="BH89" s="1133"/>
      <c r="BI89" s="64">
        <f t="shared" si="89"/>
        <v>1548</v>
      </c>
      <c r="BJ89" s="64"/>
      <c r="BK89" s="64">
        <v>1390</v>
      </c>
      <c r="BL89" s="64">
        <f t="shared" si="225"/>
        <v>158</v>
      </c>
      <c r="BM89" s="65">
        <f t="shared" si="226"/>
        <v>0.23713362479757344</v>
      </c>
      <c r="BN89" s="64">
        <f t="shared" si="238"/>
        <v>9742</v>
      </c>
      <c r="BO89" s="65">
        <f t="shared" si="239"/>
        <v>0.24545173550149202</v>
      </c>
      <c r="BP89" s="1071"/>
      <c r="BQ89" s="77">
        <f t="shared" si="202"/>
        <v>36795</v>
      </c>
      <c r="BR89" s="35"/>
      <c r="BS89" s="35">
        <v>30250</v>
      </c>
      <c r="BT89" s="35">
        <f t="shared" si="240"/>
        <v>6545</v>
      </c>
      <c r="BU89" s="74">
        <f t="shared" si="241"/>
        <v>234347</v>
      </c>
      <c r="BV89" s="74">
        <f t="shared" si="242"/>
        <v>474.37903424706241</v>
      </c>
      <c r="BW89" s="1098"/>
      <c r="BX89" s="295">
        <v>600</v>
      </c>
      <c r="BY89" s="296"/>
      <c r="BZ89" s="296">
        <v>600</v>
      </c>
      <c r="CA89" s="296"/>
      <c r="CB89" s="297"/>
      <c r="CC89" s="296">
        <f t="shared" si="186"/>
        <v>5650</v>
      </c>
      <c r="CD89" s="297">
        <f t="shared" si="187"/>
        <v>0.14235293631527712</v>
      </c>
      <c r="CE89" s="1061"/>
    </row>
    <row r="90" spans="1:83">
      <c r="A90" s="30">
        <v>43672</v>
      </c>
      <c r="B90" s="265">
        <v>623015</v>
      </c>
      <c r="C90" s="1">
        <f t="shared" si="219"/>
        <v>40313099</v>
      </c>
      <c r="D90" s="91">
        <v>6778.48</v>
      </c>
      <c r="E90" s="93">
        <f t="shared" si="220"/>
        <v>500786.39999999985</v>
      </c>
      <c r="F90" s="243">
        <f t="shared" si="209"/>
        <v>1000</v>
      </c>
      <c r="G90" s="321">
        <v>32340</v>
      </c>
      <c r="H90" s="240">
        <v>20000</v>
      </c>
      <c r="I90" s="240">
        <f t="shared" si="260"/>
        <v>13340</v>
      </c>
      <c r="J90" s="280">
        <f t="shared" si="261"/>
        <v>21.412004526375771</v>
      </c>
      <c r="K90" s="240">
        <f t="shared" si="262"/>
        <v>1071200</v>
      </c>
      <c r="L90" s="280">
        <f t="shared" si="263"/>
        <v>26.572008269570148</v>
      </c>
      <c r="M90" s="280">
        <f t="shared" si="264"/>
        <v>3.2535824990290374</v>
      </c>
      <c r="N90" s="1089"/>
      <c r="O90" s="1084"/>
      <c r="P90" s="77">
        <f t="shared" si="189"/>
        <v>35611</v>
      </c>
      <c r="Q90" s="35"/>
      <c r="R90" s="35">
        <v>34539</v>
      </c>
      <c r="S90" s="35">
        <f t="shared" si="258"/>
        <v>1072</v>
      </c>
      <c r="T90" s="36">
        <f t="shared" si="259"/>
        <v>1.7206648315048594</v>
      </c>
      <c r="U90" s="74">
        <f t="shared" si="245"/>
        <v>54859</v>
      </c>
      <c r="V90" s="36">
        <f t="shared" si="246"/>
        <v>1.3608231904969648</v>
      </c>
      <c r="W90" s="1136"/>
      <c r="X90" s="49">
        <f t="shared" si="213"/>
        <v>803</v>
      </c>
      <c r="Y90" s="50"/>
      <c r="Z90" s="50">
        <f>581+50</f>
        <v>631</v>
      </c>
      <c r="AA90" s="50">
        <f t="shared" si="221"/>
        <v>172</v>
      </c>
      <c r="AB90" s="51">
        <f t="shared" si="222"/>
        <v>0.27607681998025729</v>
      </c>
      <c r="AC90" s="50">
        <f t="shared" si="234"/>
        <v>10863</v>
      </c>
      <c r="AD90" s="51">
        <f t="shared" si="235"/>
        <v>0.26946576347305873</v>
      </c>
      <c r="AE90" s="1047"/>
      <c r="AF90" s="40">
        <f t="shared" si="265"/>
        <v>587</v>
      </c>
      <c r="AG90" s="41"/>
      <c r="AH90" s="41">
        <v>490</v>
      </c>
      <c r="AI90" s="41">
        <f t="shared" si="223"/>
        <v>97</v>
      </c>
      <c r="AJ90" s="42">
        <f t="shared" si="224"/>
        <v>0.15569448568654046</v>
      </c>
      <c r="AK90" s="41">
        <f t="shared" si="236"/>
        <v>5176</v>
      </c>
      <c r="AL90" s="42">
        <f t="shared" si="237"/>
        <v>0.12839499141457719</v>
      </c>
      <c r="AM90" s="1058"/>
      <c r="AN90" s="67">
        <v>3.8</v>
      </c>
      <c r="AO90" s="67">
        <v>24</v>
      </c>
      <c r="AP90" s="68">
        <f t="shared" si="266"/>
        <v>45.33095999999999</v>
      </c>
      <c r="AQ90" s="68">
        <f t="shared" si="267"/>
        <v>6.6874815592876269</v>
      </c>
      <c r="AR90" s="69">
        <f t="shared" si="268"/>
        <v>3772.6095000000009</v>
      </c>
      <c r="AS90" s="140">
        <f t="shared" si="269"/>
        <v>7.5333705148542416</v>
      </c>
      <c r="AT90" s="1073"/>
      <c r="AU90" s="71">
        <v>2.5</v>
      </c>
      <c r="AV90" s="71">
        <v>12</v>
      </c>
      <c r="AW90" s="72">
        <f t="shared" si="270"/>
        <v>15.501900000000001</v>
      </c>
      <c r="AX90" s="72">
        <f t="shared" si="271"/>
        <v>2.2869286329678635</v>
      </c>
      <c r="AY90" s="73">
        <f t="shared" si="272"/>
        <v>1230.5408220000004</v>
      </c>
      <c r="AZ90" s="192">
        <f t="shared" si="273"/>
        <v>2.4572169332074529</v>
      </c>
      <c r="BA90" s="1075"/>
      <c r="BB90" s="90">
        <f t="shared" si="217"/>
        <v>27906</v>
      </c>
      <c r="BC90" s="56"/>
      <c r="BD90" s="56">
        <v>27227</v>
      </c>
      <c r="BE90" s="56">
        <f t="shared" si="255"/>
        <v>679</v>
      </c>
      <c r="BF90" s="58">
        <f t="shared" si="256"/>
        <v>46235</v>
      </c>
      <c r="BG90" s="58">
        <f t="shared" si="257"/>
        <v>92.32479156782216</v>
      </c>
      <c r="BH90" s="1133"/>
      <c r="BI90" s="64">
        <f t="shared" si="89"/>
        <v>1390</v>
      </c>
      <c r="BJ90" s="64"/>
      <c r="BK90" s="64">
        <v>972</v>
      </c>
      <c r="BL90" s="64">
        <f t="shared" si="225"/>
        <v>418</v>
      </c>
      <c r="BM90" s="65">
        <f t="shared" si="226"/>
        <v>0.67093087646364857</v>
      </c>
      <c r="BN90" s="64">
        <f t="shared" si="238"/>
        <v>10160</v>
      </c>
      <c r="BO90" s="65">
        <f t="shared" si="239"/>
        <v>0.25202726290032923</v>
      </c>
      <c r="BP90" s="1071"/>
      <c r="BQ90" s="77">
        <f t="shared" si="202"/>
        <v>30250</v>
      </c>
      <c r="BR90" s="35"/>
      <c r="BS90" s="35">
        <v>29326</v>
      </c>
      <c r="BT90" s="35">
        <f t="shared" si="240"/>
        <v>924</v>
      </c>
      <c r="BU90" s="74">
        <f t="shared" si="241"/>
        <v>235271</v>
      </c>
      <c r="BV90" s="74">
        <f t="shared" si="242"/>
        <v>469.80309369423787</v>
      </c>
      <c r="BW90" s="1098"/>
      <c r="BX90" s="295">
        <f>BZ89</f>
        <v>600</v>
      </c>
      <c r="BY90" s="296"/>
      <c r="BZ90" s="296">
        <v>340</v>
      </c>
      <c r="CA90" s="296">
        <f t="shared" ref="CA90:CA95" si="274">BY90+BX90-BZ90</f>
        <v>260</v>
      </c>
      <c r="CB90" s="297">
        <f t="shared" ref="CB90:CB95" si="275">CA90*1000/B90</f>
        <v>0.41732542555155172</v>
      </c>
      <c r="CC90" s="296">
        <f t="shared" si="186"/>
        <v>5910</v>
      </c>
      <c r="CD90" s="297">
        <f t="shared" si="187"/>
        <v>0.1466024728091482</v>
      </c>
      <c r="CE90" s="1061"/>
    </row>
    <row r="91" spans="1:83">
      <c r="A91" s="30">
        <v>43673</v>
      </c>
      <c r="B91" s="265">
        <v>603656</v>
      </c>
      <c r="C91" s="1">
        <f t="shared" si="219"/>
        <v>40916755</v>
      </c>
      <c r="D91" s="91">
        <v>7798.38</v>
      </c>
      <c r="E91" s="93">
        <f t="shared" si="220"/>
        <v>508584.77999999985</v>
      </c>
      <c r="F91" s="243">
        <f t="shared" si="209"/>
        <v>20000</v>
      </c>
      <c r="G91" s="227"/>
      <c r="H91" s="240">
        <v>5000</v>
      </c>
      <c r="I91" s="240">
        <f t="shared" si="260"/>
        <v>15000</v>
      </c>
      <c r="J91" s="280">
        <f t="shared" si="261"/>
        <v>24.848589262758921</v>
      </c>
      <c r="K91" s="240">
        <f t="shared" si="262"/>
        <v>1086200</v>
      </c>
      <c r="L91" s="280">
        <f t="shared" si="263"/>
        <v>26.546582200861238</v>
      </c>
      <c r="M91" s="280">
        <f t="shared" si="264"/>
        <v>3.2504692299328073</v>
      </c>
      <c r="N91" s="1089"/>
      <c r="O91" s="1084"/>
      <c r="P91" s="77">
        <f t="shared" si="189"/>
        <v>34539</v>
      </c>
      <c r="Q91" s="35"/>
      <c r="R91" s="35">
        <v>33733</v>
      </c>
      <c r="S91" s="35">
        <f t="shared" si="258"/>
        <v>806</v>
      </c>
      <c r="T91" s="36">
        <f t="shared" si="259"/>
        <v>1.3351975297189127</v>
      </c>
      <c r="U91" s="74">
        <f t="shared" si="245"/>
        <v>55665</v>
      </c>
      <c r="V91" s="36">
        <f t="shared" si="246"/>
        <v>1.360445128163267</v>
      </c>
      <c r="W91" s="1136"/>
      <c r="X91" s="49">
        <f t="shared" si="213"/>
        <v>631</v>
      </c>
      <c r="Y91" s="50"/>
      <c r="Z91" s="50">
        <f>458+90</f>
        <v>548</v>
      </c>
      <c r="AA91" s="50">
        <f t="shared" si="221"/>
        <v>83</v>
      </c>
      <c r="AB91" s="51">
        <f t="shared" si="222"/>
        <v>0.13749552725393271</v>
      </c>
      <c r="AC91" s="50">
        <f t="shared" si="234"/>
        <v>10946</v>
      </c>
      <c r="AD91" s="51">
        <f t="shared" si="235"/>
        <v>0.26751877073340735</v>
      </c>
      <c r="AE91" s="1047"/>
      <c r="AF91" s="40">
        <f t="shared" si="265"/>
        <v>490</v>
      </c>
      <c r="AG91" s="41"/>
      <c r="AH91" s="41">
        <v>396</v>
      </c>
      <c r="AI91" s="41">
        <f t="shared" si="223"/>
        <v>94</v>
      </c>
      <c r="AJ91" s="42">
        <f t="shared" si="224"/>
        <v>0.15571782604662257</v>
      </c>
      <c r="AK91" s="41">
        <f t="shared" si="236"/>
        <v>5270</v>
      </c>
      <c r="AL91" s="42">
        <f t="shared" si="237"/>
        <v>0.12879809261511574</v>
      </c>
      <c r="AM91" s="1058"/>
      <c r="AN91" s="311">
        <v>4</v>
      </c>
      <c r="AO91" s="67">
        <v>24</v>
      </c>
      <c r="AP91" s="68">
        <f t="shared" si="266"/>
        <v>47.716799999999999</v>
      </c>
      <c r="AQ91" s="68">
        <f t="shared" si="267"/>
        <v>6.1188092911604715</v>
      </c>
      <c r="AR91" s="69">
        <f t="shared" si="268"/>
        <v>3820.3263000000011</v>
      </c>
      <c r="AS91" s="140">
        <f t="shared" si="269"/>
        <v>7.5116803534702754</v>
      </c>
      <c r="AT91" s="1073"/>
      <c r="AU91" s="71">
        <v>2.9</v>
      </c>
      <c r="AV91" s="71">
        <v>12</v>
      </c>
      <c r="AW91" s="72">
        <f t="shared" si="270"/>
        <v>17.982203999999999</v>
      </c>
      <c r="AX91" s="72">
        <f t="shared" si="271"/>
        <v>2.3058896847806851</v>
      </c>
      <c r="AY91" s="73">
        <f t="shared" si="272"/>
        <v>1248.5230260000003</v>
      </c>
      <c r="AZ91" s="192">
        <f t="shared" si="273"/>
        <v>2.4548965582493456</v>
      </c>
      <c r="BA91" s="1075"/>
      <c r="BB91" s="90">
        <f t="shared" si="217"/>
        <v>27227</v>
      </c>
      <c r="BC91" s="59"/>
      <c r="BD91" s="56">
        <v>27227</v>
      </c>
      <c r="BE91" s="56"/>
      <c r="BF91" s="58">
        <f t="shared" si="256"/>
        <v>46235</v>
      </c>
      <c r="BG91" s="58">
        <f t="shared" si="257"/>
        <v>90.909130233901251</v>
      </c>
      <c r="BH91" s="1133"/>
      <c r="BI91" s="64">
        <f t="shared" si="89"/>
        <v>972</v>
      </c>
      <c r="BJ91" s="64"/>
      <c r="BK91" s="64">
        <v>624</v>
      </c>
      <c r="BL91" s="64">
        <f t="shared" si="225"/>
        <v>348</v>
      </c>
      <c r="BM91" s="65">
        <f t="shared" si="226"/>
        <v>0.57648727089600704</v>
      </c>
      <c r="BN91" s="64">
        <f t="shared" si="238"/>
        <v>10508</v>
      </c>
      <c r="BO91" s="65">
        <f t="shared" si="239"/>
        <v>0.25681410952554767</v>
      </c>
      <c r="BP91" s="1071"/>
      <c r="BQ91" s="77">
        <f t="shared" si="202"/>
        <v>29326</v>
      </c>
      <c r="BR91" s="35"/>
      <c r="BS91" s="35">
        <v>27748</v>
      </c>
      <c r="BT91" s="35">
        <f t="shared" si="240"/>
        <v>1578</v>
      </c>
      <c r="BU91" s="74">
        <f t="shared" si="241"/>
        <v>236849</v>
      </c>
      <c r="BV91" s="74">
        <f t="shared" si="242"/>
        <v>465.70209985442364</v>
      </c>
      <c r="BW91" s="1098"/>
      <c r="BX91" s="295">
        <f>BZ90</f>
        <v>340</v>
      </c>
      <c r="BY91" s="296">
        <v>1250</v>
      </c>
      <c r="BZ91" s="296">
        <v>990</v>
      </c>
      <c r="CA91" s="296">
        <f t="shared" si="274"/>
        <v>600</v>
      </c>
      <c r="CB91" s="297">
        <f t="shared" si="275"/>
        <v>0.99394357051035687</v>
      </c>
      <c r="CC91" s="296">
        <f t="shared" si="186"/>
        <v>6510</v>
      </c>
      <c r="CD91" s="297">
        <f t="shared" si="187"/>
        <v>0.15910352617161355</v>
      </c>
      <c r="CE91" s="1061"/>
    </row>
    <row r="92" spans="1:83">
      <c r="A92" s="30">
        <v>43674</v>
      </c>
      <c r="B92" s="265">
        <v>649994</v>
      </c>
      <c r="C92" s="1">
        <f t="shared" si="219"/>
        <v>41566749</v>
      </c>
      <c r="D92" s="91">
        <v>7641.86</v>
      </c>
      <c r="E92" s="93">
        <f t="shared" si="220"/>
        <v>516226.63999999984</v>
      </c>
      <c r="F92" s="243">
        <f t="shared" si="209"/>
        <v>5000</v>
      </c>
      <c r="G92" s="321">
        <v>18000</v>
      </c>
      <c r="H92" s="240"/>
      <c r="I92" s="240">
        <f t="shared" si="260"/>
        <v>23000</v>
      </c>
      <c r="J92" s="280">
        <f t="shared" si="261"/>
        <v>35.384942014849365</v>
      </c>
      <c r="K92" s="240">
        <f t="shared" si="262"/>
        <v>1109200</v>
      </c>
      <c r="L92" s="280">
        <f t="shared" si="263"/>
        <v>26.684790768698317</v>
      </c>
      <c r="M92" s="280">
        <f t="shared" si="264"/>
        <v>3.2673920373084755</v>
      </c>
      <c r="N92" s="1089"/>
      <c r="O92" s="1084"/>
      <c r="P92" s="77">
        <f t="shared" si="189"/>
        <v>33733</v>
      </c>
      <c r="Q92" s="35"/>
      <c r="R92" s="35">
        <v>33195</v>
      </c>
      <c r="S92" s="35">
        <f t="shared" si="258"/>
        <v>538</v>
      </c>
      <c r="T92" s="36">
        <f t="shared" si="259"/>
        <v>0.82769994799951996</v>
      </c>
      <c r="U92" s="74">
        <f t="shared" si="245"/>
        <v>56203</v>
      </c>
      <c r="V92" s="36">
        <f t="shared" si="246"/>
        <v>1.3521144027886327</v>
      </c>
      <c r="W92" s="1136"/>
      <c r="X92" s="49">
        <f t="shared" si="213"/>
        <v>548</v>
      </c>
      <c r="Y92" s="50"/>
      <c r="Z92" s="50">
        <f>441+50</f>
        <v>491</v>
      </c>
      <c r="AA92" s="50">
        <f t="shared" si="221"/>
        <v>57</v>
      </c>
      <c r="AB92" s="51">
        <f t="shared" si="222"/>
        <v>8.7693117167235393E-2</v>
      </c>
      <c r="AC92" s="50">
        <f t="shared" si="234"/>
        <v>11003</v>
      </c>
      <c r="AD92" s="51">
        <f t="shared" si="235"/>
        <v>0.26470677319508434</v>
      </c>
      <c r="AE92" s="1047"/>
      <c r="AF92" s="40">
        <f t="shared" si="265"/>
        <v>396</v>
      </c>
      <c r="AG92" s="41"/>
      <c r="AH92" s="41">
        <v>307</v>
      </c>
      <c r="AI92" s="41">
        <f t="shared" si="223"/>
        <v>89</v>
      </c>
      <c r="AJ92" s="42">
        <f t="shared" si="224"/>
        <v>0.1369243408400693</v>
      </c>
      <c r="AK92" s="41">
        <f t="shared" si="236"/>
        <v>5359</v>
      </c>
      <c r="AL92" s="42">
        <f t="shared" si="237"/>
        <v>0.12892516564141207</v>
      </c>
      <c r="AM92" s="1058"/>
      <c r="AN92" s="311">
        <v>4.2</v>
      </c>
      <c r="AO92" s="67">
        <v>24</v>
      </c>
      <c r="AP92" s="68">
        <f t="shared" si="266"/>
        <v>50.102640000000008</v>
      </c>
      <c r="AQ92" s="68">
        <f t="shared" si="267"/>
        <v>6.5563409955167993</v>
      </c>
      <c r="AR92" s="69">
        <f t="shared" si="268"/>
        <v>3870.4289400000011</v>
      </c>
      <c r="AS92" s="140">
        <f t="shared" si="269"/>
        <v>7.4975381743181684</v>
      </c>
      <c r="AT92" s="1073"/>
      <c r="AU92" s="71">
        <v>2.8</v>
      </c>
      <c r="AV92" s="71">
        <v>12</v>
      </c>
      <c r="AW92" s="72">
        <f t="shared" si="270"/>
        <v>17.362127999999998</v>
      </c>
      <c r="AX92" s="72">
        <f t="shared" si="271"/>
        <v>2.271976717710086</v>
      </c>
      <c r="AY92" s="73">
        <f t="shared" si="272"/>
        <v>1265.8851540000003</v>
      </c>
      <c r="AZ92" s="192">
        <f t="shared" si="273"/>
        <v>2.4521887402013984</v>
      </c>
      <c r="BA92" s="1075"/>
      <c r="BB92" s="90">
        <f t="shared" si="217"/>
        <v>27227</v>
      </c>
      <c r="BC92" s="59"/>
      <c r="BD92" s="56">
        <v>26774</v>
      </c>
      <c r="BE92" s="56">
        <f t="shared" si="255"/>
        <v>453</v>
      </c>
      <c r="BF92" s="58">
        <f t="shared" si="256"/>
        <v>46688</v>
      </c>
      <c r="BG92" s="58">
        <f t="shared" si="257"/>
        <v>90.440896269901941</v>
      </c>
      <c r="BH92" s="1133"/>
      <c r="BI92" s="64">
        <f t="shared" si="89"/>
        <v>624</v>
      </c>
      <c r="BJ92" s="64"/>
      <c r="BK92" s="64">
        <v>348</v>
      </c>
      <c r="BL92" s="64">
        <f t="shared" si="225"/>
        <v>276</v>
      </c>
      <c r="BM92" s="65">
        <f t="shared" si="226"/>
        <v>0.42461930417819244</v>
      </c>
      <c r="BN92" s="64">
        <f t="shared" si="238"/>
        <v>10784</v>
      </c>
      <c r="BO92" s="65">
        <f t="shared" si="239"/>
        <v>0.2594381388835581</v>
      </c>
      <c r="BP92" s="1071"/>
      <c r="BQ92" s="77">
        <f t="shared" si="202"/>
        <v>27748</v>
      </c>
      <c r="BR92" s="35"/>
      <c r="BS92" s="35">
        <v>24705</v>
      </c>
      <c r="BT92" s="35">
        <f t="shared" si="240"/>
        <v>3043</v>
      </c>
      <c r="BU92" s="74">
        <f t="shared" si="241"/>
        <v>239892</v>
      </c>
      <c r="BV92" s="74">
        <f t="shared" si="242"/>
        <v>464.70286771717178</v>
      </c>
      <c r="BW92" s="1098"/>
      <c r="BX92" s="295">
        <f>BZ91</f>
        <v>990</v>
      </c>
      <c r="BY92" s="296"/>
      <c r="BZ92" s="296">
        <v>600</v>
      </c>
      <c r="CA92" s="296">
        <f t="shared" si="274"/>
        <v>390</v>
      </c>
      <c r="CB92" s="297">
        <f t="shared" si="275"/>
        <v>0.60000553851266314</v>
      </c>
      <c r="CC92" s="296">
        <f t="shared" si="186"/>
        <v>6900</v>
      </c>
      <c r="CD92" s="297">
        <f t="shared" si="187"/>
        <v>0.16599806734945763</v>
      </c>
      <c r="CE92" s="1061"/>
    </row>
    <row r="93" spans="1:83">
      <c r="A93" s="30">
        <v>43675</v>
      </c>
      <c r="B93" s="265">
        <v>607555</v>
      </c>
      <c r="C93" s="1">
        <f t="shared" si="219"/>
        <v>42174304</v>
      </c>
      <c r="D93" s="91">
        <v>6755.78</v>
      </c>
      <c r="E93" s="93">
        <f t="shared" si="220"/>
        <v>522982.41999999987</v>
      </c>
      <c r="F93" s="243"/>
      <c r="G93" s="227"/>
      <c r="H93" s="240"/>
      <c r="I93" s="240"/>
      <c r="J93" s="280">
        <f t="shared" si="261"/>
        <v>0</v>
      </c>
      <c r="K93" s="240">
        <f t="shared" si="262"/>
        <v>1109200</v>
      </c>
      <c r="L93" s="280">
        <f t="shared" si="263"/>
        <v>26.300374749515726</v>
      </c>
      <c r="M93" s="280">
        <f t="shared" si="264"/>
        <v>3.2203226092219572</v>
      </c>
      <c r="N93" s="1089"/>
      <c r="O93" s="1084"/>
      <c r="P93" s="77">
        <f t="shared" si="189"/>
        <v>33195</v>
      </c>
      <c r="Q93" s="35"/>
      <c r="R93" s="35">
        <v>29964</v>
      </c>
      <c r="S93" s="35">
        <f t="shared" si="258"/>
        <v>3231</v>
      </c>
      <c r="T93" s="36">
        <f t="shared" si="259"/>
        <v>5.3180370501436087</v>
      </c>
      <c r="U93" s="74">
        <f t="shared" si="245"/>
        <v>59434</v>
      </c>
      <c r="V93" s="36">
        <f t="shared" si="246"/>
        <v>1.4092467299519631</v>
      </c>
      <c r="W93" s="1136"/>
      <c r="X93" s="49">
        <f t="shared" si="213"/>
        <v>491</v>
      </c>
      <c r="Y93" s="50"/>
      <c r="Z93" s="50">
        <f>308+50</f>
        <v>358</v>
      </c>
      <c r="AA93" s="50">
        <f t="shared" si="221"/>
        <v>133</v>
      </c>
      <c r="AB93" s="51">
        <f t="shared" si="222"/>
        <v>0.2189102221198081</v>
      </c>
      <c r="AC93" s="50">
        <f t="shared" si="234"/>
        <v>11136</v>
      </c>
      <c r="AD93" s="51">
        <f t="shared" si="235"/>
        <v>0.26404703679283004</v>
      </c>
      <c r="AE93" s="1047"/>
      <c r="AF93" s="40">
        <f t="shared" si="265"/>
        <v>307</v>
      </c>
      <c r="AG93" s="41"/>
      <c r="AH93" s="41">
        <v>208</v>
      </c>
      <c r="AI93" s="41">
        <f t="shared" si="223"/>
        <v>99</v>
      </c>
      <c r="AJ93" s="42">
        <f t="shared" si="224"/>
        <v>0.1629482104500827</v>
      </c>
      <c r="AK93" s="41">
        <f t="shared" si="236"/>
        <v>5458</v>
      </c>
      <c r="AL93" s="42">
        <f t="shared" si="237"/>
        <v>0.12941529515223299</v>
      </c>
      <c r="AM93" s="1058"/>
      <c r="AN93" s="67">
        <v>4.4000000000000004</v>
      </c>
      <c r="AO93" s="67">
        <v>24</v>
      </c>
      <c r="AP93" s="68">
        <f t="shared" si="266"/>
        <v>52.488480000000003</v>
      </c>
      <c r="AQ93" s="68">
        <f t="shared" si="267"/>
        <v>7.7694181870931267</v>
      </c>
      <c r="AR93" s="69">
        <f t="shared" si="268"/>
        <v>3922.9174200000011</v>
      </c>
      <c r="AS93" s="140">
        <f t="shared" si="269"/>
        <v>7.5010502647488657</v>
      </c>
      <c r="AT93" s="1073"/>
      <c r="AU93" s="71">
        <v>2.7</v>
      </c>
      <c r="AV93" s="71">
        <v>12</v>
      </c>
      <c r="AW93" s="72">
        <f t="shared" si="270"/>
        <v>16.742052000000005</v>
      </c>
      <c r="AX93" s="72">
        <f t="shared" si="271"/>
        <v>2.4781819419815334</v>
      </c>
      <c r="AY93" s="73">
        <f t="shared" si="272"/>
        <v>1282.6272060000003</v>
      </c>
      <c r="AZ93" s="192">
        <f t="shared" si="273"/>
        <v>2.4525245150687867</v>
      </c>
      <c r="BA93" s="1075"/>
      <c r="BB93" s="90">
        <f t="shared" si="217"/>
        <v>26774</v>
      </c>
      <c r="BC93" s="59"/>
      <c r="BD93" s="56">
        <v>26774</v>
      </c>
      <c r="BE93" s="56"/>
      <c r="BF93" s="58">
        <f>BF92+BE93</f>
        <v>46688</v>
      </c>
      <c r="BG93" s="58">
        <f t="shared" ref="BG93:BG103" si="276">BF93*1000/E93</f>
        <v>89.272599258690207</v>
      </c>
      <c r="BH93" s="1133"/>
      <c r="BI93" s="64">
        <f t="shared" si="89"/>
        <v>348</v>
      </c>
      <c r="BJ93" s="64">
        <v>1100</v>
      </c>
      <c r="BK93" s="64">
        <v>948</v>
      </c>
      <c r="BL93" s="64">
        <f t="shared" si="225"/>
        <v>500</v>
      </c>
      <c r="BM93" s="65">
        <f t="shared" si="226"/>
        <v>0.82297075984890256</v>
      </c>
      <c r="BN93" s="64">
        <f t="shared" si="238"/>
        <v>11284</v>
      </c>
      <c r="BO93" s="65">
        <f t="shared" si="239"/>
        <v>0.26755628261227499</v>
      </c>
      <c r="BP93" s="1071"/>
      <c r="BQ93" s="77">
        <f t="shared" si="202"/>
        <v>24705</v>
      </c>
      <c r="BR93" s="35"/>
      <c r="BS93" s="35">
        <v>24705</v>
      </c>
      <c r="BT93" s="35">
        <f t="shared" si="240"/>
        <v>0</v>
      </c>
      <c r="BU93" s="74">
        <f t="shared" si="241"/>
        <v>239892</v>
      </c>
      <c r="BV93" s="74">
        <f t="shared" si="242"/>
        <v>458.69993106078033</v>
      </c>
      <c r="BW93" s="1098"/>
      <c r="BX93" s="295">
        <f>BZ92</f>
        <v>600</v>
      </c>
      <c r="BY93" s="296">
        <v>1250</v>
      </c>
      <c r="BZ93" s="296">
        <v>1200</v>
      </c>
      <c r="CA93" s="296">
        <f t="shared" si="274"/>
        <v>650</v>
      </c>
      <c r="CB93" s="297">
        <f t="shared" si="275"/>
        <v>1.0698619878035733</v>
      </c>
      <c r="CC93" s="296">
        <f t="shared" si="186"/>
        <v>7550</v>
      </c>
      <c r="CD93" s="297">
        <f t="shared" si="187"/>
        <v>0.17901895903249523</v>
      </c>
      <c r="CE93" s="1061"/>
    </row>
    <row r="94" spans="1:83">
      <c r="A94" s="30">
        <v>43676</v>
      </c>
      <c r="B94" s="265">
        <v>585864</v>
      </c>
      <c r="C94" s="1">
        <f t="shared" si="219"/>
        <v>42760168</v>
      </c>
      <c r="D94" s="91">
        <v>5211.22</v>
      </c>
      <c r="E94" s="93">
        <f t="shared" si="220"/>
        <v>528193.6399999999</v>
      </c>
      <c r="F94" s="243"/>
      <c r="G94" s="321">
        <v>31680</v>
      </c>
      <c r="H94" s="240">
        <v>2500</v>
      </c>
      <c r="I94" s="240">
        <f t="shared" si="260"/>
        <v>29180</v>
      </c>
      <c r="J94" s="280">
        <f t="shared" si="261"/>
        <v>49.806781095954008</v>
      </c>
      <c r="K94" s="240">
        <f t="shared" si="262"/>
        <v>1138380</v>
      </c>
      <c r="L94" s="280">
        <f t="shared" si="263"/>
        <v>26.622439836999703</v>
      </c>
      <c r="M94" s="280">
        <f t="shared" si="264"/>
        <v>3.2597575409574757</v>
      </c>
      <c r="N94" s="1089"/>
      <c r="O94" s="1084"/>
      <c r="P94" s="77">
        <f t="shared" si="189"/>
        <v>29964</v>
      </c>
      <c r="Q94" s="35"/>
      <c r="R94" s="35">
        <v>29694</v>
      </c>
      <c r="S94" s="35">
        <f t="shared" si="258"/>
        <v>270</v>
      </c>
      <c r="T94" s="36">
        <f t="shared" si="259"/>
        <v>0.46085781000368686</v>
      </c>
      <c r="U94" s="74">
        <f t="shared" si="245"/>
        <v>59704</v>
      </c>
      <c r="V94" s="36">
        <f t="shared" si="246"/>
        <v>1.3962526994748945</v>
      </c>
      <c r="W94" s="1136"/>
      <c r="X94" s="49">
        <f t="shared" si="213"/>
        <v>358</v>
      </c>
      <c r="Y94" s="50">
        <v>900</v>
      </c>
      <c r="Z94" s="50">
        <f>1007+35</f>
        <v>1042</v>
      </c>
      <c r="AA94" s="50">
        <f t="shared" si="221"/>
        <v>216</v>
      </c>
      <c r="AB94" s="51">
        <f t="shared" si="222"/>
        <v>0.36868624800294947</v>
      </c>
      <c r="AC94" s="50">
        <f t="shared" si="234"/>
        <v>11352</v>
      </c>
      <c r="AD94" s="51">
        <f t="shared" si="235"/>
        <v>0.26548071560429792</v>
      </c>
      <c r="AE94" s="1047"/>
      <c r="AF94" s="40">
        <f t="shared" si="265"/>
        <v>208</v>
      </c>
      <c r="AG94" s="41">
        <v>1000</v>
      </c>
      <c r="AH94" s="41">
        <v>1100</v>
      </c>
      <c r="AI94" s="41">
        <f t="shared" si="223"/>
        <v>108</v>
      </c>
      <c r="AJ94" s="42">
        <f t="shared" si="224"/>
        <v>0.18434312400147473</v>
      </c>
      <c r="AK94" s="41">
        <f t="shared" si="236"/>
        <v>5566</v>
      </c>
      <c r="AL94" s="42">
        <f t="shared" si="237"/>
        <v>0.13016787024784374</v>
      </c>
      <c r="AM94" s="1058"/>
      <c r="AN94" s="67">
        <v>2.9</v>
      </c>
      <c r="AO94" s="67">
        <v>24</v>
      </c>
      <c r="AP94" s="68">
        <f t="shared" si="266"/>
        <v>34.594679999999997</v>
      </c>
      <c r="AQ94" s="68">
        <f t="shared" si="267"/>
        <v>6.6384992381822299</v>
      </c>
      <c r="AR94" s="69">
        <f t="shared" si="268"/>
        <v>3957.5121000000013</v>
      </c>
      <c r="AS94" s="140">
        <f t="shared" si="269"/>
        <v>7.4925402358120072</v>
      </c>
      <c r="AT94" s="1073"/>
      <c r="AU94" s="71">
        <v>2.1</v>
      </c>
      <c r="AV94" s="71">
        <v>12</v>
      </c>
      <c r="AW94" s="72">
        <f t="shared" si="270"/>
        <v>13.021596000000002</v>
      </c>
      <c r="AX94" s="72">
        <f t="shared" si="271"/>
        <v>2.4987615184160337</v>
      </c>
      <c r="AY94" s="73">
        <f t="shared" si="272"/>
        <v>1295.6488020000004</v>
      </c>
      <c r="AZ94" s="192">
        <f t="shared" si="273"/>
        <v>2.4529806947315773</v>
      </c>
      <c r="BA94" s="1075"/>
      <c r="BB94" s="90">
        <f t="shared" si="217"/>
        <v>26774</v>
      </c>
      <c r="BC94" s="59"/>
      <c r="BD94" s="56">
        <v>26774</v>
      </c>
      <c r="BE94" s="56"/>
      <c r="BF94" s="58">
        <f>BF93+BE94</f>
        <v>46688</v>
      </c>
      <c r="BG94" s="58">
        <f t="shared" si="276"/>
        <v>88.391825391914992</v>
      </c>
      <c r="BH94" s="1133"/>
      <c r="BI94" s="64">
        <f>BK93</f>
        <v>948</v>
      </c>
      <c r="BJ94" s="64"/>
      <c r="BK94" s="64">
        <v>620</v>
      </c>
      <c r="BL94" s="64">
        <f t="shared" si="225"/>
        <v>328</v>
      </c>
      <c r="BM94" s="65">
        <f t="shared" si="226"/>
        <v>0.55985689511559</v>
      </c>
      <c r="BN94" s="64">
        <f t="shared" si="238"/>
        <v>11612</v>
      </c>
      <c r="BO94" s="65">
        <f t="shared" si="239"/>
        <v>0.27156114073265569</v>
      </c>
      <c r="BP94" s="1071"/>
      <c r="BQ94" s="77">
        <f t="shared" si="202"/>
        <v>24705</v>
      </c>
      <c r="BR94" s="35"/>
      <c r="BS94" s="35">
        <v>19160</v>
      </c>
      <c r="BT94" s="35">
        <f t="shared" si="240"/>
        <v>5545</v>
      </c>
      <c r="BU94" s="74">
        <f t="shared" si="241"/>
        <v>245437</v>
      </c>
      <c r="BV94" s="74">
        <f t="shared" si="242"/>
        <v>464.672387952267</v>
      </c>
      <c r="BW94" s="1098"/>
      <c r="BX94" s="295">
        <f>BZ93</f>
        <v>1200</v>
      </c>
      <c r="BY94" s="296"/>
      <c r="BZ94" s="296">
        <v>865</v>
      </c>
      <c r="CA94" s="296">
        <f t="shared" si="274"/>
        <v>335</v>
      </c>
      <c r="CB94" s="297">
        <f t="shared" si="275"/>
        <v>0.57180506056013003</v>
      </c>
      <c r="CC94" s="296">
        <f t="shared" si="186"/>
        <v>7885</v>
      </c>
      <c r="CD94" s="297">
        <f t="shared" si="187"/>
        <v>0.18440058514269636</v>
      </c>
      <c r="CE94" s="1061"/>
    </row>
    <row r="95" spans="1:83" ht="15.75" thickBot="1">
      <c r="A95" s="30">
        <v>43677</v>
      </c>
      <c r="B95" s="282">
        <v>438988</v>
      </c>
      <c r="C95" s="1">
        <f t="shared" si="219"/>
        <v>43199156</v>
      </c>
      <c r="D95" s="110">
        <v>6278.14</v>
      </c>
      <c r="E95" s="93">
        <f t="shared" si="220"/>
        <v>534471.77999999991</v>
      </c>
      <c r="F95" s="243">
        <f t="shared" si="209"/>
        <v>2500</v>
      </c>
      <c r="G95" s="324">
        <v>30830</v>
      </c>
      <c r="H95" s="231">
        <v>2600</v>
      </c>
      <c r="I95" s="231">
        <f t="shared" si="260"/>
        <v>30730</v>
      </c>
      <c r="J95" s="230">
        <f t="shared" si="261"/>
        <v>70.001913491940556</v>
      </c>
      <c r="K95" s="240">
        <f t="shared" ref="K95:K102" si="277">K94+I95</f>
        <v>1169110</v>
      </c>
      <c r="L95" s="280">
        <f t="shared" ref="L95:L102" si="278">K95*1000/C95</f>
        <v>27.063260217398692</v>
      </c>
      <c r="M95" s="280">
        <f t="shared" ref="M95:M102" si="279">L95/8.167</f>
        <v>3.3137333436266307</v>
      </c>
      <c r="N95" s="1090"/>
      <c r="O95" s="1085"/>
      <c r="P95" s="77">
        <f t="shared" si="189"/>
        <v>29694</v>
      </c>
      <c r="Q95" s="76"/>
      <c r="R95" s="76">
        <v>28350</v>
      </c>
      <c r="S95" s="35">
        <f t="shared" si="258"/>
        <v>1344</v>
      </c>
      <c r="T95" s="36">
        <f t="shared" si="259"/>
        <v>3.0615871048866938</v>
      </c>
      <c r="U95" s="74">
        <f t="shared" si="245"/>
        <v>61048</v>
      </c>
      <c r="V95" s="36">
        <f t="shared" si="246"/>
        <v>1.4131757574152606</v>
      </c>
      <c r="W95" s="1137"/>
      <c r="X95" s="49">
        <f>Z94</f>
        <v>1042</v>
      </c>
      <c r="Y95" s="50"/>
      <c r="Z95" s="82">
        <f>886+87</f>
        <v>973</v>
      </c>
      <c r="AA95" s="50">
        <f t="shared" si="221"/>
        <v>69</v>
      </c>
      <c r="AB95" s="51">
        <f t="shared" si="222"/>
        <v>0.15717969511695082</v>
      </c>
      <c r="AC95" s="50">
        <f t="shared" si="234"/>
        <v>11421</v>
      </c>
      <c r="AD95" s="51">
        <f t="shared" si="235"/>
        <v>0.26438016520507945</v>
      </c>
      <c r="AE95" s="1048"/>
      <c r="AF95" s="40">
        <f t="shared" si="265"/>
        <v>1100</v>
      </c>
      <c r="AG95" s="96"/>
      <c r="AH95" s="96">
        <v>1023</v>
      </c>
      <c r="AI95" s="41">
        <f t="shared" si="223"/>
        <v>77</v>
      </c>
      <c r="AJ95" s="42">
        <f t="shared" si="224"/>
        <v>0.17540342788413352</v>
      </c>
      <c r="AK95" s="41">
        <f t="shared" si="236"/>
        <v>5643</v>
      </c>
      <c r="AL95" s="42">
        <f t="shared" si="237"/>
        <v>0.13062755207532295</v>
      </c>
      <c r="AM95" s="1059"/>
      <c r="AN95" s="215">
        <v>2.8</v>
      </c>
      <c r="AO95" s="101">
        <v>24</v>
      </c>
      <c r="AP95" s="111">
        <f t="shared" si="266"/>
        <v>33.401759999999996</v>
      </c>
      <c r="AQ95" s="111">
        <f t="shared" si="267"/>
        <v>5.3203273581028769</v>
      </c>
      <c r="AR95" s="112">
        <f>AR94+AP95</f>
        <v>3990.9138600000015</v>
      </c>
      <c r="AS95" s="181">
        <f t="shared" si="269"/>
        <v>7.4670244704032864</v>
      </c>
      <c r="AT95" s="1074"/>
      <c r="AU95" s="113">
        <v>2.2000000000000002</v>
      </c>
      <c r="AV95" s="104">
        <v>12</v>
      </c>
      <c r="AW95" s="72">
        <f t="shared" si="270"/>
        <v>13.641672000000002</v>
      </c>
      <c r="AX95" s="72">
        <f t="shared" si="271"/>
        <v>2.1728843256123631</v>
      </c>
      <c r="AY95" s="73">
        <f>AY94+AW95</f>
        <v>1309.2904740000004</v>
      </c>
      <c r="AZ95" s="192">
        <f t="shared" si="273"/>
        <v>2.4496905599019665</v>
      </c>
      <c r="BA95" s="1076"/>
      <c r="BB95" s="87">
        <f t="shared" si="217"/>
        <v>26774</v>
      </c>
      <c r="BC95" s="100"/>
      <c r="BD95" s="88">
        <v>26774</v>
      </c>
      <c r="BE95" s="88"/>
      <c r="BF95" s="89">
        <f>BF94+BE95</f>
        <v>46688</v>
      </c>
      <c r="BG95" s="89">
        <f t="shared" si="276"/>
        <v>87.353536233475239</v>
      </c>
      <c r="BH95" s="1134"/>
      <c r="BI95" s="207">
        <f>BK94</f>
        <v>620</v>
      </c>
      <c r="BJ95" s="85">
        <v>1100</v>
      </c>
      <c r="BK95" s="85">
        <v>1548</v>
      </c>
      <c r="BL95" s="85">
        <f t="shared" si="225"/>
        <v>172</v>
      </c>
      <c r="BM95" s="86">
        <f t="shared" si="226"/>
        <v>0.39181025449442808</v>
      </c>
      <c r="BN95" s="85">
        <f t="shared" si="238"/>
        <v>11784</v>
      </c>
      <c r="BO95" s="86">
        <f t="shared" si="239"/>
        <v>0.27278310715144527</v>
      </c>
      <c r="BP95" s="1072"/>
      <c r="BQ95" s="79">
        <v>19160</v>
      </c>
      <c r="BR95" s="76"/>
      <c r="BS95" s="76">
        <v>19160</v>
      </c>
      <c r="BT95" s="35"/>
      <c r="BU95" s="74">
        <f t="shared" si="241"/>
        <v>245437</v>
      </c>
      <c r="BV95" s="74">
        <f t="shared" ref="BV95:BV101" si="280">BU95*1000/E95</f>
        <v>459.21414223216806</v>
      </c>
      <c r="BW95" s="1099"/>
      <c r="BX95" s="305">
        <v>865</v>
      </c>
      <c r="BY95" s="299"/>
      <c r="BZ95" s="299">
        <v>840</v>
      </c>
      <c r="CA95" s="299">
        <f t="shared" si="274"/>
        <v>25</v>
      </c>
      <c r="CB95" s="300">
        <f t="shared" si="275"/>
        <v>5.6949164897445941E-2</v>
      </c>
      <c r="CC95" s="299">
        <f t="shared" si="186"/>
        <v>7910</v>
      </c>
      <c r="CD95" s="300">
        <f t="shared" si="187"/>
        <v>0.18310542918940362</v>
      </c>
      <c r="CE95" s="1062"/>
    </row>
    <row r="96" spans="1:83">
      <c r="A96" s="30">
        <v>43678</v>
      </c>
      <c r="B96" s="265">
        <v>629331</v>
      </c>
      <c r="C96" s="217">
        <f>C95+B96</f>
        <v>43828487</v>
      </c>
      <c r="D96" s="29">
        <v>7553.62</v>
      </c>
      <c r="E96" s="205">
        <f>E95+D96</f>
        <v>542025.39999999991</v>
      </c>
      <c r="F96" s="241">
        <f>H95</f>
        <v>2600</v>
      </c>
      <c r="G96" s="323">
        <v>31980</v>
      </c>
      <c r="H96" s="241">
        <v>34500</v>
      </c>
      <c r="I96" s="241">
        <f>F96+G96-H96</f>
        <v>80</v>
      </c>
      <c r="J96" s="313">
        <f t="shared" si="261"/>
        <v>0.12711911537807608</v>
      </c>
      <c r="K96" s="241">
        <f t="shared" si="277"/>
        <v>1169190</v>
      </c>
      <c r="L96" s="313">
        <f t="shared" si="278"/>
        <v>26.676485546945756</v>
      </c>
      <c r="M96" s="313">
        <f t="shared" si="279"/>
        <v>3.2663751128867093</v>
      </c>
      <c r="N96" s="1052">
        <f>1000*SUM(I96:I126)/SUM(B96:B126)</f>
        <v>23.363623283480845</v>
      </c>
      <c r="O96" s="1083">
        <f>N96/8.167</f>
        <v>2.8607350659337389</v>
      </c>
      <c r="P96" s="117">
        <f>R95</f>
        <v>28350</v>
      </c>
      <c r="Q96" s="118"/>
      <c r="R96" s="35">
        <v>28350</v>
      </c>
      <c r="S96" s="118"/>
      <c r="T96" s="119"/>
      <c r="U96" s="120">
        <f t="shared" si="245"/>
        <v>61048</v>
      </c>
      <c r="V96" s="119">
        <f t="shared" si="246"/>
        <v>1.3928840390953947</v>
      </c>
      <c r="W96" s="1178">
        <f>1000*SUM(S96:S126)/SUM(B96:B126)</f>
        <v>4.8589757735221273</v>
      </c>
      <c r="X96" s="121">
        <f>Z95</f>
        <v>973</v>
      </c>
      <c r="Y96" s="122"/>
      <c r="Z96" s="50">
        <v>973</v>
      </c>
      <c r="AA96" s="122">
        <f>X96-Z96+Y96</f>
        <v>0</v>
      </c>
      <c r="AB96" s="123">
        <f t="shared" si="222"/>
        <v>0</v>
      </c>
      <c r="AC96" s="122">
        <f t="shared" si="234"/>
        <v>11421</v>
      </c>
      <c r="AD96" s="123">
        <f t="shared" si="235"/>
        <v>0.26058394395407719</v>
      </c>
      <c r="AE96" s="1049">
        <f>1000*SUM(AA96:AA126)/SUM(B96:B126)</f>
        <v>0.14083198482804937</v>
      </c>
      <c r="AF96" s="124">
        <f>AH95</f>
        <v>1023</v>
      </c>
      <c r="AG96" s="125"/>
      <c r="AH96" s="41">
        <v>1023</v>
      </c>
      <c r="AI96" s="125">
        <f t="shared" si="223"/>
        <v>0</v>
      </c>
      <c r="AJ96" s="126">
        <f t="shared" si="224"/>
        <v>0</v>
      </c>
      <c r="AK96" s="125">
        <f t="shared" si="236"/>
        <v>5643</v>
      </c>
      <c r="AL96" s="126">
        <f t="shared" si="237"/>
        <v>0.12875187774563152</v>
      </c>
      <c r="AM96" s="1057">
        <f>1000*SUM(AI96:AI126)/SUM(B96:B126)</f>
        <v>0.1131666142585795</v>
      </c>
      <c r="AN96" s="311">
        <v>4.9000000000000004</v>
      </c>
      <c r="AO96" s="67">
        <v>24</v>
      </c>
      <c r="AP96" s="68">
        <f t="shared" si="266"/>
        <v>58.45308</v>
      </c>
      <c r="AQ96" s="68">
        <f t="shared" si="267"/>
        <v>7.7384194598086751</v>
      </c>
      <c r="AR96" s="69">
        <f>AR95+AP96</f>
        <v>4049.3669400000017</v>
      </c>
      <c r="AS96" s="140">
        <f t="shared" si="269"/>
        <v>7.4708066079560158</v>
      </c>
      <c r="AT96" s="1064">
        <f>1000*SUM(AP96:AP126)/SUM(D96:D126)</f>
        <v>7.7205795175329772</v>
      </c>
      <c r="AU96" s="70">
        <v>2.9</v>
      </c>
      <c r="AV96" s="71">
        <v>12</v>
      </c>
      <c r="AW96" s="138">
        <f t="shared" si="270"/>
        <v>17.982203999999999</v>
      </c>
      <c r="AX96" s="138">
        <f t="shared" si="271"/>
        <v>2.3806074438481151</v>
      </c>
      <c r="AY96" s="139">
        <f>AY95+AW96</f>
        <v>1327.2726780000003</v>
      </c>
      <c r="AZ96" s="194">
        <f t="shared" si="273"/>
        <v>2.4487278234562448</v>
      </c>
      <c r="BA96" s="1065">
        <f>1000*SUM(AW95:AW126)/SUM(D96:D126)</f>
        <v>2.5737719304198916</v>
      </c>
      <c r="BB96" s="90">
        <f>BD95</f>
        <v>26774</v>
      </c>
      <c r="BC96" s="59"/>
      <c r="BD96" s="56">
        <v>26774</v>
      </c>
      <c r="BE96" s="56"/>
      <c r="BF96" s="58">
        <f>BF95+BE96</f>
        <v>46688</v>
      </c>
      <c r="BG96" s="58">
        <f t="shared" si="276"/>
        <v>86.136184761821141</v>
      </c>
      <c r="BH96" s="1132">
        <f>1000*SUM(BE96:BE126)/SUM(D96:D126)</f>
        <v>56.831644662354833</v>
      </c>
      <c r="BI96" s="63">
        <f>BK95</f>
        <v>1548</v>
      </c>
      <c r="BJ96" s="64"/>
      <c r="BK96" s="64">
        <v>1548</v>
      </c>
      <c r="BL96" s="64"/>
      <c r="BM96" s="65"/>
      <c r="BN96" s="64">
        <f t="shared" si="238"/>
        <v>11784</v>
      </c>
      <c r="BO96" s="65">
        <f t="shared" si="239"/>
        <v>0.26886622848742187</v>
      </c>
      <c r="BP96" s="1067">
        <f>1000*SUM(BL96:BL126)/SUM(B96:B126)</f>
        <v>0.37010602045298668</v>
      </c>
      <c r="BQ96" s="118">
        <f>BS95</f>
        <v>19160</v>
      </c>
      <c r="BR96" s="35"/>
      <c r="BS96" s="35">
        <v>19160</v>
      </c>
      <c r="BT96" s="118"/>
      <c r="BU96" s="120">
        <f t="shared" si="241"/>
        <v>245437</v>
      </c>
      <c r="BV96" s="120">
        <f t="shared" si="280"/>
        <v>452.8145728963994</v>
      </c>
      <c r="BW96" s="1063">
        <f>1000*SUM(BT96:BT126)/SUM(D96:D126)</f>
        <v>469.21515970842955</v>
      </c>
      <c r="BX96" s="295">
        <f>BZ95</f>
        <v>840</v>
      </c>
      <c r="BY96" s="296"/>
      <c r="BZ96" s="296">
        <v>840</v>
      </c>
      <c r="CA96" s="296"/>
      <c r="CB96" s="297"/>
      <c r="CC96" s="296">
        <f t="shared" si="186"/>
        <v>7910</v>
      </c>
      <c r="CD96" s="297">
        <f t="shared" si="187"/>
        <v>0.1804762277100736</v>
      </c>
      <c r="CE96" s="1060">
        <f>1000*SUM(CA96:CA126)/SUM(B95:B126)</f>
        <v>0</v>
      </c>
    </row>
    <row r="97" spans="1:83">
      <c r="A97" s="30">
        <v>43679</v>
      </c>
      <c r="B97" s="265">
        <v>663829</v>
      </c>
      <c r="C97" s="114">
        <f>C96+B97</f>
        <v>44492316</v>
      </c>
      <c r="D97" s="29">
        <v>7542.06</v>
      </c>
      <c r="E97" s="93">
        <f>E96+D97</f>
        <v>549567.46</v>
      </c>
      <c r="F97" s="240">
        <f>H96</f>
        <v>34500</v>
      </c>
      <c r="G97" s="321">
        <v>32190</v>
      </c>
      <c r="H97" s="240">
        <v>34400</v>
      </c>
      <c r="I97" s="240">
        <f>F97-H97+G97</f>
        <v>32290</v>
      </c>
      <c r="J97" s="280">
        <f t="shared" si="261"/>
        <v>48.642044863963463</v>
      </c>
      <c r="K97" s="240">
        <f t="shared" si="277"/>
        <v>1201480</v>
      </c>
      <c r="L97" s="280">
        <f t="shared" si="278"/>
        <v>27.004213491606055</v>
      </c>
      <c r="M97" s="280">
        <f t="shared" si="279"/>
        <v>3.3065034274037046</v>
      </c>
      <c r="N97" s="1089"/>
      <c r="O97" s="1084"/>
      <c r="P97" s="77">
        <f>R96</f>
        <v>28350</v>
      </c>
      <c r="Q97" s="35"/>
      <c r="R97" s="35">
        <v>27009</v>
      </c>
      <c r="S97" s="35">
        <f>P97+Q97-R97</f>
        <v>1341</v>
      </c>
      <c r="T97" s="36">
        <f>1000*S97/B97</f>
        <v>2.0200985494758439</v>
      </c>
      <c r="U97" s="74">
        <f t="shared" si="245"/>
        <v>62389</v>
      </c>
      <c r="V97" s="36">
        <f t="shared" si="246"/>
        <v>1.402242130978302</v>
      </c>
      <c r="W97" s="1179"/>
      <c r="X97" s="49">
        <f>Z96</f>
        <v>973</v>
      </c>
      <c r="Y97" s="50"/>
      <c r="Z97" s="50">
        <f>707+60</f>
        <v>767</v>
      </c>
      <c r="AA97" s="50">
        <f>X97-Z97+Y97</f>
        <v>206</v>
      </c>
      <c r="AB97" s="51">
        <f t="shared" si="222"/>
        <v>0.31032088082924969</v>
      </c>
      <c r="AC97" s="50">
        <f t="shared" si="234"/>
        <v>11627</v>
      </c>
      <c r="AD97" s="51">
        <f t="shared" si="235"/>
        <v>0.26132602312722941</v>
      </c>
      <c r="AE97" s="1050"/>
      <c r="AF97" s="40">
        <f>AH96</f>
        <v>1023</v>
      </c>
      <c r="AG97" s="41"/>
      <c r="AH97" s="41">
        <v>825</v>
      </c>
      <c r="AI97" s="41">
        <f t="shared" si="223"/>
        <v>198</v>
      </c>
      <c r="AJ97" s="42">
        <f t="shared" si="224"/>
        <v>0.2982695844863662</v>
      </c>
      <c r="AK97" s="41">
        <f t="shared" si="236"/>
        <v>5841</v>
      </c>
      <c r="AL97" s="42">
        <f t="shared" si="237"/>
        <v>0.13128109581888253</v>
      </c>
      <c r="AM97" s="1058"/>
      <c r="AN97" s="311">
        <v>5</v>
      </c>
      <c r="AO97" s="67">
        <v>24</v>
      </c>
      <c r="AP97" s="68">
        <f t="shared" si="266"/>
        <v>59.646000000000001</v>
      </c>
      <c r="AQ97" s="68">
        <f t="shared" si="267"/>
        <v>7.9084494156768832</v>
      </c>
      <c r="AR97" s="69">
        <f>AR96+AP97</f>
        <v>4109.0129400000014</v>
      </c>
      <c r="AS97" s="140">
        <f t="shared" si="269"/>
        <v>7.4768126555382333</v>
      </c>
      <c r="AT97" s="1073"/>
      <c r="AU97" s="70">
        <v>2.8</v>
      </c>
      <c r="AV97" s="71">
        <v>12</v>
      </c>
      <c r="AW97" s="72">
        <f t="shared" si="270"/>
        <v>17.362127999999998</v>
      </c>
      <c r="AX97" s="72">
        <f t="shared" si="271"/>
        <v>2.3020405565588176</v>
      </c>
      <c r="AY97" s="73">
        <f>AY96+AW97</f>
        <v>1344.6348060000003</v>
      </c>
      <c r="AZ97" s="192">
        <f t="shared" si="273"/>
        <v>2.4467147418080399</v>
      </c>
      <c r="BA97" s="1075"/>
      <c r="BB97" s="90">
        <f>BD96</f>
        <v>26774</v>
      </c>
      <c r="BC97" s="59"/>
      <c r="BD97" s="56">
        <v>26774</v>
      </c>
      <c r="BE97" s="56"/>
      <c r="BF97" s="58">
        <f>BF96+BE97</f>
        <v>46688</v>
      </c>
      <c r="BG97" s="58">
        <f t="shared" si="276"/>
        <v>84.954083707940072</v>
      </c>
      <c r="BH97" s="1133"/>
      <c r="BI97" s="63">
        <f>BK96</f>
        <v>1548</v>
      </c>
      <c r="BJ97" s="64"/>
      <c r="BK97" s="64">
        <v>1320</v>
      </c>
      <c r="BL97" s="64">
        <f>BI97-BK97+BJ97</f>
        <v>228</v>
      </c>
      <c r="BM97" s="65">
        <f>BL97*1000/B97</f>
        <v>0.34346194577217926</v>
      </c>
      <c r="BN97" s="64">
        <f t="shared" si="238"/>
        <v>12012</v>
      </c>
      <c r="BO97" s="65">
        <f t="shared" si="239"/>
        <v>0.26997920270097875</v>
      </c>
      <c r="BP97" s="1071"/>
      <c r="BQ97" s="35">
        <f>BS96</f>
        <v>19160</v>
      </c>
      <c r="BR97" s="35"/>
      <c r="BS97" s="35">
        <v>19160</v>
      </c>
      <c r="BT97" s="35"/>
      <c r="BU97" s="74">
        <f t="shared" si="241"/>
        <v>245437</v>
      </c>
      <c r="BV97" s="74">
        <f t="shared" si="280"/>
        <v>446.60031363574552</v>
      </c>
      <c r="BW97" s="1098"/>
      <c r="BX97" s="295">
        <f>BZ96</f>
        <v>840</v>
      </c>
      <c r="BY97" s="296"/>
      <c r="BZ97" s="296">
        <v>840</v>
      </c>
      <c r="CA97" s="296"/>
      <c r="CB97" s="297"/>
      <c r="CC97" s="296">
        <f t="shared" si="186"/>
        <v>7910</v>
      </c>
      <c r="CD97" s="297">
        <f t="shared" si="187"/>
        <v>0.17778350760612238</v>
      </c>
      <c r="CE97" s="1061"/>
    </row>
    <row r="98" spans="1:83">
      <c r="A98" s="30">
        <v>43680</v>
      </c>
      <c r="B98" s="265">
        <v>664631</v>
      </c>
      <c r="C98" s="114">
        <f t="shared" ref="C98:C126" si="281">C97+B98</f>
        <v>45156947</v>
      </c>
      <c r="D98" s="29">
        <v>6694.08</v>
      </c>
      <c r="E98" s="93">
        <f t="shared" ref="E98:E126" si="282">E97+D98</f>
        <v>556261.53999999992</v>
      </c>
      <c r="F98" s="240">
        <f t="shared" ref="F98:F121" si="283">H97</f>
        <v>34400</v>
      </c>
      <c r="G98" s="227"/>
      <c r="H98" s="240">
        <v>34000</v>
      </c>
      <c r="I98" s="240">
        <f>F98-H98+G98</f>
        <v>400</v>
      </c>
      <c r="J98" s="280">
        <f>I98*1000/B98</f>
        <v>0.60183771145191844</v>
      </c>
      <c r="K98" s="240">
        <f t="shared" si="277"/>
        <v>1201880</v>
      </c>
      <c r="L98" s="280">
        <f t="shared" si="278"/>
        <v>26.615616861786517</v>
      </c>
      <c r="M98" s="280">
        <f t="shared" si="279"/>
        <v>3.2589221087041165</v>
      </c>
      <c r="N98" s="1089"/>
      <c r="O98" s="1084"/>
      <c r="P98" s="77">
        <f t="shared" ref="P98:P126" si="284">R97</f>
        <v>27009</v>
      </c>
      <c r="Q98" s="35"/>
      <c r="R98" s="35">
        <v>25140</v>
      </c>
      <c r="S98" s="35">
        <f t="shared" ref="S98:S103" si="285">P98+Q98-R98</f>
        <v>1869</v>
      </c>
      <c r="T98" s="36">
        <f t="shared" ref="T98:T103" si="286">1000*S98/B98</f>
        <v>2.8120867067590889</v>
      </c>
      <c r="U98" s="74">
        <f t="shared" ref="U98:U103" si="287">U97+S98</f>
        <v>64258</v>
      </c>
      <c r="V98" s="36">
        <f t="shared" ref="V98:V103" si="288">1000*U98/C98</f>
        <v>1.4229925685631493</v>
      </c>
      <c r="W98" s="1179"/>
      <c r="X98" s="49">
        <f t="shared" ref="X98:X126" si="289">Z97</f>
        <v>767</v>
      </c>
      <c r="Y98" s="50"/>
      <c r="Z98" s="50">
        <f>581+62</f>
        <v>643</v>
      </c>
      <c r="AA98" s="50">
        <f t="shared" ref="AA98:AA103" si="290">X98-Z98+Y98</f>
        <v>124</v>
      </c>
      <c r="AB98" s="51">
        <f t="shared" ref="AB98:AB103" si="291">AA98*1000/B98</f>
        <v>0.1865696905500947</v>
      </c>
      <c r="AC98" s="50">
        <f t="shared" ref="AC98:AC103" si="292">AC97+AA98</f>
        <v>11751</v>
      </c>
      <c r="AD98" s="51">
        <f t="shared" ref="AD98:AD103" si="293">AC98*1000/C98</f>
        <v>0.26022574112461588</v>
      </c>
      <c r="AE98" s="1050"/>
      <c r="AF98" s="40">
        <f t="shared" ref="AF98:AF126" si="294">AH97</f>
        <v>825</v>
      </c>
      <c r="AG98" s="41"/>
      <c r="AH98" s="41">
        <v>765</v>
      </c>
      <c r="AI98" s="41">
        <f t="shared" ref="AI98:AI103" si="295">AF98+AG98-AH98</f>
        <v>60</v>
      </c>
      <c r="AJ98" s="42">
        <f t="shared" ref="AJ98:AJ103" si="296">AI98*1000/B98</f>
        <v>9.0275656717787769E-2</v>
      </c>
      <c r="AK98" s="41">
        <f t="shared" ref="AK98:AK103" si="297">AK97+AI98</f>
        <v>5901</v>
      </c>
      <c r="AL98" s="42">
        <f t="shared" ref="AL98:AL103" si="298">AK98*1000/C98</f>
        <v>0.13067756772839403</v>
      </c>
      <c r="AM98" s="1058"/>
      <c r="AN98" s="311">
        <v>4.2</v>
      </c>
      <c r="AO98" s="67">
        <v>24</v>
      </c>
      <c r="AP98" s="68">
        <f t="shared" si="266"/>
        <v>50.102640000000008</v>
      </c>
      <c r="AQ98" s="68">
        <f t="shared" si="267"/>
        <v>7.4846192456618397</v>
      </c>
      <c r="AR98" s="69">
        <f t="shared" ref="AR98:AR103" si="299">AR97+AP98</f>
        <v>4159.1155800000015</v>
      </c>
      <c r="AS98" s="140">
        <f t="shared" ref="AS98:AS103" si="300">AR98*1000/E98</f>
        <v>7.4769066004455427</v>
      </c>
      <c r="AT98" s="1073"/>
      <c r="AU98" s="70">
        <v>2.5</v>
      </c>
      <c r="AV98" s="71">
        <v>12</v>
      </c>
      <c r="AW98" s="72">
        <f t="shared" si="270"/>
        <v>15.501900000000001</v>
      </c>
      <c r="AX98" s="72">
        <f t="shared" si="271"/>
        <v>2.3157625842535499</v>
      </c>
      <c r="AY98" s="73">
        <f t="shared" ref="AY98:AY103" si="301">AY97+AW98</f>
        <v>1360.1367060000002</v>
      </c>
      <c r="AZ98" s="192">
        <f t="shared" ref="AZ98:AZ103" si="302">AY98*1000/E98</f>
        <v>2.4451388568046615</v>
      </c>
      <c r="BA98" s="1075"/>
      <c r="BB98" s="90">
        <f t="shared" ref="BB98:BB125" si="303">BD97</f>
        <v>26774</v>
      </c>
      <c r="BC98" s="59"/>
      <c r="BD98" s="56">
        <v>26774</v>
      </c>
      <c r="BE98" s="56"/>
      <c r="BF98" s="58">
        <f t="shared" ref="BF98:BF103" si="304">BF97+BE98</f>
        <v>46688</v>
      </c>
      <c r="BG98" s="58">
        <f t="shared" si="276"/>
        <v>83.9317418924918</v>
      </c>
      <c r="BH98" s="1133"/>
      <c r="BI98" s="63">
        <f t="shared" ref="BI98:BI126" si="305">BK97</f>
        <v>1320</v>
      </c>
      <c r="BJ98" s="64"/>
      <c r="BK98" s="64">
        <v>1140</v>
      </c>
      <c r="BL98" s="64">
        <f t="shared" ref="BL98:BL103" si="306">BI98-BK98+BJ98</f>
        <v>180</v>
      </c>
      <c r="BM98" s="65">
        <f t="shared" ref="BM98:BM103" si="307">BL98*1000/B98</f>
        <v>0.27082697015336332</v>
      </c>
      <c r="BN98" s="64">
        <f t="shared" ref="BN98:BN103" si="308">BN97+BL98</f>
        <v>12192</v>
      </c>
      <c r="BO98" s="65">
        <f t="shared" ref="BO98:BO103" si="309">BN98*1000/C98</f>
        <v>0.26999168034986953</v>
      </c>
      <c r="BP98" s="1071"/>
      <c r="BQ98" s="35">
        <f t="shared" ref="BQ98:BQ126" si="310">BS97</f>
        <v>19160</v>
      </c>
      <c r="BR98" s="317">
        <v>32690</v>
      </c>
      <c r="BS98" s="35">
        <v>51850</v>
      </c>
      <c r="BT98" s="35"/>
      <c r="BU98" s="74">
        <f t="shared" si="241"/>
        <v>245437</v>
      </c>
      <c r="BV98" s="74">
        <f t="shared" si="280"/>
        <v>441.225902477457</v>
      </c>
      <c r="BW98" s="1098"/>
      <c r="BX98" s="295">
        <f t="shared" ref="BX98:BX116" si="311">BZ97</f>
        <v>840</v>
      </c>
      <c r="BY98" s="296"/>
      <c r="BZ98" s="296">
        <v>840</v>
      </c>
      <c r="CA98" s="296"/>
      <c r="CB98" s="297"/>
      <c r="CC98" s="296">
        <f t="shared" ref="CC98:CC103" si="312">CC97+CA98</f>
        <v>7910</v>
      </c>
      <c r="CD98" s="297">
        <f t="shared" ref="CD98:CD103" si="313">CC98*1000/C98</f>
        <v>0.17516684642121622</v>
      </c>
      <c r="CE98" s="1061"/>
    </row>
    <row r="99" spans="1:83">
      <c r="A99" s="30">
        <v>43681</v>
      </c>
      <c r="B99" s="32">
        <v>607490</v>
      </c>
      <c r="C99" s="114">
        <f t="shared" si="281"/>
        <v>45764437</v>
      </c>
      <c r="D99" s="29">
        <v>6693.94</v>
      </c>
      <c r="E99" s="93">
        <f t="shared" si="282"/>
        <v>562955.47999999986</v>
      </c>
      <c r="F99" s="240">
        <f t="shared" si="283"/>
        <v>34000</v>
      </c>
      <c r="G99" s="227"/>
      <c r="H99" s="240">
        <v>34000</v>
      </c>
      <c r="I99" s="240"/>
      <c r="J99" s="280"/>
      <c r="K99" s="240">
        <f t="shared" si="277"/>
        <v>1201880</v>
      </c>
      <c r="L99" s="280">
        <f t="shared" si="278"/>
        <v>26.262313682565352</v>
      </c>
      <c r="M99" s="280">
        <f t="shared" si="279"/>
        <v>3.2156622606300176</v>
      </c>
      <c r="N99" s="1089"/>
      <c r="O99" s="1084"/>
      <c r="P99" s="77">
        <f t="shared" si="284"/>
        <v>25140</v>
      </c>
      <c r="Q99" s="35"/>
      <c r="R99" s="35">
        <v>25140</v>
      </c>
      <c r="S99" s="35"/>
      <c r="T99" s="36"/>
      <c r="U99" s="74">
        <f t="shared" si="287"/>
        <v>64258</v>
      </c>
      <c r="V99" s="36">
        <f t="shared" si="288"/>
        <v>1.4041033652396948</v>
      </c>
      <c r="W99" s="1179"/>
      <c r="X99" s="49">
        <f t="shared" si="289"/>
        <v>643</v>
      </c>
      <c r="Y99" s="50"/>
      <c r="Z99" s="50">
        <f>528+50</f>
        <v>578</v>
      </c>
      <c r="AA99" s="50">
        <f t="shared" si="290"/>
        <v>65</v>
      </c>
      <c r="AB99" s="51">
        <f t="shared" si="291"/>
        <v>0.10699764605178685</v>
      </c>
      <c r="AC99" s="50">
        <f t="shared" si="292"/>
        <v>11816</v>
      </c>
      <c r="AD99" s="51">
        <f t="shared" si="293"/>
        <v>0.25819174832195574</v>
      </c>
      <c r="AE99" s="1050"/>
      <c r="AF99" s="40">
        <f t="shared" si="294"/>
        <v>765</v>
      </c>
      <c r="AG99" s="41"/>
      <c r="AH99" s="41">
        <v>686</v>
      </c>
      <c r="AI99" s="41">
        <f t="shared" si="295"/>
        <v>79</v>
      </c>
      <c r="AJ99" s="42">
        <f t="shared" si="296"/>
        <v>0.13004329289371019</v>
      </c>
      <c r="AK99" s="41">
        <f t="shared" si="297"/>
        <v>5980</v>
      </c>
      <c r="AL99" s="42">
        <f t="shared" si="298"/>
        <v>0.13066914818595932</v>
      </c>
      <c r="AM99" s="1058"/>
      <c r="AN99" s="311">
        <v>3.6</v>
      </c>
      <c r="AO99" s="67">
        <v>24</v>
      </c>
      <c r="AP99" s="68">
        <f t="shared" ref="AP99:AP106" si="314">AN99*AO99*0.49705</f>
        <v>42.945120000000003</v>
      </c>
      <c r="AQ99" s="68">
        <f t="shared" ref="AQ99:AQ106" si="315">AP99*1000/D99</f>
        <v>6.4155220990926125</v>
      </c>
      <c r="AR99" s="69">
        <f t="shared" si="299"/>
        <v>4202.0607000000018</v>
      </c>
      <c r="AS99" s="140">
        <f t="shared" si="300"/>
        <v>7.4642859858118848</v>
      </c>
      <c r="AT99" s="1073"/>
      <c r="AU99" s="70">
        <v>2.6</v>
      </c>
      <c r="AV99" s="71">
        <v>12</v>
      </c>
      <c r="AW99" s="72">
        <f t="shared" si="270"/>
        <v>16.121976000000004</v>
      </c>
      <c r="AX99" s="72">
        <f t="shared" si="271"/>
        <v>2.4084434578140832</v>
      </c>
      <c r="AY99" s="73">
        <f t="shared" si="301"/>
        <v>1376.2586820000001</v>
      </c>
      <c r="AZ99" s="192">
        <f t="shared" si="302"/>
        <v>2.4447025224801084</v>
      </c>
      <c r="BA99" s="1075"/>
      <c r="BB99" s="90">
        <f t="shared" si="303"/>
        <v>26774</v>
      </c>
      <c r="BC99" s="59"/>
      <c r="BD99" s="56">
        <v>26774</v>
      </c>
      <c r="BE99" s="56"/>
      <c r="BF99" s="58">
        <f t="shared" si="304"/>
        <v>46688</v>
      </c>
      <c r="BG99" s="58">
        <f t="shared" si="276"/>
        <v>82.933733942868827</v>
      </c>
      <c r="BH99" s="1133"/>
      <c r="BI99" s="63">
        <f t="shared" si="305"/>
        <v>1140</v>
      </c>
      <c r="BJ99" s="64"/>
      <c r="BK99" s="64">
        <v>1020</v>
      </c>
      <c r="BL99" s="64">
        <f t="shared" si="306"/>
        <v>120</v>
      </c>
      <c r="BM99" s="65">
        <f t="shared" si="307"/>
        <v>0.19753411578791422</v>
      </c>
      <c r="BN99" s="64">
        <f t="shared" si="308"/>
        <v>12312</v>
      </c>
      <c r="BO99" s="65">
        <f t="shared" si="309"/>
        <v>0.26902985827182796</v>
      </c>
      <c r="BP99" s="1071"/>
      <c r="BQ99" s="35">
        <f t="shared" si="310"/>
        <v>51850</v>
      </c>
      <c r="BR99" s="35"/>
      <c r="BS99" s="35">
        <v>34871</v>
      </c>
      <c r="BT99" s="35">
        <f>BQ99-BS99+BR99</f>
        <v>16979</v>
      </c>
      <c r="BU99" s="74">
        <f t="shared" si="241"/>
        <v>262416</v>
      </c>
      <c r="BV99" s="74">
        <f t="shared" si="280"/>
        <v>466.13988019088129</v>
      </c>
      <c r="BW99" s="1098"/>
      <c r="BX99" s="295">
        <f t="shared" si="311"/>
        <v>840</v>
      </c>
      <c r="BY99" s="296"/>
      <c r="BZ99" s="296">
        <v>840</v>
      </c>
      <c r="CA99" s="296"/>
      <c r="CB99" s="297"/>
      <c r="CC99" s="296">
        <f t="shared" si="312"/>
        <v>7910</v>
      </c>
      <c r="CD99" s="297">
        <f t="shared" si="313"/>
        <v>0.17284163246671208</v>
      </c>
      <c r="CE99" s="1061"/>
    </row>
    <row r="100" spans="1:83">
      <c r="A100" s="30">
        <v>43682</v>
      </c>
      <c r="B100" s="32">
        <v>522131</v>
      </c>
      <c r="C100" s="114">
        <f t="shared" si="281"/>
        <v>46286568</v>
      </c>
      <c r="D100" s="29">
        <v>5865.12</v>
      </c>
      <c r="E100" s="93">
        <f t="shared" si="282"/>
        <v>568820.59999999986</v>
      </c>
      <c r="F100" s="240">
        <f t="shared" si="283"/>
        <v>34000</v>
      </c>
      <c r="G100" s="227"/>
      <c r="H100" s="240">
        <v>34000</v>
      </c>
      <c r="I100" s="240"/>
      <c r="J100" s="280"/>
      <c r="K100" s="240">
        <f t="shared" si="277"/>
        <v>1201880</v>
      </c>
      <c r="L100" s="280">
        <f t="shared" si="278"/>
        <v>25.966064280246485</v>
      </c>
      <c r="M100" s="280">
        <f t="shared" si="279"/>
        <v>3.1793883041810318</v>
      </c>
      <c r="N100" s="1089"/>
      <c r="O100" s="1084"/>
      <c r="P100" s="77">
        <f t="shared" si="284"/>
        <v>25140</v>
      </c>
      <c r="Q100" s="35"/>
      <c r="R100" s="35">
        <v>24608</v>
      </c>
      <c r="S100" s="35">
        <f t="shared" si="285"/>
        <v>532</v>
      </c>
      <c r="T100" s="36">
        <f t="shared" si="286"/>
        <v>1.0189013868167185</v>
      </c>
      <c r="U100" s="74">
        <f t="shared" si="287"/>
        <v>64790</v>
      </c>
      <c r="V100" s="36">
        <f t="shared" si="288"/>
        <v>1.3997581328561668</v>
      </c>
      <c r="W100" s="1179"/>
      <c r="X100" s="49">
        <f t="shared" si="289"/>
        <v>578</v>
      </c>
      <c r="Y100" s="50"/>
      <c r="Z100" s="50">
        <f>357+150</f>
        <v>507</v>
      </c>
      <c r="AA100" s="50">
        <f t="shared" si="290"/>
        <v>71</v>
      </c>
      <c r="AB100" s="51">
        <f t="shared" si="291"/>
        <v>0.13598120012027634</v>
      </c>
      <c r="AC100" s="50">
        <f t="shared" si="292"/>
        <v>11887</v>
      </c>
      <c r="AD100" s="51">
        <f t="shared" si="293"/>
        <v>0.25681316445842345</v>
      </c>
      <c r="AE100" s="1050"/>
      <c r="AF100" s="40">
        <f t="shared" si="294"/>
        <v>686</v>
      </c>
      <c r="AG100" s="41"/>
      <c r="AH100" s="41">
        <v>646</v>
      </c>
      <c r="AI100" s="41">
        <f t="shared" si="295"/>
        <v>40</v>
      </c>
      <c r="AJ100" s="42">
        <f t="shared" si="296"/>
        <v>7.6609126828324686E-2</v>
      </c>
      <c r="AK100" s="41">
        <f t="shared" si="297"/>
        <v>6020</v>
      </c>
      <c r="AL100" s="42">
        <f t="shared" si="298"/>
        <v>0.13005932952298385</v>
      </c>
      <c r="AM100" s="1058"/>
      <c r="AN100" s="311">
        <v>4</v>
      </c>
      <c r="AO100" s="67">
        <v>24</v>
      </c>
      <c r="AP100" s="68">
        <f t="shared" si="314"/>
        <v>47.716799999999999</v>
      </c>
      <c r="AQ100" s="68">
        <f t="shared" si="315"/>
        <v>8.1356903183566569</v>
      </c>
      <c r="AR100" s="69">
        <f t="shared" si="299"/>
        <v>4249.777500000002</v>
      </c>
      <c r="AS100" s="140">
        <f t="shared" si="300"/>
        <v>7.4712088486246859</v>
      </c>
      <c r="AT100" s="1073"/>
      <c r="AU100" s="70">
        <v>2.2000000000000002</v>
      </c>
      <c r="AV100" s="71">
        <v>12</v>
      </c>
      <c r="AW100" s="72">
        <f t="shared" si="270"/>
        <v>13.641672000000002</v>
      </c>
      <c r="AX100" s="72">
        <f t="shared" si="271"/>
        <v>2.3258981913413539</v>
      </c>
      <c r="AY100" s="73">
        <f t="shared" si="301"/>
        <v>1389.9003540000001</v>
      </c>
      <c r="AZ100" s="192">
        <f t="shared" si="302"/>
        <v>2.4434775287674189</v>
      </c>
      <c r="BA100" s="1075"/>
      <c r="BB100" s="90">
        <f t="shared" si="303"/>
        <v>26774</v>
      </c>
      <c r="BC100" s="59"/>
      <c r="BD100" s="56">
        <v>26774</v>
      </c>
      <c r="BE100" s="56"/>
      <c r="BF100" s="58">
        <f t="shared" si="304"/>
        <v>46688</v>
      </c>
      <c r="BG100" s="58">
        <f t="shared" si="276"/>
        <v>82.078602638512052</v>
      </c>
      <c r="BH100" s="1133"/>
      <c r="BI100" s="63">
        <f t="shared" si="305"/>
        <v>1020</v>
      </c>
      <c r="BJ100" s="64"/>
      <c r="BK100" s="64">
        <v>876</v>
      </c>
      <c r="BL100" s="64">
        <f t="shared" si="306"/>
        <v>144</v>
      </c>
      <c r="BM100" s="65">
        <f t="shared" si="307"/>
        <v>0.27579285658196889</v>
      </c>
      <c r="BN100" s="64">
        <f t="shared" si="308"/>
        <v>12456</v>
      </c>
      <c r="BO100" s="65">
        <f t="shared" si="309"/>
        <v>0.26910614759772211</v>
      </c>
      <c r="BP100" s="1071"/>
      <c r="BQ100" s="35">
        <f t="shared" si="310"/>
        <v>34871</v>
      </c>
      <c r="BR100" s="35"/>
      <c r="BS100" s="35">
        <v>34871</v>
      </c>
      <c r="BT100" s="35"/>
      <c r="BU100" s="74">
        <f t="shared" si="241"/>
        <v>262416</v>
      </c>
      <c r="BV100" s="74">
        <f t="shared" si="280"/>
        <v>461.33350304120501</v>
      </c>
      <c r="BW100" s="1098"/>
      <c r="BX100" s="295">
        <f t="shared" si="311"/>
        <v>840</v>
      </c>
      <c r="BY100" s="296"/>
      <c r="BZ100" s="296">
        <v>840</v>
      </c>
      <c r="CA100" s="296"/>
      <c r="CB100" s="297"/>
      <c r="CC100" s="296">
        <f t="shared" si="312"/>
        <v>7910</v>
      </c>
      <c r="CD100" s="297">
        <f t="shared" si="313"/>
        <v>0.1708919097220602</v>
      </c>
      <c r="CE100" s="1061"/>
    </row>
    <row r="101" spans="1:83">
      <c r="A101" s="30">
        <v>43683</v>
      </c>
      <c r="B101" s="32">
        <v>582248</v>
      </c>
      <c r="C101" s="114">
        <f t="shared" si="281"/>
        <v>46868816</v>
      </c>
      <c r="D101" s="29">
        <v>6857.82</v>
      </c>
      <c r="E101" s="93">
        <f t="shared" si="282"/>
        <v>575678.41999999981</v>
      </c>
      <c r="F101" s="240">
        <f t="shared" si="283"/>
        <v>34000</v>
      </c>
      <c r="G101" s="227"/>
      <c r="H101" s="240">
        <v>34000</v>
      </c>
      <c r="I101" s="240"/>
      <c r="J101" s="280"/>
      <c r="K101" s="240">
        <f t="shared" si="277"/>
        <v>1201880</v>
      </c>
      <c r="L101" s="280">
        <f t="shared" si="278"/>
        <v>25.64348969259219</v>
      </c>
      <c r="M101" s="280">
        <f t="shared" si="279"/>
        <v>3.139890987215892</v>
      </c>
      <c r="N101" s="1089"/>
      <c r="O101" s="1084"/>
      <c r="P101" s="77">
        <f t="shared" si="284"/>
        <v>24608</v>
      </c>
      <c r="Q101" s="35"/>
      <c r="R101" s="35">
        <v>13660</v>
      </c>
      <c r="S101" s="35">
        <f t="shared" si="285"/>
        <v>10948</v>
      </c>
      <c r="T101" s="36">
        <f t="shared" si="286"/>
        <v>18.802984295351809</v>
      </c>
      <c r="U101" s="74">
        <f t="shared" si="287"/>
        <v>75738</v>
      </c>
      <c r="V101" s="36">
        <f t="shared" si="288"/>
        <v>1.6159571856903745</v>
      </c>
      <c r="W101" s="1179"/>
      <c r="X101" s="49">
        <f t="shared" si="289"/>
        <v>507</v>
      </c>
      <c r="Y101" s="50"/>
      <c r="Z101" s="50">
        <f>357+37</f>
        <v>394</v>
      </c>
      <c r="AA101" s="50">
        <f t="shared" si="290"/>
        <v>113</v>
      </c>
      <c r="AB101" s="51">
        <f t="shared" si="291"/>
        <v>0.19407537681537765</v>
      </c>
      <c r="AC101" s="50">
        <f t="shared" si="292"/>
        <v>12000</v>
      </c>
      <c r="AD101" s="51">
        <f t="shared" si="293"/>
        <v>0.25603377734142035</v>
      </c>
      <c r="AE101" s="1050"/>
      <c r="AF101" s="40">
        <f t="shared" si="294"/>
        <v>646</v>
      </c>
      <c r="AG101" s="41"/>
      <c r="AH101" s="41">
        <v>587</v>
      </c>
      <c r="AI101" s="41">
        <f t="shared" si="295"/>
        <v>59</v>
      </c>
      <c r="AJ101" s="42">
        <f t="shared" si="296"/>
        <v>0.1013313914345777</v>
      </c>
      <c r="AK101" s="41">
        <f t="shared" si="297"/>
        <v>6079</v>
      </c>
      <c r="AL101" s="42">
        <f t="shared" si="298"/>
        <v>0.12970244437154119</v>
      </c>
      <c r="AM101" s="1058"/>
      <c r="AN101" s="311">
        <v>2.8</v>
      </c>
      <c r="AO101" s="67">
        <v>24</v>
      </c>
      <c r="AP101" s="68">
        <f t="shared" si="314"/>
        <v>33.401759999999996</v>
      </c>
      <c r="AQ101" s="68">
        <f t="shared" si="315"/>
        <v>4.8706090273585474</v>
      </c>
      <c r="AR101" s="69">
        <f t="shared" si="299"/>
        <v>4283.1792600000017</v>
      </c>
      <c r="AS101" s="140">
        <f t="shared" si="300"/>
        <v>7.4402289736690204</v>
      </c>
      <c r="AT101" s="1073"/>
      <c r="AU101" s="70">
        <v>2.6</v>
      </c>
      <c r="AV101" s="71">
        <v>12</v>
      </c>
      <c r="AW101" s="72">
        <f t="shared" si="270"/>
        <v>16.121976000000004</v>
      </c>
      <c r="AX101" s="72">
        <f t="shared" si="271"/>
        <v>2.35088934967672</v>
      </c>
      <c r="AY101" s="73">
        <f t="shared" si="301"/>
        <v>1406.02233</v>
      </c>
      <c r="AZ101" s="192">
        <f t="shared" si="302"/>
        <v>2.4423745639101786</v>
      </c>
      <c r="BA101" s="1075"/>
      <c r="BB101" s="90">
        <f t="shared" si="303"/>
        <v>26774</v>
      </c>
      <c r="BC101" s="59"/>
      <c r="BD101" s="56">
        <v>26774</v>
      </c>
      <c r="BE101" s="56"/>
      <c r="BF101" s="58">
        <f t="shared" si="304"/>
        <v>46688</v>
      </c>
      <c r="BG101" s="58">
        <f t="shared" si="276"/>
        <v>81.100834038559256</v>
      </c>
      <c r="BH101" s="1133"/>
      <c r="BI101" s="63">
        <f t="shared" si="305"/>
        <v>876</v>
      </c>
      <c r="BJ101" s="64"/>
      <c r="BK101" s="64">
        <v>732</v>
      </c>
      <c r="BL101" s="64">
        <f t="shared" si="306"/>
        <v>144</v>
      </c>
      <c r="BM101" s="65">
        <f t="shared" si="307"/>
        <v>0.24731729434879982</v>
      </c>
      <c r="BN101" s="64">
        <f t="shared" si="308"/>
        <v>12600</v>
      </c>
      <c r="BO101" s="65">
        <f t="shared" si="309"/>
        <v>0.26883546620849136</v>
      </c>
      <c r="BP101" s="1071"/>
      <c r="BQ101" s="35">
        <f t="shared" si="310"/>
        <v>34871</v>
      </c>
      <c r="BR101" s="35"/>
      <c r="BS101" s="35">
        <v>29326</v>
      </c>
      <c r="BT101" s="35">
        <f>BQ101-BS101+BR101</f>
        <v>5545</v>
      </c>
      <c r="BU101" s="74">
        <f t="shared" si="241"/>
        <v>267961</v>
      </c>
      <c r="BV101" s="74">
        <f t="shared" si="280"/>
        <v>465.46994066583233</v>
      </c>
      <c r="BW101" s="1098"/>
      <c r="BX101" s="295">
        <f t="shared" si="311"/>
        <v>840</v>
      </c>
      <c r="BY101" s="296"/>
      <c r="BZ101" s="296">
        <v>840</v>
      </c>
      <c r="CA101" s="296"/>
      <c r="CB101" s="297"/>
      <c r="CC101" s="296">
        <f t="shared" si="312"/>
        <v>7910</v>
      </c>
      <c r="CD101" s="297">
        <f t="shared" si="313"/>
        <v>0.1687689315642196</v>
      </c>
      <c r="CE101" s="1061"/>
    </row>
    <row r="102" spans="1:83">
      <c r="A102" s="30">
        <v>43684</v>
      </c>
      <c r="B102" s="318">
        <v>634041</v>
      </c>
      <c r="C102" s="114">
        <f t="shared" si="281"/>
        <v>47502857</v>
      </c>
      <c r="D102" s="29">
        <v>6613.44</v>
      </c>
      <c r="E102" s="93">
        <f t="shared" si="282"/>
        <v>582291.85999999975</v>
      </c>
      <c r="F102" s="240">
        <f t="shared" si="283"/>
        <v>34000</v>
      </c>
      <c r="G102" s="227"/>
      <c r="H102" s="240">
        <v>24000</v>
      </c>
      <c r="I102" s="240">
        <f>F102-H102+G102</f>
        <v>10000</v>
      </c>
      <c r="J102" s="280">
        <f>I102*1000/B102</f>
        <v>15.7718507162786</v>
      </c>
      <c r="K102" s="240">
        <f t="shared" si="277"/>
        <v>1211880</v>
      </c>
      <c r="L102" s="280">
        <f t="shared" si="278"/>
        <v>25.511728694549888</v>
      </c>
      <c r="M102" s="280">
        <f t="shared" si="279"/>
        <v>3.1237576459593348</v>
      </c>
      <c r="N102" s="1089"/>
      <c r="O102" s="1084"/>
      <c r="P102" s="77">
        <f t="shared" si="284"/>
        <v>13660</v>
      </c>
      <c r="Q102" s="35"/>
      <c r="R102" s="35">
        <v>13660</v>
      </c>
      <c r="S102" s="35"/>
      <c r="T102" s="36"/>
      <c r="U102" s="74">
        <f t="shared" si="287"/>
        <v>75738</v>
      </c>
      <c r="V102" s="36">
        <f t="shared" si="288"/>
        <v>1.5943883122650917</v>
      </c>
      <c r="W102" s="1179"/>
      <c r="X102" s="49">
        <f t="shared" si="289"/>
        <v>394</v>
      </c>
      <c r="Y102" s="50"/>
      <c r="Z102" s="50">
        <v>394</v>
      </c>
      <c r="AA102" s="50">
        <f t="shared" si="290"/>
        <v>0</v>
      </c>
      <c r="AB102" s="51">
        <f t="shared" si="291"/>
        <v>0</v>
      </c>
      <c r="AC102" s="50">
        <f t="shared" si="292"/>
        <v>12000</v>
      </c>
      <c r="AD102" s="51">
        <f t="shared" si="293"/>
        <v>0.25261638473660647</v>
      </c>
      <c r="AE102" s="1050"/>
      <c r="AF102" s="40">
        <f t="shared" si="294"/>
        <v>587</v>
      </c>
      <c r="AG102" s="41"/>
      <c r="AH102" s="41">
        <v>587</v>
      </c>
      <c r="AI102" s="41">
        <f t="shared" si="295"/>
        <v>0</v>
      </c>
      <c r="AJ102" s="42">
        <f t="shared" si="296"/>
        <v>0</v>
      </c>
      <c r="AK102" s="41">
        <f t="shared" si="297"/>
        <v>6079</v>
      </c>
      <c r="AL102" s="42">
        <f t="shared" si="298"/>
        <v>0.12797125023448588</v>
      </c>
      <c r="AM102" s="1058"/>
      <c r="AN102" s="311">
        <v>4.3</v>
      </c>
      <c r="AO102" s="67">
        <v>24</v>
      </c>
      <c r="AP102" s="68">
        <f t="shared" si="314"/>
        <v>51.295559999999995</v>
      </c>
      <c r="AQ102" s="68">
        <f t="shared" si="315"/>
        <v>7.7562599796777469</v>
      </c>
      <c r="AR102" s="69">
        <f t="shared" si="299"/>
        <v>4334.4748200000013</v>
      </c>
      <c r="AS102" s="140">
        <f t="shared" si="300"/>
        <v>7.4438183284925241</v>
      </c>
      <c r="AT102" s="1073"/>
      <c r="AU102" s="70">
        <v>2.4</v>
      </c>
      <c r="AV102" s="71">
        <v>12</v>
      </c>
      <c r="AW102" s="72">
        <f t="shared" si="270"/>
        <v>14.881824</v>
      </c>
      <c r="AX102" s="72">
        <f t="shared" si="271"/>
        <v>2.2502395122659316</v>
      </c>
      <c r="AY102" s="73">
        <f t="shared" si="301"/>
        <v>1420.9041540000001</v>
      </c>
      <c r="AZ102" s="192">
        <f t="shared" si="302"/>
        <v>2.4401923701973107</v>
      </c>
      <c r="BA102" s="1075"/>
      <c r="BB102" s="90">
        <f t="shared" si="303"/>
        <v>26774</v>
      </c>
      <c r="BC102" s="59"/>
      <c r="BD102" s="56">
        <v>26774</v>
      </c>
      <c r="BE102" s="56"/>
      <c r="BF102" s="58">
        <f t="shared" si="304"/>
        <v>46688</v>
      </c>
      <c r="BG102" s="58">
        <f t="shared" si="276"/>
        <v>80.179722931383623</v>
      </c>
      <c r="BH102" s="1133"/>
      <c r="BI102" s="63">
        <f t="shared" si="305"/>
        <v>732</v>
      </c>
      <c r="BJ102" s="64"/>
      <c r="BK102" s="64">
        <v>732</v>
      </c>
      <c r="BL102" s="64"/>
      <c r="BM102" s="65"/>
      <c r="BN102" s="64">
        <f t="shared" si="308"/>
        <v>12600</v>
      </c>
      <c r="BO102" s="65">
        <f t="shared" si="309"/>
        <v>0.26524720397343682</v>
      </c>
      <c r="BP102" s="1071"/>
      <c r="BQ102" s="35">
        <f t="shared" si="310"/>
        <v>29326</v>
      </c>
      <c r="BR102" s="35"/>
      <c r="BS102" s="35">
        <v>26553</v>
      </c>
      <c r="BT102" s="35">
        <f>BQ102-BS102+BR102</f>
        <v>2773</v>
      </c>
      <c r="BU102" s="74">
        <f t="shared" si="241"/>
        <v>270734</v>
      </c>
      <c r="BV102" s="74">
        <f>BU102*1000/E102</f>
        <v>464.94553435797661</v>
      </c>
      <c r="BW102" s="1098"/>
      <c r="BX102" s="295">
        <f t="shared" si="311"/>
        <v>840</v>
      </c>
      <c r="BY102" s="296"/>
      <c r="BZ102" s="296">
        <v>840</v>
      </c>
      <c r="CA102" s="296"/>
      <c r="CB102" s="297"/>
      <c r="CC102" s="296">
        <f t="shared" si="312"/>
        <v>7910</v>
      </c>
      <c r="CD102" s="297">
        <f t="shared" si="313"/>
        <v>0.16651630027221309</v>
      </c>
      <c r="CE102" s="1061"/>
    </row>
    <row r="103" spans="1:83">
      <c r="A103" s="30">
        <v>43685</v>
      </c>
      <c r="B103" s="32">
        <v>142653</v>
      </c>
      <c r="C103" s="114">
        <f t="shared" si="281"/>
        <v>47645510</v>
      </c>
      <c r="D103" s="29">
        <v>3176.86</v>
      </c>
      <c r="E103" s="93">
        <f t="shared" si="282"/>
        <v>585468.71999999974</v>
      </c>
      <c r="F103" s="240">
        <f t="shared" si="283"/>
        <v>24000</v>
      </c>
      <c r="G103" s="227"/>
      <c r="H103" s="240">
        <v>24000</v>
      </c>
      <c r="I103" s="240"/>
      <c r="J103" s="280">
        <f t="shared" ref="J103:J115" si="316">I103*1000/B103</f>
        <v>0</v>
      </c>
      <c r="K103" s="240">
        <f t="shared" ref="K103:K116" si="317">K102+I103</f>
        <v>1211880</v>
      </c>
      <c r="L103" s="280">
        <f t="shared" ref="L103:L116" si="318">K103*1000/C103</f>
        <v>25.435345324249862</v>
      </c>
      <c r="M103" s="280">
        <f t="shared" ref="M103:M116" si="319">L103/8.167</f>
        <v>3.1144049619505156</v>
      </c>
      <c r="N103" s="1089"/>
      <c r="O103" s="1084"/>
      <c r="P103" s="77">
        <f t="shared" si="284"/>
        <v>13660</v>
      </c>
      <c r="Q103" s="35"/>
      <c r="R103" s="35">
        <v>13421</v>
      </c>
      <c r="S103" s="35">
        <f t="shared" si="285"/>
        <v>239</v>
      </c>
      <c r="T103" s="36">
        <f t="shared" si="286"/>
        <v>1.6753941382235213</v>
      </c>
      <c r="U103" s="74">
        <f t="shared" si="287"/>
        <v>75977</v>
      </c>
      <c r="V103" s="36">
        <f t="shared" si="288"/>
        <v>1.5946308476916293</v>
      </c>
      <c r="W103" s="1179"/>
      <c r="X103" s="49">
        <f t="shared" si="289"/>
        <v>394</v>
      </c>
      <c r="Y103" s="50"/>
      <c r="Z103" s="50">
        <f>231+50</f>
        <v>281</v>
      </c>
      <c r="AA103" s="50">
        <f t="shared" si="290"/>
        <v>113</v>
      </c>
      <c r="AB103" s="51">
        <f t="shared" si="291"/>
        <v>0.79213195656593272</v>
      </c>
      <c r="AC103" s="50">
        <f t="shared" si="292"/>
        <v>12113</v>
      </c>
      <c r="AD103" s="51">
        <f t="shared" si="293"/>
        <v>0.25423172089038398</v>
      </c>
      <c r="AE103" s="1050"/>
      <c r="AF103" s="40">
        <f t="shared" si="294"/>
        <v>587</v>
      </c>
      <c r="AG103" s="41"/>
      <c r="AH103" s="41">
        <v>471</v>
      </c>
      <c r="AI103" s="41">
        <f t="shared" si="295"/>
        <v>116</v>
      </c>
      <c r="AJ103" s="42">
        <f t="shared" si="296"/>
        <v>0.81316200851016107</v>
      </c>
      <c r="AK103" s="41">
        <f t="shared" si="297"/>
        <v>6195</v>
      </c>
      <c r="AL103" s="42">
        <f t="shared" si="298"/>
        <v>0.1300227450603425</v>
      </c>
      <c r="AM103" s="1058"/>
      <c r="AN103" s="311">
        <v>1.2</v>
      </c>
      <c r="AO103" s="67">
        <v>24</v>
      </c>
      <c r="AP103" s="68">
        <f t="shared" si="314"/>
        <v>14.315039999999998</v>
      </c>
      <c r="AQ103" s="68">
        <f t="shared" si="315"/>
        <v>4.506034260244391</v>
      </c>
      <c r="AR103" s="69">
        <f t="shared" si="299"/>
        <v>4348.7898600000017</v>
      </c>
      <c r="AS103" s="140">
        <f t="shared" si="300"/>
        <v>7.4278773766086141</v>
      </c>
      <c r="AT103" s="1073"/>
      <c r="AU103" s="70">
        <v>1.1000000000000001</v>
      </c>
      <c r="AV103" s="71">
        <v>12</v>
      </c>
      <c r="AW103" s="72">
        <f t="shared" si="270"/>
        <v>6.8208360000000008</v>
      </c>
      <c r="AX103" s="72">
        <f t="shared" si="271"/>
        <v>2.1470370113886039</v>
      </c>
      <c r="AY103" s="73">
        <f t="shared" si="301"/>
        <v>1427.7249900000002</v>
      </c>
      <c r="AZ103" s="192">
        <f t="shared" si="302"/>
        <v>2.4386016557810311</v>
      </c>
      <c r="BA103" s="1075"/>
      <c r="BB103" s="90">
        <f t="shared" si="303"/>
        <v>26774</v>
      </c>
      <c r="BC103" s="59"/>
      <c r="BD103" s="56">
        <v>26774</v>
      </c>
      <c r="BE103" s="56"/>
      <c r="BF103" s="58">
        <f t="shared" si="304"/>
        <v>46688</v>
      </c>
      <c r="BG103" s="58">
        <f t="shared" si="276"/>
        <v>79.74465313877063</v>
      </c>
      <c r="BH103" s="1133"/>
      <c r="BI103" s="63">
        <f t="shared" si="305"/>
        <v>732</v>
      </c>
      <c r="BJ103" s="64"/>
      <c r="BK103" s="64">
        <v>708</v>
      </c>
      <c r="BL103" s="64">
        <f t="shared" si="306"/>
        <v>24</v>
      </c>
      <c r="BM103" s="65">
        <f t="shared" si="307"/>
        <v>0.16824041555382641</v>
      </c>
      <c r="BN103" s="64">
        <f t="shared" si="308"/>
        <v>12624</v>
      </c>
      <c r="BO103" s="65">
        <f t="shared" si="309"/>
        <v>0.26495676087841225</v>
      </c>
      <c r="BP103" s="1071"/>
      <c r="BQ103" s="35">
        <f t="shared" si="310"/>
        <v>26553</v>
      </c>
      <c r="BR103" s="35"/>
      <c r="BS103" s="35">
        <v>26553</v>
      </c>
      <c r="BT103" s="35"/>
      <c r="BU103" s="74">
        <f t="shared" si="241"/>
        <v>270734</v>
      </c>
      <c r="BV103" s="74">
        <f>BU103*1000/E103</f>
        <v>462.42265513348025</v>
      </c>
      <c r="BW103" s="1098"/>
      <c r="BX103" s="295">
        <f t="shared" si="311"/>
        <v>840</v>
      </c>
      <c r="BY103" s="296"/>
      <c r="BZ103" s="296">
        <v>840</v>
      </c>
      <c r="CA103" s="296"/>
      <c r="CB103" s="297"/>
      <c r="CC103" s="296">
        <f t="shared" si="312"/>
        <v>7910</v>
      </c>
      <c r="CD103" s="297">
        <f t="shared" si="313"/>
        <v>0.16601774228043734</v>
      </c>
      <c r="CE103" s="1061"/>
    </row>
    <row r="104" spans="1:83">
      <c r="A104" s="30">
        <v>43686</v>
      </c>
      <c r="B104" s="318">
        <v>557125</v>
      </c>
      <c r="C104" s="114">
        <f t="shared" si="281"/>
        <v>48202635</v>
      </c>
      <c r="D104" s="29">
        <v>6796.92</v>
      </c>
      <c r="E104" s="93">
        <f t="shared" si="282"/>
        <v>592265.63999999978</v>
      </c>
      <c r="F104" s="240">
        <f t="shared" si="283"/>
        <v>24000</v>
      </c>
      <c r="G104" s="227"/>
      <c r="H104" s="240"/>
      <c r="I104" s="240">
        <f t="shared" ref="I104:I115" si="320">F104-H104+G104</f>
        <v>24000</v>
      </c>
      <c r="J104" s="280">
        <f t="shared" si="316"/>
        <v>43.078303791788201</v>
      </c>
      <c r="K104" s="240">
        <f t="shared" si="317"/>
        <v>1235880</v>
      </c>
      <c r="L104" s="280">
        <f t="shared" si="318"/>
        <v>25.639262251949503</v>
      </c>
      <c r="M104" s="280">
        <f t="shared" si="319"/>
        <v>3.1393733625504474</v>
      </c>
      <c r="N104" s="1089"/>
      <c r="O104" s="1084"/>
      <c r="P104" s="77">
        <f t="shared" si="284"/>
        <v>13421</v>
      </c>
      <c r="Q104" s="35"/>
      <c r="R104" s="35">
        <v>12010</v>
      </c>
      <c r="S104" s="35">
        <f>P104+Q104-R104</f>
        <v>1411</v>
      </c>
      <c r="T104" s="36">
        <f>1000*S104/B104</f>
        <v>2.5326452770922145</v>
      </c>
      <c r="U104" s="74">
        <f>U103+S104</f>
        <v>77388</v>
      </c>
      <c r="V104" s="36">
        <f>1000*U104/C104</f>
        <v>1.6054723979301131</v>
      </c>
      <c r="W104" s="1179"/>
      <c r="X104" s="49">
        <f t="shared" si="289"/>
        <v>281</v>
      </c>
      <c r="Y104" s="50">
        <v>900</v>
      </c>
      <c r="Z104" s="50">
        <f>990+87</f>
        <v>1077</v>
      </c>
      <c r="AA104" s="50">
        <f>X104-Z104+Y104</f>
        <v>104</v>
      </c>
      <c r="AB104" s="51">
        <f>AA104*1000/B104</f>
        <v>0.18667264976441553</v>
      </c>
      <c r="AC104" s="50">
        <f>AC103+AA104</f>
        <v>12217</v>
      </c>
      <c r="AD104" s="51">
        <f>AC104*1000/C104</f>
        <v>0.25345087462542243</v>
      </c>
      <c r="AE104" s="1050"/>
      <c r="AF104" s="40">
        <f t="shared" si="294"/>
        <v>471</v>
      </c>
      <c r="AG104" s="41">
        <v>1000</v>
      </c>
      <c r="AH104" s="41">
        <v>1379</v>
      </c>
      <c r="AI104" s="41">
        <f>AF104+AG104-AH104</f>
        <v>92</v>
      </c>
      <c r="AJ104" s="42">
        <f>AI104*1000/B104</f>
        <v>0.16513349786852144</v>
      </c>
      <c r="AK104" s="41">
        <f>AK103+AI104</f>
        <v>6287</v>
      </c>
      <c r="AL104" s="42">
        <f>AK104*1000/C104</f>
        <v>0.13042855437259809</v>
      </c>
      <c r="AM104" s="1058"/>
      <c r="AN104" s="67">
        <v>3.4</v>
      </c>
      <c r="AO104" s="67">
        <v>24</v>
      </c>
      <c r="AP104" s="68">
        <f t="shared" si="314"/>
        <v>40.559279999999994</v>
      </c>
      <c r="AQ104" s="68">
        <f t="shared" si="315"/>
        <v>5.9673028371674217</v>
      </c>
      <c r="AR104" s="69">
        <f>AR103+AP104</f>
        <v>4389.3491400000021</v>
      </c>
      <c r="AS104" s="140">
        <f>AR104*1000/E104</f>
        <v>7.4111156271027374</v>
      </c>
      <c r="AT104" s="1073"/>
      <c r="AU104" s="70">
        <v>2.5</v>
      </c>
      <c r="AV104" s="71">
        <v>12</v>
      </c>
      <c r="AW104" s="72">
        <f t="shared" ref="AW104:AW117" si="321">AU104*AV104*0.51673</f>
        <v>15.501900000000001</v>
      </c>
      <c r="AX104" s="72">
        <f>AW104*1000/D104</f>
        <v>2.2807242103776417</v>
      </c>
      <c r="AY104" s="73">
        <f>AY103+AW104</f>
        <v>1443.2268900000001</v>
      </c>
      <c r="AZ104" s="192">
        <f>AY104*1000/E104</f>
        <v>2.4367898330215487</v>
      </c>
      <c r="BA104" s="1075"/>
      <c r="BB104" s="90">
        <f t="shared" si="303"/>
        <v>26774</v>
      </c>
      <c r="BC104" s="59"/>
      <c r="BD104" s="56">
        <v>22930</v>
      </c>
      <c r="BE104" s="56">
        <f>BB104-BD104+BC104</f>
        <v>3844</v>
      </c>
      <c r="BF104" s="58">
        <f>BF103+BE104</f>
        <v>50532</v>
      </c>
      <c r="BG104" s="58">
        <f>BF104*1000/E104</f>
        <v>85.319823719640425</v>
      </c>
      <c r="BH104" s="1133"/>
      <c r="BI104" s="63">
        <f t="shared" si="305"/>
        <v>708</v>
      </c>
      <c r="BJ104" s="64"/>
      <c r="BK104" s="64">
        <v>540</v>
      </c>
      <c r="BL104" s="64">
        <f>BI104-BK104+BJ104</f>
        <v>168</v>
      </c>
      <c r="BM104" s="65">
        <f>BL104*1000/B104</f>
        <v>0.30154812654251739</v>
      </c>
      <c r="BN104" s="64">
        <f>BN103+BL104</f>
        <v>12792</v>
      </c>
      <c r="BO104" s="65">
        <f>BN104*1000/C104</f>
        <v>0.26537968308164067</v>
      </c>
      <c r="BP104" s="1071"/>
      <c r="BQ104" s="35">
        <f t="shared" si="310"/>
        <v>26553</v>
      </c>
      <c r="BR104" s="317"/>
      <c r="BS104" s="35">
        <v>22857</v>
      </c>
      <c r="BT104" s="35">
        <f>BQ104-BS104+BR104</f>
        <v>3696</v>
      </c>
      <c r="BU104" s="74">
        <f t="shared" si="241"/>
        <v>274430</v>
      </c>
      <c r="BV104" s="74">
        <f>BU104*1000/E104</f>
        <v>463.35627371528778</v>
      </c>
      <c r="BW104" s="1098"/>
      <c r="BX104" s="295">
        <f t="shared" si="311"/>
        <v>840</v>
      </c>
      <c r="BY104" s="296"/>
      <c r="BZ104" s="296">
        <v>840</v>
      </c>
      <c r="CA104" s="296"/>
      <c r="CB104" s="297"/>
      <c r="CC104" s="296">
        <f>CC103+CA104</f>
        <v>7910</v>
      </c>
      <c r="CD104" s="297">
        <f>CC104*1000/C104</f>
        <v>0.16409891284988881</v>
      </c>
      <c r="CE104" s="1061"/>
    </row>
    <row r="105" spans="1:83">
      <c r="A105" s="30">
        <v>43687</v>
      </c>
      <c r="B105" s="318">
        <v>643328</v>
      </c>
      <c r="C105" s="114">
        <f t="shared" si="281"/>
        <v>48845963</v>
      </c>
      <c r="D105" s="29">
        <v>6422.12</v>
      </c>
      <c r="E105" s="93">
        <f t="shared" si="282"/>
        <v>598687.75999999978</v>
      </c>
      <c r="F105" s="240"/>
      <c r="G105" s="321">
        <v>29020</v>
      </c>
      <c r="H105" s="240"/>
      <c r="I105" s="240">
        <f t="shared" si="320"/>
        <v>29020</v>
      </c>
      <c r="J105" s="280">
        <f t="shared" si="316"/>
        <v>45.1091822522881</v>
      </c>
      <c r="K105" s="240">
        <f t="shared" si="317"/>
        <v>1264900</v>
      </c>
      <c r="L105" s="280">
        <f t="shared" si="318"/>
        <v>25.895691727891617</v>
      </c>
      <c r="M105" s="280">
        <f t="shared" si="319"/>
        <v>3.1707716086557629</v>
      </c>
      <c r="N105" s="1089"/>
      <c r="O105" s="1084"/>
      <c r="P105" s="77">
        <f t="shared" si="284"/>
        <v>12010</v>
      </c>
      <c r="Q105" s="35"/>
      <c r="R105" s="35">
        <v>10411</v>
      </c>
      <c r="S105" s="35">
        <f>P105+Q105-R105</f>
        <v>1599</v>
      </c>
      <c r="T105" s="36">
        <f>1000*S105/B105</f>
        <v>2.4855128332670113</v>
      </c>
      <c r="U105" s="74">
        <f>U104+S105</f>
        <v>78987</v>
      </c>
      <c r="V105" s="36">
        <f>1000*U105/C105</f>
        <v>1.6170630109186301</v>
      </c>
      <c r="W105" s="1179"/>
      <c r="X105" s="49">
        <f t="shared" si="289"/>
        <v>1077</v>
      </c>
      <c r="Y105" s="50"/>
      <c r="Z105" s="50">
        <f>921+62</f>
        <v>983</v>
      </c>
      <c r="AA105" s="50">
        <f>X105-Z105+Y105</f>
        <v>94</v>
      </c>
      <c r="AB105" s="51">
        <f>AA105*1000/B105</f>
        <v>0.14611520095503383</v>
      </c>
      <c r="AC105" s="50">
        <f>AC104+AA105</f>
        <v>12311</v>
      </c>
      <c r="AD105" s="51">
        <f>AC105*1000/C105</f>
        <v>0.25203720520363165</v>
      </c>
      <c r="AE105" s="1050"/>
      <c r="AF105" s="40">
        <f t="shared" si="294"/>
        <v>1379</v>
      </c>
      <c r="AG105" s="41"/>
      <c r="AH105" s="41">
        <v>1298</v>
      </c>
      <c r="AI105" s="41">
        <f>AF105+AG105-AH105</f>
        <v>81</v>
      </c>
      <c r="AJ105" s="42">
        <f>AI105*1000/B105</f>
        <v>0.12590777954635893</v>
      </c>
      <c r="AK105" s="41">
        <f>AK104+AI105</f>
        <v>6368</v>
      </c>
      <c r="AL105" s="42">
        <f>AK105*1000/C105</f>
        <v>0.13036901330003464</v>
      </c>
      <c r="AM105" s="1058"/>
      <c r="AN105" s="67">
        <v>4.2</v>
      </c>
      <c r="AO105" s="67">
        <v>24</v>
      </c>
      <c r="AP105" s="68">
        <f t="shared" si="314"/>
        <v>50.102640000000008</v>
      </c>
      <c r="AQ105" s="68">
        <f t="shared" si="315"/>
        <v>7.8015733122395732</v>
      </c>
      <c r="AR105" s="69">
        <f>AR104+AP105</f>
        <v>4439.4517800000021</v>
      </c>
      <c r="AS105" s="140">
        <f>AR105*1000/E105</f>
        <v>7.4153040643423269</v>
      </c>
      <c r="AT105" s="1073"/>
      <c r="AU105" s="70">
        <v>2.5</v>
      </c>
      <c r="AV105" s="71">
        <v>12</v>
      </c>
      <c r="AW105" s="72">
        <f t="shared" si="321"/>
        <v>15.501900000000001</v>
      </c>
      <c r="AX105" s="72">
        <f>AW105*1000/D105</f>
        <v>2.4138290782483045</v>
      </c>
      <c r="AY105" s="73">
        <f>AY104+AW105</f>
        <v>1458.7287900000001</v>
      </c>
      <c r="AZ105" s="192">
        <f>AY105*1000/E105</f>
        <v>2.4365435331432206</v>
      </c>
      <c r="BA105" s="1075"/>
      <c r="BB105" s="90">
        <f t="shared" si="303"/>
        <v>22930</v>
      </c>
      <c r="BC105" s="59"/>
      <c r="BD105" s="56">
        <v>22930</v>
      </c>
      <c r="BE105" s="56"/>
      <c r="BF105" s="58">
        <f t="shared" ref="BF105:BF110" si="322">BF104+BE105</f>
        <v>50532</v>
      </c>
      <c r="BG105" s="58">
        <f t="shared" ref="BG105:BG110" si="323">BF105*1000/E105</f>
        <v>84.404598483857455</v>
      </c>
      <c r="BH105" s="1133"/>
      <c r="BI105" s="63">
        <f t="shared" si="305"/>
        <v>540</v>
      </c>
      <c r="BJ105" s="64"/>
      <c r="BK105" s="64">
        <v>372</v>
      </c>
      <c r="BL105" s="64">
        <f>BI105-BK105+BJ105</f>
        <v>168</v>
      </c>
      <c r="BM105" s="65">
        <f>BL105*1000/B105</f>
        <v>0.26114206128133705</v>
      </c>
      <c r="BN105" s="64">
        <f>BN104+BL105</f>
        <v>12960</v>
      </c>
      <c r="BO105" s="65">
        <f>BN105*1000/C105</f>
        <v>0.26532387128901525</v>
      </c>
      <c r="BP105" s="1071"/>
      <c r="BQ105" s="35">
        <f t="shared" si="310"/>
        <v>22857</v>
      </c>
      <c r="BR105" s="35"/>
      <c r="BS105" s="35">
        <v>20084</v>
      </c>
      <c r="BT105" s="35">
        <f>BQ105-BS105+BR105</f>
        <v>2773</v>
      </c>
      <c r="BU105" s="74">
        <f t="shared" si="241"/>
        <v>277203</v>
      </c>
      <c r="BV105" s="74">
        <f>BU105*1000/E105</f>
        <v>463.01765046942018</v>
      </c>
      <c r="BW105" s="1098"/>
      <c r="BX105" s="295">
        <f t="shared" si="311"/>
        <v>840</v>
      </c>
      <c r="BY105" s="296"/>
      <c r="BZ105" s="296">
        <v>840</v>
      </c>
      <c r="CA105" s="296"/>
      <c r="CB105" s="297"/>
      <c r="CC105" s="296">
        <f>CC104+CA105</f>
        <v>7910</v>
      </c>
      <c r="CD105" s="297">
        <f>CC105*1000/C105</f>
        <v>0.16193764057840357</v>
      </c>
      <c r="CE105" s="1061"/>
    </row>
    <row r="106" spans="1:83">
      <c r="A106" s="30">
        <v>43688</v>
      </c>
      <c r="B106" s="318">
        <v>623490</v>
      </c>
      <c r="C106" s="114">
        <f t="shared" si="281"/>
        <v>49469453</v>
      </c>
      <c r="D106" s="29">
        <v>6679.98</v>
      </c>
      <c r="E106" s="93">
        <f t="shared" si="282"/>
        <v>605367.73999999976</v>
      </c>
      <c r="F106" s="240"/>
      <c r="G106" s="240"/>
      <c r="H106" s="240"/>
      <c r="I106" s="240"/>
      <c r="J106" s="280"/>
      <c r="K106" s="240">
        <f t="shared" si="317"/>
        <v>1264900</v>
      </c>
      <c r="L106" s="280">
        <f t="shared" si="318"/>
        <v>25.569314461593098</v>
      </c>
      <c r="M106" s="280">
        <f t="shared" si="319"/>
        <v>3.1308086765756213</v>
      </c>
      <c r="N106" s="1089"/>
      <c r="O106" s="1084"/>
      <c r="P106" s="77">
        <f t="shared" si="284"/>
        <v>10411</v>
      </c>
      <c r="Q106" s="35"/>
      <c r="R106" s="35">
        <v>6200</v>
      </c>
      <c r="S106" s="35">
        <f>P106+Q106-R106</f>
        <v>4211</v>
      </c>
      <c r="T106" s="36">
        <f>1000*S106/B106</f>
        <v>6.7539174645944602</v>
      </c>
      <c r="U106" s="74">
        <f>U105+S106</f>
        <v>83198</v>
      </c>
      <c r="V106" s="36">
        <f>1000*U106/C106</f>
        <v>1.6818055376516898</v>
      </c>
      <c r="W106" s="1179"/>
      <c r="X106" s="49">
        <f t="shared" si="289"/>
        <v>983</v>
      </c>
      <c r="Y106" s="50"/>
      <c r="Z106" s="50">
        <f>815+75</f>
        <v>890</v>
      </c>
      <c r="AA106" s="50">
        <f>X106-Z106+Y106</f>
        <v>93</v>
      </c>
      <c r="AB106" s="51">
        <f>AA106*1000/B106</f>
        <v>0.14916037145744118</v>
      </c>
      <c r="AC106" s="50">
        <f>AC105+AA106</f>
        <v>12404</v>
      </c>
      <c r="AD106" s="51">
        <f>AC106*1000/C106</f>
        <v>0.25074059339204741</v>
      </c>
      <c r="AE106" s="1050"/>
      <c r="AF106" s="40">
        <f t="shared" si="294"/>
        <v>1298</v>
      </c>
      <c r="AG106" s="41"/>
      <c r="AH106" s="41">
        <v>1211</v>
      </c>
      <c r="AI106" s="41">
        <f>AF106+AG106-AH106</f>
        <v>87</v>
      </c>
      <c r="AJ106" s="42">
        <f>AI106*1000/B106</f>
        <v>0.13953712168599336</v>
      </c>
      <c r="AK106" s="41">
        <f>AK105+AI106</f>
        <v>6455</v>
      </c>
      <c r="AL106" s="42">
        <f>AK106*1000/C106</f>
        <v>0.13048456387823815</v>
      </c>
      <c r="AM106" s="1058"/>
      <c r="AN106" s="67">
        <v>4.7</v>
      </c>
      <c r="AO106" s="67">
        <v>24</v>
      </c>
      <c r="AP106" s="68">
        <f t="shared" si="314"/>
        <v>56.067240000000005</v>
      </c>
      <c r="AQ106" s="68">
        <f t="shared" si="315"/>
        <v>8.3933245309117712</v>
      </c>
      <c r="AR106" s="69">
        <f>AR105+AP106</f>
        <v>4495.5190200000025</v>
      </c>
      <c r="AS106" s="140">
        <f>AR106*1000/E106</f>
        <v>7.4260961114313826</v>
      </c>
      <c r="AT106" s="1073"/>
      <c r="AU106" s="70">
        <v>2.4</v>
      </c>
      <c r="AV106" s="71">
        <v>12</v>
      </c>
      <c r="AW106" s="72">
        <f t="shared" si="321"/>
        <v>14.881824</v>
      </c>
      <c r="AX106" s="72">
        <f>AW106*1000/D106</f>
        <v>2.2278246342054917</v>
      </c>
      <c r="AY106" s="73">
        <f>AY105+AW106</f>
        <v>1473.6106140000002</v>
      </c>
      <c r="AZ106" s="192">
        <f>AY106*1000/E106</f>
        <v>2.4342404073266288</v>
      </c>
      <c r="BA106" s="1075"/>
      <c r="BB106" s="90">
        <f t="shared" si="303"/>
        <v>22930</v>
      </c>
      <c r="BC106" s="59"/>
      <c r="BD106" s="56">
        <v>22930</v>
      </c>
      <c r="BE106" s="56"/>
      <c r="BF106" s="58">
        <f t="shared" si="322"/>
        <v>50532</v>
      </c>
      <c r="BG106" s="58">
        <f t="shared" si="323"/>
        <v>83.473229016134923</v>
      </c>
      <c r="BH106" s="1133"/>
      <c r="BI106" s="63">
        <f t="shared" si="305"/>
        <v>372</v>
      </c>
      <c r="BJ106" s="64"/>
      <c r="BK106" s="64">
        <v>240</v>
      </c>
      <c r="BL106" s="64">
        <f>BI106-BK106+BJ106</f>
        <v>132</v>
      </c>
      <c r="BM106" s="65">
        <f>BL106*1000/B106</f>
        <v>0.21171149497185199</v>
      </c>
      <c r="BN106" s="64">
        <f>BN105+BL106</f>
        <v>13092</v>
      </c>
      <c r="BO106" s="65">
        <f>BN106*1000/C106</f>
        <v>0.26464816580850409</v>
      </c>
      <c r="BP106" s="1071"/>
      <c r="BQ106" s="35">
        <f t="shared" si="310"/>
        <v>20084</v>
      </c>
      <c r="BR106" s="35"/>
      <c r="BS106" s="35">
        <v>16388</v>
      </c>
      <c r="BT106" s="35">
        <f>BQ106-BS106+BR106</f>
        <v>3696</v>
      </c>
      <c r="BU106" s="74">
        <f t="shared" si="241"/>
        <v>280899</v>
      </c>
      <c r="BV106" s="74">
        <f>BU106*1000/E106</f>
        <v>464.01382406006655</v>
      </c>
      <c r="BW106" s="1098"/>
      <c r="BX106" s="295">
        <f t="shared" si="311"/>
        <v>840</v>
      </c>
      <c r="BY106" s="296"/>
      <c r="BZ106" s="296">
        <v>840</v>
      </c>
      <c r="CA106" s="296"/>
      <c r="CB106" s="297"/>
      <c r="CC106" s="296">
        <f>CC105+CA106</f>
        <v>7910</v>
      </c>
      <c r="CD106" s="297">
        <f>CC106*1000/C106</f>
        <v>0.15989665379966905</v>
      </c>
      <c r="CE106" s="1061"/>
    </row>
    <row r="107" spans="1:83">
      <c r="A107" s="30">
        <v>43689</v>
      </c>
      <c r="B107" s="32">
        <v>603619</v>
      </c>
      <c r="C107" s="114">
        <f t="shared" si="281"/>
        <v>50073072</v>
      </c>
      <c r="D107" s="29">
        <v>6586.16</v>
      </c>
      <c r="E107" s="93">
        <f t="shared" si="282"/>
        <v>611953.89999999979</v>
      </c>
      <c r="F107" s="240"/>
      <c r="G107" s="321">
        <v>31000</v>
      </c>
      <c r="H107" s="240"/>
      <c r="I107" s="240">
        <f t="shared" si="320"/>
        <v>31000</v>
      </c>
      <c r="J107" s="280">
        <f t="shared" si="316"/>
        <v>51.356898971039676</v>
      </c>
      <c r="K107" s="240">
        <f t="shared" si="317"/>
        <v>1295900</v>
      </c>
      <c r="L107" s="280">
        <f t="shared" si="318"/>
        <v>25.880177673141365</v>
      </c>
      <c r="M107" s="280">
        <f t="shared" si="319"/>
        <v>3.1688720060170645</v>
      </c>
      <c r="N107" s="1089"/>
      <c r="O107" s="1084"/>
      <c r="P107" s="77">
        <f t="shared" si="284"/>
        <v>6200</v>
      </c>
      <c r="Q107" s="35">
        <v>33880</v>
      </c>
      <c r="R107" s="35">
        <v>38542</v>
      </c>
      <c r="S107" s="35">
        <f t="shared" ref="S107:S114" si="324">P107+Q107-R107</f>
        <v>1538</v>
      </c>
      <c r="T107" s="36">
        <f t="shared" ref="T107:T114" si="325">1000*S107/B107</f>
        <v>2.5479648586277106</v>
      </c>
      <c r="U107" s="74">
        <f t="shared" ref="U107:U114" si="326">U106+S107</f>
        <v>84736</v>
      </c>
      <c r="V107" s="36">
        <f t="shared" ref="V107:V114" si="327">1000*U107/C107</f>
        <v>1.692246882715724</v>
      </c>
      <c r="W107" s="1179"/>
      <c r="X107" s="49">
        <f t="shared" si="289"/>
        <v>890</v>
      </c>
      <c r="Y107" s="50"/>
      <c r="Z107" s="50">
        <f>635+50</f>
        <v>685</v>
      </c>
      <c r="AA107" s="50">
        <f t="shared" ref="AA107:AA116" si="328">X107-Z107+Y107</f>
        <v>205</v>
      </c>
      <c r="AB107" s="51">
        <f t="shared" ref="AB107:AB116" si="329">AA107*1000/B107</f>
        <v>0.33961820287300432</v>
      </c>
      <c r="AC107" s="50">
        <f t="shared" ref="AC107:AC116" si="330">AC106+AA107</f>
        <v>12609</v>
      </c>
      <c r="AD107" s="51">
        <f t="shared" ref="AD107:AD116" si="331">AC107*1000/C107</f>
        <v>0.25181199188258313</v>
      </c>
      <c r="AE107" s="1050"/>
      <c r="AF107" s="40">
        <f t="shared" si="294"/>
        <v>1211</v>
      </c>
      <c r="AG107" s="41"/>
      <c r="AH107" s="41">
        <v>1211</v>
      </c>
      <c r="AI107" s="41">
        <f t="shared" ref="AI107:AI116" si="332">AF107+AG107-AH107</f>
        <v>0</v>
      </c>
      <c r="AJ107" s="42">
        <f t="shared" ref="AJ107:AJ116" si="333">AI107*1000/B107</f>
        <v>0</v>
      </c>
      <c r="AK107" s="41">
        <f t="shared" ref="AK107:AK116" si="334">AK106+AI107</f>
        <v>6455</v>
      </c>
      <c r="AL107" s="42">
        <f t="shared" ref="AL107:AL116" si="335">AK107*1000/C107</f>
        <v>0.12891160342628868</v>
      </c>
      <c r="AM107" s="1058"/>
      <c r="AN107" s="67">
        <v>4.9000000000000004</v>
      </c>
      <c r="AO107" s="67">
        <v>24</v>
      </c>
      <c r="AP107" s="68">
        <f t="shared" ref="AP107:AP117" si="336">AN107*AO107*0.49705</f>
        <v>58.45308</v>
      </c>
      <c r="AQ107" s="68">
        <f t="shared" ref="AQ107:AQ117" si="337">AP107*1000/D107</f>
        <v>8.875138168523085</v>
      </c>
      <c r="AR107" s="69">
        <f t="shared" ref="AR107:AR117" si="338">AR106+AP107</f>
        <v>4553.9721000000027</v>
      </c>
      <c r="AS107" s="140">
        <f t="shared" ref="AS107:AS117" si="339">AR107*1000/E107</f>
        <v>7.4416914411363404</v>
      </c>
      <c r="AT107" s="1073"/>
      <c r="AU107" s="70">
        <v>2.7</v>
      </c>
      <c r="AV107" s="71">
        <v>12</v>
      </c>
      <c r="AW107" s="72">
        <f t="shared" si="321"/>
        <v>16.742052000000005</v>
      </c>
      <c r="AX107" s="72">
        <f t="shared" ref="AX107:AX117" si="340">AW107*1000/D107</f>
        <v>2.5420050530202736</v>
      </c>
      <c r="AY107" s="73">
        <f t="shared" ref="AY107:AY117" si="341">AY106+AW107</f>
        <v>1490.3526660000002</v>
      </c>
      <c r="AZ107" s="192">
        <f t="shared" ref="AZ107:AZ117" si="342">AY107*1000/E107</f>
        <v>2.4354002254091376</v>
      </c>
      <c r="BA107" s="1075"/>
      <c r="BB107" s="90">
        <f t="shared" si="303"/>
        <v>22930</v>
      </c>
      <c r="BC107" s="59"/>
      <c r="BD107" s="56">
        <v>22930</v>
      </c>
      <c r="BE107" s="56"/>
      <c r="BF107" s="58">
        <f t="shared" si="322"/>
        <v>50532</v>
      </c>
      <c r="BG107" s="58">
        <f t="shared" si="323"/>
        <v>82.574847549790945</v>
      </c>
      <c r="BH107" s="1133"/>
      <c r="BI107" s="63">
        <f t="shared" si="305"/>
        <v>240</v>
      </c>
      <c r="BJ107" s="64">
        <v>1100</v>
      </c>
      <c r="BK107" s="64">
        <v>1020</v>
      </c>
      <c r="BL107" s="64">
        <f t="shared" ref="BL107:BL116" si="343">BI107-BK107+BJ107</f>
        <v>320</v>
      </c>
      <c r="BM107" s="65">
        <f t="shared" ref="BM107:BM116" si="344">BL107*1000/B107</f>
        <v>0.53013573131395797</v>
      </c>
      <c r="BN107" s="64">
        <f t="shared" ref="BN107:BN116" si="345">BN106+BL107</f>
        <v>13412</v>
      </c>
      <c r="BO107" s="65">
        <f t="shared" ref="BO107:BO116" si="346">BN107*1000/C107</f>
        <v>0.26784855540718572</v>
      </c>
      <c r="BP107" s="1071"/>
      <c r="BQ107" s="35">
        <f t="shared" si="310"/>
        <v>16388</v>
      </c>
      <c r="BR107" s="320"/>
      <c r="BS107" s="35">
        <v>14539</v>
      </c>
      <c r="BT107" s="35">
        <f t="shared" ref="BT107:BT117" si="347">BQ107-BS107+BR107</f>
        <v>1849</v>
      </c>
      <c r="BU107" s="74">
        <f t="shared" ref="BU107:BU117" si="348">BU106+BT107</f>
        <v>282748</v>
      </c>
      <c r="BV107" s="74">
        <f t="shared" ref="BV107:BV117" si="349">BU107*1000/E107</f>
        <v>462.04134004211772</v>
      </c>
      <c r="BW107" s="1098"/>
      <c r="BX107" s="295">
        <f t="shared" si="311"/>
        <v>840</v>
      </c>
      <c r="BY107" s="296"/>
      <c r="BZ107" s="296">
        <v>840</v>
      </c>
      <c r="CA107" s="296"/>
      <c r="CB107" s="297"/>
      <c r="CC107" s="296">
        <f t="shared" ref="CC107:CC116" si="350">CC106+CA107</f>
        <v>7910</v>
      </c>
      <c r="CD107" s="297">
        <f t="shared" ref="CD107:CD116" si="351">CC107*1000/C107</f>
        <v>0.15796913758356987</v>
      </c>
      <c r="CE107" s="1061"/>
    </row>
    <row r="108" spans="1:83">
      <c r="A108" s="30">
        <v>43690</v>
      </c>
      <c r="B108" s="32">
        <v>647543</v>
      </c>
      <c r="C108" s="114">
        <f t="shared" si="281"/>
        <v>50720615</v>
      </c>
      <c r="D108" s="29">
        <v>7350.04</v>
      </c>
      <c r="E108" s="93">
        <f t="shared" si="282"/>
        <v>619303.93999999983</v>
      </c>
      <c r="F108" s="240"/>
      <c r="G108" s="321">
        <v>29670</v>
      </c>
      <c r="H108" s="240"/>
      <c r="I108" s="240">
        <f t="shared" si="320"/>
        <v>29670</v>
      </c>
      <c r="J108" s="280">
        <f t="shared" si="316"/>
        <v>45.819350992907033</v>
      </c>
      <c r="K108" s="240">
        <f t="shared" si="317"/>
        <v>1325570</v>
      </c>
      <c r="L108" s="280">
        <f t="shared" si="318"/>
        <v>26.134738311039801</v>
      </c>
      <c r="M108" s="280">
        <f t="shared" si="319"/>
        <v>3.2000414241508266</v>
      </c>
      <c r="N108" s="1089"/>
      <c r="O108" s="1084"/>
      <c r="P108" s="77">
        <f t="shared" si="284"/>
        <v>38542</v>
      </c>
      <c r="Q108" s="35"/>
      <c r="R108" s="35">
        <v>38542</v>
      </c>
      <c r="S108" s="35">
        <f t="shared" si="324"/>
        <v>0</v>
      </c>
      <c r="T108" s="36">
        <f t="shared" si="325"/>
        <v>0</v>
      </c>
      <c r="U108" s="74">
        <f t="shared" si="326"/>
        <v>84736</v>
      </c>
      <c r="V108" s="36">
        <f t="shared" si="327"/>
        <v>1.6706422033723369</v>
      </c>
      <c r="W108" s="1179"/>
      <c r="X108" s="49">
        <f t="shared" si="289"/>
        <v>685</v>
      </c>
      <c r="Y108" s="50"/>
      <c r="Z108" s="50">
        <f>563+90</f>
        <v>653</v>
      </c>
      <c r="AA108" s="50">
        <f t="shared" si="328"/>
        <v>32</v>
      </c>
      <c r="AB108" s="51">
        <f t="shared" si="329"/>
        <v>4.9417567636434956E-2</v>
      </c>
      <c r="AC108" s="50">
        <f t="shared" si="330"/>
        <v>12641</v>
      </c>
      <c r="AD108" s="51">
        <f t="shared" si="331"/>
        <v>0.24922805056681588</v>
      </c>
      <c r="AE108" s="1050"/>
      <c r="AF108" s="40">
        <f t="shared" si="294"/>
        <v>1211</v>
      </c>
      <c r="AG108" s="41"/>
      <c r="AH108" s="41">
        <v>1062</v>
      </c>
      <c r="AI108" s="41">
        <f t="shared" si="332"/>
        <v>149</v>
      </c>
      <c r="AJ108" s="42">
        <f t="shared" si="333"/>
        <v>0.23010054930715026</v>
      </c>
      <c r="AK108" s="41">
        <f t="shared" si="334"/>
        <v>6604</v>
      </c>
      <c r="AL108" s="42">
        <f t="shared" si="335"/>
        <v>0.13020346855021375</v>
      </c>
      <c r="AM108" s="1058"/>
      <c r="AN108" s="67">
        <v>4.5999999999999996</v>
      </c>
      <c r="AO108" s="67">
        <v>24</v>
      </c>
      <c r="AP108" s="68">
        <f t="shared" si="336"/>
        <v>54.874319999999997</v>
      </c>
      <c r="AQ108" s="68">
        <f t="shared" si="337"/>
        <v>7.4658532470571588</v>
      </c>
      <c r="AR108" s="69">
        <f t="shared" si="338"/>
        <v>4608.8464200000026</v>
      </c>
      <c r="AS108" s="140">
        <f t="shared" si="339"/>
        <v>7.4419781989438079</v>
      </c>
      <c r="AT108" s="1073"/>
      <c r="AU108" s="70">
        <v>2.9</v>
      </c>
      <c r="AV108" s="71">
        <v>12</v>
      </c>
      <c r="AW108" s="72">
        <f t="shared" si="321"/>
        <v>17.982203999999999</v>
      </c>
      <c r="AX108" s="72">
        <f t="shared" si="340"/>
        <v>2.4465450528160386</v>
      </c>
      <c r="AY108" s="73">
        <f t="shared" si="341"/>
        <v>1508.3348700000001</v>
      </c>
      <c r="AZ108" s="192">
        <f t="shared" si="342"/>
        <v>2.4355324947553223</v>
      </c>
      <c r="BA108" s="1075"/>
      <c r="BB108" s="90">
        <f t="shared" si="303"/>
        <v>22930</v>
      </c>
      <c r="BC108" s="59"/>
      <c r="BD108" s="56">
        <v>18470</v>
      </c>
      <c r="BE108" s="56">
        <f>BB108-BD108+BC108</f>
        <v>4460</v>
      </c>
      <c r="BF108" s="58">
        <f t="shared" si="322"/>
        <v>54992</v>
      </c>
      <c r="BG108" s="58">
        <f t="shared" si="323"/>
        <v>88.796463978575716</v>
      </c>
      <c r="BH108" s="1133"/>
      <c r="BI108" s="63">
        <f t="shared" si="305"/>
        <v>1020</v>
      </c>
      <c r="BJ108" s="64">
        <v>1100</v>
      </c>
      <c r="BK108" s="64">
        <v>2100</v>
      </c>
      <c r="BL108" s="64">
        <f t="shared" si="343"/>
        <v>20</v>
      </c>
      <c r="BM108" s="65">
        <f t="shared" si="344"/>
        <v>3.0885979772771847E-2</v>
      </c>
      <c r="BN108" s="64">
        <f t="shared" si="345"/>
        <v>13432</v>
      </c>
      <c r="BO108" s="65">
        <f t="shared" si="346"/>
        <v>0.26482328733592841</v>
      </c>
      <c r="BP108" s="1071"/>
      <c r="BQ108" s="35">
        <f t="shared" si="310"/>
        <v>14539</v>
      </c>
      <c r="BR108" s="320">
        <v>31880</v>
      </c>
      <c r="BS108" s="35">
        <v>37644</v>
      </c>
      <c r="BT108" s="35">
        <f t="shared" si="347"/>
        <v>8775</v>
      </c>
      <c r="BU108" s="74">
        <f t="shared" si="348"/>
        <v>291523</v>
      </c>
      <c r="BV108" s="74">
        <f t="shared" si="349"/>
        <v>470.72686151488085</v>
      </c>
      <c r="BW108" s="1098"/>
      <c r="BX108" s="295">
        <f t="shared" si="311"/>
        <v>840</v>
      </c>
      <c r="BY108" s="296"/>
      <c r="BZ108" s="296">
        <v>840</v>
      </c>
      <c r="CA108" s="296"/>
      <c r="CB108" s="297"/>
      <c r="CC108" s="296">
        <f t="shared" si="350"/>
        <v>7910</v>
      </c>
      <c r="CD108" s="297">
        <f t="shared" si="351"/>
        <v>0.15595236769112519</v>
      </c>
      <c r="CE108" s="1061"/>
    </row>
    <row r="109" spans="1:83">
      <c r="A109" s="30">
        <v>43691</v>
      </c>
      <c r="B109" s="32">
        <v>633189</v>
      </c>
      <c r="C109" s="114">
        <f t="shared" si="281"/>
        <v>51353804</v>
      </c>
      <c r="D109" s="29">
        <v>7387.42</v>
      </c>
      <c r="E109" s="93">
        <f t="shared" si="282"/>
        <v>626691.35999999987</v>
      </c>
      <c r="F109" s="240"/>
      <c r="G109" s="240"/>
      <c r="H109" s="240"/>
      <c r="I109" s="240"/>
      <c r="J109" s="280"/>
      <c r="K109" s="240">
        <f t="shared" si="317"/>
        <v>1325570</v>
      </c>
      <c r="L109" s="280">
        <f t="shared" si="318"/>
        <v>25.812498719666415</v>
      </c>
      <c r="M109" s="280">
        <f t="shared" si="319"/>
        <v>3.1605851254642361</v>
      </c>
      <c r="N109" s="1089"/>
      <c r="O109" s="1084"/>
      <c r="P109" s="77">
        <f t="shared" si="284"/>
        <v>38542</v>
      </c>
      <c r="Q109" s="35"/>
      <c r="R109" s="35">
        <v>37480</v>
      </c>
      <c r="S109" s="35">
        <f t="shared" si="324"/>
        <v>1062</v>
      </c>
      <c r="T109" s="36">
        <f t="shared" si="325"/>
        <v>1.6772243358618042</v>
      </c>
      <c r="U109" s="74">
        <f t="shared" si="326"/>
        <v>85798</v>
      </c>
      <c r="V109" s="36">
        <f t="shared" si="327"/>
        <v>1.6707233606297209</v>
      </c>
      <c r="W109" s="1179"/>
      <c r="X109" s="49">
        <f t="shared" si="289"/>
        <v>653</v>
      </c>
      <c r="Y109" s="50"/>
      <c r="Z109" s="50">
        <f>493+50</f>
        <v>543</v>
      </c>
      <c r="AA109" s="50">
        <f t="shared" si="328"/>
        <v>110</v>
      </c>
      <c r="AB109" s="51">
        <f t="shared" si="329"/>
        <v>0.17372380126628859</v>
      </c>
      <c r="AC109" s="50">
        <f t="shared" si="330"/>
        <v>12751</v>
      </c>
      <c r="AD109" s="51">
        <f t="shared" si="331"/>
        <v>0.24829708817675902</v>
      </c>
      <c r="AE109" s="1050"/>
      <c r="AF109" s="40">
        <f t="shared" si="294"/>
        <v>1062</v>
      </c>
      <c r="AG109" s="41"/>
      <c r="AH109" s="41">
        <v>925</v>
      </c>
      <c r="AI109" s="41">
        <f t="shared" si="332"/>
        <v>137</v>
      </c>
      <c r="AJ109" s="42">
        <f t="shared" si="333"/>
        <v>0.21636509794074124</v>
      </c>
      <c r="AK109" s="41">
        <f t="shared" si="334"/>
        <v>6741</v>
      </c>
      <c r="AL109" s="42">
        <f t="shared" si="335"/>
        <v>0.13126583573049427</v>
      </c>
      <c r="AM109" s="1058"/>
      <c r="AN109" s="67">
        <v>5.3</v>
      </c>
      <c r="AO109" s="67">
        <v>24</v>
      </c>
      <c r="AP109" s="68">
        <f t="shared" si="336"/>
        <v>63.224759999999996</v>
      </c>
      <c r="AQ109" s="68">
        <f t="shared" si="337"/>
        <v>8.5584358273930548</v>
      </c>
      <c r="AR109" s="69">
        <f t="shared" si="338"/>
        <v>4672.0711800000026</v>
      </c>
      <c r="AS109" s="140">
        <f t="shared" si="339"/>
        <v>7.4551389698431514</v>
      </c>
      <c r="AT109" s="1073"/>
      <c r="AU109" s="70">
        <v>2.9</v>
      </c>
      <c r="AV109" s="71">
        <v>12</v>
      </c>
      <c r="AW109" s="72">
        <f t="shared" si="321"/>
        <v>17.982203999999999</v>
      </c>
      <c r="AX109" s="72">
        <f t="shared" si="340"/>
        <v>2.4341656491711583</v>
      </c>
      <c r="AY109" s="73">
        <f t="shared" si="341"/>
        <v>1526.317074</v>
      </c>
      <c r="AZ109" s="192">
        <f t="shared" si="342"/>
        <v>2.4355163824182933</v>
      </c>
      <c r="BA109" s="1075"/>
      <c r="BB109" s="90">
        <f t="shared" si="303"/>
        <v>18470</v>
      </c>
      <c r="BC109" s="59"/>
      <c r="BD109" s="56">
        <v>18470</v>
      </c>
      <c r="BE109" s="56"/>
      <c r="BF109" s="58">
        <f t="shared" si="322"/>
        <v>54992</v>
      </c>
      <c r="BG109" s="58">
        <f t="shared" si="323"/>
        <v>87.749733776447812</v>
      </c>
      <c r="BH109" s="1133"/>
      <c r="BI109" s="63">
        <f t="shared" si="305"/>
        <v>2100</v>
      </c>
      <c r="BJ109" s="64"/>
      <c r="BK109" s="64">
        <v>1980</v>
      </c>
      <c r="BL109" s="64">
        <f t="shared" si="343"/>
        <v>120</v>
      </c>
      <c r="BM109" s="65">
        <f t="shared" si="344"/>
        <v>0.18951687410867846</v>
      </c>
      <c r="BN109" s="64">
        <f t="shared" si="345"/>
        <v>13552</v>
      </c>
      <c r="BO109" s="65">
        <f t="shared" si="346"/>
        <v>0.26389476425154407</v>
      </c>
      <c r="BP109" s="1071"/>
      <c r="BQ109" s="35">
        <f t="shared" si="310"/>
        <v>37644</v>
      </c>
      <c r="BR109" s="35"/>
      <c r="BS109" s="35">
        <v>34871</v>
      </c>
      <c r="BT109" s="35">
        <f t="shared" si="347"/>
        <v>2773</v>
      </c>
      <c r="BU109" s="74">
        <f t="shared" si="348"/>
        <v>294296</v>
      </c>
      <c r="BV109" s="74">
        <f t="shared" si="349"/>
        <v>469.60277224820851</v>
      </c>
      <c r="BW109" s="1098"/>
      <c r="BX109" s="295">
        <f t="shared" si="311"/>
        <v>840</v>
      </c>
      <c r="BY109" s="296"/>
      <c r="BZ109" s="296">
        <v>840</v>
      </c>
      <c r="CA109" s="296"/>
      <c r="CB109" s="297"/>
      <c r="CC109" s="296">
        <f t="shared" si="350"/>
        <v>7910</v>
      </c>
      <c r="CD109" s="297">
        <f t="shared" si="351"/>
        <v>0.15402948533277105</v>
      </c>
      <c r="CE109" s="1061"/>
    </row>
    <row r="110" spans="1:83">
      <c r="A110" s="30">
        <v>43692</v>
      </c>
      <c r="B110" s="32">
        <v>625953</v>
      </c>
      <c r="C110" s="114">
        <f t="shared" si="281"/>
        <v>51979757</v>
      </c>
      <c r="D110" s="29">
        <v>7177.52</v>
      </c>
      <c r="E110" s="93">
        <f t="shared" si="282"/>
        <v>633868.87999999989</v>
      </c>
      <c r="F110" s="240"/>
      <c r="G110" s="321">
        <v>31000</v>
      </c>
      <c r="H110" s="240">
        <v>8100</v>
      </c>
      <c r="I110" s="240">
        <f t="shared" si="320"/>
        <v>22900</v>
      </c>
      <c r="J110" s="280">
        <f t="shared" si="316"/>
        <v>36.584216386853328</v>
      </c>
      <c r="K110" s="240">
        <f t="shared" si="317"/>
        <v>1348470</v>
      </c>
      <c r="L110" s="280">
        <f t="shared" si="318"/>
        <v>25.942214389343913</v>
      </c>
      <c r="M110" s="280">
        <f t="shared" si="319"/>
        <v>3.1764680285715579</v>
      </c>
      <c r="N110" s="1089"/>
      <c r="O110" s="1084"/>
      <c r="P110" s="77">
        <f t="shared" si="284"/>
        <v>37480</v>
      </c>
      <c r="Q110" s="35"/>
      <c r="R110" s="35">
        <v>33464</v>
      </c>
      <c r="S110" s="35">
        <f t="shared" si="324"/>
        <v>4016</v>
      </c>
      <c r="T110" s="36">
        <f t="shared" si="325"/>
        <v>6.415817161991396</v>
      </c>
      <c r="U110" s="74">
        <f t="shared" si="326"/>
        <v>89814</v>
      </c>
      <c r="V110" s="36">
        <f t="shared" si="327"/>
        <v>1.7278649455787183</v>
      </c>
      <c r="W110" s="1179"/>
      <c r="X110" s="49">
        <f t="shared" si="289"/>
        <v>543</v>
      </c>
      <c r="Y110" s="50"/>
      <c r="Z110" s="50">
        <f>390+100</f>
        <v>490</v>
      </c>
      <c r="AA110" s="50">
        <f t="shared" si="328"/>
        <v>53</v>
      </c>
      <c r="AB110" s="51">
        <f t="shared" si="329"/>
        <v>8.4670893821101587E-2</v>
      </c>
      <c r="AC110" s="50">
        <f t="shared" si="330"/>
        <v>12804</v>
      </c>
      <c r="AD110" s="51">
        <f t="shared" si="331"/>
        <v>0.24632666135780512</v>
      </c>
      <c r="AE110" s="1050"/>
      <c r="AF110" s="40">
        <f t="shared" si="294"/>
        <v>925</v>
      </c>
      <c r="AG110" s="41"/>
      <c r="AH110" s="41">
        <v>925</v>
      </c>
      <c r="AI110" s="41">
        <f t="shared" si="332"/>
        <v>0</v>
      </c>
      <c r="AJ110" s="42">
        <f t="shared" si="333"/>
        <v>0</v>
      </c>
      <c r="AK110" s="41">
        <f t="shared" si="334"/>
        <v>6741</v>
      </c>
      <c r="AL110" s="42">
        <f t="shared" si="335"/>
        <v>0.12968510029779479</v>
      </c>
      <c r="AM110" s="1058"/>
      <c r="AN110" s="67">
        <v>4.9000000000000004</v>
      </c>
      <c r="AO110" s="67">
        <v>24</v>
      </c>
      <c r="AP110" s="68">
        <f t="shared" si="336"/>
        <v>58.45308</v>
      </c>
      <c r="AQ110" s="68">
        <f t="shared" si="337"/>
        <v>8.1439104314582185</v>
      </c>
      <c r="AR110" s="69">
        <f t="shared" si="338"/>
        <v>4730.5242600000029</v>
      </c>
      <c r="AS110" s="140">
        <f t="shared" si="339"/>
        <v>7.462938171061503</v>
      </c>
      <c r="AT110" s="1073"/>
      <c r="AU110" s="70">
        <v>3.3</v>
      </c>
      <c r="AV110" s="71">
        <v>12</v>
      </c>
      <c r="AW110" s="72">
        <f t="shared" si="321"/>
        <v>20.462508</v>
      </c>
      <c r="AX110" s="72">
        <f t="shared" si="340"/>
        <v>2.8509161938942693</v>
      </c>
      <c r="AY110" s="73">
        <f t="shared" si="341"/>
        <v>1546.7795820000001</v>
      </c>
      <c r="AZ110" s="192">
        <f t="shared" si="342"/>
        <v>2.4402201004094102</v>
      </c>
      <c r="BA110" s="1075"/>
      <c r="BB110" s="90">
        <f t="shared" si="303"/>
        <v>18470</v>
      </c>
      <c r="BC110" s="59"/>
      <c r="BD110" s="56">
        <v>15218</v>
      </c>
      <c r="BE110" s="56">
        <f>BB110-BD110+BC110</f>
        <v>3252</v>
      </c>
      <c r="BF110" s="58">
        <f t="shared" si="322"/>
        <v>58244</v>
      </c>
      <c r="BG110" s="58">
        <f t="shared" si="323"/>
        <v>91.886511292366976</v>
      </c>
      <c r="BH110" s="1133"/>
      <c r="BI110" s="63">
        <f t="shared" si="305"/>
        <v>1980</v>
      </c>
      <c r="BJ110" s="64"/>
      <c r="BK110" s="64">
        <v>1860</v>
      </c>
      <c r="BL110" s="64">
        <f t="shared" si="343"/>
        <v>120</v>
      </c>
      <c r="BM110" s="65">
        <f t="shared" si="344"/>
        <v>0.19170768412324887</v>
      </c>
      <c r="BN110" s="64">
        <f t="shared" si="345"/>
        <v>13672</v>
      </c>
      <c r="BO110" s="65">
        <f t="shared" si="346"/>
        <v>0.26302546970352325</v>
      </c>
      <c r="BP110" s="1071"/>
      <c r="BQ110" s="35">
        <f t="shared" si="310"/>
        <v>34871</v>
      </c>
      <c r="BR110" s="35"/>
      <c r="BS110" s="35">
        <v>32099</v>
      </c>
      <c r="BT110" s="35">
        <f t="shared" si="347"/>
        <v>2772</v>
      </c>
      <c r="BU110" s="74">
        <f t="shared" si="348"/>
        <v>297068</v>
      </c>
      <c r="BV110" s="74">
        <f t="shared" si="349"/>
        <v>468.65843926586211</v>
      </c>
      <c r="BW110" s="1098"/>
      <c r="BX110" s="295">
        <f t="shared" si="311"/>
        <v>840</v>
      </c>
      <c r="BY110" s="296"/>
      <c r="BZ110" s="296">
        <v>840</v>
      </c>
      <c r="CA110" s="296"/>
      <c r="CB110" s="297"/>
      <c r="CC110" s="296">
        <f t="shared" si="350"/>
        <v>7910</v>
      </c>
      <c r="CD110" s="297">
        <f t="shared" si="351"/>
        <v>0.15217462444081836</v>
      </c>
      <c r="CE110" s="1061"/>
    </row>
    <row r="111" spans="1:83">
      <c r="A111" s="30">
        <v>43693</v>
      </c>
      <c r="B111" s="265">
        <v>600620</v>
      </c>
      <c r="C111" s="114">
        <f t="shared" si="281"/>
        <v>52580377</v>
      </c>
      <c r="D111" s="91">
        <v>6519.38</v>
      </c>
      <c r="E111" s="93">
        <f t="shared" si="282"/>
        <v>640388.25999999989</v>
      </c>
      <c r="F111" s="240">
        <f t="shared" si="283"/>
        <v>8100</v>
      </c>
      <c r="G111" s="240"/>
      <c r="H111" s="240">
        <v>8100</v>
      </c>
      <c r="I111" s="240"/>
      <c r="J111" s="280"/>
      <c r="K111" s="240">
        <f t="shared" si="317"/>
        <v>1348470</v>
      </c>
      <c r="L111" s="280">
        <f t="shared" si="318"/>
        <v>25.645879260241895</v>
      </c>
      <c r="M111" s="280">
        <f t="shared" si="319"/>
        <v>3.1401835753938894</v>
      </c>
      <c r="N111" s="1089"/>
      <c r="O111" s="1084"/>
      <c r="P111" s="77">
        <f t="shared" si="284"/>
        <v>33464</v>
      </c>
      <c r="Q111" s="35"/>
      <c r="R111" s="35">
        <v>32657</v>
      </c>
      <c r="S111" s="35">
        <f t="shared" si="324"/>
        <v>807</v>
      </c>
      <c r="T111" s="36">
        <f t="shared" si="325"/>
        <v>1.3436116013452766</v>
      </c>
      <c r="U111" s="74">
        <f t="shared" si="326"/>
        <v>90621</v>
      </c>
      <c r="V111" s="36">
        <f t="shared" si="327"/>
        <v>1.7234756608915147</v>
      </c>
      <c r="W111" s="1179"/>
      <c r="X111" s="49">
        <f t="shared" si="289"/>
        <v>490</v>
      </c>
      <c r="Y111" s="50"/>
      <c r="Z111" s="50">
        <f>308+60</f>
        <v>368</v>
      </c>
      <c r="AA111" s="50">
        <f t="shared" si="328"/>
        <v>122</v>
      </c>
      <c r="AB111" s="51">
        <f t="shared" si="329"/>
        <v>0.20312343911291666</v>
      </c>
      <c r="AC111" s="50">
        <f t="shared" si="330"/>
        <v>12926</v>
      </c>
      <c r="AD111" s="51">
        <f t="shared" si="331"/>
        <v>0.2458331555895843</v>
      </c>
      <c r="AE111" s="1050"/>
      <c r="AF111" s="40">
        <f t="shared" si="294"/>
        <v>925</v>
      </c>
      <c r="AG111" s="41"/>
      <c r="AH111" s="41">
        <v>885</v>
      </c>
      <c r="AI111" s="41">
        <f t="shared" si="332"/>
        <v>40</v>
      </c>
      <c r="AJ111" s="42">
        <f t="shared" si="333"/>
        <v>6.6597848889480865E-2</v>
      </c>
      <c r="AK111" s="41">
        <f t="shared" si="334"/>
        <v>6781</v>
      </c>
      <c r="AL111" s="42">
        <f t="shared" si="335"/>
        <v>0.12896446139973472</v>
      </c>
      <c r="AM111" s="1058"/>
      <c r="AN111" s="67">
        <v>4.4000000000000004</v>
      </c>
      <c r="AO111" s="67">
        <v>24</v>
      </c>
      <c r="AP111" s="68">
        <f t="shared" si="336"/>
        <v>52.488480000000003</v>
      </c>
      <c r="AQ111" s="68">
        <f t="shared" si="337"/>
        <v>8.051145967868111</v>
      </c>
      <c r="AR111" s="69">
        <f t="shared" si="338"/>
        <v>4783.0127400000029</v>
      </c>
      <c r="AS111" s="140">
        <f t="shared" si="339"/>
        <v>7.4689263354078408</v>
      </c>
      <c r="AT111" s="1073"/>
      <c r="AU111" s="70">
        <v>3.3</v>
      </c>
      <c r="AV111" s="71">
        <v>12</v>
      </c>
      <c r="AW111" s="72">
        <f t="shared" si="321"/>
        <v>20.462508</v>
      </c>
      <c r="AX111" s="72">
        <f t="shared" si="340"/>
        <v>3.1387199396261605</v>
      </c>
      <c r="AY111" s="73">
        <f t="shared" si="341"/>
        <v>1567.2420900000002</v>
      </c>
      <c r="AZ111" s="192">
        <f t="shared" si="342"/>
        <v>2.447331076931361</v>
      </c>
      <c r="BA111" s="1075"/>
      <c r="BB111" s="90">
        <f t="shared" si="303"/>
        <v>15218</v>
      </c>
      <c r="BC111" s="59"/>
      <c r="BD111" s="56">
        <v>15218</v>
      </c>
      <c r="BE111" s="56"/>
      <c r="BF111" s="58">
        <f t="shared" ref="BF111:BF124" si="352">BF110+BE111</f>
        <v>58244</v>
      </c>
      <c r="BG111" s="58">
        <f t="shared" ref="BG111:BG124" si="353">BF111*1000/E111</f>
        <v>90.951073962536427</v>
      </c>
      <c r="BH111" s="1133"/>
      <c r="BI111" s="63">
        <f t="shared" si="305"/>
        <v>1860</v>
      </c>
      <c r="BJ111" s="64"/>
      <c r="BK111" s="64">
        <v>1620</v>
      </c>
      <c r="BL111" s="64">
        <f t="shared" si="343"/>
        <v>240</v>
      </c>
      <c r="BM111" s="65">
        <f t="shared" si="344"/>
        <v>0.39958709333688525</v>
      </c>
      <c r="BN111" s="64">
        <f t="shared" si="345"/>
        <v>13912</v>
      </c>
      <c r="BO111" s="65">
        <f t="shared" si="346"/>
        <v>0.26458539846528678</v>
      </c>
      <c r="BP111" s="1071"/>
      <c r="BQ111" s="35">
        <f t="shared" si="310"/>
        <v>32099</v>
      </c>
      <c r="BR111" s="35"/>
      <c r="BS111" s="35">
        <v>29326</v>
      </c>
      <c r="BT111" s="35">
        <f t="shared" si="347"/>
        <v>2773</v>
      </c>
      <c r="BU111" s="74">
        <f t="shared" si="348"/>
        <v>299841</v>
      </c>
      <c r="BV111" s="74">
        <f t="shared" si="349"/>
        <v>468.21751541791235</v>
      </c>
      <c r="BW111" s="1098"/>
      <c r="BX111" s="295">
        <f t="shared" si="311"/>
        <v>840</v>
      </c>
      <c r="BY111" s="296"/>
      <c r="BZ111" s="296">
        <v>840</v>
      </c>
      <c r="CA111" s="296"/>
      <c r="CB111" s="297"/>
      <c r="CC111" s="296">
        <f t="shared" si="350"/>
        <v>7910</v>
      </c>
      <c r="CD111" s="297">
        <f t="shared" si="351"/>
        <v>0.15043635004747113</v>
      </c>
      <c r="CE111" s="1061"/>
    </row>
    <row r="112" spans="1:83">
      <c r="A112" s="30">
        <v>43694</v>
      </c>
      <c r="B112" s="265">
        <v>593234</v>
      </c>
      <c r="C112" s="114">
        <f t="shared" si="281"/>
        <v>53173611</v>
      </c>
      <c r="D112" s="91">
        <v>6726.84</v>
      </c>
      <c r="E112" s="93">
        <f t="shared" si="282"/>
        <v>647115.09999999986</v>
      </c>
      <c r="F112" s="240">
        <f t="shared" si="283"/>
        <v>8100</v>
      </c>
      <c r="G112" s="240"/>
      <c r="H112" s="240">
        <v>3000</v>
      </c>
      <c r="I112" s="240">
        <f t="shared" si="320"/>
        <v>5100</v>
      </c>
      <c r="J112" s="280">
        <f t="shared" si="316"/>
        <v>8.5969448817835801</v>
      </c>
      <c r="K112" s="240">
        <f t="shared" si="317"/>
        <v>1353570</v>
      </c>
      <c r="L112" s="280">
        <f t="shared" si="318"/>
        <v>25.455671987369826</v>
      </c>
      <c r="M112" s="280">
        <f t="shared" si="319"/>
        <v>3.1168938395212229</v>
      </c>
      <c r="N112" s="1089"/>
      <c r="O112" s="1084"/>
      <c r="P112" s="77">
        <f t="shared" si="284"/>
        <v>32657</v>
      </c>
      <c r="Q112" s="35"/>
      <c r="R112" s="35">
        <v>31310</v>
      </c>
      <c r="S112" s="35">
        <f t="shared" si="324"/>
        <v>1347</v>
      </c>
      <c r="T112" s="36">
        <f t="shared" si="325"/>
        <v>2.2706048540710748</v>
      </c>
      <c r="U112" s="74">
        <f t="shared" si="326"/>
        <v>91968</v>
      </c>
      <c r="V112" s="36">
        <f t="shared" si="327"/>
        <v>1.7295797345792445</v>
      </c>
      <c r="W112" s="1179"/>
      <c r="X112" s="49">
        <f t="shared" si="289"/>
        <v>368</v>
      </c>
      <c r="Y112" s="50"/>
      <c r="Z112" s="50">
        <v>368</v>
      </c>
      <c r="AA112" s="50">
        <f t="shared" si="328"/>
        <v>0</v>
      </c>
      <c r="AB112" s="51">
        <f t="shared" si="329"/>
        <v>0</v>
      </c>
      <c r="AC112" s="50">
        <f t="shared" si="330"/>
        <v>12926</v>
      </c>
      <c r="AD112" s="51">
        <f t="shared" si="331"/>
        <v>0.24309050592783701</v>
      </c>
      <c r="AE112" s="1050"/>
      <c r="AF112" s="40">
        <f t="shared" si="294"/>
        <v>885</v>
      </c>
      <c r="AG112" s="41"/>
      <c r="AH112" s="41">
        <v>825</v>
      </c>
      <c r="AI112" s="41">
        <f t="shared" si="332"/>
        <v>60</v>
      </c>
      <c r="AJ112" s="42">
        <f t="shared" si="333"/>
        <v>0.10114052802098329</v>
      </c>
      <c r="AK112" s="41">
        <f t="shared" si="334"/>
        <v>6841</v>
      </c>
      <c r="AL112" s="42">
        <f t="shared" si="335"/>
        <v>0.12865404232185773</v>
      </c>
      <c r="AM112" s="1058"/>
      <c r="AN112" s="67">
        <v>3.9</v>
      </c>
      <c r="AO112" s="67">
        <v>24</v>
      </c>
      <c r="AP112" s="68">
        <f t="shared" si="336"/>
        <v>46.523879999999998</v>
      </c>
      <c r="AQ112" s="68">
        <f t="shared" si="337"/>
        <v>6.9161567690029786</v>
      </c>
      <c r="AR112" s="69">
        <f t="shared" si="338"/>
        <v>4829.5366200000026</v>
      </c>
      <c r="AS112" s="140">
        <f t="shared" si="339"/>
        <v>7.4631802286795716</v>
      </c>
      <c r="AT112" s="1073"/>
      <c r="AU112" s="70">
        <v>3.2</v>
      </c>
      <c r="AV112" s="71">
        <v>12</v>
      </c>
      <c r="AW112" s="72">
        <f t="shared" si="321"/>
        <v>19.842432000000002</v>
      </c>
      <c r="AX112" s="72">
        <f t="shared" si="340"/>
        <v>2.9497404427636158</v>
      </c>
      <c r="AY112" s="73">
        <f t="shared" si="341"/>
        <v>1587.0845220000001</v>
      </c>
      <c r="AZ112" s="192">
        <f t="shared" si="342"/>
        <v>2.4525536832628392</v>
      </c>
      <c r="BA112" s="1075"/>
      <c r="BB112" s="90">
        <f t="shared" si="303"/>
        <v>15218</v>
      </c>
      <c r="BC112" s="59"/>
      <c r="BD112" s="56">
        <v>15218</v>
      </c>
      <c r="BE112" s="56"/>
      <c r="BF112" s="58">
        <f t="shared" si="352"/>
        <v>58244</v>
      </c>
      <c r="BG112" s="58">
        <f t="shared" si="353"/>
        <v>90.005626510647048</v>
      </c>
      <c r="BH112" s="1133"/>
      <c r="BI112" s="63">
        <f t="shared" si="305"/>
        <v>1620</v>
      </c>
      <c r="BJ112" s="64"/>
      <c r="BK112" s="64">
        <v>1464</v>
      </c>
      <c r="BL112" s="64">
        <f t="shared" si="343"/>
        <v>156</v>
      </c>
      <c r="BM112" s="65">
        <f t="shared" si="344"/>
        <v>0.26296537285455657</v>
      </c>
      <c r="BN112" s="64">
        <f t="shared" si="345"/>
        <v>14068</v>
      </c>
      <c r="BO112" s="65">
        <f t="shared" si="346"/>
        <v>0.2645673245700767</v>
      </c>
      <c r="BP112" s="1071"/>
      <c r="BQ112" s="35">
        <f t="shared" si="310"/>
        <v>29326</v>
      </c>
      <c r="BR112" s="35"/>
      <c r="BS112" s="35">
        <v>27478</v>
      </c>
      <c r="BT112" s="35">
        <f t="shared" si="347"/>
        <v>1848</v>
      </c>
      <c r="BU112" s="74">
        <f t="shared" si="348"/>
        <v>301689</v>
      </c>
      <c r="BV112" s="74">
        <f t="shared" si="349"/>
        <v>466.20608914859207</v>
      </c>
      <c r="BW112" s="1098"/>
      <c r="BX112" s="295">
        <f t="shared" si="311"/>
        <v>840</v>
      </c>
      <c r="BY112" s="296"/>
      <c r="BZ112" s="296">
        <v>840</v>
      </c>
      <c r="CA112" s="296"/>
      <c r="CB112" s="297"/>
      <c r="CC112" s="296">
        <f t="shared" si="350"/>
        <v>7910</v>
      </c>
      <c r="CD112" s="297">
        <f t="shared" si="351"/>
        <v>0.14875799952724669</v>
      </c>
      <c r="CE112" s="1061"/>
    </row>
    <row r="113" spans="1:83">
      <c r="A113" s="30">
        <v>43695</v>
      </c>
      <c r="B113" s="265">
        <v>597299</v>
      </c>
      <c r="C113" s="114">
        <f t="shared" si="281"/>
        <v>53770910</v>
      </c>
      <c r="D113" s="91">
        <v>6021.38</v>
      </c>
      <c r="E113" s="93">
        <f t="shared" si="282"/>
        <v>653136.47999999986</v>
      </c>
      <c r="F113" s="240">
        <f t="shared" si="283"/>
        <v>3000</v>
      </c>
      <c r="G113" s="321">
        <v>30900</v>
      </c>
      <c r="H113" s="240">
        <v>3000</v>
      </c>
      <c r="I113" s="240">
        <f t="shared" si="320"/>
        <v>30900</v>
      </c>
      <c r="J113" s="280">
        <f t="shared" si="316"/>
        <v>51.732884200375359</v>
      </c>
      <c r="K113" s="240">
        <f t="shared" si="317"/>
        <v>1384470</v>
      </c>
      <c r="L113" s="280">
        <f t="shared" si="318"/>
        <v>25.747564993785673</v>
      </c>
      <c r="M113" s="280">
        <f t="shared" si="319"/>
        <v>3.1526343815092046</v>
      </c>
      <c r="N113" s="1089"/>
      <c r="O113" s="1084"/>
      <c r="P113" s="77">
        <f t="shared" si="284"/>
        <v>31310</v>
      </c>
      <c r="Q113" s="35"/>
      <c r="R113" s="35">
        <v>31041</v>
      </c>
      <c r="S113" s="35">
        <f t="shared" si="324"/>
        <v>269</v>
      </c>
      <c r="T113" s="36">
        <f t="shared" si="325"/>
        <v>0.45036070711653625</v>
      </c>
      <c r="U113" s="74">
        <f t="shared" si="326"/>
        <v>92237</v>
      </c>
      <c r="V113" s="36">
        <f t="shared" si="327"/>
        <v>1.7153698905225894</v>
      </c>
      <c r="W113" s="1179"/>
      <c r="X113" s="49">
        <f t="shared" si="289"/>
        <v>368</v>
      </c>
      <c r="Y113" s="322">
        <v>900</v>
      </c>
      <c r="Z113" s="50">
        <f>886+87</f>
        <v>973</v>
      </c>
      <c r="AA113" s="50">
        <f t="shared" si="328"/>
        <v>295</v>
      </c>
      <c r="AB113" s="51">
        <f t="shared" si="329"/>
        <v>0.49388999479322754</v>
      </c>
      <c r="AC113" s="50">
        <f t="shared" si="330"/>
        <v>13221</v>
      </c>
      <c r="AD113" s="51">
        <f t="shared" si="331"/>
        <v>0.24587644136950629</v>
      </c>
      <c r="AE113" s="1050"/>
      <c r="AF113" s="40">
        <f t="shared" si="294"/>
        <v>825</v>
      </c>
      <c r="AG113" s="41"/>
      <c r="AH113" s="41">
        <v>765</v>
      </c>
      <c r="AI113" s="41">
        <f t="shared" si="332"/>
        <v>60</v>
      </c>
      <c r="AJ113" s="42">
        <f t="shared" si="333"/>
        <v>0.10045220233082594</v>
      </c>
      <c r="AK113" s="41">
        <f t="shared" si="334"/>
        <v>6901</v>
      </c>
      <c r="AL113" s="42">
        <f t="shared" si="335"/>
        <v>0.1283407701301689</v>
      </c>
      <c r="AM113" s="1058"/>
      <c r="AN113" s="311">
        <v>4</v>
      </c>
      <c r="AO113" s="67">
        <v>24</v>
      </c>
      <c r="AP113" s="68">
        <f t="shared" si="336"/>
        <v>47.716799999999999</v>
      </c>
      <c r="AQ113" s="68">
        <f t="shared" si="337"/>
        <v>7.9245621435617739</v>
      </c>
      <c r="AR113" s="69">
        <f t="shared" si="338"/>
        <v>4877.2534200000027</v>
      </c>
      <c r="AS113" s="140">
        <f t="shared" si="339"/>
        <v>7.4674337896422562</v>
      </c>
      <c r="AT113" s="1073"/>
      <c r="AU113" s="70">
        <v>2.7</v>
      </c>
      <c r="AV113" s="71">
        <v>12</v>
      </c>
      <c r="AW113" s="72">
        <f t="shared" si="321"/>
        <v>16.742052000000005</v>
      </c>
      <c r="AX113" s="72">
        <f t="shared" si="340"/>
        <v>2.780434385473098</v>
      </c>
      <c r="AY113" s="73">
        <f t="shared" si="341"/>
        <v>1603.8265740000002</v>
      </c>
      <c r="AZ113" s="192">
        <f t="shared" si="342"/>
        <v>2.4555764730826253</v>
      </c>
      <c r="BA113" s="1075"/>
      <c r="BB113" s="90">
        <f t="shared" si="303"/>
        <v>15218</v>
      </c>
      <c r="BC113" s="59"/>
      <c r="BD113" s="56">
        <v>15218</v>
      </c>
      <c r="BE113" s="56"/>
      <c r="BF113" s="58">
        <f t="shared" si="352"/>
        <v>58244</v>
      </c>
      <c r="BG113" s="58">
        <f t="shared" si="353"/>
        <v>89.175848821061123</v>
      </c>
      <c r="BH113" s="1133"/>
      <c r="BI113" s="63">
        <f t="shared" si="305"/>
        <v>1464</v>
      </c>
      <c r="BJ113" s="64"/>
      <c r="BK113" s="64">
        <v>1344</v>
      </c>
      <c r="BL113" s="64">
        <f t="shared" si="343"/>
        <v>120</v>
      </c>
      <c r="BM113" s="65">
        <f t="shared" si="344"/>
        <v>0.20090440466165188</v>
      </c>
      <c r="BN113" s="64">
        <f t="shared" si="345"/>
        <v>14188</v>
      </c>
      <c r="BO113" s="65">
        <f t="shared" si="346"/>
        <v>0.26386014296577831</v>
      </c>
      <c r="BP113" s="1071"/>
      <c r="BQ113" s="35">
        <f t="shared" si="310"/>
        <v>27478</v>
      </c>
      <c r="BR113" s="35"/>
      <c r="BS113" s="35">
        <v>25629</v>
      </c>
      <c r="BT113" s="35">
        <f t="shared" si="347"/>
        <v>1849</v>
      </c>
      <c r="BU113" s="74">
        <f t="shared" si="348"/>
        <v>303538</v>
      </c>
      <c r="BV113" s="74">
        <f t="shared" si="349"/>
        <v>464.7390083003786</v>
      </c>
      <c r="BW113" s="1098"/>
      <c r="BX113" s="295">
        <f t="shared" si="311"/>
        <v>840</v>
      </c>
      <c r="BY113" s="296"/>
      <c r="BZ113" s="296">
        <v>840</v>
      </c>
      <c r="CA113" s="296"/>
      <c r="CB113" s="297"/>
      <c r="CC113" s="296">
        <f t="shared" si="350"/>
        <v>7910</v>
      </c>
      <c r="CD113" s="297">
        <f t="shared" si="351"/>
        <v>0.14710556321252513</v>
      </c>
      <c r="CE113" s="1061"/>
    </row>
    <row r="114" spans="1:83">
      <c r="A114" s="30">
        <v>43696</v>
      </c>
      <c r="B114" s="265">
        <v>584024</v>
      </c>
      <c r="C114" s="114">
        <f t="shared" si="281"/>
        <v>54354934</v>
      </c>
      <c r="D114" s="91">
        <v>6675.06</v>
      </c>
      <c r="E114" s="93">
        <f t="shared" si="282"/>
        <v>659811.53999999992</v>
      </c>
      <c r="F114" s="240">
        <f t="shared" si="283"/>
        <v>3000</v>
      </c>
      <c r="G114" s="321">
        <f>31660+18100</f>
        <v>49760</v>
      </c>
      <c r="H114" s="240"/>
      <c r="I114" s="240">
        <f t="shared" si="320"/>
        <v>52760</v>
      </c>
      <c r="J114" s="280">
        <f t="shared" si="316"/>
        <v>90.338753201923211</v>
      </c>
      <c r="K114" s="240">
        <f t="shared" si="317"/>
        <v>1437230</v>
      </c>
      <c r="L114" s="280">
        <f t="shared" si="318"/>
        <v>26.441573822902626</v>
      </c>
      <c r="M114" s="280">
        <f t="shared" si="319"/>
        <v>3.2376115860049746</v>
      </c>
      <c r="N114" s="1089"/>
      <c r="O114" s="1084"/>
      <c r="P114" s="77">
        <f t="shared" si="284"/>
        <v>31041</v>
      </c>
      <c r="Q114" s="35"/>
      <c r="R114" s="35">
        <v>29694</v>
      </c>
      <c r="S114" s="35">
        <f t="shared" si="324"/>
        <v>1347</v>
      </c>
      <c r="T114" s="36">
        <f t="shared" si="325"/>
        <v>2.3064120652575921</v>
      </c>
      <c r="U114" s="74">
        <f t="shared" si="326"/>
        <v>93584</v>
      </c>
      <c r="V114" s="36">
        <f t="shared" si="327"/>
        <v>1.7217204237613462</v>
      </c>
      <c r="W114" s="1179"/>
      <c r="X114" s="49">
        <f t="shared" si="289"/>
        <v>973</v>
      </c>
      <c r="Y114" s="50"/>
      <c r="Z114" s="50">
        <f>725+162</f>
        <v>887</v>
      </c>
      <c r="AA114" s="50">
        <f t="shared" si="328"/>
        <v>86</v>
      </c>
      <c r="AB114" s="51">
        <f t="shared" si="329"/>
        <v>0.14725422242921524</v>
      </c>
      <c r="AC114" s="50">
        <f t="shared" si="330"/>
        <v>13307</v>
      </c>
      <c r="AD114" s="51">
        <f t="shared" si="331"/>
        <v>0.24481678149034272</v>
      </c>
      <c r="AE114" s="1050"/>
      <c r="AF114" s="40">
        <f t="shared" si="294"/>
        <v>765</v>
      </c>
      <c r="AG114" s="41"/>
      <c r="AH114" s="41">
        <v>686</v>
      </c>
      <c r="AI114" s="41">
        <f t="shared" si="332"/>
        <v>79</v>
      </c>
      <c r="AJ114" s="42">
        <f t="shared" si="333"/>
        <v>0.13526841362683725</v>
      </c>
      <c r="AK114" s="41">
        <f t="shared" si="334"/>
        <v>6980</v>
      </c>
      <c r="AL114" s="42">
        <f t="shared" si="335"/>
        <v>0.1284152051403466</v>
      </c>
      <c r="AM114" s="1058"/>
      <c r="AN114" s="67">
        <v>4.4000000000000004</v>
      </c>
      <c r="AO114" s="67">
        <v>24</v>
      </c>
      <c r="AP114" s="68">
        <f t="shared" si="336"/>
        <v>52.488480000000003</v>
      </c>
      <c r="AQ114" s="68">
        <f t="shared" si="337"/>
        <v>7.8633720146335762</v>
      </c>
      <c r="AR114" s="69">
        <f t="shared" si="338"/>
        <v>4929.7419000000027</v>
      </c>
      <c r="AS114" s="140">
        <f t="shared" si="339"/>
        <v>7.4714393446346872</v>
      </c>
      <c r="AT114" s="1073"/>
      <c r="AU114" s="70">
        <v>3.3</v>
      </c>
      <c r="AV114" s="71">
        <v>12</v>
      </c>
      <c r="AW114" s="72">
        <f t="shared" si="321"/>
        <v>20.462508</v>
      </c>
      <c r="AX114" s="72">
        <f t="shared" si="340"/>
        <v>3.065516714456499</v>
      </c>
      <c r="AY114" s="73">
        <f t="shared" si="341"/>
        <v>1624.2890820000002</v>
      </c>
      <c r="AZ114" s="192">
        <f t="shared" si="342"/>
        <v>2.461747004303684</v>
      </c>
      <c r="BA114" s="1075"/>
      <c r="BB114" s="90">
        <f t="shared" si="303"/>
        <v>15218</v>
      </c>
      <c r="BC114" s="59"/>
      <c r="BD114" s="56">
        <v>15218</v>
      </c>
      <c r="BE114" s="56"/>
      <c r="BF114" s="58">
        <f t="shared" si="352"/>
        <v>58244</v>
      </c>
      <c r="BG114" s="58">
        <f t="shared" si="353"/>
        <v>88.273690999705778</v>
      </c>
      <c r="BH114" s="1133"/>
      <c r="BI114" s="63">
        <f t="shared" si="305"/>
        <v>1344</v>
      </c>
      <c r="BJ114" s="64"/>
      <c r="BK114" s="64">
        <v>1140</v>
      </c>
      <c r="BL114" s="64">
        <f t="shared" si="343"/>
        <v>204</v>
      </c>
      <c r="BM114" s="65">
        <f t="shared" si="344"/>
        <v>0.34930071366930127</v>
      </c>
      <c r="BN114" s="64">
        <f t="shared" si="345"/>
        <v>14392</v>
      </c>
      <c r="BO114" s="65">
        <f t="shared" si="346"/>
        <v>0.26477817082806138</v>
      </c>
      <c r="BP114" s="1071"/>
      <c r="BQ114" s="35">
        <f t="shared" si="310"/>
        <v>25629</v>
      </c>
      <c r="BR114" s="35"/>
      <c r="BS114" s="35">
        <v>25629</v>
      </c>
      <c r="BT114" s="35"/>
      <c r="BU114" s="74">
        <f t="shared" si="348"/>
        <v>303538</v>
      </c>
      <c r="BV114" s="74">
        <f t="shared" si="349"/>
        <v>460.03742220089094</v>
      </c>
      <c r="BW114" s="1098"/>
      <c r="BX114" s="295">
        <f t="shared" si="311"/>
        <v>840</v>
      </c>
      <c r="BY114" s="296"/>
      <c r="BZ114" s="296">
        <v>840</v>
      </c>
      <c r="CA114" s="296"/>
      <c r="CB114" s="297"/>
      <c r="CC114" s="296">
        <f t="shared" si="350"/>
        <v>7910</v>
      </c>
      <c r="CD114" s="297">
        <f t="shared" si="351"/>
        <v>0.14552496742981971</v>
      </c>
      <c r="CE114" s="1061"/>
    </row>
    <row r="115" spans="1:83">
      <c r="A115" s="30">
        <v>43697</v>
      </c>
      <c r="B115" s="265">
        <v>526595</v>
      </c>
      <c r="C115" s="114">
        <f t="shared" si="281"/>
        <v>54881529</v>
      </c>
      <c r="D115" s="91">
        <v>6749.36</v>
      </c>
      <c r="E115" s="93">
        <f t="shared" si="282"/>
        <v>666560.89999999991</v>
      </c>
      <c r="F115" s="240"/>
      <c r="G115" s="321">
        <f>17450</f>
        <v>17450</v>
      </c>
      <c r="H115" s="240"/>
      <c r="I115" s="240">
        <f t="shared" si="320"/>
        <v>17450</v>
      </c>
      <c r="J115" s="280">
        <f t="shared" si="316"/>
        <v>33.137420598372564</v>
      </c>
      <c r="K115" s="240">
        <f t="shared" si="317"/>
        <v>1454680</v>
      </c>
      <c r="L115" s="280">
        <f t="shared" si="318"/>
        <v>26.505821293717965</v>
      </c>
      <c r="M115" s="280">
        <f t="shared" si="319"/>
        <v>3.2454783021572138</v>
      </c>
      <c r="N115" s="1089"/>
      <c r="O115" s="1084"/>
      <c r="P115" s="77">
        <f t="shared" si="284"/>
        <v>29694</v>
      </c>
      <c r="Q115" s="35"/>
      <c r="R115" s="35">
        <v>25140</v>
      </c>
      <c r="S115" s="35">
        <f t="shared" ref="S115:S126" si="354">P115+Q115-R115</f>
        <v>4554</v>
      </c>
      <c r="T115" s="36">
        <f t="shared" ref="T115:T126" si="355">1000*S115/B115</f>
        <v>8.6480122295122435</v>
      </c>
      <c r="U115" s="74">
        <f t="shared" ref="U115:U128" si="356">U114+S115</f>
        <v>98138</v>
      </c>
      <c r="V115" s="36">
        <f t="shared" ref="V115:V128" si="357">1000*U115/C115</f>
        <v>1.7881790428980213</v>
      </c>
      <c r="W115" s="1179"/>
      <c r="X115" s="49">
        <f t="shared" si="289"/>
        <v>887</v>
      </c>
      <c r="Y115" s="50"/>
      <c r="Z115" s="50">
        <f>725+110</f>
        <v>835</v>
      </c>
      <c r="AA115" s="50">
        <f t="shared" si="328"/>
        <v>52</v>
      </c>
      <c r="AB115" s="51">
        <f t="shared" si="329"/>
        <v>9.8747614390565799E-2</v>
      </c>
      <c r="AC115" s="50">
        <f t="shared" si="330"/>
        <v>13359</v>
      </c>
      <c r="AD115" s="51">
        <f t="shared" si="331"/>
        <v>0.2434152299218923</v>
      </c>
      <c r="AE115" s="1050"/>
      <c r="AF115" s="40">
        <f t="shared" si="294"/>
        <v>686</v>
      </c>
      <c r="AG115" s="41"/>
      <c r="AH115" s="41">
        <v>626</v>
      </c>
      <c r="AI115" s="41">
        <f t="shared" si="332"/>
        <v>60</v>
      </c>
      <c r="AJ115" s="42">
        <f t="shared" si="333"/>
        <v>0.11393955506603747</v>
      </c>
      <c r="AK115" s="41">
        <f t="shared" si="334"/>
        <v>7040</v>
      </c>
      <c r="AL115" s="42">
        <f t="shared" si="335"/>
        <v>0.12827630950296592</v>
      </c>
      <c r="AM115" s="1058"/>
      <c r="AN115" s="67">
        <v>4.3</v>
      </c>
      <c r="AO115" s="67">
        <v>24</v>
      </c>
      <c r="AP115" s="68">
        <f t="shared" si="336"/>
        <v>51.295559999999995</v>
      </c>
      <c r="AQ115" s="68">
        <f t="shared" si="337"/>
        <v>7.6000628207711545</v>
      </c>
      <c r="AR115" s="69">
        <f t="shared" si="338"/>
        <v>4981.0374600000023</v>
      </c>
      <c r="AS115" s="140">
        <f t="shared" si="339"/>
        <v>7.4727417404771304</v>
      </c>
      <c r="AT115" s="1073"/>
      <c r="AU115" s="70">
        <v>3.3</v>
      </c>
      <c r="AV115" s="71">
        <v>12</v>
      </c>
      <c r="AW115" s="72">
        <f t="shared" si="321"/>
        <v>20.462508</v>
      </c>
      <c r="AX115" s="72">
        <f t="shared" si="340"/>
        <v>3.0317701233894767</v>
      </c>
      <c r="AY115" s="73">
        <f t="shared" si="341"/>
        <v>1644.7515900000003</v>
      </c>
      <c r="AZ115" s="192">
        <f t="shared" si="342"/>
        <v>2.4675188568666426</v>
      </c>
      <c r="BA115" s="1075"/>
      <c r="BB115" s="90">
        <f t="shared" si="303"/>
        <v>15218</v>
      </c>
      <c r="BC115" s="59"/>
      <c r="BD115" s="56">
        <v>15218</v>
      </c>
      <c r="BE115" s="56"/>
      <c r="BF115" s="58">
        <f t="shared" si="352"/>
        <v>58244</v>
      </c>
      <c r="BG115" s="58">
        <f t="shared" si="353"/>
        <v>87.379862815235654</v>
      </c>
      <c r="BH115" s="1133"/>
      <c r="BI115" s="63">
        <f t="shared" si="305"/>
        <v>1140</v>
      </c>
      <c r="BJ115" s="64"/>
      <c r="BK115" s="64">
        <v>660</v>
      </c>
      <c r="BL115" s="64">
        <f t="shared" si="343"/>
        <v>480</v>
      </c>
      <c r="BM115" s="65">
        <f t="shared" si="344"/>
        <v>0.91151644052829972</v>
      </c>
      <c r="BN115" s="64">
        <f t="shared" si="345"/>
        <v>14872</v>
      </c>
      <c r="BO115" s="65">
        <f t="shared" si="346"/>
        <v>0.27098370382501552</v>
      </c>
      <c r="BP115" s="1071"/>
      <c r="BQ115" s="35">
        <f t="shared" si="310"/>
        <v>25629</v>
      </c>
      <c r="BR115" s="35"/>
      <c r="BS115" s="35">
        <v>19160</v>
      </c>
      <c r="BT115" s="35">
        <f t="shared" si="347"/>
        <v>6469</v>
      </c>
      <c r="BU115" s="74">
        <f t="shared" si="348"/>
        <v>310007</v>
      </c>
      <c r="BV115" s="74">
        <f t="shared" si="349"/>
        <v>465.08428562191398</v>
      </c>
      <c r="BW115" s="1098"/>
      <c r="BX115" s="295">
        <f t="shared" si="311"/>
        <v>840</v>
      </c>
      <c r="BY115" s="296"/>
      <c r="BZ115" s="296">
        <v>840</v>
      </c>
      <c r="CA115" s="296"/>
      <c r="CB115" s="297"/>
      <c r="CC115" s="296">
        <f t="shared" si="350"/>
        <v>7910</v>
      </c>
      <c r="CD115" s="297">
        <f t="shared" si="351"/>
        <v>0.14412863752392904</v>
      </c>
      <c r="CE115" s="1061"/>
    </row>
    <row r="116" spans="1:83">
      <c r="A116" s="30">
        <v>43698</v>
      </c>
      <c r="B116" s="265">
        <v>613192</v>
      </c>
      <c r="C116" s="114">
        <f t="shared" si="281"/>
        <v>55494721</v>
      </c>
      <c r="D116" s="91">
        <v>6486.44</v>
      </c>
      <c r="E116" s="93">
        <f t="shared" si="282"/>
        <v>673047.33999999985</v>
      </c>
      <c r="F116" s="240"/>
      <c r="G116" s="240"/>
      <c r="H116" s="240"/>
      <c r="I116" s="240"/>
      <c r="J116" s="280"/>
      <c r="K116" s="240">
        <f t="shared" si="317"/>
        <v>1454680</v>
      </c>
      <c r="L116" s="280">
        <f t="shared" si="318"/>
        <v>26.212943750091114</v>
      </c>
      <c r="M116" s="280">
        <f t="shared" si="319"/>
        <v>3.2096172095128095</v>
      </c>
      <c r="N116" s="1089"/>
      <c r="O116" s="1084"/>
      <c r="P116" s="77">
        <f t="shared" si="284"/>
        <v>25140</v>
      </c>
      <c r="Q116" s="35"/>
      <c r="R116" s="35">
        <v>20409</v>
      </c>
      <c r="S116" s="35">
        <f t="shared" si="354"/>
        <v>4731</v>
      </c>
      <c r="T116" s="36">
        <f t="shared" si="355"/>
        <v>7.7153648449425303</v>
      </c>
      <c r="U116" s="74">
        <f t="shared" si="356"/>
        <v>102869</v>
      </c>
      <c r="V116" s="36">
        <f t="shared" si="357"/>
        <v>1.8536718114142785</v>
      </c>
      <c r="W116" s="1179"/>
      <c r="X116" s="49">
        <f t="shared" si="289"/>
        <v>835</v>
      </c>
      <c r="Y116" s="50"/>
      <c r="Z116" s="50">
        <f>725+55</f>
        <v>780</v>
      </c>
      <c r="AA116" s="50">
        <f t="shared" si="328"/>
        <v>55</v>
      </c>
      <c r="AB116" s="51">
        <f t="shared" si="329"/>
        <v>8.9694581794935349E-2</v>
      </c>
      <c r="AC116" s="50">
        <f t="shared" si="330"/>
        <v>13414</v>
      </c>
      <c r="AD116" s="51">
        <f t="shared" si="331"/>
        <v>0.24171668508793837</v>
      </c>
      <c r="AE116" s="1050"/>
      <c r="AF116" s="40">
        <f t="shared" si="294"/>
        <v>626</v>
      </c>
      <c r="AG116" s="41"/>
      <c r="AH116" s="41">
        <v>567</v>
      </c>
      <c r="AI116" s="41">
        <f t="shared" si="332"/>
        <v>59</v>
      </c>
      <c r="AJ116" s="42">
        <f t="shared" si="333"/>
        <v>9.6217824107294292E-2</v>
      </c>
      <c r="AK116" s="41">
        <f t="shared" si="334"/>
        <v>7099</v>
      </c>
      <c r="AL116" s="42">
        <f t="shared" si="335"/>
        <v>0.12792207748913631</v>
      </c>
      <c r="AM116" s="1058"/>
      <c r="AN116" s="67">
        <v>4.5999999999999996</v>
      </c>
      <c r="AO116" s="67">
        <v>24</v>
      </c>
      <c r="AP116" s="68">
        <f t="shared" si="336"/>
        <v>54.874319999999997</v>
      </c>
      <c r="AQ116" s="68">
        <f t="shared" si="337"/>
        <v>8.4598516289366739</v>
      </c>
      <c r="AR116" s="69">
        <f t="shared" si="338"/>
        <v>5035.9117800000022</v>
      </c>
      <c r="AS116" s="140">
        <f t="shared" si="339"/>
        <v>7.4822549332116868</v>
      </c>
      <c r="AT116" s="1073"/>
      <c r="AU116" s="70">
        <v>3.4</v>
      </c>
      <c r="AV116" s="71">
        <v>12</v>
      </c>
      <c r="AW116" s="72">
        <f t="shared" si="321"/>
        <v>21.082584000000001</v>
      </c>
      <c r="AX116" s="72">
        <f t="shared" si="340"/>
        <v>3.2502549934941203</v>
      </c>
      <c r="AY116" s="73">
        <f t="shared" si="341"/>
        <v>1665.8341740000003</v>
      </c>
      <c r="AZ116" s="192">
        <f t="shared" si="342"/>
        <v>2.4750624138860733</v>
      </c>
      <c r="BA116" s="1075"/>
      <c r="BB116" s="90">
        <f t="shared" si="303"/>
        <v>15218</v>
      </c>
      <c r="BC116" s="59"/>
      <c r="BD116" s="56">
        <v>15218</v>
      </c>
      <c r="BE116" s="56"/>
      <c r="BF116" s="58">
        <f t="shared" si="352"/>
        <v>58244</v>
      </c>
      <c r="BG116" s="58">
        <f t="shared" si="353"/>
        <v>86.53774636417107</v>
      </c>
      <c r="BH116" s="1133"/>
      <c r="BI116" s="63">
        <f t="shared" si="305"/>
        <v>660</v>
      </c>
      <c r="BJ116" s="64"/>
      <c r="BK116" s="64">
        <v>372</v>
      </c>
      <c r="BL116" s="64">
        <f t="shared" si="343"/>
        <v>288</v>
      </c>
      <c r="BM116" s="65">
        <f t="shared" si="344"/>
        <v>0.46967344648984333</v>
      </c>
      <c r="BN116" s="64">
        <f t="shared" si="345"/>
        <v>15160</v>
      </c>
      <c r="BO116" s="65">
        <f t="shared" si="346"/>
        <v>0.27317913716513686</v>
      </c>
      <c r="BP116" s="1071"/>
      <c r="BQ116" s="35">
        <f t="shared" si="310"/>
        <v>19160</v>
      </c>
      <c r="BR116" s="35"/>
      <c r="BS116" s="35">
        <v>18236</v>
      </c>
      <c r="BT116" s="35">
        <f t="shared" si="347"/>
        <v>924</v>
      </c>
      <c r="BU116" s="74">
        <f t="shared" si="348"/>
        <v>310931</v>
      </c>
      <c r="BV116" s="74">
        <f t="shared" si="349"/>
        <v>461.97493329369678</v>
      </c>
      <c r="BW116" s="1098"/>
      <c r="BX116" s="295">
        <f t="shared" si="311"/>
        <v>840</v>
      </c>
      <c r="BY116" s="296"/>
      <c r="BZ116" s="296">
        <v>840</v>
      </c>
      <c r="CA116" s="296"/>
      <c r="CB116" s="297"/>
      <c r="CC116" s="296">
        <f t="shared" si="350"/>
        <v>7910</v>
      </c>
      <c r="CD116" s="297">
        <f t="shared" si="351"/>
        <v>0.14253608014355096</v>
      </c>
      <c r="CE116" s="1061"/>
    </row>
    <row r="117" spans="1:83">
      <c r="A117" s="30">
        <v>43699</v>
      </c>
      <c r="B117" s="265">
        <v>611224</v>
      </c>
      <c r="C117" s="114">
        <f t="shared" si="281"/>
        <v>56105945</v>
      </c>
      <c r="D117" s="91">
        <v>7112.08</v>
      </c>
      <c r="E117" s="93">
        <f t="shared" si="282"/>
        <v>680159.41999999981</v>
      </c>
      <c r="F117" s="240"/>
      <c r="G117" s="321">
        <f>17210</f>
        <v>17210</v>
      </c>
      <c r="H117" s="240"/>
      <c r="I117" s="240">
        <f>F117-H117+G117</f>
        <v>17210</v>
      </c>
      <c r="J117" s="280">
        <f>I117*1000/B117</f>
        <v>28.156616886771463</v>
      </c>
      <c r="K117" s="240">
        <f>K116+I117</f>
        <v>1471890</v>
      </c>
      <c r="L117" s="280">
        <f>K117*1000/C117</f>
        <v>26.234118327389371</v>
      </c>
      <c r="M117" s="280">
        <f>L117/8.167</f>
        <v>3.2122099090717975</v>
      </c>
      <c r="N117" s="1089"/>
      <c r="O117" s="1084"/>
      <c r="P117" s="77">
        <f t="shared" si="284"/>
        <v>20409</v>
      </c>
      <c r="Q117" s="35"/>
      <c r="R117" s="35">
        <v>16844</v>
      </c>
      <c r="S117" s="35">
        <f t="shared" si="354"/>
        <v>3565</v>
      </c>
      <c r="T117" s="36">
        <f t="shared" si="355"/>
        <v>5.8325589309320316</v>
      </c>
      <c r="U117" s="74">
        <f t="shared" si="356"/>
        <v>106434</v>
      </c>
      <c r="V117" s="36">
        <f t="shared" si="357"/>
        <v>1.897018221509325</v>
      </c>
      <c r="W117" s="1179"/>
      <c r="X117" s="49">
        <f t="shared" si="289"/>
        <v>780</v>
      </c>
      <c r="Y117" s="50"/>
      <c r="Z117" s="50">
        <f>617+112</f>
        <v>729</v>
      </c>
      <c r="AA117" s="50">
        <f t="shared" ref="AA117:AA126" si="358">X117-Z117+Y117</f>
        <v>51</v>
      </c>
      <c r="AB117" s="51">
        <f t="shared" ref="AB117:AB126" si="359">AA117*1000/B117</f>
        <v>8.3439131971257671E-2</v>
      </c>
      <c r="AC117" s="50">
        <f t="shared" ref="AC117:AC128" si="360">AC116+AA117</f>
        <v>13465</v>
      </c>
      <c r="AD117" s="51">
        <f t="shared" ref="AD117:AD128" si="361">AC117*1000/C117</f>
        <v>0.23999239296299171</v>
      </c>
      <c r="AE117" s="1050"/>
      <c r="AF117" s="40">
        <f t="shared" si="294"/>
        <v>567</v>
      </c>
      <c r="AG117" s="41"/>
      <c r="AH117" s="41">
        <v>490</v>
      </c>
      <c r="AI117" s="41">
        <f t="shared" ref="AI117:AI126" si="362">AF117+AG117-AH117</f>
        <v>77</v>
      </c>
      <c r="AJ117" s="42">
        <f t="shared" ref="AJ117:AJ126" si="363">AI117*1000/B117</f>
        <v>0.12597672866248708</v>
      </c>
      <c r="AK117" s="41">
        <f t="shared" ref="AK117:AK128" si="364">AK116+AI117</f>
        <v>7176</v>
      </c>
      <c r="AL117" s="42">
        <f t="shared" ref="AL117:AL128" si="365">AK117*1000/C117</f>
        <v>0.12790088465669724</v>
      </c>
      <c r="AM117" s="1058"/>
      <c r="AN117" s="67">
        <v>3.6</v>
      </c>
      <c r="AO117" s="67">
        <v>24</v>
      </c>
      <c r="AP117" s="68">
        <f t="shared" si="336"/>
        <v>42.945120000000003</v>
      </c>
      <c r="AQ117" s="68">
        <f t="shared" si="337"/>
        <v>6.03833477688665</v>
      </c>
      <c r="AR117" s="69">
        <f t="shared" si="338"/>
        <v>5078.8569000000025</v>
      </c>
      <c r="AS117" s="140">
        <f t="shared" si="339"/>
        <v>7.4671565969048901</v>
      </c>
      <c r="AT117" s="1073"/>
      <c r="AU117" s="319">
        <v>2</v>
      </c>
      <c r="AV117" s="71">
        <v>12</v>
      </c>
      <c r="AW117" s="72">
        <f t="shared" si="321"/>
        <v>12.401520000000001</v>
      </c>
      <c r="AX117" s="72">
        <f t="shared" si="340"/>
        <v>1.7437261673097044</v>
      </c>
      <c r="AY117" s="73">
        <f t="shared" si="341"/>
        <v>1678.2356940000002</v>
      </c>
      <c r="AZ117" s="192">
        <f t="shared" si="342"/>
        <v>2.4674152039238102</v>
      </c>
      <c r="BA117" s="1075"/>
      <c r="BB117" s="90">
        <f t="shared" si="303"/>
        <v>15218</v>
      </c>
      <c r="BC117" s="59"/>
      <c r="BD117" s="56">
        <v>15218</v>
      </c>
      <c r="BE117" s="56"/>
      <c r="BF117" s="58">
        <f t="shared" si="352"/>
        <v>58244</v>
      </c>
      <c r="BG117" s="58">
        <f t="shared" si="353"/>
        <v>85.632865306783543</v>
      </c>
      <c r="BH117" s="1133"/>
      <c r="BI117" s="63">
        <f t="shared" si="305"/>
        <v>372</v>
      </c>
      <c r="BJ117" s="64">
        <v>1100</v>
      </c>
      <c r="BK117" s="64">
        <v>1080</v>
      </c>
      <c r="BL117" s="64">
        <f t="shared" ref="BL117:BL126" si="366">BI117-BK117+BJ117</f>
        <v>392</v>
      </c>
      <c r="BM117" s="65">
        <f t="shared" ref="BM117:BM126" si="367">BL117*1000/B117</f>
        <v>0.64133607319084329</v>
      </c>
      <c r="BN117" s="64">
        <f t="shared" ref="BN117:BN128" si="368">BN116+BL117</f>
        <v>15552</v>
      </c>
      <c r="BO117" s="65">
        <f t="shared" ref="BO117:BO128" si="369">BN117*1000/C117</f>
        <v>0.27718987711551779</v>
      </c>
      <c r="BP117" s="1071"/>
      <c r="BQ117" s="35">
        <f t="shared" si="310"/>
        <v>18236</v>
      </c>
      <c r="BR117" s="315"/>
      <c r="BS117" s="35">
        <v>15463</v>
      </c>
      <c r="BT117" s="35">
        <f t="shared" si="347"/>
        <v>2773</v>
      </c>
      <c r="BU117" s="74">
        <f t="shared" si="348"/>
        <v>313704</v>
      </c>
      <c r="BV117" s="74">
        <f t="shared" si="349"/>
        <v>461.22128250462237</v>
      </c>
      <c r="BW117" s="1098"/>
      <c r="BX117" s="295">
        <v>840</v>
      </c>
      <c r="BY117" s="296"/>
      <c r="BZ117" s="296">
        <v>840</v>
      </c>
      <c r="CA117" s="296"/>
      <c r="CB117" s="297"/>
      <c r="CC117" s="296">
        <f t="shared" ref="CC117:CC128" si="370">CC116+CA117</f>
        <v>7910</v>
      </c>
      <c r="CD117" s="297">
        <f t="shared" ref="CD117:CD128" si="371">CC117*1000/C117</f>
        <v>0.14098327726232934</v>
      </c>
      <c r="CE117" s="1061"/>
    </row>
    <row r="118" spans="1:83">
      <c r="A118" s="30">
        <v>43700</v>
      </c>
      <c r="B118" s="265">
        <v>384652</v>
      </c>
      <c r="C118" s="114">
        <f t="shared" si="281"/>
        <v>56490597</v>
      </c>
      <c r="D118" s="91">
        <v>4415.2</v>
      </c>
      <c r="E118" s="93">
        <f t="shared" si="282"/>
        <v>684574.61999999976</v>
      </c>
      <c r="F118" s="240"/>
      <c r="G118" s="321">
        <f>31340</f>
        <v>31340</v>
      </c>
      <c r="H118" s="240"/>
      <c r="I118" s="240">
        <f t="shared" ref="I118:I125" si="372">F118-H118+G118</f>
        <v>31340</v>
      </c>
      <c r="J118" s="280">
        <f t="shared" ref="J118:J125" si="373">I118*1000/B118</f>
        <v>81.47624346162246</v>
      </c>
      <c r="K118" s="240">
        <f t="shared" ref="K118:K125" si="374">K117+I118</f>
        <v>1503230</v>
      </c>
      <c r="L118" s="280">
        <f t="shared" ref="L118:L125" si="375">K118*1000/C118</f>
        <v>26.610269316148315</v>
      </c>
      <c r="M118" s="280">
        <f t="shared" ref="M118:M125" si="376">L118/8.167</f>
        <v>3.2582673339228991</v>
      </c>
      <c r="N118" s="1089"/>
      <c r="O118" s="1084"/>
      <c r="P118" s="77">
        <f t="shared" si="284"/>
        <v>16844</v>
      </c>
      <c r="Q118" s="35">
        <v>35650</v>
      </c>
      <c r="R118" s="35">
        <v>51073</v>
      </c>
      <c r="S118" s="35">
        <f t="shared" si="354"/>
        <v>1421</v>
      </c>
      <c r="T118" s="36">
        <f t="shared" si="355"/>
        <v>3.6942483075611201</v>
      </c>
      <c r="U118" s="74">
        <f t="shared" si="356"/>
        <v>107855</v>
      </c>
      <c r="V118" s="36">
        <f t="shared" si="357"/>
        <v>1.9092558005715534</v>
      </c>
      <c r="W118" s="1179"/>
      <c r="X118" s="49">
        <f t="shared" si="289"/>
        <v>729</v>
      </c>
      <c r="Y118" s="50"/>
      <c r="Z118" s="50">
        <f>617+55</f>
        <v>672</v>
      </c>
      <c r="AA118" s="50">
        <f t="shared" si="358"/>
        <v>57</v>
      </c>
      <c r="AB118" s="51">
        <f t="shared" si="359"/>
        <v>0.14818589270301466</v>
      </c>
      <c r="AC118" s="50">
        <f t="shared" si="360"/>
        <v>13522</v>
      </c>
      <c r="AD118" s="51">
        <f t="shared" si="361"/>
        <v>0.23936727027331647</v>
      </c>
      <c r="AE118" s="1050"/>
      <c r="AF118" s="40">
        <f t="shared" si="294"/>
        <v>490</v>
      </c>
      <c r="AG118" s="41"/>
      <c r="AH118" s="41">
        <v>433</v>
      </c>
      <c r="AI118" s="41">
        <f t="shared" si="362"/>
        <v>57</v>
      </c>
      <c r="AJ118" s="42">
        <f t="shared" si="363"/>
        <v>0.14818589270301466</v>
      </c>
      <c r="AK118" s="41">
        <f t="shared" si="364"/>
        <v>7233</v>
      </c>
      <c r="AL118" s="42">
        <f t="shared" si="365"/>
        <v>0.12803900797861986</v>
      </c>
      <c r="AM118" s="1058"/>
      <c r="AN118" s="67">
        <v>2.7</v>
      </c>
      <c r="AO118" s="67">
        <v>24</v>
      </c>
      <c r="AP118" s="68">
        <f t="shared" ref="AP118:AP126" si="377">AN118*AO118*0.49705</f>
        <v>32.208840000000002</v>
      </c>
      <c r="AQ118" s="68">
        <f t="shared" ref="AQ118:AQ126" si="378">AP118*1000/D118</f>
        <v>7.2949900344265277</v>
      </c>
      <c r="AR118" s="69">
        <f t="shared" ref="AR118:AR128" si="379">AR117+AP118</f>
        <v>5111.0657400000027</v>
      </c>
      <c r="AS118" s="140">
        <f t="shared" ref="AS118:AS128" si="380">AR118*1000/E118</f>
        <v>7.4660461996093348</v>
      </c>
      <c r="AT118" s="1073"/>
      <c r="AU118" s="70">
        <v>0.4</v>
      </c>
      <c r="AV118" s="71">
        <v>12</v>
      </c>
      <c r="AW118" s="72">
        <f t="shared" ref="AW118:AW126" si="381">AU118*AV118*0.51673</f>
        <v>2.4803040000000003</v>
      </c>
      <c r="AX118" s="72">
        <f t="shared" ref="AX118:AX126" si="382">AW118*1000/D118</f>
        <v>0.5617648124660265</v>
      </c>
      <c r="AY118" s="73">
        <f t="shared" ref="AY118:AY128" si="383">AY117+AW118</f>
        <v>1680.7159980000001</v>
      </c>
      <c r="AZ118" s="192">
        <f t="shared" ref="AZ118:AZ128" si="384">AY118*1000/E118</f>
        <v>2.455124611543444</v>
      </c>
      <c r="BA118" s="1075"/>
      <c r="BB118" s="90">
        <f t="shared" si="303"/>
        <v>15218</v>
      </c>
      <c r="BC118" s="59"/>
      <c r="BD118" s="56">
        <v>15218</v>
      </c>
      <c r="BE118" s="56"/>
      <c r="BF118" s="58">
        <f t="shared" si="352"/>
        <v>58244</v>
      </c>
      <c r="BG118" s="58">
        <f t="shared" si="353"/>
        <v>85.080571640239924</v>
      </c>
      <c r="BH118" s="1133"/>
      <c r="BI118" s="63">
        <f t="shared" si="305"/>
        <v>1080</v>
      </c>
      <c r="BJ118" s="64"/>
      <c r="BK118" s="64">
        <v>720</v>
      </c>
      <c r="BL118" s="64">
        <f t="shared" si="366"/>
        <v>360</v>
      </c>
      <c r="BM118" s="65">
        <f t="shared" si="367"/>
        <v>0.93591090128219789</v>
      </c>
      <c r="BN118" s="64">
        <f t="shared" si="368"/>
        <v>15912</v>
      </c>
      <c r="BO118" s="65">
        <f t="shared" si="369"/>
        <v>0.28167519631630022</v>
      </c>
      <c r="BP118" s="1071"/>
      <c r="BQ118" s="35">
        <f t="shared" si="310"/>
        <v>15463</v>
      </c>
      <c r="BR118" s="315">
        <v>35460</v>
      </c>
      <c r="BS118" s="35">
        <v>44113</v>
      </c>
      <c r="BT118" s="35">
        <f t="shared" ref="BT118:BT126" si="385">BQ118-BS118+BR118</f>
        <v>6810</v>
      </c>
      <c r="BU118" s="74">
        <f t="shared" ref="BU118:BU126" si="386">BU117+BT118</f>
        <v>320514</v>
      </c>
      <c r="BV118" s="74">
        <f t="shared" ref="BV118:BV126" si="387">BU118*1000/E118</f>
        <v>468.19439493681506</v>
      </c>
      <c r="BW118" s="1098"/>
      <c r="BX118" s="295">
        <v>840</v>
      </c>
      <c r="BY118" s="296"/>
      <c r="BZ118" s="296">
        <v>840</v>
      </c>
      <c r="CA118" s="296"/>
      <c r="CB118" s="297"/>
      <c r="CC118" s="296">
        <f t="shared" si="370"/>
        <v>7910</v>
      </c>
      <c r="CD118" s="297">
        <f t="shared" si="371"/>
        <v>0.14002330334728097</v>
      </c>
      <c r="CE118" s="1061"/>
    </row>
    <row r="119" spans="1:83">
      <c r="A119" s="30">
        <v>43701</v>
      </c>
      <c r="B119" s="265">
        <v>659288</v>
      </c>
      <c r="C119" s="114">
        <f t="shared" si="281"/>
        <v>57149885</v>
      </c>
      <c r="D119" s="91">
        <v>7202.74</v>
      </c>
      <c r="E119" s="93">
        <f t="shared" si="282"/>
        <v>691777.35999999975</v>
      </c>
      <c r="F119" s="240"/>
      <c r="G119" s="321">
        <v>31280</v>
      </c>
      <c r="H119" s="240">
        <v>24000</v>
      </c>
      <c r="I119" s="240">
        <f t="shared" si="372"/>
        <v>7280</v>
      </c>
      <c r="J119" s="280">
        <f t="shared" si="373"/>
        <v>11.042215238257029</v>
      </c>
      <c r="K119" s="240">
        <f t="shared" si="374"/>
        <v>1510510</v>
      </c>
      <c r="L119" s="280">
        <f t="shared" si="375"/>
        <v>26.430674357437464</v>
      </c>
      <c r="M119" s="280">
        <f t="shared" si="376"/>
        <v>3.2362770120530753</v>
      </c>
      <c r="N119" s="1089"/>
      <c r="O119" s="1084"/>
      <c r="P119" s="77">
        <f t="shared" si="284"/>
        <v>51073</v>
      </c>
      <c r="Q119" s="35"/>
      <c r="R119" s="35">
        <v>45526</v>
      </c>
      <c r="S119" s="35">
        <f t="shared" si="354"/>
        <v>5547</v>
      </c>
      <c r="T119" s="36">
        <f t="shared" si="355"/>
        <v>8.4136219679411735</v>
      </c>
      <c r="U119" s="74">
        <f t="shared" si="356"/>
        <v>113402</v>
      </c>
      <c r="V119" s="36">
        <f t="shared" si="357"/>
        <v>1.984290957015924</v>
      </c>
      <c r="W119" s="1179"/>
      <c r="X119" s="49">
        <f t="shared" si="289"/>
        <v>672</v>
      </c>
      <c r="Y119" s="50"/>
      <c r="Z119" s="50">
        <f>546+85</f>
        <v>631</v>
      </c>
      <c r="AA119" s="50">
        <f t="shared" si="358"/>
        <v>41</v>
      </c>
      <c r="AB119" s="51">
        <f t="shared" si="359"/>
        <v>6.2188300105568431E-2</v>
      </c>
      <c r="AC119" s="50">
        <f t="shared" si="360"/>
        <v>13563</v>
      </c>
      <c r="AD119" s="51">
        <f t="shared" si="361"/>
        <v>0.23732331219914091</v>
      </c>
      <c r="AE119" s="1050"/>
      <c r="AF119" s="40">
        <f t="shared" si="294"/>
        <v>433</v>
      </c>
      <c r="AG119" s="41"/>
      <c r="AH119" s="41">
        <v>360</v>
      </c>
      <c r="AI119" s="41">
        <f t="shared" si="362"/>
        <v>73</v>
      </c>
      <c r="AJ119" s="42">
        <f t="shared" si="363"/>
        <v>0.11072550994406087</v>
      </c>
      <c r="AK119" s="41">
        <f t="shared" si="364"/>
        <v>7306</v>
      </c>
      <c r="AL119" s="42">
        <f t="shared" si="365"/>
        <v>0.12783927736687484</v>
      </c>
      <c r="AM119" s="1058"/>
      <c r="AN119" s="67">
        <v>3.4</v>
      </c>
      <c r="AO119" s="67">
        <v>24</v>
      </c>
      <c r="AP119" s="68">
        <f t="shared" si="377"/>
        <v>40.559279999999994</v>
      </c>
      <c r="AQ119" s="68">
        <f t="shared" si="378"/>
        <v>5.6310903906013534</v>
      </c>
      <c r="AR119" s="69">
        <f t="shared" si="379"/>
        <v>5151.6250200000031</v>
      </c>
      <c r="AS119" s="140">
        <f t="shared" si="380"/>
        <v>7.4469407614033587</v>
      </c>
      <c r="AT119" s="1073"/>
      <c r="AU119" s="70">
        <v>1.5</v>
      </c>
      <c r="AV119" s="71">
        <v>12</v>
      </c>
      <c r="AW119" s="72">
        <f t="shared" si="381"/>
        <v>9.3011400000000002</v>
      </c>
      <c r="AX119" s="72">
        <f t="shared" si="382"/>
        <v>1.2913335758336411</v>
      </c>
      <c r="AY119" s="73">
        <f t="shared" si="383"/>
        <v>1690.0171380000002</v>
      </c>
      <c r="AZ119" s="192">
        <f t="shared" si="384"/>
        <v>2.4430072964515648</v>
      </c>
      <c r="BA119" s="1075"/>
      <c r="BB119" s="90">
        <f t="shared" si="303"/>
        <v>15218</v>
      </c>
      <c r="BC119" s="59"/>
      <c r="BD119" s="56">
        <v>15218</v>
      </c>
      <c r="BE119" s="56"/>
      <c r="BF119" s="58">
        <f t="shared" si="352"/>
        <v>58244</v>
      </c>
      <c r="BG119" s="58">
        <f t="shared" si="353"/>
        <v>84.19471837008372</v>
      </c>
      <c r="BH119" s="1133"/>
      <c r="BI119" s="63">
        <f t="shared" si="305"/>
        <v>720</v>
      </c>
      <c r="BJ119" s="64"/>
      <c r="BK119" s="64">
        <v>264</v>
      </c>
      <c r="BL119" s="64">
        <f t="shared" si="366"/>
        <v>456</v>
      </c>
      <c r="BM119" s="65">
        <f t="shared" si="367"/>
        <v>0.69165524019851721</v>
      </c>
      <c r="BN119" s="64">
        <f t="shared" si="368"/>
        <v>16368</v>
      </c>
      <c r="BO119" s="65">
        <f t="shared" si="369"/>
        <v>0.28640477579263718</v>
      </c>
      <c r="BP119" s="1071"/>
      <c r="BQ119" s="35">
        <f t="shared" si="310"/>
        <v>44113</v>
      </c>
      <c r="BR119" s="35"/>
      <c r="BS119" s="35">
        <v>44113</v>
      </c>
      <c r="BT119" s="35"/>
      <c r="BU119" s="74">
        <f t="shared" si="386"/>
        <v>320514</v>
      </c>
      <c r="BV119" s="74">
        <f t="shared" si="387"/>
        <v>463.31958594308452</v>
      </c>
      <c r="BW119" s="1098"/>
      <c r="BX119" s="295">
        <v>840</v>
      </c>
      <c r="BY119" s="296"/>
      <c r="BZ119" s="296">
        <v>840</v>
      </c>
      <c r="CA119" s="296"/>
      <c r="CB119" s="297"/>
      <c r="CC119" s="296">
        <f t="shared" si="370"/>
        <v>7910</v>
      </c>
      <c r="CD119" s="297">
        <f t="shared" si="371"/>
        <v>0.13840797754886122</v>
      </c>
      <c r="CE119" s="1061"/>
    </row>
    <row r="120" spans="1:83">
      <c r="A120" s="30">
        <v>43702</v>
      </c>
      <c r="B120" s="32">
        <v>673081</v>
      </c>
      <c r="C120" s="114">
        <f t="shared" si="281"/>
        <v>57822966</v>
      </c>
      <c r="D120" s="91">
        <v>7139.98</v>
      </c>
      <c r="E120" s="93">
        <f t="shared" si="282"/>
        <v>698917.33999999973</v>
      </c>
      <c r="F120" s="240">
        <f t="shared" si="283"/>
        <v>24000</v>
      </c>
      <c r="G120" s="321">
        <v>31270</v>
      </c>
      <c r="H120" s="240">
        <v>12000</v>
      </c>
      <c r="I120" s="240">
        <f t="shared" si="372"/>
        <v>43270</v>
      </c>
      <c r="J120" s="280">
        <f t="shared" si="373"/>
        <v>64.286467750538193</v>
      </c>
      <c r="K120" s="240">
        <f t="shared" si="374"/>
        <v>1553780</v>
      </c>
      <c r="L120" s="280">
        <f t="shared" si="375"/>
        <v>26.871329983314933</v>
      </c>
      <c r="M120" s="280">
        <f t="shared" si="376"/>
        <v>3.2902326415225827</v>
      </c>
      <c r="N120" s="1089"/>
      <c r="O120" s="1084"/>
      <c r="P120" s="77">
        <f t="shared" si="284"/>
        <v>45526</v>
      </c>
      <c r="Q120" s="35"/>
      <c r="R120" s="35">
        <v>45023</v>
      </c>
      <c r="S120" s="35">
        <f t="shared" si="354"/>
        <v>503</v>
      </c>
      <c r="T120" s="36">
        <f t="shared" si="355"/>
        <v>0.74730975915231601</v>
      </c>
      <c r="U120" s="74">
        <f t="shared" si="356"/>
        <v>113905</v>
      </c>
      <c r="V120" s="36">
        <f t="shared" si="357"/>
        <v>1.9698920321728222</v>
      </c>
      <c r="W120" s="1179"/>
      <c r="X120" s="49">
        <f t="shared" si="289"/>
        <v>631</v>
      </c>
      <c r="Y120" s="50"/>
      <c r="Z120" s="50">
        <v>571</v>
      </c>
      <c r="AA120" s="50">
        <f t="shared" si="358"/>
        <v>60</v>
      </c>
      <c r="AB120" s="51">
        <f t="shared" si="359"/>
        <v>8.9142317195107276E-2</v>
      </c>
      <c r="AC120" s="50">
        <f t="shared" si="360"/>
        <v>13623</v>
      </c>
      <c r="AD120" s="51">
        <f t="shared" si="361"/>
        <v>0.23559842986954352</v>
      </c>
      <c r="AE120" s="1050"/>
      <c r="AF120" s="40">
        <f t="shared" si="294"/>
        <v>360</v>
      </c>
      <c r="AG120" s="41"/>
      <c r="AH120" s="41">
        <v>290</v>
      </c>
      <c r="AI120" s="41">
        <f t="shared" si="362"/>
        <v>70</v>
      </c>
      <c r="AJ120" s="42">
        <f t="shared" si="363"/>
        <v>0.10399937006095848</v>
      </c>
      <c r="AK120" s="41">
        <f t="shared" si="364"/>
        <v>7376</v>
      </c>
      <c r="AL120" s="42">
        <f t="shared" si="365"/>
        <v>0.12756177190910614</v>
      </c>
      <c r="AM120" s="1058"/>
      <c r="AN120" s="67">
        <v>4.8</v>
      </c>
      <c r="AO120" s="67">
        <v>24</v>
      </c>
      <c r="AP120" s="68">
        <f t="shared" si="377"/>
        <v>57.260159999999992</v>
      </c>
      <c r="AQ120" s="68">
        <f t="shared" si="378"/>
        <v>8.0196527161140505</v>
      </c>
      <c r="AR120" s="69">
        <f t="shared" si="379"/>
        <v>5208.8851800000029</v>
      </c>
      <c r="AS120" s="140">
        <f t="shared" si="380"/>
        <v>7.4527914559967909</v>
      </c>
      <c r="AT120" s="1073"/>
      <c r="AU120" s="319">
        <v>2</v>
      </c>
      <c r="AV120" s="71">
        <v>12</v>
      </c>
      <c r="AW120" s="72">
        <f t="shared" si="381"/>
        <v>12.401520000000001</v>
      </c>
      <c r="AX120" s="72">
        <f t="shared" si="382"/>
        <v>1.7369124283261301</v>
      </c>
      <c r="AY120" s="73">
        <f t="shared" si="383"/>
        <v>1702.4186580000001</v>
      </c>
      <c r="AZ120" s="192">
        <f t="shared" si="384"/>
        <v>2.4357939924626861</v>
      </c>
      <c r="BA120" s="1075"/>
      <c r="BB120" s="90">
        <f t="shared" si="303"/>
        <v>15218</v>
      </c>
      <c r="BC120" s="59"/>
      <c r="BD120" s="56">
        <v>15218</v>
      </c>
      <c r="BE120" s="56"/>
      <c r="BF120" s="58">
        <f t="shared" si="352"/>
        <v>58244</v>
      </c>
      <c r="BG120" s="58">
        <f t="shared" si="353"/>
        <v>83.334604346774427</v>
      </c>
      <c r="BH120" s="1133"/>
      <c r="BI120" s="63">
        <f t="shared" si="305"/>
        <v>264</v>
      </c>
      <c r="BJ120" s="64">
        <v>1100</v>
      </c>
      <c r="BK120" s="64">
        <v>876</v>
      </c>
      <c r="BL120" s="64">
        <f t="shared" si="366"/>
        <v>488</v>
      </c>
      <c r="BM120" s="65">
        <f t="shared" si="367"/>
        <v>0.72502417985353917</v>
      </c>
      <c r="BN120" s="64">
        <f t="shared" si="368"/>
        <v>16856</v>
      </c>
      <c r="BO120" s="65">
        <f t="shared" si="369"/>
        <v>0.29151047007861891</v>
      </c>
      <c r="BP120" s="1071"/>
      <c r="BQ120" s="35">
        <f t="shared" si="310"/>
        <v>44113</v>
      </c>
      <c r="BR120" s="35"/>
      <c r="BS120" s="35">
        <v>41340</v>
      </c>
      <c r="BT120" s="35">
        <f t="shared" si="385"/>
        <v>2773</v>
      </c>
      <c r="BU120" s="74">
        <f t="shared" si="386"/>
        <v>323287</v>
      </c>
      <c r="BV120" s="74">
        <f t="shared" si="387"/>
        <v>462.55398385165279</v>
      </c>
      <c r="BW120" s="1098"/>
      <c r="BX120" s="295">
        <v>840</v>
      </c>
      <c r="BY120" s="296"/>
      <c r="BZ120" s="296">
        <v>840</v>
      </c>
      <c r="CA120" s="296"/>
      <c r="CB120" s="297"/>
      <c r="CC120" s="296">
        <f t="shared" si="370"/>
        <v>7910</v>
      </c>
      <c r="CD120" s="297">
        <f t="shared" si="371"/>
        <v>0.13679685680599643</v>
      </c>
      <c r="CE120" s="1061"/>
    </row>
    <row r="121" spans="1:83">
      <c r="A121" s="30">
        <v>43703</v>
      </c>
      <c r="B121" s="265">
        <v>588182</v>
      </c>
      <c r="C121" s="114">
        <f t="shared" si="281"/>
        <v>58411148</v>
      </c>
      <c r="D121" s="91">
        <v>6900.08</v>
      </c>
      <c r="E121" s="93">
        <f t="shared" si="282"/>
        <v>705817.41999999969</v>
      </c>
      <c r="F121" s="240">
        <f t="shared" si="283"/>
        <v>12000</v>
      </c>
      <c r="G121" s="240"/>
      <c r="H121" s="240"/>
      <c r="I121" s="240">
        <f t="shared" si="372"/>
        <v>12000</v>
      </c>
      <c r="J121" s="280">
        <f t="shared" si="373"/>
        <v>20.401848407465717</v>
      </c>
      <c r="K121" s="240">
        <f t="shared" si="374"/>
        <v>1565780</v>
      </c>
      <c r="L121" s="280">
        <f t="shared" si="375"/>
        <v>26.806184326320722</v>
      </c>
      <c r="M121" s="280">
        <f t="shared" si="376"/>
        <v>3.2822559478781344</v>
      </c>
      <c r="N121" s="1089"/>
      <c r="O121" s="1084"/>
      <c r="P121" s="77">
        <f t="shared" si="284"/>
        <v>45023</v>
      </c>
      <c r="Q121" s="35"/>
      <c r="R121" s="35">
        <v>39862</v>
      </c>
      <c r="S121" s="35">
        <f t="shared" si="354"/>
        <v>5161</v>
      </c>
      <c r="T121" s="36">
        <f t="shared" si="355"/>
        <v>8.7744949692442127</v>
      </c>
      <c r="U121" s="74">
        <f t="shared" si="356"/>
        <v>119066</v>
      </c>
      <c r="V121" s="36">
        <f t="shared" si="357"/>
        <v>2.0384122565096647</v>
      </c>
      <c r="W121" s="1179"/>
      <c r="X121" s="49">
        <f t="shared" si="289"/>
        <v>571</v>
      </c>
      <c r="Y121" s="50"/>
      <c r="Z121" s="50">
        <v>511</v>
      </c>
      <c r="AA121" s="50">
        <f t="shared" si="358"/>
        <v>60</v>
      </c>
      <c r="AB121" s="51">
        <f t="shared" si="359"/>
        <v>0.10200924203732858</v>
      </c>
      <c r="AC121" s="50">
        <f t="shared" si="360"/>
        <v>13683</v>
      </c>
      <c r="AD121" s="51">
        <f t="shared" si="361"/>
        <v>0.23425322851042066</v>
      </c>
      <c r="AE121" s="1050"/>
      <c r="AF121" s="40">
        <f t="shared" si="294"/>
        <v>290</v>
      </c>
      <c r="AG121" s="41"/>
      <c r="AH121" s="41">
        <v>224</v>
      </c>
      <c r="AI121" s="41">
        <f t="shared" si="362"/>
        <v>66</v>
      </c>
      <c r="AJ121" s="42">
        <f t="shared" si="363"/>
        <v>0.11221016624106143</v>
      </c>
      <c r="AK121" s="41">
        <f t="shared" si="364"/>
        <v>7442</v>
      </c>
      <c r="AL121" s="42">
        <f t="shared" si="365"/>
        <v>0.12740718603921292</v>
      </c>
      <c r="AM121" s="1058"/>
      <c r="AN121" s="67">
        <v>5.7</v>
      </c>
      <c r="AO121" s="67">
        <v>24</v>
      </c>
      <c r="AP121" s="68">
        <f t="shared" si="377"/>
        <v>67.996440000000007</v>
      </c>
      <c r="AQ121" s="68">
        <f t="shared" si="378"/>
        <v>9.8544422673360312</v>
      </c>
      <c r="AR121" s="69">
        <f t="shared" si="379"/>
        <v>5276.8816200000028</v>
      </c>
      <c r="AS121" s="140">
        <f t="shared" si="380"/>
        <v>7.4762700246191223</v>
      </c>
      <c r="AT121" s="1073"/>
      <c r="AU121" s="70">
        <v>3.4</v>
      </c>
      <c r="AV121" s="71">
        <v>12</v>
      </c>
      <c r="AW121" s="72">
        <f t="shared" si="381"/>
        <v>21.082584000000001</v>
      </c>
      <c r="AX121" s="72">
        <f t="shared" si="382"/>
        <v>3.0554115314605048</v>
      </c>
      <c r="AY121" s="73">
        <f t="shared" si="383"/>
        <v>1723.501242</v>
      </c>
      <c r="AZ121" s="192">
        <f t="shared" si="384"/>
        <v>2.4418513813388181</v>
      </c>
      <c r="BA121" s="1075"/>
      <c r="BB121" s="90">
        <f t="shared" si="303"/>
        <v>15218</v>
      </c>
      <c r="BC121" s="59"/>
      <c r="BD121" s="56">
        <v>15218</v>
      </c>
      <c r="BE121" s="56"/>
      <c r="BF121" s="58">
        <f t="shared" si="352"/>
        <v>58244</v>
      </c>
      <c r="BG121" s="58">
        <f t="shared" si="353"/>
        <v>82.519924203627653</v>
      </c>
      <c r="BH121" s="1133"/>
      <c r="BI121" s="63">
        <f t="shared" si="305"/>
        <v>876</v>
      </c>
      <c r="BJ121" s="64"/>
      <c r="BK121" s="64">
        <v>552</v>
      </c>
      <c r="BL121" s="64">
        <f t="shared" si="366"/>
        <v>324</v>
      </c>
      <c r="BM121" s="65">
        <f t="shared" si="367"/>
        <v>0.55084990700157432</v>
      </c>
      <c r="BN121" s="64">
        <f t="shared" si="368"/>
        <v>17180</v>
      </c>
      <c r="BO121" s="65">
        <f t="shared" si="369"/>
        <v>0.29412193713432921</v>
      </c>
      <c r="BP121" s="1071"/>
      <c r="BQ121" s="35">
        <f t="shared" si="310"/>
        <v>41340</v>
      </c>
      <c r="BR121" s="35"/>
      <c r="BS121" s="35">
        <v>38568</v>
      </c>
      <c r="BT121" s="35">
        <f t="shared" si="385"/>
        <v>2772</v>
      </c>
      <c r="BU121" s="74">
        <f t="shared" si="386"/>
        <v>326059</v>
      </c>
      <c r="BV121" s="74">
        <f t="shared" si="387"/>
        <v>461.95941154300237</v>
      </c>
      <c r="BW121" s="1098"/>
      <c r="BX121" s="295">
        <v>840</v>
      </c>
      <c r="BY121" s="296"/>
      <c r="BZ121" s="296">
        <v>840</v>
      </c>
      <c r="CA121" s="296"/>
      <c r="CB121" s="297"/>
      <c r="CC121" s="296">
        <f t="shared" si="370"/>
        <v>7910</v>
      </c>
      <c r="CD121" s="297">
        <f t="shared" si="371"/>
        <v>0.13541935522308174</v>
      </c>
      <c r="CE121" s="1061"/>
    </row>
    <row r="122" spans="1:83">
      <c r="A122" s="30">
        <v>43704</v>
      </c>
      <c r="B122" s="265">
        <v>680916</v>
      </c>
      <c r="C122" s="114">
        <f t="shared" si="281"/>
        <v>59092064</v>
      </c>
      <c r="D122" s="91">
        <v>6766.18</v>
      </c>
      <c r="E122" s="93">
        <f t="shared" si="282"/>
        <v>712583.59999999974</v>
      </c>
      <c r="F122" s="240"/>
      <c r="G122" s="240"/>
      <c r="H122" s="240"/>
      <c r="I122" s="240"/>
      <c r="J122" s="280"/>
      <c r="K122" s="240">
        <f t="shared" si="374"/>
        <v>1565780</v>
      </c>
      <c r="L122" s="280">
        <f t="shared" si="375"/>
        <v>26.497297505126916</v>
      </c>
      <c r="M122" s="280">
        <f t="shared" si="376"/>
        <v>3.244434615541437</v>
      </c>
      <c r="N122" s="1089"/>
      <c r="O122" s="1084"/>
      <c r="P122" s="77">
        <f t="shared" si="284"/>
        <v>39862</v>
      </c>
      <c r="Q122" s="35"/>
      <c r="R122" s="35">
        <v>32118</v>
      </c>
      <c r="S122" s="35">
        <f t="shared" si="354"/>
        <v>7744</v>
      </c>
      <c r="T122" s="36">
        <f t="shared" si="355"/>
        <v>11.372915308202479</v>
      </c>
      <c r="U122" s="74">
        <f t="shared" si="356"/>
        <v>126810</v>
      </c>
      <c r="V122" s="36">
        <f t="shared" si="357"/>
        <v>2.1459734423898276</v>
      </c>
      <c r="W122" s="1179"/>
      <c r="X122" s="49">
        <f t="shared" si="289"/>
        <v>511</v>
      </c>
      <c r="Y122" s="322">
        <v>900</v>
      </c>
      <c r="Z122" s="50">
        <f>1281+60</f>
        <v>1341</v>
      </c>
      <c r="AA122" s="50">
        <f t="shared" si="358"/>
        <v>70</v>
      </c>
      <c r="AB122" s="51">
        <f t="shared" si="359"/>
        <v>0.10280269519294598</v>
      </c>
      <c r="AC122" s="50">
        <f t="shared" si="360"/>
        <v>13753</v>
      </c>
      <c r="AD122" s="51">
        <f t="shared" si="361"/>
        <v>0.23273852813805929</v>
      </c>
      <c r="AE122" s="1050"/>
      <c r="AF122" s="40">
        <f t="shared" si="294"/>
        <v>224</v>
      </c>
      <c r="AG122" s="41">
        <v>1000</v>
      </c>
      <c r="AH122" s="41">
        <v>1137</v>
      </c>
      <c r="AI122" s="41">
        <f t="shared" si="362"/>
        <v>87</v>
      </c>
      <c r="AJ122" s="42">
        <f t="shared" si="363"/>
        <v>0.12776906402551858</v>
      </c>
      <c r="AK122" s="41">
        <f t="shared" si="364"/>
        <v>7529</v>
      </c>
      <c r="AL122" s="42">
        <f t="shared" si="365"/>
        <v>0.12741135594789851</v>
      </c>
      <c r="AM122" s="1058"/>
      <c r="AN122" s="67">
        <v>6.7</v>
      </c>
      <c r="AO122" s="67">
        <v>24</v>
      </c>
      <c r="AP122" s="68">
        <f t="shared" si="377"/>
        <v>79.925640000000001</v>
      </c>
      <c r="AQ122" s="68">
        <f t="shared" si="378"/>
        <v>11.812520506400952</v>
      </c>
      <c r="AR122" s="69">
        <f t="shared" si="379"/>
        <v>5356.8072600000032</v>
      </c>
      <c r="AS122" s="140">
        <f t="shared" si="380"/>
        <v>7.5174439321926654</v>
      </c>
      <c r="AT122" s="1073"/>
      <c r="AU122" s="70">
        <v>3.6</v>
      </c>
      <c r="AV122" s="71">
        <v>12</v>
      </c>
      <c r="AW122" s="72">
        <f t="shared" si="381"/>
        <v>22.322736000000003</v>
      </c>
      <c r="AX122" s="72">
        <f t="shared" si="382"/>
        <v>3.2991637822227609</v>
      </c>
      <c r="AY122" s="73">
        <f t="shared" si="383"/>
        <v>1745.8239780000001</v>
      </c>
      <c r="AZ122" s="192">
        <f t="shared" si="384"/>
        <v>2.4499918016636935</v>
      </c>
      <c r="BA122" s="1075"/>
      <c r="BB122" s="90">
        <f t="shared" si="303"/>
        <v>15218</v>
      </c>
      <c r="BC122" s="59"/>
      <c r="BD122" s="56">
        <v>15218</v>
      </c>
      <c r="BE122" s="56"/>
      <c r="BF122" s="58">
        <f t="shared" si="352"/>
        <v>58244</v>
      </c>
      <c r="BG122" s="58">
        <f t="shared" si="353"/>
        <v>81.736374511004769</v>
      </c>
      <c r="BH122" s="1133"/>
      <c r="BI122" s="63">
        <f t="shared" si="305"/>
        <v>552</v>
      </c>
      <c r="BJ122" s="64"/>
      <c r="BK122" s="64">
        <v>240</v>
      </c>
      <c r="BL122" s="64">
        <f t="shared" si="366"/>
        <v>312</v>
      </c>
      <c r="BM122" s="65">
        <f t="shared" si="367"/>
        <v>0.45820629857427347</v>
      </c>
      <c r="BN122" s="64">
        <f t="shared" si="368"/>
        <v>17492</v>
      </c>
      <c r="BO122" s="65">
        <f t="shared" si="369"/>
        <v>0.2960126760845585</v>
      </c>
      <c r="BP122" s="1071"/>
      <c r="BQ122" s="35">
        <f t="shared" si="310"/>
        <v>38568</v>
      </c>
      <c r="BR122" s="35"/>
      <c r="BS122" s="35">
        <v>34871</v>
      </c>
      <c r="BT122" s="35">
        <f t="shared" si="385"/>
        <v>3697</v>
      </c>
      <c r="BU122" s="74">
        <f t="shared" si="386"/>
        <v>329756</v>
      </c>
      <c r="BV122" s="74">
        <f t="shared" si="387"/>
        <v>462.76114128924678</v>
      </c>
      <c r="BW122" s="1098"/>
      <c r="BX122" s="295">
        <v>840</v>
      </c>
      <c r="BY122" s="296"/>
      <c r="BZ122" s="296">
        <v>840</v>
      </c>
      <c r="CA122" s="296"/>
      <c r="CB122" s="297"/>
      <c r="CC122" s="296">
        <f t="shared" si="370"/>
        <v>7910</v>
      </c>
      <c r="CD122" s="297">
        <f t="shared" si="371"/>
        <v>0.13385892224038748</v>
      </c>
      <c r="CE122" s="1061"/>
    </row>
    <row r="123" spans="1:83">
      <c r="A123" s="30">
        <v>43705</v>
      </c>
      <c r="B123" s="265">
        <v>590041</v>
      </c>
      <c r="C123" s="114">
        <f t="shared" si="281"/>
        <v>59682105</v>
      </c>
      <c r="D123" s="91">
        <v>6377.38</v>
      </c>
      <c r="E123" s="93">
        <f t="shared" si="282"/>
        <v>718960.97999999975</v>
      </c>
      <c r="F123" s="240"/>
      <c r="G123" s="240"/>
      <c r="H123" s="240"/>
      <c r="I123" s="240"/>
      <c r="J123" s="280"/>
      <c r="K123" s="240">
        <f t="shared" si="374"/>
        <v>1565780</v>
      </c>
      <c r="L123" s="280">
        <f t="shared" si="375"/>
        <v>26.235334695383148</v>
      </c>
      <c r="M123" s="280">
        <f t="shared" si="376"/>
        <v>3.2123588460123851</v>
      </c>
      <c r="N123" s="1089"/>
      <c r="O123" s="1084"/>
      <c r="P123" s="77">
        <f t="shared" si="284"/>
        <v>32118</v>
      </c>
      <c r="Q123" s="35"/>
      <c r="R123" s="35">
        <v>25939</v>
      </c>
      <c r="S123" s="35">
        <f t="shared" si="354"/>
        <v>6179</v>
      </c>
      <c r="T123" s="36">
        <f t="shared" si="355"/>
        <v>10.472153630001984</v>
      </c>
      <c r="U123" s="74">
        <f t="shared" si="356"/>
        <v>132989</v>
      </c>
      <c r="V123" s="36">
        <f t="shared" si="357"/>
        <v>2.2282893674745554</v>
      </c>
      <c r="W123" s="1179"/>
      <c r="X123" s="49">
        <f t="shared" si="289"/>
        <v>1341</v>
      </c>
      <c r="Y123" s="50"/>
      <c r="Z123" s="50">
        <f>1183+80</f>
        <v>1263</v>
      </c>
      <c r="AA123" s="50">
        <f t="shared" si="358"/>
        <v>78</v>
      </c>
      <c r="AB123" s="51">
        <f t="shared" si="359"/>
        <v>0.13219420345365832</v>
      </c>
      <c r="AC123" s="50">
        <f t="shared" si="360"/>
        <v>13831</v>
      </c>
      <c r="AD123" s="51">
        <f t="shared" si="361"/>
        <v>0.23174450700088411</v>
      </c>
      <c r="AE123" s="1050"/>
      <c r="AF123" s="40">
        <f t="shared" si="294"/>
        <v>1137</v>
      </c>
      <c r="AG123" s="41"/>
      <c r="AH123" s="41">
        <v>1081</v>
      </c>
      <c r="AI123" s="41">
        <f t="shared" si="362"/>
        <v>56</v>
      </c>
      <c r="AJ123" s="42">
        <f t="shared" si="363"/>
        <v>9.4908658889805958E-2</v>
      </c>
      <c r="AK123" s="41">
        <f t="shared" si="364"/>
        <v>7585</v>
      </c>
      <c r="AL123" s="42">
        <f t="shared" si="365"/>
        <v>0.12709002137240299</v>
      </c>
      <c r="AM123" s="1058"/>
      <c r="AN123" s="67">
        <v>4.3</v>
      </c>
      <c r="AO123" s="67">
        <v>24</v>
      </c>
      <c r="AP123" s="68">
        <f t="shared" si="377"/>
        <v>51.295559999999995</v>
      </c>
      <c r="AQ123" s="68">
        <f t="shared" si="378"/>
        <v>8.0433594987283179</v>
      </c>
      <c r="AR123" s="69">
        <f t="shared" si="379"/>
        <v>5408.1028200000028</v>
      </c>
      <c r="AS123" s="140">
        <f t="shared" si="380"/>
        <v>7.5221089467192019</v>
      </c>
      <c r="AT123" s="1073"/>
      <c r="AU123" s="70">
        <v>3</v>
      </c>
      <c r="AV123" s="71">
        <v>12</v>
      </c>
      <c r="AW123" s="72">
        <f t="shared" si="381"/>
        <v>18.60228</v>
      </c>
      <c r="AX123" s="72">
        <f t="shared" si="382"/>
        <v>2.9169157240120547</v>
      </c>
      <c r="AY123" s="73">
        <f t="shared" si="383"/>
        <v>1764.4262580000002</v>
      </c>
      <c r="AZ123" s="192">
        <f t="shared" si="384"/>
        <v>2.4541335442154324</v>
      </c>
      <c r="BA123" s="1075"/>
      <c r="BB123" s="90">
        <f t="shared" si="303"/>
        <v>15218</v>
      </c>
      <c r="BC123" s="59"/>
      <c r="BD123" s="56">
        <v>15218</v>
      </c>
      <c r="BE123" s="56"/>
      <c r="BF123" s="58">
        <f t="shared" si="352"/>
        <v>58244</v>
      </c>
      <c r="BG123" s="58">
        <f t="shared" si="353"/>
        <v>81.011350574269031</v>
      </c>
      <c r="BH123" s="1133"/>
      <c r="BI123" s="63">
        <f t="shared" si="305"/>
        <v>240</v>
      </c>
      <c r="BJ123" s="64">
        <v>1100</v>
      </c>
      <c r="BK123" s="64">
        <v>980</v>
      </c>
      <c r="BL123" s="64">
        <f t="shared" si="366"/>
        <v>360</v>
      </c>
      <c r="BM123" s="65">
        <f t="shared" si="367"/>
        <v>0.61012709286303834</v>
      </c>
      <c r="BN123" s="64">
        <f t="shared" si="368"/>
        <v>17852</v>
      </c>
      <c r="BO123" s="65">
        <f t="shared" si="369"/>
        <v>0.29911813599738146</v>
      </c>
      <c r="BP123" s="1071"/>
      <c r="BQ123" s="35">
        <f t="shared" si="310"/>
        <v>34871</v>
      </c>
      <c r="BR123" s="35"/>
      <c r="BS123" s="35">
        <v>32099</v>
      </c>
      <c r="BT123" s="35">
        <f t="shared" si="385"/>
        <v>2772</v>
      </c>
      <c r="BU123" s="74">
        <f t="shared" si="386"/>
        <v>332528</v>
      </c>
      <c r="BV123" s="74">
        <f t="shared" si="387"/>
        <v>462.51188764096781</v>
      </c>
      <c r="BW123" s="1098"/>
      <c r="BX123" s="295">
        <v>840</v>
      </c>
      <c r="BY123" s="296"/>
      <c r="BZ123" s="296">
        <v>840</v>
      </c>
      <c r="CA123" s="296"/>
      <c r="CB123" s="297"/>
      <c r="CC123" s="296">
        <f t="shared" si="370"/>
        <v>7910</v>
      </c>
      <c r="CD123" s="297">
        <f t="shared" si="371"/>
        <v>0.13253553975685006</v>
      </c>
      <c r="CE123" s="1061"/>
    </row>
    <row r="124" spans="1:83">
      <c r="A124" s="30">
        <v>43706</v>
      </c>
      <c r="B124" s="265">
        <v>570662</v>
      </c>
      <c r="C124" s="114">
        <f t="shared" si="281"/>
        <v>60252767</v>
      </c>
      <c r="D124" s="91">
        <v>6874.36</v>
      </c>
      <c r="E124" s="93">
        <f t="shared" si="282"/>
        <v>725835.33999999973</v>
      </c>
      <c r="F124" s="240"/>
      <c r="G124" s="240"/>
      <c r="H124" s="240"/>
      <c r="I124" s="240"/>
      <c r="J124" s="280"/>
      <c r="K124" s="240">
        <f t="shared" si="374"/>
        <v>1565780</v>
      </c>
      <c r="L124" s="280">
        <f t="shared" si="375"/>
        <v>25.986856338066598</v>
      </c>
      <c r="M124" s="280">
        <f t="shared" si="376"/>
        <v>3.18193416653197</v>
      </c>
      <c r="N124" s="1089"/>
      <c r="O124" s="1084"/>
      <c r="P124" s="77">
        <f t="shared" si="284"/>
        <v>25939</v>
      </c>
      <c r="Q124" s="35"/>
      <c r="R124" s="35">
        <v>19122</v>
      </c>
      <c r="S124" s="35">
        <f t="shared" si="354"/>
        <v>6817</v>
      </c>
      <c r="T124" s="36">
        <f t="shared" si="355"/>
        <v>11.945775257507947</v>
      </c>
      <c r="U124" s="74">
        <f t="shared" si="356"/>
        <v>139806</v>
      </c>
      <c r="V124" s="36">
        <f t="shared" si="357"/>
        <v>2.3203249736232032</v>
      </c>
      <c r="W124" s="1179"/>
      <c r="X124" s="49">
        <f t="shared" si="289"/>
        <v>1263</v>
      </c>
      <c r="Y124" s="50"/>
      <c r="Z124" s="50">
        <f>1122+75</f>
        <v>1197</v>
      </c>
      <c r="AA124" s="50">
        <f t="shared" si="358"/>
        <v>66</v>
      </c>
      <c r="AB124" s="51">
        <f t="shared" si="359"/>
        <v>0.11565515138558376</v>
      </c>
      <c r="AC124" s="50">
        <f t="shared" si="360"/>
        <v>13897</v>
      </c>
      <c r="AD124" s="51">
        <f t="shared" si="361"/>
        <v>0.23064500921592532</v>
      </c>
      <c r="AE124" s="1050"/>
      <c r="AF124" s="40">
        <f t="shared" si="294"/>
        <v>1081</v>
      </c>
      <c r="AG124" s="41"/>
      <c r="AH124" s="41">
        <v>1042</v>
      </c>
      <c r="AI124" s="41">
        <f t="shared" si="362"/>
        <v>39</v>
      </c>
      <c r="AJ124" s="42">
        <f t="shared" si="363"/>
        <v>6.8341680364208582E-2</v>
      </c>
      <c r="AK124" s="41">
        <f t="shared" si="364"/>
        <v>7624</v>
      </c>
      <c r="AL124" s="42">
        <f t="shared" si="365"/>
        <v>0.12653360799181224</v>
      </c>
      <c r="AM124" s="1058"/>
      <c r="AN124" s="67">
        <v>3.7</v>
      </c>
      <c r="AO124" s="67">
        <v>24</v>
      </c>
      <c r="AP124" s="68">
        <f t="shared" si="377"/>
        <v>44.138040000000004</v>
      </c>
      <c r="AQ124" s="68">
        <f t="shared" si="378"/>
        <v>6.420676252043827</v>
      </c>
      <c r="AR124" s="69">
        <f t="shared" si="379"/>
        <v>5452.2408600000026</v>
      </c>
      <c r="AS124" s="140">
        <f t="shared" si="380"/>
        <v>7.5116773178886609</v>
      </c>
      <c r="AT124" s="1073"/>
      <c r="AU124" s="70">
        <v>3.4</v>
      </c>
      <c r="AV124" s="71">
        <v>12</v>
      </c>
      <c r="AW124" s="72">
        <f t="shared" si="381"/>
        <v>21.082584000000001</v>
      </c>
      <c r="AX124" s="72">
        <f t="shared" si="382"/>
        <v>3.0668431679458159</v>
      </c>
      <c r="AY124" s="73">
        <f t="shared" si="383"/>
        <v>1785.5088420000002</v>
      </c>
      <c r="AZ124" s="192">
        <f t="shared" si="384"/>
        <v>2.4599364946876254</v>
      </c>
      <c r="BA124" s="1075"/>
      <c r="BB124" s="90">
        <f t="shared" si="303"/>
        <v>15218</v>
      </c>
      <c r="BC124" s="56">
        <v>36438</v>
      </c>
      <c r="BD124" s="56">
        <v>51656</v>
      </c>
      <c r="BE124" s="56"/>
      <c r="BF124" s="58">
        <f t="shared" si="352"/>
        <v>58244</v>
      </c>
      <c r="BG124" s="58">
        <f t="shared" si="353"/>
        <v>80.244095031250509</v>
      </c>
      <c r="BH124" s="1133"/>
      <c r="BI124" s="63">
        <f t="shared" si="305"/>
        <v>980</v>
      </c>
      <c r="BJ124" s="64"/>
      <c r="BK124" s="64">
        <v>756</v>
      </c>
      <c r="BL124" s="64">
        <f t="shared" si="366"/>
        <v>224</v>
      </c>
      <c r="BM124" s="65">
        <f t="shared" si="367"/>
        <v>0.39252657439955702</v>
      </c>
      <c r="BN124" s="64">
        <f t="shared" si="368"/>
        <v>18076</v>
      </c>
      <c r="BO124" s="65">
        <f t="shared" si="369"/>
        <v>0.30000281978751281</v>
      </c>
      <c r="BP124" s="1071"/>
      <c r="BQ124" s="35">
        <f t="shared" si="310"/>
        <v>32099</v>
      </c>
      <c r="BR124" s="35"/>
      <c r="BS124" s="35">
        <v>30250</v>
      </c>
      <c r="BT124" s="35">
        <f t="shared" si="385"/>
        <v>1849</v>
      </c>
      <c r="BU124" s="74">
        <f t="shared" si="386"/>
        <v>334377</v>
      </c>
      <c r="BV124" s="74">
        <f t="shared" si="387"/>
        <v>460.67886416222188</v>
      </c>
      <c r="BW124" s="1098"/>
      <c r="BX124" s="295">
        <v>840</v>
      </c>
      <c r="BY124" s="296"/>
      <c r="BZ124" s="296">
        <v>840</v>
      </c>
      <c r="CA124" s="296"/>
      <c r="CB124" s="297"/>
      <c r="CC124" s="296">
        <f t="shared" si="370"/>
        <v>7910</v>
      </c>
      <c r="CD124" s="297">
        <f t="shared" si="371"/>
        <v>0.13128027796632144</v>
      </c>
      <c r="CE124" s="1061"/>
    </row>
    <row r="125" spans="1:83">
      <c r="A125" s="30">
        <v>43707</v>
      </c>
      <c r="B125" s="265">
        <v>690842</v>
      </c>
      <c r="C125" s="114">
        <f t="shared" si="281"/>
        <v>60943609</v>
      </c>
      <c r="D125" s="91">
        <v>6671.78</v>
      </c>
      <c r="E125" s="93">
        <f t="shared" si="282"/>
        <v>732507.11999999976</v>
      </c>
      <c r="F125" s="240"/>
      <c r="G125" s="321">
        <v>32340</v>
      </c>
      <c r="H125" s="240"/>
      <c r="I125" s="240">
        <f t="shared" si="372"/>
        <v>32340</v>
      </c>
      <c r="J125" s="280">
        <f t="shared" si="373"/>
        <v>46.812440471193121</v>
      </c>
      <c r="K125" s="240">
        <f t="shared" si="374"/>
        <v>1598120</v>
      </c>
      <c r="L125" s="280">
        <f t="shared" si="375"/>
        <v>26.222930118890726</v>
      </c>
      <c r="M125" s="280">
        <f t="shared" si="376"/>
        <v>3.2108399802731391</v>
      </c>
      <c r="N125" s="1089"/>
      <c r="O125" s="1084"/>
      <c r="P125" s="77">
        <f t="shared" si="284"/>
        <v>19122</v>
      </c>
      <c r="Q125" s="35"/>
      <c r="R125" s="35">
        <v>14382</v>
      </c>
      <c r="S125" s="35">
        <f t="shared" si="354"/>
        <v>4740</v>
      </c>
      <c r="T125" s="36">
        <f t="shared" si="355"/>
        <v>6.8611925736999195</v>
      </c>
      <c r="U125" s="74">
        <f t="shared" si="356"/>
        <v>144546</v>
      </c>
      <c r="V125" s="36">
        <f t="shared" si="357"/>
        <v>2.3717991496040218</v>
      </c>
      <c r="W125" s="1179"/>
      <c r="X125" s="49">
        <f t="shared" si="289"/>
        <v>1197</v>
      </c>
      <c r="Y125" s="50"/>
      <c r="Z125" s="50">
        <f>1057+62</f>
        <v>1119</v>
      </c>
      <c r="AA125" s="50">
        <f t="shared" si="358"/>
        <v>78</v>
      </c>
      <c r="AB125" s="51">
        <f t="shared" si="359"/>
        <v>0.11290570057987209</v>
      </c>
      <c r="AC125" s="50">
        <f t="shared" si="360"/>
        <v>13975</v>
      </c>
      <c r="AD125" s="51">
        <f t="shared" si="361"/>
        <v>0.22931034491245833</v>
      </c>
      <c r="AE125" s="1050"/>
      <c r="AF125" s="40">
        <f t="shared" si="294"/>
        <v>1042</v>
      </c>
      <c r="AG125" s="41"/>
      <c r="AH125" s="41">
        <v>984</v>
      </c>
      <c r="AI125" s="41">
        <f t="shared" si="362"/>
        <v>58</v>
      </c>
      <c r="AJ125" s="42">
        <f t="shared" si="363"/>
        <v>8.3955520944007461E-2</v>
      </c>
      <c r="AK125" s="41">
        <f t="shared" si="364"/>
        <v>7682</v>
      </c>
      <c r="AL125" s="42">
        <f t="shared" si="365"/>
        <v>0.1260509531032204</v>
      </c>
      <c r="AM125" s="1058"/>
      <c r="AN125" s="67">
        <v>4.4000000000000004</v>
      </c>
      <c r="AO125" s="67">
        <v>24</v>
      </c>
      <c r="AP125" s="68">
        <f t="shared" si="377"/>
        <v>52.488480000000003</v>
      </c>
      <c r="AQ125" s="68">
        <f t="shared" si="378"/>
        <v>7.867237828585476</v>
      </c>
      <c r="AR125" s="69">
        <f t="shared" si="379"/>
        <v>5504.7293400000026</v>
      </c>
      <c r="AS125" s="140">
        <f t="shared" si="380"/>
        <v>7.5149158140606254</v>
      </c>
      <c r="AT125" s="1073"/>
      <c r="AU125" s="319">
        <v>3</v>
      </c>
      <c r="AV125" s="71">
        <v>12</v>
      </c>
      <c r="AW125" s="72">
        <f t="shared" si="381"/>
        <v>18.60228</v>
      </c>
      <c r="AX125" s="72">
        <f t="shared" si="382"/>
        <v>2.7882034479554183</v>
      </c>
      <c r="AY125" s="73">
        <f t="shared" si="383"/>
        <v>1804.1111220000003</v>
      </c>
      <c r="AZ125" s="192">
        <f t="shared" si="384"/>
        <v>2.4629263972205497</v>
      </c>
      <c r="BA125" s="1075"/>
      <c r="BB125" s="90">
        <f t="shared" si="303"/>
        <v>51656</v>
      </c>
      <c r="BC125" s="59"/>
      <c r="BD125" s="56">
        <v>51656</v>
      </c>
      <c r="BE125" s="56"/>
      <c r="BF125" s="58">
        <f>BF124+BE125</f>
        <v>58244</v>
      </c>
      <c r="BG125" s="58">
        <f>BF125*1000/E125</f>
        <v>79.51322029470515</v>
      </c>
      <c r="BH125" s="1133"/>
      <c r="BI125" s="63">
        <f t="shared" si="305"/>
        <v>756</v>
      </c>
      <c r="BJ125" s="64"/>
      <c r="BK125" s="64">
        <v>480</v>
      </c>
      <c r="BL125" s="64">
        <f t="shared" si="366"/>
        <v>276</v>
      </c>
      <c r="BM125" s="65">
        <f t="shared" si="367"/>
        <v>0.39951247897493203</v>
      </c>
      <c r="BN125" s="64">
        <f t="shared" si="368"/>
        <v>18352</v>
      </c>
      <c r="BO125" s="65">
        <f t="shared" si="369"/>
        <v>0.30113083719738359</v>
      </c>
      <c r="BP125" s="1071"/>
      <c r="BQ125" s="35">
        <f t="shared" si="310"/>
        <v>30250</v>
      </c>
      <c r="BR125" s="35"/>
      <c r="BS125" s="35">
        <v>30250</v>
      </c>
      <c r="BT125" s="35"/>
      <c r="BU125" s="74">
        <f t="shared" si="386"/>
        <v>334377</v>
      </c>
      <c r="BV125" s="74">
        <f t="shared" si="387"/>
        <v>456.48293493720593</v>
      </c>
      <c r="BW125" s="1098"/>
      <c r="BX125" s="295">
        <v>840</v>
      </c>
      <c r="BY125" s="296"/>
      <c r="BZ125" s="296">
        <v>840</v>
      </c>
      <c r="CA125" s="296"/>
      <c r="CB125" s="297"/>
      <c r="CC125" s="296">
        <f t="shared" si="370"/>
        <v>7910</v>
      </c>
      <c r="CD125" s="297">
        <f t="shared" si="371"/>
        <v>0.12979211651216782</v>
      </c>
      <c r="CE125" s="1061"/>
    </row>
    <row r="126" spans="1:83" ht="15.75" thickBot="1">
      <c r="A126" s="30">
        <v>43708</v>
      </c>
      <c r="B126" s="265">
        <v>617853</v>
      </c>
      <c r="C126" s="114">
        <f t="shared" si="281"/>
        <v>61561462</v>
      </c>
      <c r="D126" s="91">
        <v>5302.08</v>
      </c>
      <c r="E126" s="93">
        <f t="shared" si="282"/>
        <v>737809.19999999972</v>
      </c>
      <c r="F126" s="240"/>
      <c r="G126" s="240"/>
      <c r="H126" s="240"/>
      <c r="I126" s="240"/>
      <c r="J126" s="280"/>
      <c r="K126" s="240">
        <f>K125+I126</f>
        <v>1598120</v>
      </c>
      <c r="L126" s="280">
        <f>K126*1000/C126</f>
        <v>25.959747349729934</v>
      </c>
      <c r="M126" s="280">
        <f>L126/8.167</f>
        <v>3.1786148340553368</v>
      </c>
      <c r="N126" s="1090"/>
      <c r="O126" s="1085"/>
      <c r="P126" s="77">
        <f t="shared" si="284"/>
        <v>14382</v>
      </c>
      <c r="Q126" s="35"/>
      <c r="R126" s="35">
        <v>8658</v>
      </c>
      <c r="S126" s="35">
        <f t="shared" si="354"/>
        <v>5724</v>
      </c>
      <c r="T126" s="36">
        <f t="shared" si="355"/>
        <v>9.2643395759185445</v>
      </c>
      <c r="U126" s="74">
        <f t="shared" si="356"/>
        <v>150270</v>
      </c>
      <c r="V126" s="36">
        <f t="shared" si="357"/>
        <v>2.4409751672239364</v>
      </c>
      <c r="W126" s="1179"/>
      <c r="X126" s="49">
        <f t="shared" si="289"/>
        <v>1119</v>
      </c>
      <c r="Y126" s="50"/>
      <c r="Z126" s="50">
        <f>1007+80</f>
        <v>1087</v>
      </c>
      <c r="AA126" s="50">
        <f t="shared" si="358"/>
        <v>32</v>
      </c>
      <c r="AB126" s="51">
        <f t="shared" si="359"/>
        <v>5.179225479199745E-2</v>
      </c>
      <c r="AC126" s="50">
        <f t="shared" si="360"/>
        <v>14007</v>
      </c>
      <c r="AD126" s="51">
        <f t="shared" si="361"/>
        <v>0.22752870943838208</v>
      </c>
      <c r="AE126" s="1050"/>
      <c r="AF126" s="40">
        <f t="shared" si="294"/>
        <v>984</v>
      </c>
      <c r="AG126" s="41"/>
      <c r="AH126" s="41">
        <v>945</v>
      </c>
      <c r="AI126" s="41">
        <f t="shared" si="362"/>
        <v>39</v>
      </c>
      <c r="AJ126" s="42">
        <f t="shared" si="363"/>
        <v>6.3121810527746888E-2</v>
      </c>
      <c r="AK126" s="41">
        <f t="shared" si="364"/>
        <v>7721</v>
      </c>
      <c r="AL126" s="42">
        <f t="shared" si="365"/>
        <v>0.12541937356848348</v>
      </c>
      <c r="AM126" s="1058"/>
      <c r="AN126" s="67">
        <v>4.7</v>
      </c>
      <c r="AO126" s="67">
        <v>24</v>
      </c>
      <c r="AP126" s="68">
        <f t="shared" si="377"/>
        <v>56.067240000000005</v>
      </c>
      <c r="AQ126" s="68">
        <f t="shared" si="378"/>
        <v>10.574574506608728</v>
      </c>
      <c r="AR126" s="69">
        <f t="shared" si="379"/>
        <v>5560.7965800000029</v>
      </c>
      <c r="AS126" s="140">
        <f t="shared" si="380"/>
        <v>7.536903280685582</v>
      </c>
      <c r="AT126" s="1074"/>
      <c r="AU126" s="113">
        <v>2.4</v>
      </c>
      <c r="AV126" s="104">
        <v>12</v>
      </c>
      <c r="AW126" s="105">
        <f t="shared" si="381"/>
        <v>14.881824</v>
      </c>
      <c r="AX126" s="105">
        <f t="shared" si="382"/>
        <v>2.8067897881586097</v>
      </c>
      <c r="AY126" s="106">
        <f t="shared" si="383"/>
        <v>1818.9929460000003</v>
      </c>
      <c r="AZ126" s="193">
        <f t="shared" si="384"/>
        <v>2.4653974848782054</v>
      </c>
      <c r="BA126" s="1076"/>
      <c r="BB126" s="90">
        <f>BD125</f>
        <v>51656</v>
      </c>
      <c r="BC126" s="59"/>
      <c r="BD126" s="56">
        <v>51656</v>
      </c>
      <c r="BE126" s="56"/>
      <c r="BF126" s="58">
        <f>BF125+BE126</f>
        <v>58244</v>
      </c>
      <c r="BG126" s="58">
        <f>BF126*1000/E126</f>
        <v>78.941818562305841</v>
      </c>
      <c r="BH126" s="1134"/>
      <c r="BI126" s="63">
        <f t="shared" si="305"/>
        <v>480</v>
      </c>
      <c r="BJ126" s="64"/>
      <c r="BK126" s="64">
        <v>252</v>
      </c>
      <c r="BL126" s="64">
        <f t="shared" si="366"/>
        <v>228</v>
      </c>
      <c r="BM126" s="65">
        <f t="shared" si="367"/>
        <v>0.36901981539298184</v>
      </c>
      <c r="BN126" s="64">
        <f t="shared" si="368"/>
        <v>18580</v>
      </c>
      <c r="BO126" s="65">
        <f t="shared" si="369"/>
        <v>0.30181219542836718</v>
      </c>
      <c r="BP126" s="1072"/>
      <c r="BQ126" s="35">
        <f t="shared" si="310"/>
        <v>30250</v>
      </c>
      <c r="BR126" s="35"/>
      <c r="BS126" s="35">
        <v>23781</v>
      </c>
      <c r="BT126" s="35">
        <f t="shared" si="385"/>
        <v>6469</v>
      </c>
      <c r="BU126" s="74">
        <f t="shared" si="386"/>
        <v>340846</v>
      </c>
      <c r="BV126" s="74">
        <f t="shared" si="387"/>
        <v>461.97038475530007</v>
      </c>
      <c r="BW126" s="1099"/>
      <c r="BX126" s="295">
        <v>840</v>
      </c>
      <c r="BY126" s="296"/>
      <c r="BZ126" s="296">
        <v>840</v>
      </c>
      <c r="CA126" s="296"/>
      <c r="CB126" s="297"/>
      <c r="CC126" s="296">
        <f t="shared" si="370"/>
        <v>7910</v>
      </c>
      <c r="CD126" s="297">
        <f t="shared" si="371"/>
        <v>0.12848947609463857</v>
      </c>
      <c r="CE126" s="1062"/>
    </row>
    <row r="127" spans="1:83">
      <c r="A127" s="30">
        <v>43709</v>
      </c>
      <c r="B127" s="283">
        <v>12301</v>
      </c>
      <c r="C127" s="217">
        <f>C126+B127</f>
        <v>61573763</v>
      </c>
      <c r="D127" s="326"/>
      <c r="E127" s="205">
        <f>E126+D127</f>
        <v>737809.19999999972</v>
      </c>
      <c r="F127" s="241"/>
      <c r="G127" s="323">
        <v>30520</v>
      </c>
      <c r="H127" s="241">
        <v>20410</v>
      </c>
      <c r="I127" s="241">
        <f>F127-H127+G127</f>
        <v>10110</v>
      </c>
      <c r="J127" s="313">
        <f>I127*1000/B127</f>
        <v>821.88439964230554</v>
      </c>
      <c r="K127" s="241">
        <f>K126+I127</f>
        <v>1608230</v>
      </c>
      <c r="L127" s="313">
        <f>K127*1000/C127</f>
        <v>26.118754509124283</v>
      </c>
      <c r="M127" s="313">
        <f>L127/8.167</f>
        <v>3.198084303798737</v>
      </c>
      <c r="N127" s="1052">
        <f>1000*SUM(I127:I156)/SUM(B127:B156)</f>
        <v>31.863414371513326</v>
      </c>
      <c r="O127" s="1083">
        <f>N127/8.167</f>
        <v>3.9014833318860447</v>
      </c>
      <c r="P127" s="117">
        <f>R126</f>
        <v>8658</v>
      </c>
      <c r="Q127" s="118"/>
      <c r="R127" s="118">
        <v>8658</v>
      </c>
      <c r="S127" s="118"/>
      <c r="T127" s="119"/>
      <c r="U127" s="120">
        <f t="shared" si="356"/>
        <v>150270</v>
      </c>
      <c r="V127" s="119">
        <f t="shared" si="357"/>
        <v>2.4404875173862606</v>
      </c>
      <c r="W127" s="1135">
        <f>1000*SUM(S127:S156)/SUM(B127:B156)</f>
        <v>4.4901567177038348</v>
      </c>
      <c r="X127" s="121">
        <f>Z126</f>
        <v>1087</v>
      </c>
      <c r="Y127" s="122"/>
      <c r="Z127" s="122">
        <f>1007+80</f>
        <v>1087</v>
      </c>
      <c r="AA127" s="122"/>
      <c r="AB127" s="123"/>
      <c r="AC127" s="122">
        <f t="shared" si="360"/>
        <v>14007</v>
      </c>
      <c r="AD127" s="123">
        <f t="shared" si="361"/>
        <v>0.2274832545154013</v>
      </c>
      <c r="AE127" s="1046">
        <f>1000*SUM(AA127:AA156)/SUM(B127:B156)</f>
        <v>0.19516916015425359</v>
      </c>
      <c r="AF127" s="124">
        <f>AH126</f>
        <v>945</v>
      </c>
      <c r="AG127" s="125"/>
      <c r="AH127" s="125">
        <v>945</v>
      </c>
      <c r="AI127" s="125"/>
      <c r="AJ127" s="126"/>
      <c r="AK127" s="125">
        <f t="shared" si="364"/>
        <v>7721</v>
      </c>
      <c r="AL127" s="126">
        <f t="shared" si="365"/>
        <v>0.12539431770639062</v>
      </c>
      <c r="AM127" s="1057">
        <f>1000*SUM(AI127:AI156)/SUM(B127:B156)</f>
        <v>7.3296714294871612E-2</v>
      </c>
      <c r="AN127" s="219"/>
      <c r="AO127" s="135">
        <v>24</v>
      </c>
      <c r="AP127" s="102"/>
      <c r="AQ127" s="102"/>
      <c r="AR127" s="103">
        <f t="shared" si="379"/>
        <v>5560.7965800000029</v>
      </c>
      <c r="AS127" s="136">
        <f t="shared" si="380"/>
        <v>7.536903280685582</v>
      </c>
      <c r="AT127" s="1064">
        <f>1000*SUM(AP127:AP156)/SUM(D127:D156)</f>
        <v>10.692376829472806</v>
      </c>
      <c r="AU127" s="70"/>
      <c r="AV127" s="71">
        <v>12</v>
      </c>
      <c r="AW127" s="72"/>
      <c r="AX127" s="72"/>
      <c r="AY127" s="73">
        <f t="shared" si="383"/>
        <v>1818.9929460000003</v>
      </c>
      <c r="AZ127" s="192">
        <f t="shared" si="384"/>
        <v>2.4653974848782054</v>
      </c>
      <c r="BA127" s="1065">
        <f>1000*SUM(AW127:AW156)/SUM(D127:D156)</f>
        <v>3.0080613059927397</v>
      </c>
      <c r="BB127" s="127">
        <f>BD126</f>
        <v>51656</v>
      </c>
      <c r="BC127" s="128"/>
      <c r="BD127" s="129">
        <v>51656</v>
      </c>
      <c r="BE127" s="129"/>
      <c r="BF127" s="130">
        <f>BF126+BE127</f>
        <v>58244</v>
      </c>
      <c r="BG127" s="130">
        <f>BF127*1000/E127</f>
        <v>78.941818562305841</v>
      </c>
      <c r="BH127" s="1132">
        <f>1000*SUM(BE127:BE156)/SUM(D127:D156)</f>
        <v>103.52208158404132</v>
      </c>
      <c r="BI127" s="131">
        <f>BK126</f>
        <v>252</v>
      </c>
      <c r="BJ127" s="132"/>
      <c r="BK127" s="132">
        <v>252</v>
      </c>
      <c r="BL127" s="132"/>
      <c r="BM127" s="134"/>
      <c r="BN127" s="132">
        <f t="shared" si="368"/>
        <v>18580</v>
      </c>
      <c r="BO127" s="134">
        <f t="shared" si="369"/>
        <v>0.30175190039952571</v>
      </c>
      <c r="BP127" s="1067">
        <f>1000*SUM(BL127:BL156)/SUM(B127:B156)</f>
        <v>0.28279205042494104</v>
      </c>
      <c r="BQ127" s="117">
        <f>BS126</f>
        <v>23781</v>
      </c>
      <c r="BR127" s="118"/>
      <c r="BS127" s="118">
        <v>23781</v>
      </c>
      <c r="BT127" s="118"/>
      <c r="BU127" s="120">
        <f>BU126+BT127</f>
        <v>340846</v>
      </c>
      <c r="BV127" s="120">
        <f>BU127*1000/E127</f>
        <v>461.97038475530007</v>
      </c>
      <c r="BW127" s="1063">
        <f>1000*SUM(BT127:BT156)/SUM(D127:D156)</f>
        <v>427.70682703146042</v>
      </c>
      <c r="BX127" s="301">
        <f>BZ126</f>
        <v>840</v>
      </c>
      <c r="BY127" s="302"/>
      <c r="BZ127" s="302">
        <v>840</v>
      </c>
      <c r="CA127" s="302"/>
      <c r="CB127" s="304"/>
      <c r="CC127" s="302">
        <f t="shared" si="370"/>
        <v>7910</v>
      </c>
      <c r="CD127" s="304">
        <f t="shared" si="371"/>
        <v>0.12846380689775286</v>
      </c>
      <c r="CE127" s="1060">
        <f>1000*SUM(CA127:CA156)/SUM(B127:B156)</f>
        <v>0.17058144417715576</v>
      </c>
    </row>
    <row r="128" spans="1:83">
      <c r="A128" s="30">
        <v>43710</v>
      </c>
      <c r="B128" s="265"/>
      <c r="C128" s="114">
        <f>C127+B128</f>
        <v>61573763</v>
      </c>
      <c r="D128" s="91"/>
      <c r="E128" s="93">
        <f>E127+D128</f>
        <v>737809.19999999972</v>
      </c>
      <c r="F128" s="240">
        <f>H127</f>
        <v>20410</v>
      </c>
      <c r="G128" s="321"/>
      <c r="H128" s="240">
        <v>20410</v>
      </c>
      <c r="I128" s="240"/>
      <c r="J128" s="280"/>
      <c r="K128" s="240">
        <f>K127+I128</f>
        <v>1608230</v>
      </c>
      <c r="L128" s="280">
        <f>K128*1000/C128</f>
        <v>26.118754509124283</v>
      </c>
      <c r="M128" s="280">
        <f>L128/8.167</f>
        <v>3.198084303798737</v>
      </c>
      <c r="N128" s="1089"/>
      <c r="O128" s="1084"/>
      <c r="P128" s="77">
        <f>R127</f>
        <v>8658</v>
      </c>
      <c r="Q128" s="35"/>
      <c r="R128" s="35">
        <v>8658</v>
      </c>
      <c r="S128" s="35"/>
      <c r="T128" s="36"/>
      <c r="U128" s="74">
        <f t="shared" si="356"/>
        <v>150270</v>
      </c>
      <c r="V128" s="36">
        <f t="shared" si="357"/>
        <v>2.4404875173862606</v>
      </c>
      <c r="W128" s="1136"/>
      <c r="X128" s="49">
        <f>Z127</f>
        <v>1087</v>
      </c>
      <c r="Y128" s="50"/>
      <c r="Z128" s="50">
        <v>1087</v>
      </c>
      <c r="AA128" s="50"/>
      <c r="AB128" s="51"/>
      <c r="AC128" s="50">
        <f t="shared" si="360"/>
        <v>14007</v>
      </c>
      <c r="AD128" s="51">
        <f t="shared" si="361"/>
        <v>0.2274832545154013</v>
      </c>
      <c r="AE128" s="1047"/>
      <c r="AF128" s="40">
        <f>AH127</f>
        <v>945</v>
      </c>
      <c r="AG128" s="41"/>
      <c r="AH128" s="41">
        <v>945</v>
      </c>
      <c r="AI128" s="41"/>
      <c r="AJ128" s="42"/>
      <c r="AK128" s="41">
        <f t="shared" si="364"/>
        <v>7721</v>
      </c>
      <c r="AL128" s="42">
        <f t="shared" si="365"/>
        <v>0.12539431770639062</v>
      </c>
      <c r="AM128" s="1058"/>
      <c r="AN128" s="220"/>
      <c r="AO128" s="67">
        <v>24</v>
      </c>
      <c r="AP128" s="68"/>
      <c r="AQ128" s="68"/>
      <c r="AR128" s="69">
        <f t="shared" si="379"/>
        <v>5560.7965800000029</v>
      </c>
      <c r="AS128" s="140">
        <f t="shared" si="380"/>
        <v>7.536903280685582</v>
      </c>
      <c r="AT128" s="1073"/>
      <c r="AU128" s="70"/>
      <c r="AV128" s="71">
        <v>12</v>
      </c>
      <c r="AW128" s="72"/>
      <c r="AX128" s="72"/>
      <c r="AY128" s="73">
        <f t="shared" si="383"/>
        <v>1818.9929460000003</v>
      </c>
      <c r="AZ128" s="192">
        <f t="shared" si="384"/>
        <v>2.4653974848782054</v>
      </c>
      <c r="BA128" s="1075"/>
      <c r="BB128" s="90">
        <f>BD127</f>
        <v>51656</v>
      </c>
      <c r="BC128" s="59"/>
      <c r="BD128" s="56">
        <v>51656</v>
      </c>
      <c r="BE128" s="56"/>
      <c r="BF128" s="58">
        <f>BF127+BE128</f>
        <v>58244</v>
      </c>
      <c r="BG128" s="58">
        <f>BF128*1000/E128</f>
        <v>78.941818562305841</v>
      </c>
      <c r="BH128" s="1133"/>
      <c r="BI128" s="63">
        <f>BK127</f>
        <v>252</v>
      </c>
      <c r="BJ128" s="64"/>
      <c r="BK128" s="64">
        <v>252</v>
      </c>
      <c r="BL128" s="64"/>
      <c r="BM128" s="65"/>
      <c r="BN128" s="64">
        <f t="shared" si="368"/>
        <v>18580</v>
      </c>
      <c r="BO128" s="65">
        <f t="shared" si="369"/>
        <v>0.30175190039952571</v>
      </c>
      <c r="BP128" s="1071"/>
      <c r="BQ128" s="35">
        <f>BS127</f>
        <v>23781</v>
      </c>
      <c r="BR128" s="35"/>
      <c r="BS128" s="35">
        <v>23781</v>
      </c>
      <c r="BT128" s="35"/>
      <c r="BU128" s="74">
        <f>BU127+BT128</f>
        <v>340846</v>
      </c>
      <c r="BV128" s="74">
        <f>BU128*1000/E128</f>
        <v>461.97038475530007</v>
      </c>
      <c r="BW128" s="1098"/>
      <c r="BX128" s="295">
        <f>BZ127</f>
        <v>840</v>
      </c>
      <c r="BY128" s="296"/>
      <c r="BZ128" s="296">
        <v>840</v>
      </c>
      <c r="CA128" s="296"/>
      <c r="CB128" s="297"/>
      <c r="CC128" s="296">
        <f t="shared" si="370"/>
        <v>7910</v>
      </c>
      <c r="CD128" s="297">
        <f t="shared" si="371"/>
        <v>0.12846380689775286</v>
      </c>
      <c r="CE128" s="1061"/>
    </row>
    <row r="129" spans="1:83">
      <c r="A129" s="30">
        <v>43711</v>
      </c>
      <c r="B129" s="265"/>
      <c r="C129" s="114">
        <f t="shared" ref="C129:C192" si="388">C128+B129</f>
        <v>61573763</v>
      </c>
      <c r="D129" s="91"/>
      <c r="E129" s="93">
        <f t="shared" ref="E129:E183" si="389">E128+D129</f>
        <v>737809.19999999972</v>
      </c>
      <c r="F129" s="240">
        <f t="shared" ref="F129:F155" si="390">H128</f>
        <v>20410</v>
      </c>
      <c r="G129" s="321"/>
      <c r="H129" s="240">
        <v>20410</v>
      </c>
      <c r="I129" s="240"/>
      <c r="J129" s="280"/>
      <c r="K129" s="240">
        <f t="shared" ref="K129:K135" si="391">K128+I129</f>
        <v>1608230</v>
      </c>
      <c r="L129" s="280">
        <f t="shared" ref="L129:L135" si="392">K129*1000/C129</f>
        <v>26.118754509124283</v>
      </c>
      <c r="M129" s="280">
        <f t="shared" ref="M129:M135" si="393">L129/8.167</f>
        <v>3.198084303798737</v>
      </c>
      <c r="N129" s="1089"/>
      <c r="O129" s="1084"/>
      <c r="P129" s="77">
        <f t="shared" ref="P129:P156" si="394">R128</f>
        <v>8658</v>
      </c>
      <c r="Q129" s="35"/>
      <c r="R129" s="35">
        <v>8658</v>
      </c>
      <c r="S129" s="35"/>
      <c r="T129" s="36"/>
      <c r="U129" s="74">
        <f t="shared" ref="U129:U135" si="395">U128+S129</f>
        <v>150270</v>
      </c>
      <c r="V129" s="36">
        <f t="shared" ref="V129:V135" si="396">1000*U129/C129</f>
        <v>2.4404875173862606</v>
      </c>
      <c r="W129" s="1136"/>
      <c r="X129" s="49">
        <f t="shared" ref="X129:X156" si="397">Z128</f>
        <v>1087</v>
      </c>
      <c r="Y129" s="50"/>
      <c r="Z129" s="50">
        <v>1087</v>
      </c>
      <c r="AA129" s="50"/>
      <c r="AB129" s="51"/>
      <c r="AC129" s="50">
        <f t="shared" ref="AC129:AC136" si="398">AC128+AA129</f>
        <v>14007</v>
      </c>
      <c r="AD129" s="51">
        <f t="shared" ref="AD129:AD136" si="399">AC129*1000/C129</f>
        <v>0.2274832545154013</v>
      </c>
      <c r="AE129" s="1047"/>
      <c r="AF129" s="40">
        <f t="shared" ref="AF129:AF156" si="400">AH128</f>
        <v>945</v>
      </c>
      <c r="AG129" s="41"/>
      <c r="AH129" s="41">
        <v>945</v>
      </c>
      <c r="AI129" s="41"/>
      <c r="AJ129" s="42"/>
      <c r="AK129" s="41">
        <f t="shared" ref="AK129:AK136" si="401">AK128+AI129</f>
        <v>7721</v>
      </c>
      <c r="AL129" s="42">
        <f t="shared" ref="AL129:AL136" si="402">AK129*1000/C129</f>
        <v>0.12539431770639062</v>
      </c>
      <c r="AM129" s="1058"/>
      <c r="AN129" s="220"/>
      <c r="AO129" s="67">
        <v>24</v>
      </c>
      <c r="AP129" s="68"/>
      <c r="AQ129" s="68"/>
      <c r="AR129" s="69">
        <f t="shared" ref="AR129:AR137" si="403">AR128+AP129</f>
        <v>5560.7965800000029</v>
      </c>
      <c r="AS129" s="140">
        <f t="shared" ref="AS129:AS137" si="404">AR129*1000/E129</f>
        <v>7.536903280685582</v>
      </c>
      <c r="AT129" s="1073"/>
      <c r="AU129" s="70"/>
      <c r="AV129" s="71">
        <v>12</v>
      </c>
      <c r="AW129" s="72"/>
      <c r="AX129" s="72"/>
      <c r="AY129" s="73">
        <f t="shared" ref="AY129:AY138" si="405">AY128+AW129</f>
        <v>1818.9929460000003</v>
      </c>
      <c r="AZ129" s="192">
        <f t="shared" ref="AZ129:AZ138" si="406">AY129*1000/E129</f>
        <v>2.4653974848782054</v>
      </c>
      <c r="BA129" s="1075"/>
      <c r="BB129" s="90">
        <f t="shared" ref="BB129:BB156" si="407">BD128</f>
        <v>51656</v>
      </c>
      <c r="BC129" s="59"/>
      <c r="BD129" s="56">
        <v>51656</v>
      </c>
      <c r="BE129" s="56"/>
      <c r="BF129" s="58">
        <f t="shared" ref="BF129:BF135" si="408">BF128+BE129</f>
        <v>58244</v>
      </c>
      <c r="BG129" s="58">
        <f t="shared" ref="BG129:BG135" si="409">BF129*1000/E129</f>
        <v>78.941818562305841</v>
      </c>
      <c r="BH129" s="1133"/>
      <c r="BI129" s="63">
        <f t="shared" ref="BI129:BI156" si="410">BK128</f>
        <v>252</v>
      </c>
      <c r="BJ129" s="64"/>
      <c r="BK129" s="64">
        <v>252</v>
      </c>
      <c r="BL129" s="64"/>
      <c r="BM129" s="65"/>
      <c r="BN129" s="64">
        <f t="shared" ref="BN129:BN136" si="411">BN128+BL129</f>
        <v>18580</v>
      </c>
      <c r="BO129" s="65">
        <f t="shared" ref="BO129:BO136" si="412">BN129*1000/C129</f>
        <v>0.30175190039952571</v>
      </c>
      <c r="BP129" s="1071"/>
      <c r="BQ129" s="35">
        <f t="shared" ref="BQ129:BQ156" si="413">BS128</f>
        <v>23781</v>
      </c>
      <c r="BR129" s="35"/>
      <c r="BS129" s="35">
        <v>23781</v>
      </c>
      <c r="BT129" s="35"/>
      <c r="BU129" s="74">
        <f t="shared" ref="BU129:BU134" si="414">BU128+BT129</f>
        <v>340846</v>
      </c>
      <c r="BV129" s="74">
        <f t="shared" ref="BV129:BV134" si="415">BU129*1000/E129</f>
        <v>461.97038475530007</v>
      </c>
      <c r="BW129" s="1098"/>
      <c r="BX129" s="295">
        <f t="shared" ref="BX129:BX136" si="416">BZ128</f>
        <v>840</v>
      </c>
      <c r="BY129" s="296"/>
      <c r="BZ129" s="296">
        <v>840</v>
      </c>
      <c r="CA129" s="296"/>
      <c r="CB129" s="297"/>
      <c r="CC129" s="296">
        <f t="shared" ref="CC129:CC136" si="417">CC128+CA129</f>
        <v>7910</v>
      </c>
      <c r="CD129" s="297">
        <f t="shared" ref="CD129:CD136" si="418">CC129*1000/C129</f>
        <v>0.12846380689775286</v>
      </c>
      <c r="CE129" s="1061"/>
    </row>
    <row r="130" spans="1:83">
      <c r="A130" s="30">
        <v>43712</v>
      </c>
      <c r="B130" s="265">
        <v>124379</v>
      </c>
      <c r="C130" s="114">
        <f t="shared" si="388"/>
        <v>61698142</v>
      </c>
      <c r="D130" s="91">
        <v>3950.34</v>
      </c>
      <c r="E130" s="93">
        <f t="shared" si="389"/>
        <v>741759.53999999969</v>
      </c>
      <c r="F130" s="240">
        <f t="shared" si="390"/>
        <v>20410</v>
      </c>
      <c r="G130" s="321"/>
      <c r="H130" s="240">
        <v>12000</v>
      </c>
      <c r="I130" s="240">
        <f t="shared" ref="I130:I156" si="419">F130-H130+G130</f>
        <v>8410</v>
      </c>
      <c r="J130" s="280">
        <f>I130*1000/B130</f>
        <v>67.615915870042372</v>
      </c>
      <c r="K130" s="240">
        <f t="shared" si="391"/>
        <v>1616640</v>
      </c>
      <c r="L130" s="280">
        <f t="shared" si="392"/>
        <v>26.20240979055739</v>
      </c>
      <c r="M130" s="280">
        <f t="shared" si="393"/>
        <v>3.2083273895625553</v>
      </c>
      <c r="N130" s="1089"/>
      <c r="O130" s="1084"/>
      <c r="P130" s="77">
        <f t="shared" si="394"/>
        <v>8658</v>
      </c>
      <c r="Q130" s="35">
        <v>35660</v>
      </c>
      <c r="R130" s="35">
        <v>44318</v>
      </c>
      <c r="S130" s="35"/>
      <c r="T130" s="36"/>
      <c r="U130" s="74">
        <f t="shared" si="395"/>
        <v>150270</v>
      </c>
      <c r="V130" s="36">
        <f t="shared" si="396"/>
        <v>2.4355676707412033</v>
      </c>
      <c r="W130" s="1136"/>
      <c r="X130" s="49">
        <f t="shared" si="397"/>
        <v>1087</v>
      </c>
      <c r="Y130" s="50"/>
      <c r="Z130" s="50">
        <f>973+95</f>
        <v>1068</v>
      </c>
      <c r="AA130" s="50">
        <f t="shared" ref="AA130:AA136" si="420">X130-Z130+Y130</f>
        <v>19</v>
      </c>
      <c r="AB130" s="51">
        <f t="shared" ref="AB130:AB136" si="421">AA130*1000/B130</f>
        <v>0.15275890624623129</v>
      </c>
      <c r="AC130" s="50">
        <f t="shared" si="398"/>
        <v>14026</v>
      </c>
      <c r="AD130" s="51">
        <f t="shared" si="399"/>
        <v>0.22733261562398427</v>
      </c>
      <c r="AE130" s="1047"/>
      <c r="AF130" s="40">
        <f t="shared" si="400"/>
        <v>945</v>
      </c>
      <c r="AG130" s="41"/>
      <c r="AH130" s="41">
        <v>925</v>
      </c>
      <c r="AI130" s="41">
        <f t="shared" ref="AI130:AI136" si="422">AF130+AG130-AH130</f>
        <v>20</v>
      </c>
      <c r="AJ130" s="42">
        <f t="shared" ref="AJ130:AJ136" si="423">AI130*1000/B130</f>
        <v>0.16079884868024344</v>
      </c>
      <c r="AK130" s="41">
        <f t="shared" si="401"/>
        <v>7741</v>
      </c>
      <c r="AL130" s="42">
        <f t="shared" si="402"/>
        <v>0.12546569068481836</v>
      </c>
      <c r="AM130" s="1058"/>
      <c r="AN130" s="220">
        <v>2.6</v>
      </c>
      <c r="AO130" s="67">
        <v>24</v>
      </c>
      <c r="AP130" s="68">
        <f t="shared" ref="AP130:AP137" si="424">AN130*AO130*0.49705</f>
        <v>31.015920000000001</v>
      </c>
      <c r="AQ130" s="68">
        <f t="shared" ref="AQ130:AQ137" si="425">AP130*1000/D130</f>
        <v>7.8514558240556509</v>
      </c>
      <c r="AR130" s="69">
        <f t="shared" si="403"/>
        <v>5591.8125000000027</v>
      </c>
      <c r="AS130" s="140">
        <f t="shared" si="404"/>
        <v>7.5385784724791067</v>
      </c>
      <c r="AT130" s="1073"/>
      <c r="AU130" s="70">
        <v>1.6</v>
      </c>
      <c r="AV130" s="71">
        <v>12</v>
      </c>
      <c r="AW130" s="72">
        <f t="shared" ref="AW130:AW138" si="426">AU130*AV130*0.51673</f>
        <v>9.9212160000000011</v>
      </c>
      <c r="AX130" s="72">
        <f t="shared" ref="AX130:AX138" si="427">AW130*1000/D130</f>
        <v>2.5114840747884992</v>
      </c>
      <c r="AY130" s="73">
        <f t="shared" si="405"/>
        <v>1828.9141620000003</v>
      </c>
      <c r="AZ130" s="192">
        <f t="shared" si="406"/>
        <v>2.4656429251991838</v>
      </c>
      <c r="BA130" s="1075"/>
      <c r="BB130" s="90">
        <f t="shared" si="407"/>
        <v>51656</v>
      </c>
      <c r="BC130" s="59"/>
      <c r="BD130" s="56">
        <v>51656</v>
      </c>
      <c r="BE130" s="56"/>
      <c r="BF130" s="58">
        <f t="shared" si="408"/>
        <v>58244</v>
      </c>
      <c r="BG130" s="58">
        <f t="shared" si="409"/>
        <v>78.52140331083578</v>
      </c>
      <c r="BH130" s="1133"/>
      <c r="BI130" s="63">
        <f t="shared" si="410"/>
        <v>252</v>
      </c>
      <c r="BJ130" s="64"/>
      <c r="BK130" s="64">
        <v>130</v>
      </c>
      <c r="BL130" s="64">
        <f t="shared" ref="BL130:BL136" si="428">BI130-BK130+BJ130</f>
        <v>122</v>
      </c>
      <c r="BM130" s="65">
        <f t="shared" ref="BM130:BM136" si="429">BL130*1000/B130</f>
        <v>0.98087297694948505</v>
      </c>
      <c r="BN130" s="64">
        <f t="shared" si="411"/>
        <v>18702</v>
      </c>
      <c r="BO130" s="65">
        <f t="shared" si="412"/>
        <v>0.30312095946098344</v>
      </c>
      <c r="BP130" s="1071"/>
      <c r="BQ130" s="35">
        <f t="shared" si="413"/>
        <v>23781</v>
      </c>
      <c r="BR130" s="35"/>
      <c r="BS130" s="35">
        <v>23781</v>
      </c>
      <c r="BT130" s="35"/>
      <c r="BU130" s="74">
        <f t="shared" si="414"/>
        <v>340846</v>
      </c>
      <c r="BV130" s="74">
        <f t="shared" si="415"/>
        <v>459.5100994589165</v>
      </c>
      <c r="BW130" s="1098"/>
      <c r="BX130" s="295">
        <f t="shared" si="416"/>
        <v>840</v>
      </c>
      <c r="BY130" s="296"/>
      <c r="BZ130" s="296">
        <v>840</v>
      </c>
      <c r="CA130" s="296"/>
      <c r="CB130" s="297"/>
      <c r="CC130" s="296">
        <f t="shared" si="417"/>
        <v>7910</v>
      </c>
      <c r="CD130" s="297">
        <f t="shared" si="418"/>
        <v>0.12820483313743872</v>
      </c>
      <c r="CE130" s="1061"/>
    </row>
    <row r="131" spans="1:83">
      <c r="A131" s="30">
        <v>43713</v>
      </c>
      <c r="B131" s="265">
        <v>613508</v>
      </c>
      <c r="C131" s="114">
        <f t="shared" si="388"/>
        <v>62311650</v>
      </c>
      <c r="D131" s="91">
        <v>6128.34</v>
      </c>
      <c r="E131" s="93">
        <f t="shared" si="389"/>
        <v>747887.87999999966</v>
      </c>
      <c r="F131" s="240">
        <f t="shared" si="390"/>
        <v>12000</v>
      </c>
      <c r="G131" s="321">
        <v>20410</v>
      </c>
      <c r="H131" s="240"/>
      <c r="I131" s="240">
        <f t="shared" si="419"/>
        <v>32410</v>
      </c>
      <c r="J131" s="280">
        <f>I131*1000/B131</f>
        <v>52.827346994660218</v>
      </c>
      <c r="K131" s="240">
        <f t="shared" si="391"/>
        <v>1649050</v>
      </c>
      <c r="L131" s="280">
        <f t="shared" si="392"/>
        <v>26.464553578664663</v>
      </c>
      <c r="M131" s="280">
        <f t="shared" si="393"/>
        <v>3.2404253188030689</v>
      </c>
      <c r="N131" s="1089"/>
      <c r="O131" s="1084"/>
      <c r="P131" s="77">
        <f t="shared" si="394"/>
        <v>44318</v>
      </c>
      <c r="Q131" s="35"/>
      <c r="R131" s="35">
        <v>41692</v>
      </c>
      <c r="S131" s="35">
        <f t="shared" ref="S131:S146" si="430">P131+Q131-R131</f>
        <v>2626</v>
      </c>
      <c r="T131" s="36">
        <f t="shared" ref="T131:T146" si="431">1000*S131/B131</f>
        <v>4.2803027833377882</v>
      </c>
      <c r="U131" s="74">
        <f t="shared" si="395"/>
        <v>152896</v>
      </c>
      <c r="V131" s="36">
        <f t="shared" si="396"/>
        <v>2.4537305624229178</v>
      </c>
      <c r="W131" s="1136"/>
      <c r="X131" s="49">
        <f t="shared" si="397"/>
        <v>1068</v>
      </c>
      <c r="Y131" s="50"/>
      <c r="Z131" s="50">
        <f>886+50</f>
        <v>936</v>
      </c>
      <c r="AA131" s="50">
        <f t="shared" si="420"/>
        <v>132</v>
      </c>
      <c r="AB131" s="51">
        <f t="shared" si="421"/>
        <v>0.21515611858362074</v>
      </c>
      <c r="AC131" s="50">
        <f t="shared" si="398"/>
        <v>14158</v>
      </c>
      <c r="AD131" s="51">
        <f t="shared" si="399"/>
        <v>0.2272127282779384</v>
      </c>
      <c r="AE131" s="1047"/>
      <c r="AF131" s="40">
        <f t="shared" si="400"/>
        <v>925</v>
      </c>
      <c r="AG131" s="41"/>
      <c r="AH131" s="41">
        <v>865</v>
      </c>
      <c r="AI131" s="41">
        <f t="shared" si="422"/>
        <v>60</v>
      </c>
      <c r="AJ131" s="42">
        <f t="shared" si="423"/>
        <v>9.7798235719827611E-2</v>
      </c>
      <c r="AK131" s="41">
        <f t="shared" si="401"/>
        <v>7801</v>
      </c>
      <c r="AL131" s="42">
        <f t="shared" si="402"/>
        <v>0.12519328247606989</v>
      </c>
      <c r="AM131" s="1058"/>
      <c r="AN131" s="220">
        <v>4.5999999999999996</v>
      </c>
      <c r="AO131" s="67">
        <v>24</v>
      </c>
      <c r="AP131" s="68">
        <f t="shared" si="424"/>
        <v>54.874319999999997</v>
      </c>
      <c r="AQ131" s="68">
        <f t="shared" si="425"/>
        <v>8.9541898784989087</v>
      </c>
      <c r="AR131" s="69">
        <f t="shared" si="403"/>
        <v>5646.6868200000026</v>
      </c>
      <c r="AS131" s="140">
        <f t="shared" si="404"/>
        <v>7.5501782700369535</v>
      </c>
      <c r="AT131" s="1073"/>
      <c r="AU131" s="70">
        <v>3.1</v>
      </c>
      <c r="AV131" s="71">
        <v>12</v>
      </c>
      <c r="AW131" s="72">
        <f t="shared" si="426"/>
        <v>19.222356000000001</v>
      </c>
      <c r="AX131" s="72">
        <f t="shared" si="427"/>
        <v>3.1366334113316165</v>
      </c>
      <c r="AY131" s="73">
        <f t="shared" si="405"/>
        <v>1848.1365180000003</v>
      </c>
      <c r="AZ131" s="192">
        <f t="shared" si="406"/>
        <v>2.4711411528690652</v>
      </c>
      <c r="BA131" s="1075"/>
      <c r="BB131" s="90">
        <f t="shared" si="407"/>
        <v>51656</v>
      </c>
      <c r="BC131" s="59"/>
      <c r="BD131" s="56">
        <v>51656</v>
      </c>
      <c r="BE131" s="56"/>
      <c r="BF131" s="58">
        <f t="shared" si="408"/>
        <v>58244</v>
      </c>
      <c r="BG131" s="58">
        <f t="shared" si="409"/>
        <v>77.877983528761064</v>
      </c>
      <c r="BH131" s="1133"/>
      <c r="BI131" s="63">
        <f t="shared" si="410"/>
        <v>130</v>
      </c>
      <c r="BJ131" s="64">
        <v>1100</v>
      </c>
      <c r="BK131" s="64">
        <v>1104</v>
      </c>
      <c r="BL131" s="64">
        <f t="shared" si="428"/>
        <v>126</v>
      </c>
      <c r="BM131" s="65">
        <f t="shared" si="429"/>
        <v>0.20537629501163798</v>
      </c>
      <c r="BN131" s="64">
        <f t="shared" si="411"/>
        <v>18828</v>
      </c>
      <c r="BO131" s="65">
        <f t="shared" si="412"/>
        <v>0.30215858511209381</v>
      </c>
      <c r="BP131" s="1071"/>
      <c r="BQ131" s="35">
        <f t="shared" si="413"/>
        <v>23781</v>
      </c>
      <c r="BR131" s="320">
        <v>31320</v>
      </c>
      <c r="BS131" s="35">
        <v>46885</v>
      </c>
      <c r="BT131" s="35">
        <f t="shared" ref="BT131:BT142" si="432">BQ131-BS131+BR131</f>
        <v>8216</v>
      </c>
      <c r="BU131" s="74">
        <f t="shared" si="414"/>
        <v>349062</v>
      </c>
      <c r="BV131" s="74">
        <f t="shared" si="415"/>
        <v>466.73038744791552</v>
      </c>
      <c r="BW131" s="1098"/>
      <c r="BX131" s="295">
        <f t="shared" si="416"/>
        <v>840</v>
      </c>
      <c r="BY131" s="296"/>
      <c r="BZ131" s="296">
        <v>840</v>
      </c>
      <c r="CA131" s="296"/>
      <c r="CB131" s="297"/>
      <c r="CC131" s="296">
        <f t="shared" si="417"/>
        <v>7910</v>
      </c>
      <c r="CD131" s="297">
        <f t="shared" si="418"/>
        <v>0.12694255408097843</v>
      </c>
      <c r="CE131" s="1061"/>
    </row>
    <row r="132" spans="1:83">
      <c r="A132" s="30">
        <v>43714</v>
      </c>
      <c r="B132" s="265">
        <v>550715</v>
      </c>
      <c r="C132" s="114">
        <f t="shared" si="388"/>
        <v>62862365</v>
      </c>
      <c r="D132" s="91">
        <v>5612.9</v>
      </c>
      <c r="E132" s="93">
        <f t="shared" si="389"/>
        <v>753500.77999999968</v>
      </c>
      <c r="F132" s="240"/>
      <c r="G132" s="321">
        <v>19200</v>
      </c>
      <c r="H132" s="240">
        <v>2000</v>
      </c>
      <c r="I132" s="240">
        <f t="shared" si="419"/>
        <v>17200</v>
      </c>
      <c r="J132" s="280">
        <f>I132*1000/B132</f>
        <v>31.232125509564838</v>
      </c>
      <c r="K132" s="240">
        <f t="shared" si="391"/>
        <v>1666250</v>
      </c>
      <c r="L132" s="280">
        <f t="shared" si="392"/>
        <v>26.506320594206088</v>
      </c>
      <c r="M132" s="280">
        <f t="shared" si="393"/>
        <v>3.2455394384971332</v>
      </c>
      <c r="N132" s="1089"/>
      <c r="O132" s="1084"/>
      <c r="P132" s="77">
        <f t="shared" si="394"/>
        <v>41692</v>
      </c>
      <c r="Q132" s="35"/>
      <c r="R132" s="35">
        <v>40125</v>
      </c>
      <c r="S132" s="35">
        <f t="shared" si="430"/>
        <v>1567</v>
      </c>
      <c r="T132" s="36">
        <f t="shared" si="431"/>
        <v>2.8453918996214012</v>
      </c>
      <c r="U132" s="74">
        <f t="shared" si="395"/>
        <v>154463</v>
      </c>
      <c r="V132" s="36">
        <f t="shared" si="396"/>
        <v>2.4571617692080152</v>
      </c>
      <c r="W132" s="1136"/>
      <c r="X132" s="49">
        <f t="shared" si="397"/>
        <v>936</v>
      </c>
      <c r="Y132" s="50"/>
      <c r="Z132" s="50">
        <v>761</v>
      </c>
      <c r="AA132" s="50">
        <f t="shared" si="420"/>
        <v>175</v>
      </c>
      <c r="AB132" s="51">
        <f t="shared" si="421"/>
        <v>0.31776871884731667</v>
      </c>
      <c r="AC132" s="50">
        <f t="shared" si="398"/>
        <v>14333</v>
      </c>
      <c r="AD132" s="51">
        <f t="shared" si="399"/>
        <v>0.22800605736039362</v>
      </c>
      <c r="AE132" s="1047"/>
      <c r="AF132" s="40">
        <f t="shared" si="400"/>
        <v>865</v>
      </c>
      <c r="AG132" s="41"/>
      <c r="AH132" s="41">
        <v>845</v>
      </c>
      <c r="AI132" s="41">
        <f t="shared" si="422"/>
        <v>20</v>
      </c>
      <c r="AJ132" s="42">
        <f t="shared" si="423"/>
        <v>3.6316425011121908E-2</v>
      </c>
      <c r="AK132" s="41">
        <f t="shared" si="401"/>
        <v>7821</v>
      </c>
      <c r="AL132" s="42">
        <f t="shared" si="402"/>
        <v>0.12441466368629306</v>
      </c>
      <c r="AM132" s="1058"/>
      <c r="AN132" s="220">
        <v>5.5</v>
      </c>
      <c r="AO132" s="67">
        <v>24</v>
      </c>
      <c r="AP132" s="68">
        <f t="shared" si="424"/>
        <v>65.610600000000005</v>
      </c>
      <c r="AQ132" s="68">
        <f t="shared" si="425"/>
        <v>11.689251545546867</v>
      </c>
      <c r="AR132" s="69">
        <f t="shared" si="403"/>
        <v>5712.2974200000026</v>
      </c>
      <c r="AS132" s="140">
        <f t="shared" si="404"/>
        <v>7.5810106261602082</v>
      </c>
      <c r="AT132" s="1073"/>
      <c r="AU132" s="70">
        <v>2.9</v>
      </c>
      <c r="AV132" s="71">
        <v>12</v>
      </c>
      <c r="AW132" s="72">
        <f t="shared" si="426"/>
        <v>17.982203999999999</v>
      </c>
      <c r="AX132" s="72">
        <f t="shared" si="427"/>
        <v>3.2037278412228969</v>
      </c>
      <c r="AY132" s="73">
        <f t="shared" si="405"/>
        <v>1866.1187220000002</v>
      </c>
      <c r="AZ132" s="192">
        <f t="shared" si="406"/>
        <v>2.4765982617828226</v>
      </c>
      <c r="BA132" s="1075"/>
      <c r="BB132" s="90">
        <f t="shared" si="407"/>
        <v>51656</v>
      </c>
      <c r="BC132" s="59"/>
      <c r="BD132" s="56">
        <v>51656</v>
      </c>
      <c r="BE132" s="56"/>
      <c r="BF132" s="58">
        <f t="shared" si="408"/>
        <v>58244</v>
      </c>
      <c r="BG132" s="58">
        <f t="shared" si="409"/>
        <v>77.297862916611749</v>
      </c>
      <c r="BH132" s="1133"/>
      <c r="BI132" s="63">
        <f t="shared" si="410"/>
        <v>1104</v>
      </c>
      <c r="BJ132" s="64"/>
      <c r="BK132" s="64">
        <v>948</v>
      </c>
      <c r="BL132" s="64">
        <f t="shared" si="428"/>
        <v>156</v>
      </c>
      <c r="BM132" s="65">
        <f t="shared" si="429"/>
        <v>0.28326811508675087</v>
      </c>
      <c r="BN132" s="64">
        <f t="shared" si="411"/>
        <v>18984</v>
      </c>
      <c r="BO132" s="65">
        <f t="shared" si="412"/>
        <v>0.30199309236933736</v>
      </c>
      <c r="BP132" s="1071"/>
      <c r="BQ132" s="35">
        <f t="shared" si="413"/>
        <v>46885</v>
      </c>
      <c r="BR132" s="35"/>
      <c r="BS132" s="35">
        <v>45961</v>
      </c>
      <c r="BT132" s="35">
        <f t="shared" si="432"/>
        <v>924</v>
      </c>
      <c r="BU132" s="74">
        <f t="shared" si="414"/>
        <v>349986</v>
      </c>
      <c r="BV132" s="74">
        <f t="shared" si="415"/>
        <v>464.47994386946772</v>
      </c>
      <c r="BW132" s="1098"/>
      <c r="BX132" s="295">
        <f t="shared" si="416"/>
        <v>840</v>
      </c>
      <c r="BY132" s="296"/>
      <c r="BZ132" s="296">
        <v>840</v>
      </c>
      <c r="CA132" s="296"/>
      <c r="CB132" s="297"/>
      <c r="CC132" s="296">
        <f t="shared" si="417"/>
        <v>7910</v>
      </c>
      <c r="CD132" s="297">
        <f t="shared" si="418"/>
        <v>0.12583045515389057</v>
      </c>
      <c r="CE132" s="1061"/>
    </row>
    <row r="133" spans="1:83">
      <c r="A133" s="30">
        <v>43715</v>
      </c>
      <c r="B133" s="265">
        <v>598842</v>
      </c>
      <c r="C133" s="114">
        <f t="shared" si="388"/>
        <v>63461207</v>
      </c>
      <c r="D133" s="91">
        <v>7106.32</v>
      </c>
      <c r="E133" s="93">
        <f t="shared" si="389"/>
        <v>760607.09999999963</v>
      </c>
      <c r="F133" s="240">
        <f t="shared" si="390"/>
        <v>2000</v>
      </c>
      <c r="G133" s="321">
        <v>31100</v>
      </c>
      <c r="H133" s="240"/>
      <c r="I133" s="240">
        <f t="shared" si="419"/>
        <v>33100</v>
      </c>
      <c r="J133" s="280">
        <f>I133*1000/B133</f>
        <v>55.273344221013225</v>
      </c>
      <c r="K133" s="240">
        <f t="shared" si="391"/>
        <v>1699350</v>
      </c>
      <c r="L133" s="280">
        <f t="shared" si="392"/>
        <v>26.777776224773035</v>
      </c>
      <c r="M133" s="280">
        <f t="shared" si="393"/>
        <v>3.2787775468070328</v>
      </c>
      <c r="N133" s="1089"/>
      <c r="O133" s="1084"/>
      <c r="P133" s="77">
        <f t="shared" si="394"/>
        <v>40125</v>
      </c>
      <c r="Q133" s="35"/>
      <c r="R133" s="35">
        <v>39335</v>
      </c>
      <c r="S133" s="35">
        <f t="shared" si="430"/>
        <v>790</v>
      </c>
      <c r="T133" s="36">
        <f t="shared" si="431"/>
        <v>1.3192127472688957</v>
      </c>
      <c r="U133" s="74">
        <f t="shared" si="395"/>
        <v>155253</v>
      </c>
      <c r="V133" s="36">
        <f t="shared" si="396"/>
        <v>2.4464236868359595</v>
      </c>
      <c r="W133" s="1136"/>
      <c r="X133" s="49">
        <f t="shared" si="397"/>
        <v>761</v>
      </c>
      <c r="Y133" s="50"/>
      <c r="Z133" s="50">
        <v>653</v>
      </c>
      <c r="AA133" s="50">
        <f t="shared" si="420"/>
        <v>108</v>
      </c>
      <c r="AB133" s="51">
        <f t="shared" si="421"/>
        <v>0.18034807177853257</v>
      </c>
      <c r="AC133" s="50">
        <f t="shared" si="398"/>
        <v>14441</v>
      </c>
      <c r="AD133" s="51">
        <f t="shared" si="399"/>
        <v>0.22755634004881123</v>
      </c>
      <c r="AE133" s="1047"/>
      <c r="AF133" s="40">
        <f t="shared" si="400"/>
        <v>845</v>
      </c>
      <c r="AG133" s="41"/>
      <c r="AH133" s="41">
        <v>785</v>
      </c>
      <c r="AI133" s="41">
        <f t="shared" si="422"/>
        <v>60</v>
      </c>
      <c r="AJ133" s="42">
        <f t="shared" si="423"/>
        <v>0.10019337321029587</v>
      </c>
      <c r="AK133" s="41">
        <f t="shared" si="401"/>
        <v>7881</v>
      </c>
      <c r="AL133" s="42">
        <f t="shared" si="402"/>
        <v>0.12418610317323464</v>
      </c>
      <c r="AM133" s="1058"/>
      <c r="AN133" s="220">
        <v>5.9</v>
      </c>
      <c r="AO133" s="67">
        <v>24</v>
      </c>
      <c r="AP133" s="68">
        <f t="shared" si="424"/>
        <v>70.382280000000009</v>
      </c>
      <c r="AQ133" s="68">
        <f t="shared" si="425"/>
        <v>9.904181066993889</v>
      </c>
      <c r="AR133" s="69">
        <f t="shared" si="403"/>
        <v>5782.6797000000024</v>
      </c>
      <c r="AS133" s="140">
        <f t="shared" si="404"/>
        <v>7.6027159094360348</v>
      </c>
      <c r="AT133" s="1073"/>
      <c r="AU133" s="70">
        <v>3.4</v>
      </c>
      <c r="AV133" s="71">
        <v>12</v>
      </c>
      <c r="AW133" s="72">
        <f t="shared" si="426"/>
        <v>21.082584000000001</v>
      </c>
      <c r="AX133" s="72">
        <f t="shared" si="427"/>
        <v>2.9667372141980661</v>
      </c>
      <c r="AY133" s="73">
        <f t="shared" si="405"/>
        <v>1887.2013060000002</v>
      </c>
      <c r="AZ133" s="192">
        <f t="shared" si="406"/>
        <v>2.481177609307093</v>
      </c>
      <c r="BA133" s="1075"/>
      <c r="BB133" s="90">
        <f t="shared" si="407"/>
        <v>51656</v>
      </c>
      <c r="BC133" s="59"/>
      <c r="BD133" s="56">
        <v>51656</v>
      </c>
      <c r="BE133" s="56"/>
      <c r="BF133" s="58">
        <f t="shared" si="408"/>
        <v>58244</v>
      </c>
      <c r="BG133" s="58">
        <f t="shared" si="409"/>
        <v>76.575672249180982</v>
      </c>
      <c r="BH133" s="1133"/>
      <c r="BI133" s="63">
        <f t="shared" si="410"/>
        <v>948</v>
      </c>
      <c r="BJ133" s="64"/>
      <c r="BK133" s="64">
        <v>756</v>
      </c>
      <c r="BL133" s="64">
        <f t="shared" si="428"/>
        <v>192</v>
      </c>
      <c r="BM133" s="65">
        <f t="shared" si="429"/>
        <v>0.32061879427294676</v>
      </c>
      <c r="BN133" s="64">
        <f t="shared" si="411"/>
        <v>19176</v>
      </c>
      <c r="BO133" s="65">
        <f t="shared" si="412"/>
        <v>0.30216885096433793</v>
      </c>
      <c r="BP133" s="1071"/>
      <c r="BQ133" s="35">
        <f t="shared" si="413"/>
        <v>45961</v>
      </c>
      <c r="BR133" s="35"/>
      <c r="BS133" s="35">
        <v>40416</v>
      </c>
      <c r="BT133" s="35">
        <f t="shared" si="432"/>
        <v>5545</v>
      </c>
      <c r="BU133" s="74">
        <f t="shared" si="414"/>
        <v>355531</v>
      </c>
      <c r="BV133" s="74">
        <f t="shared" si="415"/>
        <v>467.430556459439</v>
      </c>
      <c r="BW133" s="1098"/>
      <c r="BX133" s="295">
        <f t="shared" si="416"/>
        <v>840</v>
      </c>
      <c r="BY133" s="296"/>
      <c r="BZ133" s="296">
        <v>840</v>
      </c>
      <c r="CA133" s="296"/>
      <c r="CB133" s="297"/>
      <c r="CC133" s="296">
        <f t="shared" si="417"/>
        <v>7910</v>
      </c>
      <c r="CD133" s="297">
        <f t="shared" si="418"/>
        <v>0.12464307525698337</v>
      </c>
      <c r="CE133" s="1061"/>
    </row>
    <row r="134" spans="1:83">
      <c r="A134" s="30">
        <v>43716</v>
      </c>
      <c r="B134" s="265">
        <v>645195</v>
      </c>
      <c r="C134" s="114">
        <f t="shared" si="388"/>
        <v>64106402</v>
      </c>
      <c r="D134" s="91">
        <v>7385.22</v>
      </c>
      <c r="E134" s="93">
        <f t="shared" si="389"/>
        <v>767992.3199999996</v>
      </c>
      <c r="F134" s="240"/>
      <c r="G134" s="321"/>
      <c r="H134" s="240"/>
      <c r="I134" s="240"/>
      <c r="J134" s="280"/>
      <c r="K134" s="240">
        <f t="shared" si="391"/>
        <v>1699350</v>
      </c>
      <c r="L134" s="280">
        <f t="shared" si="392"/>
        <v>26.50827291789048</v>
      </c>
      <c r="M134" s="280">
        <f t="shared" si="393"/>
        <v>3.2457784887829657</v>
      </c>
      <c r="N134" s="1089"/>
      <c r="O134" s="1084"/>
      <c r="P134" s="77">
        <f t="shared" si="394"/>
        <v>39335</v>
      </c>
      <c r="Q134" s="35"/>
      <c r="R134" s="35">
        <v>34539</v>
      </c>
      <c r="S134" s="35">
        <f t="shared" si="430"/>
        <v>4796</v>
      </c>
      <c r="T134" s="36">
        <f t="shared" si="431"/>
        <v>7.4334116042436786</v>
      </c>
      <c r="U134" s="74">
        <f t="shared" si="395"/>
        <v>160049</v>
      </c>
      <c r="V134" s="36">
        <f t="shared" si="396"/>
        <v>2.4966149246685223</v>
      </c>
      <c r="W134" s="1136"/>
      <c r="X134" s="49">
        <f t="shared" si="397"/>
        <v>653</v>
      </c>
      <c r="Y134" s="50"/>
      <c r="Z134" s="50">
        <f>424+75</f>
        <v>499</v>
      </c>
      <c r="AA134" s="50">
        <f t="shared" si="420"/>
        <v>154</v>
      </c>
      <c r="AB134" s="51">
        <f t="shared" si="421"/>
        <v>0.23868752857663186</v>
      </c>
      <c r="AC134" s="50">
        <f t="shared" si="398"/>
        <v>14595</v>
      </c>
      <c r="AD134" s="51">
        <f t="shared" si="399"/>
        <v>0.22766836922153266</v>
      </c>
      <c r="AE134" s="1047"/>
      <c r="AF134" s="40">
        <f t="shared" si="400"/>
        <v>785</v>
      </c>
      <c r="AG134" s="41"/>
      <c r="AH134" s="41">
        <v>765</v>
      </c>
      <c r="AI134" s="41">
        <f t="shared" si="422"/>
        <v>20</v>
      </c>
      <c r="AJ134" s="42">
        <f t="shared" si="423"/>
        <v>3.0998380334627516E-2</v>
      </c>
      <c r="AK134" s="41">
        <f t="shared" si="401"/>
        <v>7901</v>
      </c>
      <c r="AL134" s="42">
        <f t="shared" si="402"/>
        <v>0.12324822098111199</v>
      </c>
      <c r="AM134" s="1058"/>
      <c r="AN134" s="220">
        <v>6.9</v>
      </c>
      <c r="AO134" s="67">
        <v>24</v>
      </c>
      <c r="AP134" s="68">
        <f t="shared" si="424"/>
        <v>82.311480000000003</v>
      </c>
      <c r="AQ134" s="68">
        <f t="shared" si="425"/>
        <v>11.145433717614369</v>
      </c>
      <c r="AR134" s="69">
        <f t="shared" si="403"/>
        <v>5864.9911800000027</v>
      </c>
      <c r="AS134" s="140">
        <f t="shared" si="404"/>
        <v>7.6367836334613415</v>
      </c>
      <c r="AT134" s="1073"/>
      <c r="AU134" s="70">
        <v>3.5</v>
      </c>
      <c r="AV134" s="71">
        <v>12</v>
      </c>
      <c r="AW134" s="72">
        <f t="shared" si="426"/>
        <v>21.702660000000002</v>
      </c>
      <c r="AX134" s="72">
        <f t="shared" si="427"/>
        <v>2.9386612721083458</v>
      </c>
      <c r="AY134" s="73">
        <f t="shared" si="405"/>
        <v>1908.9039660000001</v>
      </c>
      <c r="AZ134" s="192">
        <f t="shared" si="406"/>
        <v>2.4855768948314498</v>
      </c>
      <c r="BA134" s="1075"/>
      <c r="BB134" s="90">
        <f t="shared" si="407"/>
        <v>51656</v>
      </c>
      <c r="BC134" s="59"/>
      <c r="BD134" s="56">
        <v>51656</v>
      </c>
      <c r="BE134" s="56"/>
      <c r="BF134" s="58">
        <f t="shared" si="408"/>
        <v>58244</v>
      </c>
      <c r="BG134" s="58">
        <f t="shared" si="409"/>
        <v>75.839300059667309</v>
      </c>
      <c r="BH134" s="1133"/>
      <c r="BI134" s="63">
        <f t="shared" si="410"/>
        <v>756</v>
      </c>
      <c r="BJ134" s="64"/>
      <c r="BK134" s="64">
        <v>570</v>
      </c>
      <c r="BL134" s="64">
        <f t="shared" si="428"/>
        <v>186</v>
      </c>
      <c r="BM134" s="65">
        <f t="shared" si="429"/>
        <v>0.2882849371120359</v>
      </c>
      <c r="BN134" s="64">
        <f t="shared" si="411"/>
        <v>19362</v>
      </c>
      <c r="BO134" s="65">
        <f t="shared" si="412"/>
        <v>0.30202911715432101</v>
      </c>
      <c r="BP134" s="1071"/>
      <c r="BQ134" s="35">
        <f t="shared" si="413"/>
        <v>40416</v>
      </c>
      <c r="BR134" s="35"/>
      <c r="BS134" s="35">
        <v>34871</v>
      </c>
      <c r="BT134" s="35">
        <f t="shared" si="432"/>
        <v>5545</v>
      </c>
      <c r="BU134" s="74">
        <f t="shared" si="414"/>
        <v>361076</v>
      </c>
      <c r="BV134" s="74">
        <f t="shared" si="415"/>
        <v>470.15574322409913</v>
      </c>
      <c r="BW134" s="1098"/>
      <c r="BX134" s="295">
        <f t="shared" si="416"/>
        <v>840</v>
      </c>
      <c r="BY134" s="296"/>
      <c r="BZ134" s="296">
        <v>840</v>
      </c>
      <c r="CA134" s="296"/>
      <c r="CB134" s="297"/>
      <c r="CC134" s="296">
        <f t="shared" si="417"/>
        <v>7910</v>
      </c>
      <c r="CD134" s="297">
        <f t="shared" si="418"/>
        <v>0.12338861257569876</v>
      </c>
      <c r="CE134" s="1061"/>
    </row>
    <row r="135" spans="1:83">
      <c r="A135" s="30">
        <v>43717</v>
      </c>
      <c r="B135" s="265">
        <v>704265</v>
      </c>
      <c r="C135" s="114">
        <f t="shared" si="388"/>
        <v>64810667</v>
      </c>
      <c r="D135" s="91">
        <v>7510.06</v>
      </c>
      <c r="E135" s="93">
        <f t="shared" si="389"/>
        <v>775502.37999999966</v>
      </c>
      <c r="F135" s="240"/>
      <c r="G135" s="321"/>
      <c r="H135" s="240"/>
      <c r="I135" s="240"/>
      <c r="J135" s="280"/>
      <c r="K135" s="240">
        <f t="shared" si="391"/>
        <v>1699350</v>
      </c>
      <c r="L135" s="280">
        <f t="shared" si="392"/>
        <v>26.22022081642826</v>
      </c>
      <c r="M135" s="280">
        <f t="shared" si="393"/>
        <v>3.2105082424915219</v>
      </c>
      <c r="N135" s="1089"/>
      <c r="O135" s="1084"/>
      <c r="P135" s="77">
        <f t="shared" si="394"/>
        <v>34539</v>
      </c>
      <c r="Q135" s="35"/>
      <c r="R135" s="35">
        <v>29425</v>
      </c>
      <c r="S135" s="35">
        <f t="shared" si="430"/>
        <v>5114</v>
      </c>
      <c r="T135" s="36">
        <f t="shared" si="431"/>
        <v>7.261471179172613</v>
      </c>
      <c r="U135" s="74">
        <f t="shared" si="395"/>
        <v>165163</v>
      </c>
      <c r="V135" s="36">
        <f t="shared" si="396"/>
        <v>2.5483922268536445</v>
      </c>
      <c r="W135" s="1136"/>
      <c r="X135" s="49">
        <f t="shared" si="397"/>
        <v>499</v>
      </c>
      <c r="Y135" s="322">
        <v>900</v>
      </c>
      <c r="Z135" s="50">
        <f>1090+15</f>
        <v>1105</v>
      </c>
      <c r="AA135" s="50">
        <f t="shared" si="420"/>
        <v>294</v>
      </c>
      <c r="AB135" s="51">
        <f t="shared" si="421"/>
        <v>0.41745649719920769</v>
      </c>
      <c r="AC135" s="50">
        <f t="shared" si="398"/>
        <v>14889</v>
      </c>
      <c r="AD135" s="51">
        <f t="shared" si="399"/>
        <v>0.22973070158342915</v>
      </c>
      <c r="AE135" s="1047"/>
      <c r="AF135" s="40">
        <f t="shared" si="400"/>
        <v>765</v>
      </c>
      <c r="AG135" s="41"/>
      <c r="AH135" s="41">
        <v>725</v>
      </c>
      <c r="AI135" s="41">
        <f t="shared" si="422"/>
        <v>40</v>
      </c>
      <c r="AJ135" s="42">
        <f t="shared" si="423"/>
        <v>5.6796802340028256E-2</v>
      </c>
      <c r="AK135" s="41">
        <f t="shared" si="401"/>
        <v>7941</v>
      </c>
      <c r="AL135" s="42">
        <f t="shared" si="402"/>
        <v>0.12252612675626375</v>
      </c>
      <c r="AM135" s="1058"/>
      <c r="AN135" s="220">
        <v>6.1</v>
      </c>
      <c r="AO135" s="67">
        <v>24</v>
      </c>
      <c r="AP135" s="68">
        <f t="shared" si="424"/>
        <v>72.768119999999982</v>
      </c>
      <c r="AQ135" s="68">
        <f t="shared" si="425"/>
        <v>9.6894192589673018</v>
      </c>
      <c r="AR135" s="69">
        <f t="shared" si="403"/>
        <v>5937.7593000000024</v>
      </c>
      <c r="AS135" s="140">
        <f t="shared" si="404"/>
        <v>7.6566616081823051</v>
      </c>
      <c r="AT135" s="1073"/>
      <c r="AU135" s="70">
        <v>3.5</v>
      </c>
      <c r="AV135" s="71">
        <v>12</v>
      </c>
      <c r="AW135" s="72">
        <f t="shared" si="426"/>
        <v>21.702660000000002</v>
      </c>
      <c r="AX135" s="72">
        <f t="shared" si="427"/>
        <v>2.889811799106798</v>
      </c>
      <c r="AY135" s="73">
        <f t="shared" si="405"/>
        <v>1930.606626</v>
      </c>
      <c r="AZ135" s="192">
        <f t="shared" si="406"/>
        <v>2.4894915551387484</v>
      </c>
      <c r="BA135" s="1075"/>
      <c r="BB135" s="90">
        <f t="shared" si="407"/>
        <v>51656</v>
      </c>
      <c r="BC135" s="59"/>
      <c r="BD135" s="56">
        <v>51656</v>
      </c>
      <c r="BE135" s="56"/>
      <c r="BF135" s="58">
        <f t="shared" si="408"/>
        <v>58244</v>
      </c>
      <c r="BG135" s="58">
        <f t="shared" si="409"/>
        <v>75.104862992167767</v>
      </c>
      <c r="BH135" s="1133"/>
      <c r="BI135" s="63">
        <f t="shared" si="410"/>
        <v>570</v>
      </c>
      <c r="BJ135" s="64"/>
      <c r="BK135" s="64">
        <v>396</v>
      </c>
      <c r="BL135" s="64">
        <f t="shared" si="428"/>
        <v>174</v>
      </c>
      <c r="BM135" s="65">
        <f t="shared" si="429"/>
        <v>0.24706609017912293</v>
      </c>
      <c r="BN135" s="64">
        <f t="shared" si="411"/>
        <v>19536</v>
      </c>
      <c r="BO135" s="65">
        <f t="shared" si="412"/>
        <v>0.30143186151748752</v>
      </c>
      <c r="BP135" s="1071"/>
      <c r="BQ135" s="35">
        <f t="shared" si="413"/>
        <v>34871</v>
      </c>
      <c r="BR135" s="35"/>
      <c r="BS135" s="35">
        <v>34871</v>
      </c>
      <c r="BT135" s="35">
        <f t="shared" si="432"/>
        <v>0</v>
      </c>
      <c r="BU135" s="74">
        <f t="shared" ref="BU135:BU143" si="433">BU134+BT135</f>
        <v>361076</v>
      </c>
      <c r="BV135" s="74">
        <f t="shared" ref="BV135:BV143" si="434">BU135*1000/E135</f>
        <v>465.60269744110929</v>
      </c>
      <c r="BW135" s="1098"/>
      <c r="BX135" s="295">
        <f t="shared" si="416"/>
        <v>840</v>
      </c>
      <c r="BY135" s="296"/>
      <c r="BZ135" s="296">
        <v>840</v>
      </c>
      <c r="CA135" s="296"/>
      <c r="CB135" s="297"/>
      <c r="CC135" s="296">
        <f t="shared" si="417"/>
        <v>7910</v>
      </c>
      <c r="CD135" s="297">
        <f t="shared" si="418"/>
        <v>0.1220478104321932</v>
      </c>
      <c r="CE135" s="1061"/>
    </row>
    <row r="136" spans="1:83">
      <c r="A136" s="30">
        <v>43718</v>
      </c>
      <c r="B136" s="265">
        <v>649695</v>
      </c>
      <c r="C136" s="114">
        <f t="shared" si="388"/>
        <v>65460362</v>
      </c>
      <c r="D136" s="91">
        <v>7280.3</v>
      </c>
      <c r="E136" s="93">
        <f t="shared" si="389"/>
        <v>782782.6799999997</v>
      </c>
      <c r="F136" s="240"/>
      <c r="G136" s="321">
        <v>30760</v>
      </c>
      <c r="H136" s="240"/>
      <c r="I136" s="240">
        <f t="shared" si="419"/>
        <v>30760</v>
      </c>
      <c r="J136" s="280">
        <f>I136*1000/B136</f>
        <v>47.345292791232808</v>
      </c>
      <c r="K136" s="240">
        <f t="shared" ref="K136:K158" si="435">K135+I136</f>
        <v>1730110</v>
      </c>
      <c r="L136" s="280">
        <f t="shared" ref="L136:L158" si="436">K136*1000/C136</f>
        <v>26.429887448529538</v>
      </c>
      <c r="M136" s="280">
        <f t="shared" ref="M136:M158" si="437">L136/8.167</f>
        <v>3.2361806597930132</v>
      </c>
      <c r="N136" s="1089"/>
      <c r="O136" s="1084"/>
      <c r="P136" s="77">
        <f t="shared" si="394"/>
        <v>29425</v>
      </c>
      <c r="Q136" s="35"/>
      <c r="R136" s="35">
        <v>25673</v>
      </c>
      <c r="S136" s="35">
        <f t="shared" si="430"/>
        <v>3752</v>
      </c>
      <c r="T136" s="36">
        <f t="shared" si="431"/>
        <v>5.7750175082153934</v>
      </c>
      <c r="U136" s="74">
        <f t="shared" ref="U136:U149" si="438">U135+S136</f>
        <v>168915</v>
      </c>
      <c r="V136" s="36">
        <f t="shared" ref="V136:V149" si="439">1000*U136/C136</f>
        <v>2.5804165274857476</v>
      </c>
      <c r="W136" s="1136"/>
      <c r="X136" s="49">
        <f t="shared" si="397"/>
        <v>1105</v>
      </c>
      <c r="Y136" s="50"/>
      <c r="Z136" s="50">
        <f>903+125</f>
        <v>1028</v>
      </c>
      <c r="AA136" s="50">
        <f t="shared" si="420"/>
        <v>77</v>
      </c>
      <c r="AB136" s="51">
        <f t="shared" si="421"/>
        <v>0.11851715035516666</v>
      </c>
      <c r="AC136" s="50">
        <f t="shared" si="398"/>
        <v>14966</v>
      </c>
      <c r="AD136" s="51">
        <f t="shared" si="399"/>
        <v>0.22862690554629075</v>
      </c>
      <c r="AE136" s="1047"/>
      <c r="AF136" s="40">
        <f t="shared" si="400"/>
        <v>725</v>
      </c>
      <c r="AG136" s="41"/>
      <c r="AH136" s="41">
        <v>686</v>
      </c>
      <c r="AI136" s="41">
        <f t="shared" si="422"/>
        <v>39</v>
      </c>
      <c r="AJ136" s="42">
        <f t="shared" si="423"/>
        <v>6.0028167063006489E-2</v>
      </c>
      <c r="AK136" s="41">
        <f t="shared" si="401"/>
        <v>7980</v>
      </c>
      <c r="AL136" s="42">
        <f t="shared" si="402"/>
        <v>0.12190583364021115</v>
      </c>
      <c r="AM136" s="1058"/>
      <c r="AN136" s="220">
        <v>6.5</v>
      </c>
      <c r="AO136" s="67">
        <v>24</v>
      </c>
      <c r="AP136" s="68">
        <f t="shared" si="424"/>
        <v>77.5398</v>
      </c>
      <c r="AQ136" s="68">
        <f t="shared" si="425"/>
        <v>10.650632528879305</v>
      </c>
      <c r="AR136" s="69">
        <f t="shared" si="403"/>
        <v>6015.299100000002</v>
      </c>
      <c r="AS136" s="140">
        <f t="shared" si="404"/>
        <v>7.6845071482675174</v>
      </c>
      <c r="AT136" s="1073"/>
      <c r="AU136" s="70">
        <v>3.4</v>
      </c>
      <c r="AV136" s="71">
        <v>12</v>
      </c>
      <c r="AW136" s="72">
        <f t="shared" si="426"/>
        <v>21.082584000000001</v>
      </c>
      <c r="AX136" s="72">
        <f t="shared" si="427"/>
        <v>2.8958400065931347</v>
      </c>
      <c r="AY136" s="73">
        <f t="shared" si="405"/>
        <v>1951.68921</v>
      </c>
      <c r="AZ136" s="192">
        <f t="shared" si="406"/>
        <v>2.4932708143210331</v>
      </c>
      <c r="BA136" s="1075"/>
      <c r="BB136" s="90">
        <f t="shared" si="407"/>
        <v>51656</v>
      </c>
      <c r="BC136" s="59"/>
      <c r="BD136" s="56">
        <v>51656</v>
      </c>
      <c r="BE136" s="56"/>
      <c r="BF136" s="58">
        <f t="shared" ref="BF136:BF148" si="440">BF135+BE136</f>
        <v>58244</v>
      </c>
      <c r="BG136" s="58">
        <f t="shared" ref="BG136:BG148" si="441">BF136*1000/E136</f>
        <v>74.406347365784868</v>
      </c>
      <c r="BH136" s="1133"/>
      <c r="BI136" s="63">
        <f t="shared" si="410"/>
        <v>396</v>
      </c>
      <c r="BJ136" s="64"/>
      <c r="BK136" s="64">
        <v>192</v>
      </c>
      <c r="BL136" s="64">
        <f t="shared" si="428"/>
        <v>204</v>
      </c>
      <c r="BM136" s="65">
        <f t="shared" si="429"/>
        <v>0.3139934892526493</v>
      </c>
      <c r="BN136" s="64">
        <f t="shared" si="411"/>
        <v>19740</v>
      </c>
      <c r="BO136" s="65">
        <f t="shared" si="412"/>
        <v>0.30155653584683811</v>
      </c>
      <c r="BP136" s="1071"/>
      <c r="BQ136" s="35">
        <f t="shared" si="413"/>
        <v>34871</v>
      </c>
      <c r="BR136" s="35"/>
      <c r="BS136" s="35">
        <v>30250</v>
      </c>
      <c r="BT136" s="35">
        <f t="shared" si="432"/>
        <v>4621</v>
      </c>
      <c r="BU136" s="74">
        <f t="shared" si="433"/>
        <v>365697</v>
      </c>
      <c r="BV136" s="74">
        <f t="shared" si="434"/>
        <v>467.17564062608045</v>
      </c>
      <c r="BW136" s="1098"/>
      <c r="BX136" s="295">
        <f t="shared" si="416"/>
        <v>840</v>
      </c>
      <c r="BY136" s="296"/>
      <c r="BZ136" s="296">
        <v>840</v>
      </c>
      <c r="CA136" s="296"/>
      <c r="CB136" s="297"/>
      <c r="CC136" s="296">
        <f t="shared" si="417"/>
        <v>7910</v>
      </c>
      <c r="CD136" s="297">
        <f t="shared" si="418"/>
        <v>0.12083648422231456</v>
      </c>
      <c r="CE136" s="1061"/>
    </row>
    <row r="137" spans="1:83">
      <c r="A137" s="30">
        <v>43719</v>
      </c>
      <c r="B137" s="265">
        <v>663058</v>
      </c>
      <c r="C137" s="114">
        <f t="shared" si="388"/>
        <v>66123420</v>
      </c>
      <c r="D137" s="91">
        <v>6986.9</v>
      </c>
      <c r="E137" s="93">
        <f t="shared" si="389"/>
        <v>789769.57999999973</v>
      </c>
      <c r="F137" s="240"/>
      <c r="G137" s="321"/>
      <c r="H137" s="240"/>
      <c r="I137" s="240"/>
      <c r="J137" s="280"/>
      <c r="K137" s="240">
        <f t="shared" si="435"/>
        <v>1730110</v>
      </c>
      <c r="L137" s="280">
        <f t="shared" si="436"/>
        <v>26.164859591352052</v>
      </c>
      <c r="M137" s="280">
        <f t="shared" si="437"/>
        <v>3.2037295936515306</v>
      </c>
      <c r="N137" s="1089"/>
      <c r="O137" s="1084"/>
      <c r="P137" s="77">
        <f t="shared" si="394"/>
        <v>25673</v>
      </c>
      <c r="Q137" s="35"/>
      <c r="R137" s="35">
        <v>20409</v>
      </c>
      <c r="S137" s="35">
        <f t="shared" si="430"/>
        <v>5264</v>
      </c>
      <c r="T137" s="36">
        <f t="shared" si="431"/>
        <v>7.9389736644456441</v>
      </c>
      <c r="U137" s="74">
        <f t="shared" si="438"/>
        <v>174179</v>
      </c>
      <c r="V137" s="36">
        <f t="shared" si="439"/>
        <v>2.6341498972678665</v>
      </c>
      <c r="W137" s="1136"/>
      <c r="X137" s="49">
        <f t="shared" si="397"/>
        <v>1028</v>
      </c>
      <c r="Y137" s="50"/>
      <c r="Z137" s="50">
        <f>885+80</f>
        <v>965</v>
      </c>
      <c r="AA137" s="50">
        <f t="shared" ref="AA137:AA146" si="442">X137-Z137+Y137</f>
        <v>63</v>
      </c>
      <c r="AB137" s="51">
        <f t="shared" ref="AB137:AB146" si="443">AA137*1000/B137</f>
        <v>9.5014312473418613E-2</v>
      </c>
      <c r="AC137" s="50">
        <f t="shared" ref="AC137:AC149" si="444">AC136+AA137</f>
        <v>15029</v>
      </c>
      <c r="AD137" s="51">
        <f t="shared" ref="AD137:AD149" si="445">AC137*1000/C137</f>
        <v>0.22728709434569477</v>
      </c>
      <c r="AE137" s="1047"/>
      <c r="AF137" s="40">
        <f t="shared" si="400"/>
        <v>686</v>
      </c>
      <c r="AG137" s="41"/>
      <c r="AH137" s="41">
        <v>646</v>
      </c>
      <c r="AI137" s="41">
        <f t="shared" ref="AI137:AI146" si="446">AF137+AG137-AH137</f>
        <v>40</v>
      </c>
      <c r="AJ137" s="42">
        <f t="shared" ref="AJ137:AJ146" si="447">AI137*1000/B137</f>
        <v>6.0326547602170551E-2</v>
      </c>
      <c r="AK137" s="41">
        <f t="shared" ref="AK137:AK149" si="448">AK136+AI137</f>
        <v>8020</v>
      </c>
      <c r="AL137" s="42">
        <f t="shared" ref="AL137:AL149" si="449">AK137*1000/C137</f>
        <v>0.12128834231502242</v>
      </c>
      <c r="AM137" s="1058"/>
      <c r="AN137" s="220">
        <v>5.2</v>
      </c>
      <c r="AO137" s="67">
        <v>24</v>
      </c>
      <c r="AP137" s="68">
        <f t="shared" si="424"/>
        <v>62.031840000000003</v>
      </c>
      <c r="AQ137" s="68">
        <f t="shared" si="425"/>
        <v>8.8783065451058416</v>
      </c>
      <c r="AR137" s="69">
        <f t="shared" si="403"/>
        <v>6077.3309400000016</v>
      </c>
      <c r="AS137" s="140">
        <f t="shared" si="404"/>
        <v>7.6950684021028053</v>
      </c>
      <c r="AT137" s="1073"/>
      <c r="AU137" s="70">
        <v>3.1</v>
      </c>
      <c r="AV137" s="71">
        <v>12</v>
      </c>
      <c r="AW137" s="72">
        <f t="shared" si="426"/>
        <v>19.222356000000001</v>
      </c>
      <c r="AX137" s="72">
        <f t="shared" si="427"/>
        <v>2.7511995305500294</v>
      </c>
      <c r="AY137" s="73">
        <f t="shared" si="405"/>
        <v>1970.911566</v>
      </c>
      <c r="AZ137" s="192">
        <f t="shared" si="406"/>
        <v>2.4955526471404492</v>
      </c>
      <c r="BA137" s="1075"/>
      <c r="BB137" s="90">
        <f t="shared" si="407"/>
        <v>51656</v>
      </c>
      <c r="BC137" s="59"/>
      <c r="BD137" s="56">
        <v>41957</v>
      </c>
      <c r="BE137" s="56">
        <f>BB137-BD137+BC137</f>
        <v>9699</v>
      </c>
      <c r="BF137" s="58">
        <f t="shared" si="440"/>
        <v>67943</v>
      </c>
      <c r="BG137" s="58">
        <f t="shared" si="441"/>
        <v>86.028889590809541</v>
      </c>
      <c r="BH137" s="1133"/>
      <c r="BI137" s="63">
        <f t="shared" si="410"/>
        <v>192</v>
      </c>
      <c r="BJ137" s="64">
        <v>1100</v>
      </c>
      <c r="BK137" s="64">
        <v>1092</v>
      </c>
      <c r="BL137" s="64">
        <f t="shared" ref="BL137:BL146" si="450">BI137-BK137+BJ137</f>
        <v>200</v>
      </c>
      <c r="BM137" s="65">
        <f t="shared" ref="BM137:BM146" si="451">BL137*1000/B137</f>
        <v>0.30163273801085272</v>
      </c>
      <c r="BN137" s="64">
        <f t="shared" ref="BN137:BN149" si="452">BN136+BL137</f>
        <v>19940</v>
      </c>
      <c r="BO137" s="65">
        <f t="shared" ref="BO137:BO149" si="453">BN137*1000/C137</f>
        <v>0.3015572999702677</v>
      </c>
      <c r="BP137" s="1071"/>
      <c r="BQ137" s="35">
        <f t="shared" si="413"/>
        <v>30250</v>
      </c>
      <c r="BR137" s="35"/>
      <c r="BS137" s="35">
        <v>26553</v>
      </c>
      <c r="BT137" s="35">
        <f t="shared" si="432"/>
        <v>3697</v>
      </c>
      <c r="BU137" s="74">
        <f t="shared" si="433"/>
        <v>369394</v>
      </c>
      <c r="BV137" s="74">
        <f t="shared" si="434"/>
        <v>467.72376317659655</v>
      </c>
      <c r="BW137" s="1098"/>
      <c r="BX137" s="295">
        <f t="shared" ref="BX137:BX156" si="454">BZ136</f>
        <v>840</v>
      </c>
      <c r="BY137" s="296"/>
      <c r="BZ137" s="296">
        <v>840</v>
      </c>
      <c r="CA137" s="296"/>
      <c r="CB137" s="297"/>
      <c r="CC137" s="296">
        <f t="shared" ref="CC137:CC150" si="455">CC136+CA137</f>
        <v>7910</v>
      </c>
      <c r="CD137" s="297">
        <f t="shared" ref="CD137:CD150" si="456">CC137*1000/C137</f>
        <v>0.11962478649773409</v>
      </c>
      <c r="CE137" s="1061"/>
    </row>
    <row r="138" spans="1:83">
      <c r="A138" s="30">
        <v>43720</v>
      </c>
      <c r="B138" s="265">
        <v>668133</v>
      </c>
      <c r="C138" s="114">
        <f t="shared" si="388"/>
        <v>66791553</v>
      </c>
      <c r="D138" s="91">
        <v>6404.68</v>
      </c>
      <c r="E138" s="93">
        <f t="shared" si="389"/>
        <v>796174.25999999978</v>
      </c>
      <c r="F138" s="240"/>
      <c r="G138" s="321">
        <v>31890</v>
      </c>
      <c r="H138" s="240"/>
      <c r="I138" s="240">
        <f t="shared" si="419"/>
        <v>31890</v>
      </c>
      <c r="J138" s="280">
        <f t="shared" ref="J138:J146" si="457">I138*1000/B138</f>
        <v>47.730017825792167</v>
      </c>
      <c r="K138" s="240">
        <f t="shared" si="435"/>
        <v>1762000</v>
      </c>
      <c r="L138" s="280">
        <f t="shared" si="436"/>
        <v>26.380581388787292</v>
      </c>
      <c r="M138" s="280">
        <f t="shared" si="437"/>
        <v>3.2301434295074438</v>
      </c>
      <c r="N138" s="1089"/>
      <c r="O138" s="1084"/>
      <c r="P138" s="77">
        <f t="shared" si="394"/>
        <v>20409</v>
      </c>
      <c r="Q138" s="35">
        <v>35270</v>
      </c>
      <c r="R138" s="35">
        <v>53096</v>
      </c>
      <c r="S138" s="35">
        <f t="shared" si="430"/>
        <v>2583</v>
      </c>
      <c r="T138" s="36">
        <f t="shared" si="431"/>
        <v>3.8659967401699959</v>
      </c>
      <c r="U138" s="74">
        <f t="shared" si="438"/>
        <v>176762</v>
      </c>
      <c r="V138" s="36">
        <f t="shared" si="439"/>
        <v>2.6464723765294091</v>
      </c>
      <c r="W138" s="1136"/>
      <c r="X138" s="49">
        <f t="shared" si="397"/>
        <v>965</v>
      </c>
      <c r="Y138" s="50"/>
      <c r="Z138" s="50">
        <f>825+75</f>
        <v>900</v>
      </c>
      <c r="AA138" s="50">
        <f t="shared" si="442"/>
        <v>65</v>
      </c>
      <c r="AB138" s="51">
        <f t="shared" si="443"/>
        <v>9.728601940032898E-2</v>
      </c>
      <c r="AC138" s="50">
        <f t="shared" si="444"/>
        <v>15094</v>
      </c>
      <c r="AD138" s="51">
        <f t="shared" si="445"/>
        <v>0.22598666031915743</v>
      </c>
      <c r="AE138" s="1047"/>
      <c r="AF138" s="40">
        <f t="shared" si="400"/>
        <v>646</v>
      </c>
      <c r="AG138" s="41"/>
      <c r="AH138" s="41">
        <v>606</v>
      </c>
      <c r="AI138" s="41">
        <f t="shared" si="446"/>
        <v>40</v>
      </c>
      <c r="AJ138" s="42">
        <f t="shared" si="447"/>
        <v>5.9868319630971681E-2</v>
      </c>
      <c r="AK138" s="41">
        <f t="shared" si="448"/>
        <v>8060</v>
      </c>
      <c r="AL138" s="42">
        <f t="shared" si="449"/>
        <v>0.1206739421076195</v>
      </c>
      <c r="AM138" s="1058"/>
      <c r="AN138" s="220">
        <v>5.6</v>
      </c>
      <c r="AO138" s="67">
        <v>24</v>
      </c>
      <c r="AP138" s="68">
        <f t="shared" ref="AP138:AP143" si="458">AN138*AO138*0.49705</f>
        <v>66.803519999999992</v>
      </c>
      <c r="AQ138" s="68">
        <f t="shared" ref="AQ138:AQ143" si="459">AP138*1000/D138</f>
        <v>10.430422753361603</v>
      </c>
      <c r="AR138" s="69">
        <f t="shared" ref="AR138:AR143" si="460">AR137+AP138</f>
        <v>6144.134460000002</v>
      </c>
      <c r="AS138" s="140">
        <f t="shared" ref="AS138:AS143" si="461">AR138*1000/E138</f>
        <v>7.7170724660201948</v>
      </c>
      <c r="AT138" s="1073"/>
      <c r="AU138" s="70">
        <v>3</v>
      </c>
      <c r="AV138" s="71">
        <v>12</v>
      </c>
      <c r="AW138" s="72">
        <f t="shared" si="426"/>
        <v>18.60228</v>
      </c>
      <c r="AX138" s="72">
        <f t="shared" si="427"/>
        <v>2.9044823472835484</v>
      </c>
      <c r="AY138" s="73">
        <f t="shared" si="405"/>
        <v>1989.5138460000001</v>
      </c>
      <c r="AZ138" s="192">
        <f t="shared" si="406"/>
        <v>2.4988422082371775</v>
      </c>
      <c r="BA138" s="1075"/>
      <c r="BB138" s="90">
        <f t="shared" si="407"/>
        <v>41957</v>
      </c>
      <c r="BC138" s="59"/>
      <c r="BD138" s="56">
        <v>41957</v>
      </c>
      <c r="BE138" s="56"/>
      <c r="BF138" s="58">
        <f t="shared" si="440"/>
        <v>67943</v>
      </c>
      <c r="BG138" s="58">
        <f t="shared" si="441"/>
        <v>85.336845730229982</v>
      </c>
      <c r="BH138" s="1133"/>
      <c r="BI138" s="63">
        <f t="shared" si="410"/>
        <v>1092</v>
      </c>
      <c r="BJ138" s="64"/>
      <c r="BK138" s="64">
        <v>948</v>
      </c>
      <c r="BL138" s="64">
        <f t="shared" si="450"/>
        <v>144</v>
      </c>
      <c r="BM138" s="65">
        <f t="shared" si="451"/>
        <v>0.21552595067149805</v>
      </c>
      <c r="BN138" s="64">
        <f t="shared" si="452"/>
        <v>20084</v>
      </c>
      <c r="BO138" s="65">
        <f t="shared" si="453"/>
        <v>0.30069670636345286</v>
      </c>
      <c r="BP138" s="1071"/>
      <c r="BQ138" s="35">
        <f t="shared" si="413"/>
        <v>26553</v>
      </c>
      <c r="BR138" s="35"/>
      <c r="BS138" s="35">
        <v>23781</v>
      </c>
      <c r="BT138" s="35">
        <f t="shared" si="432"/>
        <v>2772</v>
      </c>
      <c r="BU138" s="74">
        <f t="shared" si="433"/>
        <v>372166</v>
      </c>
      <c r="BV138" s="74">
        <f t="shared" si="434"/>
        <v>467.44289372027691</v>
      </c>
      <c r="BW138" s="1098"/>
      <c r="BX138" s="295">
        <f t="shared" si="454"/>
        <v>840</v>
      </c>
      <c r="BY138" s="296"/>
      <c r="BZ138" s="296">
        <v>840</v>
      </c>
      <c r="CA138" s="296"/>
      <c r="CB138" s="297"/>
      <c r="CC138" s="296">
        <f t="shared" si="455"/>
        <v>7910</v>
      </c>
      <c r="CD138" s="297">
        <f t="shared" si="456"/>
        <v>0.11842814914035611</v>
      </c>
      <c r="CE138" s="1061"/>
    </row>
    <row r="139" spans="1:83">
      <c r="A139" s="30">
        <v>43721</v>
      </c>
      <c r="B139" s="265">
        <v>687160</v>
      </c>
      <c r="C139" s="114">
        <f t="shared" si="388"/>
        <v>67478713</v>
      </c>
      <c r="D139" s="91">
        <v>7003.88</v>
      </c>
      <c r="E139" s="93">
        <f t="shared" si="389"/>
        <v>803178.13999999978</v>
      </c>
      <c r="F139" s="240"/>
      <c r="G139" s="321">
        <v>32010</v>
      </c>
      <c r="H139" s="240"/>
      <c r="I139" s="240">
        <f t="shared" si="419"/>
        <v>32010</v>
      </c>
      <c r="J139" s="280">
        <f t="shared" si="457"/>
        <v>46.58303742941964</v>
      </c>
      <c r="K139" s="240">
        <f t="shared" si="435"/>
        <v>1794010</v>
      </c>
      <c r="L139" s="280">
        <f t="shared" si="436"/>
        <v>26.586310263504878</v>
      </c>
      <c r="M139" s="280">
        <f t="shared" si="437"/>
        <v>3.255333692115205</v>
      </c>
      <c r="N139" s="1089"/>
      <c r="O139" s="1084"/>
      <c r="P139" s="77">
        <f t="shared" si="394"/>
        <v>53096</v>
      </c>
      <c r="Q139" s="35"/>
      <c r="R139" s="35">
        <v>50378</v>
      </c>
      <c r="S139" s="35">
        <f t="shared" si="430"/>
        <v>2718</v>
      </c>
      <c r="T139" s="36">
        <f t="shared" si="431"/>
        <v>3.9554106758251355</v>
      </c>
      <c r="U139" s="74">
        <f t="shared" si="438"/>
        <v>179480</v>
      </c>
      <c r="V139" s="36">
        <f t="shared" si="439"/>
        <v>2.6598017659287603</v>
      </c>
      <c r="W139" s="1136"/>
      <c r="X139" s="49">
        <f t="shared" si="397"/>
        <v>900</v>
      </c>
      <c r="Y139" s="50"/>
      <c r="Z139" s="50">
        <f>528+120</f>
        <v>648</v>
      </c>
      <c r="AA139" s="50">
        <f t="shared" si="442"/>
        <v>252</v>
      </c>
      <c r="AB139" s="51">
        <f t="shared" si="443"/>
        <v>0.36672681762617149</v>
      </c>
      <c r="AC139" s="50">
        <f t="shared" si="444"/>
        <v>15346</v>
      </c>
      <c r="AD139" s="51">
        <f t="shared" si="445"/>
        <v>0.22741986795154198</v>
      </c>
      <c r="AE139" s="1047"/>
      <c r="AF139" s="40">
        <f t="shared" si="400"/>
        <v>606</v>
      </c>
      <c r="AG139" s="41"/>
      <c r="AH139" s="41">
        <v>548</v>
      </c>
      <c r="AI139" s="41">
        <f t="shared" si="446"/>
        <v>58</v>
      </c>
      <c r="AJ139" s="42">
        <f t="shared" si="447"/>
        <v>8.4405378659991856E-2</v>
      </c>
      <c r="AK139" s="41">
        <f t="shared" si="448"/>
        <v>8118</v>
      </c>
      <c r="AL139" s="42">
        <f t="shared" si="449"/>
        <v>0.12030460628376241</v>
      </c>
      <c r="AM139" s="1058"/>
      <c r="AN139" s="220">
        <v>5.8</v>
      </c>
      <c r="AO139" s="67">
        <v>24</v>
      </c>
      <c r="AP139" s="68">
        <f t="shared" si="458"/>
        <v>69.189359999999994</v>
      </c>
      <c r="AQ139" s="68">
        <f t="shared" si="459"/>
        <v>9.8787186530894306</v>
      </c>
      <c r="AR139" s="69">
        <f t="shared" si="460"/>
        <v>6213.3238200000023</v>
      </c>
      <c r="AS139" s="140">
        <f t="shared" si="461"/>
        <v>7.7359224692046569</v>
      </c>
      <c r="AT139" s="1073"/>
      <c r="AU139" s="70">
        <v>3.1</v>
      </c>
      <c r="AV139" s="71">
        <v>12</v>
      </c>
      <c r="AW139" s="72">
        <f t="shared" ref="AW139:AW149" si="462">AU139*AV139*0.51673</f>
        <v>19.222356000000001</v>
      </c>
      <c r="AX139" s="72">
        <f t="shared" ref="AX139:AX149" si="463">AW139*1000/D139</f>
        <v>2.7445296035911522</v>
      </c>
      <c r="AY139" s="73">
        <f t="shared" ref="AY139:AY149" si="464">AY138+AW139</f>
        <v>2008.736202</v>
      </c>
      <c r="AZ139" s="192">
        <f t="shared" ref="AZ139:AZ149" si="465">AY139*1000/E139</f>
        <v>2.5009846532924822</v>
      </c>
      <c r="BA139" s="1075"/>
      <c r="BB139" s="90">
        <f t="shared" si="407"/>
        <v>41957</v>
      </c>
      <c r="BC139" s="59"/>
      <c r="BD139" s="56">
        <v>41957</v>
      </c>
      <c r="BE139" s="56"/>
      <c r="BF139" s="58">
        <f t="shared" si="440"/>
        <v>67943</v>
      </c>
      <c r="BG139" s="58">
        <f t="shared" si="441"/>
        <v>84.592690732344906</v>
      </c>
      <c r="BH139" s="1133"/>
      <c r="BI139" s="63">
        <f t="shared" si="410"/>
        <v>948</v>
      </c>
      <c r="BJ139" s="64"/>
      <c r="BK139" s="64">
        <v>720</v>
      </c>
      <c r="BL139" s="64">
        <f t="shared" si="450"/>
        <v>228</v>
      </c>
      <c r="BM139" s="65">
        <f t="shared" si="451"/>
        <v>0.33180045404272657</v>
      </c>
      <c r="BN139" s="64">
        <f t="shared" si="452"/>
        <v>20312</v>
      </c>
      <c r="BO139" s="65">
        <f t="shared" si="453"/>
        <v>0.30101344701105964</v>
      </c>
      <c r="BP139" s="1071"/>
      <c r="BQ139" s="35">
        <f t="shared" si="413"/>
        <v>23781</v>
      </c>
      <c r="BR139" s="35"/>
      <c r="BS139" s="35">
        <v>21933</v>
      </c>
      <c r="BT139" s="35">
        <f t="shared" si="432"/>
        <v>1848</v>
      </c>
      <c r="BU139" s="74">
        <f t="shared" si="433"/>
        <v>374014</v>
      </c>
      <c r="BV139" s="74">
        <f t="shared" si="434"/>
        <v>465.66755414931998</v>
      </c>
      <c r="BW139" s="1098"/>
      <c r="BX139" s="295">
        <f t="shared" si="454"/>
        <v>840</v>
      </c>
      <c r="BY139" s="296"/>
      <c r="BZ139" s="296">
        <v>840</v>
      </c>
      <c r="CA139" s="296"/>
      <c r="CB139" s="297"/>
      <c r="CC139" s="296">
        <f t="shared" si="455"/>
        <v>7910</v>
      </c>
      <c r="CD139" s="297">
        <f t="shared" si="456"/>
        <v>0.11722215271058889</v>
      </c>
      <c r="CE139" s="1061"/>
    </row>
    <row r="140" spans="1:83">
      <c r="A140" s="30">
        <v>43722</v>
      </c>
      <c r="B140" s="265">
        <v>675048</v>
      </c>
      <c r="C140" s="114">
        <f t="shared" si="388"/>
        <v>68153761</v>
      </c>
      <c r="D140" s="91">
        <v>7224.76</v>
      </c>
      <c r="E140" s="93">
        <f t="shared" si="389"/>
        <v>810402.89999999979</v>
      </c>
      <c r="F140" s="240"/>
      <c r="G140" s="321">
        <v>31370</v>
      </c>
      <c r="H140" s="240">
        <v>12000</v>
      </c>
      <c r="I140" s="240">
        <f t="shared" si="419"/>
        <v>19370</v>
      </c>
      <c r="J140" s="280">
        <f t="shared" si="457"/>
        <v>28.694255815882723</v>
      </c>
      <c r="K140" s="240">
        <f t="shared" si="435"/>
        <v>1813380</v>
      </c>
      <c r="L140" s="280">
        <f t="shared" si="436"/>
        <v>26.607189000178582</v>
      </c>
      <c r="M140" s="280">
        <f t="shared" si="437"/>
        <v>3.2578901677701215</v>
      </c>
      <c r="N140" s="1089"/>
      <c r="O140" s="1084"/>
      <c r="P140" s="77">
        <f t="shared" si="394"/>
        <v>50378</v>
      </c>
      <c r="Q140" s="35"/>
      <c r="R140" s="35">
        <v>48480</v>
      </c>
      <c r="S140" s="35">
        <f t="shared" si="430"/>
        <v>1898</v>
      </c>
      <c r="T140" s="36">
        <f t="shared" si="431"/>
        <v>2.8116519121603205</v>
      </c>
      <c r="U140" s="74">
        <f t="shared" si="438"/>
        <v>181378</v>
      </c>
      <c r="V140" s="36">
        <f t="shared" si="439"/>
        <v>2.661305808200372</v>
      </c>
      <c r="W140" s="1136"/>
      <c r="X140" s="49">
        <f t="shared" si="397"/>
        <v>648</v>
      </c>
      <c r="Y140" s="50"/>
      <c r="Z140" s="50">
        <f>424+112</f>
        <v>536</v>
      </c>
      <c r="AA140" s="50">
        <f t="shared" si="442"/>
        <v>112</v>
      </c>
      <c r="AB140" s="51">
        <f t="shared" si="443"/>
        <v>0.16591412758796412</v>
      </c>
      <c r="AC140" s="50">
        <f t="shared" si="444"/>
        <v>15458</v>
      </c>
      <c r="AD140" s="51">
        <f t="shared" si="445"/>
        <v>0.22681066713251524</v>
      </c>
      <c r="AE140" s="1047"/>
      <c r="AF140" s="40">
        <f t="shared" si="400"/>
        <v>548</v>
      </c>
      <c r="AG140" s="41"/>
      <c r="AH140" s="41">
        <v>509</v>
      </c>
      <c r="AI140" s="41">
        <f t="shared" si="446"/>
        <v>39</v>
      </c>
      <c r="AJ140" s="42">
        <f t="shared" si="447"/>
        <v>5.7773669427951792E-2</v>
      </c>
      <c r="AK140" s="41">
        <f t="shared" si="448"/>
        <v>8157</v>
      </c>
      <c r="AL140" s="42">
        <f t="shared" si="449"/>
        <v>0.11968525111915687</v>
      </c>
      <c r="AM140" s="1058"/>
      <c r="AN140" s="220">
        <v>5.7</v>
      </c>
      <c r="AO140" s="67">
        <v>24</v>
      </c>
      <c r="AP140" s="68">
        <f t="shared" si="458"/>
        <v>67.996440000000007</v>
      </c>
      <c r="AQ140" s="68">
        <f t="shared" si="459"/>
        <v>9.4115846062706581</v>
      </c>
      <c r="AR140" s="69">
        <f t="shared" si="460"/>
        <v>6281.3202600000022</v>
      </c>
      <c r="AS140" s="140">
        <f t="shared" si="461"/>
        <v>7.750861034677941</v>
      </c>
      <c r="AT140" s="1073"/>
      <c r="AU140" s="70">
        <v>3.3</v>
      </c>
      <c r="AV140" s="71">
        <v>12</v>
      </c>
      <c r="AW140" s="72">
        <f t="shared" si="462"/>
        <v>20.462508</v>
      </c>
      <c r="AX140" s="72">
        <f t="shared" si="463"/>
        <v>2.8322751205576377</v>
      </c>
      <c r="AY140" s="73">
        <f t="shared" si="464"/>
        <v>2029.1987100000001</v>
      </c>
      <c r="AZ140" s="192">
        <f t="shared" si="465"/>
        <v>2.50393811522639</v>
      </c>
      <c r="BA140" s="1075"/>
      <c r="BB140" s="90">
        <f t="shared" si="407"/>
        <v>41957</v>
      </c>
      <c r="BC140" s="59"/>
      <c r="BD140" s="56">
        <v>41957</v>
      </c>
      <c r="BE140" s="56"/>
      <c r="BF140" s="58">
        <f t="shared" si="440"/>
        <v>67943</v>
      </c>
      <c r="BG140" s="58">
        <f t="shared" si="441"/>
        <v>83.838545000270869</v>
      </c>
      <c r="BH140" s="1133"/>
      <c r="BI140" s="63">
        <f t="shared" si="410"/>
        <v>720</v>
      </c>
      <c r="BJ140" s="64"/>
      <c r="BK140" s="64">
        <v>552</v>
      </c>
      <c r="BL140" s="64">
        <f t="shared" si="450"/>
        <v>168</v>
      </c>
      <c r="BM140" s="65">
        <f t="shared" si="451"/>
        <v>0.24887119138194616</v>
      </c>
      <c r="BN140" s="64">
        <f t="shared" si="452"/>
        <v>20480</v>
      </c>
      <c r="BO140" s="65">
        <f t="shared" si="453"/>
        <v>0.30049698944714143</v>
      </c>
      <c r="BP140" s="1071"/>
      <c r="BQ140" s="35">
        <f t="shared" si="413"/>
        <v>21933</v>
      </c>
      <c r="BR140" s="35"/>
      <c r="BS140" s="35">
        <v>20084</v>
      </c>
      <c r="BT140" s="35">
        <f t="shared" si="432"/>
        <v>1849</v>
      </c>
      <c r="BU140" s="74">
        <f t="shared" si="433"/>
        <v>375863</v>
      </c>
      <c r="BV140" s="74">
        <f t="shared" si="434"/>
        <v>463.79769865088105</v>
      </c>
      <c r="BW140" s="1098"/>
      <c r="BX140" s="295">
        <f t="shared" si="454"/>
        <v>840</v>
      </c>
      <c r="BY140" s="296"/>
      <c r="BZ140" s="296">
        <v>840</v>
      </c>
      <c r="CA140" s="296"/>
      <c r="CB140" s="297"/>
      <c r="CC140" s="296">
        <f t="shared" si="455"/>
        <v>7910</v>
      </c>
      <c r="CD140" s="297">
        <f t="shared" si="456"/>
        <v>0.11606109309213325</v>
      </c>
      <c r="CE140" s="1061"/>
    </row>
    <row r="141" spans="1:83">
      <c r="A141" s="30">
        <v>43723</v>
      </c>
      <c r="B141" s="318">
        <v>728576</v>
      </c>
      <c r="C141" s="114">
        <f t="shared" si="388"/>
        <v>68882337</v>
      </c>
      <c r="D141" s="91">
        <v>7832.46</v>
      </c>
      <c r="E141" s="93">
        <f t="shared" si="389"/>
        <v>818235.35999999975</v>
      </c>
      <c r="F141" s="240">
        <f t="shared" si="390"/>
        <v>12000</v>
      </c>
      <c r="G141" s="321">
        <v>31900</v>
      </c>
      <c r="H141" s="240">
        <v>5500</v>
      </c>
      <c r="I141" s="240">
        <f t="shared" si="419"/>
        <v>38400</v>
      </c>
      <c r="J141" s="280">
        <f t="shared" si="457"/>
        <v>52.705551651440615</v>
      </c>
      <c r="K141" s="240">
        <f t="shared" si="435"/>
        <v>1851780</v>
      </c>
      <c r="L141" s="280">
        <f t="shared" si="436"/>
        <v>26.883234231730551</v>
      </c>
      <c r="M141" s="280">
        <f t="shared" si="437"/>
        <v>3.2916902450998595</v>
      </c>
      <c r="N141" s="1089"/>
      <c r="O141" s="1084"/>
      <c r="P141" s="77">
        <f t="shared" si="394"/>
        <v>48480</v>
      </c>
      <c r="Q141" s="35"/>
      <c r="R141" s="35">
        <v>48480</v>
      </c>
      <c r="S141" s="35">
        <f t="shared" si="430"/>
        <v>0</v>
      </c>
      <c r="T141" s="36">
        <f t="shared" si="431"/>
        <v>0</v>
      </c>
      <c r="U141" s="74">
        <f t="shared" si="438"/>
        <v>181378</v>
      </c>
      <c r="V141" s="36">
        <f t="shared" si="439"/>
        <v>2.6331568860679044</v>
      </c>
      <c r="W141" s="1136"/>
      <c r="X141" s="49">
        <f t="shared" si="397"/>
        <v>536</v>
      </c>
      <c r="Y141" s="50"/>
      <c r="Z141" s="50">
        <f>292+140</f>
        <v>432</v>
      </c>
      <c r="AA141" s="50">
        <f t="shared" si="442"/>
        <v>104</v>
      </c>
      <c r="AB141" s="51">
        <f t="shared" si="443"/>
        <v>0.14274420238931834</v>
      </c>
      <c r="AC141" s="50">
        <f t="shared" si="444"/>
        <v>15562</v>
      </c>
      <c r="AD141" s="51">
        <f t="shared" si="445"/>
        <v>0.22592148695535694</v>
      </c>
      <c r="AE141" s="1047"/>
      <c r="AF141" s="40">
        <f t="shared" si="400"/>
        <v>509</v>
      </c>
      <c r="AG141" s="41"/>
      <c r="AH141" s="41">
        <v>452</v>
      </c>
      <c r="AI141" s="41">
        <f t="shared" si="446"/>
        <v>57</v>
      </c>
      <c r="AJ141" s="42">
        <f t="shared" si="447"/>
        <v>7.8234803232607161E-2</v>
      </c>
      <c r="AK141" s="41">
        <f t="shared" si="448"/>
        <v>8214</v>
      </c>
      <c r="AL141" s="42">
        <f t="shared" si="449"/>
        <v>0.11924682520571275</v>
      </c>
      <c r="AM141" s="1058"/>
      <c r="AN141" s="220">
        <v>6.7</v>
      </c>
      <c r="AO141" s="67">
        <v>24</v>
      </c>
      <c r="AP141" s="68">
        <f t="shared" si="458"/>
        <v>79.925640000000001</v>
      </c>
      <c r="AQ141" s="68">
        <f t="shared" si="459"/>
        <v>10.204410874744333</v>
      </c>
      <c r="AR141" s="69">
        <f t="shared" si="460"/>
        <v>6361.2459000000026</v>
      </c>
      <c r="AS141" s="140">
        <f t="shared" si="461"/>
        <v>7.7743473467096367</v>
      </c>
      <c r="AT141" s="1073"/>
      <c r="AU141" s="70">
        <v>3.8</v>
      </c>
      <c r="AV141" s="71">
        <v>12</v>
      </c>
      <c r="AW141" s="72">
        <f t="shared" si="462"/>
        <v>23.562887999999997</v>
      </c>
      <c r="AX141" s="72">
        <f t="shared" si="463"/>
        <v>3.008363655862909</v>
      </c>
      <c r="AY141" s="73">
        <f t="shared" si="464"/>
        <v>2052.761598</v>
      </c>
      <c r="AZ141" s="192">
        <f t="shared" si="465"/>
        <v>2.5087666683092267</v>
      </c>
      <c r="BA141" s="1075"/>
      <c r="BB141" s="90">
        <f t="shared" si="407"/>
        <v>41957</v>
      </c>
      <c r="BC141" s="59"/>
      <c r="BD141" s="56">
        <v>41957</v>
      </c>
      <c r="BE141" s="56"/>
      <c r="BF141" s="58">
        <f t="shared" si="440"/>
        <v>67943</v>
      </c>
      <c r="BG141" s="58">
        <f t="shared" si="441"/>
        <v>83.036010567912911</v>
      </c>
      <c r="BH141" s="1133"/>
      <c r="BI141" s="63">
        <f t="shared" si="410"/>
        <v>552</v>
      </c>
      <c r="BJ141" s="64"/>
      <c r="BK141" s="64">
        <v>384</v>
      </c>
      <c r="BL141" s="64">
        <f t="shared" si="450"/>
        <v>168</v>
      </c>
      <c r="BM141" s="65">
        <f t="shared" si="451"/>
        <v>0.23058678847505271</v>
      </c>
      <c r="BN141" s="64">
        <f t="shared" si="452"/>
        <v>20648</v>
      </c>
      <c r="BO141" s="65">
        <f t="shared" si="453"/>
        <v>0.29975754161767187</v>
      </c>
      <c r="BP141" s="1071"/>
      <c r="BQ141" s="35">
        <f t="shared" si="413"/>
        <v>20084</v>
      </c>
      <c r="BR141" s="35"/>
      <c r="BS141" s="35">
        <v>19160</v>
      </c>
      <c r="BT141" s="35">
        <f t="shared" si="432"/>
        <v>924</v>
      </c>
      <c r="BU141" s="74">
        <f t="shared" si="433"/>
        <v>376787</v>
      </c>
      <c r="BV141" s="74">
        <f t="shared" si="434"/>
        <v>460.48731015486806</v>
      </c>
      <c r="BW141" s="1098"/>
      <c r="BX141" s="295">
        <f t="shared" si="454"/>
        <v>840</v>
      </c>
      <c r="BY141" s="296"/>
      <c r="BZ141" s="296">
        <v>840</v>
      </c>
      <c r="CA141" s="296"/>
      <c r="CB141" s="297"/>
      <c r="CC141" s="296">
        <f t="shared" si="455"/>
        <v>7910</v>
      </c>
      <c r="CD141" s="297">
        <f t="shared" si="456"/>
        <v>0.11483350223730068</v>
      </c>
      <c r="CE141" s="1061"/>
    </row>
    <row r="142" spans="1:83">
      <c r="A142" s="30">
        <v>43724</v>
      </c>
      <c r="B142" s="265">
        <v>713552</v>
      </c>
      <c r="C142" s="114">
        <f t="shared" si="388"/>
        <v>69595889</v>
      </c>
      <c r="D142" s="91">
        <v>6930.02</v>
      </c>
      <c r="E142" s="93">
        <f t="shared" si="389"/>
        <v>825165.37999999977</v>
      </c>
      <c r="F142" s="240">
        <f t="shared" si="390"/>
        <v>5500</v>
      </c>
      <c r="G142" s="321"/>
      <c r="H142" s="240">
        <v>2500</v>
      </c>
      <c r="I142" s="240">
        <f t="shared" si="419"/>
        <v>3000</v>
      </c>
      <c r="J142" s="280">
        <f t="shared" si="457"/>
        <v>4.2043186761441351</v>
      </c>
      <c r="K142" s="240">
        <f t="shared" si="435"/>
        <v>1854780</v>
      </c>
      <c r="L142" s="280">
        <f t="shared" si="436"/>
        <v>26.650712084445104</v>
      </c>
      <c r="M142" s="280">
        <f t="shared" si="437"/>
        <v>3.2632193075113389</v>
      </c>
      <c r="N142" s="1089"/>
      <c r="O142" s="1084"/>
      <c r="P142" s="77">
        <f t="shared" si="394"/>
        <v>48480</v>
      </c>
      <c r="Q142" s="35"/>
      <c r="R142" s="35">
        <v>48480</v>
      </c>
      <c r="S142" s="35">
        <f t="shared" si="430"/>
        <v>0</v>
      </c>
      <c r="T142" s="36">
        <f t="shared" si="431"/>
        <v>0</v>
      </c>
      <c r="U142" s="74">
        <f t="shared" si="438"/>
        <v>181378</v>
      </c>
      <c r="V142" s="36">
        <f t="shared" si="439"/>
        <v>2.6061596827939075</v>
      </c>
      <c r="W142" s="1136"/>
      <c r="X142" s="49">
        <f t="shared" si="397"/>
        <v>432</v>
      </c>
      <c r="Y142" s="322">
        <v>900</v>
      </c>
      <c r="Z142" s="50">
        <f>938+15</f>
        <v>953</v>
      </c>
      <c r="AA142" s="50">
        <f t="shared" si="442"/>
        <v>379</v>
      </c>
      <c r="AB142" s="51">
        <f t="shared" si="443"/>
        <v>0.53114559275287576</v>
      </c>
      <c r="AC142" s="50">
        <f t="shared" si="444"/>
        <v>15941</v>
      </c>
      <c r="AD142" s="51">
        <f t="shared" si="445"/>
        <v>0.22905088546250196</v>
      </c>
      <c r="AE142" s="1047"/>
      <c r="AF142" s="40">
        <f t="shared" si="400"/>
        <v>452</v>
      </c>
      <c r="AG142" s="41"/>
      <c r="AH142" s="41">
        <v>415</v>
      </c>
      <c r="AI142" s="41">
        <f t="shared" si="446"/>
        <v>37</v>
      </c>
      <c r="AJ142" s="42">
        <f t="shared" si="447"/>
        <v>5.1853263672444333E-2</v>
      </c>
      <c r="AK142" s="41">
        <f t="shared" si="448"/>
        <v>8251</v>
      </c>
      <c r="AL142" s="42">
        <f t="shared" si="449"/>
        <v>0.11855585320563977</v>
      </c>
      <c r="AM142" s="1058"/>
      <c r="AN142" s="220">
        <v>5.2</v>
      </c>
      <c r="AO142" s="67">
        <v>24</v>
      </c>
      <c r="AP142" s="68">
        <f t="shared" si="458"/>
        <v>62.031840000000003</v>
      </c>
      <c r="AQ142" s="68">
        <f t="shared" si="459"/>
        <v>8.9511776300789894</v>
      </c>
      <c r="AR142" s="69">
        <f t="shared" si="460"/>
        <v>6423.2777400000023</v>
      </c>
      <c r="AS142" s="140">
        <f t="shared" si="461"/>
        <v>7.784230768382459</v>
      </c>
      <c r="AT142" s="1073"/>
      <c r="AU142" s="70">
        <v>3.2</v>
      </c>
      <c r="AV142" s="71">
        <v>12</v>
      </c>
      <c r="AW142" s="72">
        <f t="shared" si="462"/>
        <v>19.842432000000002</v>
      </c>
      <c r="AX142" s="72">
        <f t="shared" si="463"/>
        <v>2.8632575374962843</v>
      </c>
      <c r="AY142" s="73">
        <f t="shared" si="464"/>
        <v>2072.60403</v>
      </c>
      <c r="AZ142" s="192">
        <f t="shared" si="465"/>
        <v>2.5117438034058099</v>
      </c>
      <c r="BA142" s="1075"/>
      <c r="BB142" s="90">
        <f t="shared" si="407"/>
        <v>41957</v>
      </c>
      <c r="BC142" s="59"/>
      <c r="BD142" s="56">
        <v>41957</v>
      </c>
      <c r="BE142" s="56"/>
      <c r="BF142" s="58">
        <f t="shared" si="440"/>
        <v>67943</v>
      </c>
      <c r="BG142" s="58">
        <f t="shared" si="441"/>
        <v>82.338645860300176</v>
      </c>
      <c r="BH142" s="1133"/>
      <c r="BI142" s="63">
        <f t="shared" si="410"/>
        <v>384</v>
      </c>
      <c r="BJ142" s="64"/>
      <c r="BK142" s="64">
        <v>228</v>
      </c>
      <c r="BL142" s="64">
        <f t="shared" si="450"/>
        <v>156</v>
      </c>
      <c r="BM142" s="65">
        <f t="shared" si="451"/>
        <v>0.21862457115949505</v>
      </c>
      <c r="BN142" s="64">
        <f t="shared" si="452"/>
        <v>20804</v>
      </c>
      <c r="BO142" s="65">
        <f t="shared" si="453"/>
        <v>0.29892570235003391</v>
      </c>
      <c r="BP142" s="1071"/>
      <c r="BQ142" s="35">
        <f t="shared" si="413"/>
        <v>19160</v>
      </c>
      <c r="BR142" s="315">
        <v>29060</v>
      </c>
      <c r="BS142" s="35">
        <v>38568</v>
      </c>
      <c r="BT142" s="35">
        <f t="shared" si="432"/>
        <v>9652</v>
      </c>
      <c r="BU142" s="74">
        <f t="shared" si="433"/>
        <v>386439</v>
      </c>
      <c r="BV142" s="74">
        <f t="shared" si="434"/>
        <v>468.3170299752519</v>
      </c>
      <c r="BW142" s="1098"/>
      <c r="BX142" s="295">
        <f t="shared" si="454"/>
        <v>840</v>
      </c>
      <c r="BY142" s="296"/>
      <c r="BZ142" s="296">
        <v>840</v>
      </c>
      <c r="CA142" s="296"/>
      <c r="CB142" s="297"/>
      <c r="CC142" s="296">
        <f t="shared" si="455"/>
        <v>7910</v>
      </c>
      <c r="CD142" s="297">
        <f t="shared" si="456"/>
        <v>0.11365613851128477</v>
      </c>
      <c r="CE142" s="1061"/>
    </row>
    <row r="143" spans="1:83">
      <c r="A143" s="30">
        <v>43725</v>
      </c>
      <c r="B143" s="265">
        <v>690148</v>
      </c>
      <c r="C143" s="114">
        <f t="shared" si="388"/>
        <v>70286037</v>
      </c>
      <c r="D143" s="91">
        <v>7355.8</v>
      </c>
      <c r="E143" s="93">
        <f t="shared" si="389"/>
        <v>832521.17999999982</v>
      </c>
      <c r="F143" s="240">
        <f t="shared" si="390"/>
        <v>2500</v>
      </c>
      <c r="G143" s="321">
        <v>30840</v>
      </c>
      <c r="H143" s="240">
        <v>3000</v>
      </c>
      <c r="I143" s="240">
        <f t="shared" si="419"/>
        <v>30340</v>
      </c>
      <c r="J143" s="280">
        <f t="shared" si="457"/>
        <v>43.961585051322324</v>
      </c>
      <c r="K143" s="240">
        <f t="shared" si="435"/>
        <v>1885120</v>
      </c>
      <c r="L143" s="280">
        <f t="shared" si="436"/>
        <v>26.820689861913824</v>
      </c>
      <c r="M143" s="280">
        <f t="shared" si="437"/>
        <v>3.284032063415431</v>
      </c>
      <c r="N143" s="1089"/>
      <c r="O143" s="1084"/>
      <c r="P143" s="77">
        <f t="shared" si="394"/>
        <v>48480</v>
      </c>
      <c r="Q143" s="35"/>
      <c r="R143" s="35">
        <v>40911</v>
      </c>
      <c r="S143" s="35">
        <f t="shared" si="430"/>
        <v>7569</v>
      </c>
      <c r="T143" s="36">
        <f t="shared" si="431"/>
        <v>10.967212829711888</v>
      </c>
      <c r="U143" s="74">
        <f t="shared" si="438"/>
        <v>188947</v>
      </c>
      <c r="V143" s="36">
        <f t="shared" si="439"/>
        <v>2.6882579821650778</v>
      </c>
      <c r="W143" s="1136"/>
      <c r="X143" s="49">
        <f t="shared" si="397"/>
        <v>953</v>
      </c>
      <c r="Y143" s="50"/>
      <c r="Z143" s="50">
        <f>779+125</f>
        <v>904</v>
      </c>
      <c r="AA143" s="50">
        <f t="shared" si="442"/>
        <v>49</v>
      </c>
      <c r="AB143" s="51">
        <f t="shared" si="443"/>
        <v>7.0999263925998479E-2</v>
      </c>
      <c r="AC143" s="50">
        <f t="shared" si="444"/>
        <v>15990</v>
      </c>
      <c r="AD143" s="51">
        <f t="shared" si="445"/>
        <v>0.22749895544686921</v>
      </c>
      <c r="AE143" s="1047"/>
      <c r="AF143" s="40">
        <f t="shared" si="400"/>
        <v>415</v>
      </c>
      <c r="AG143" s="41"/>
      <c r="AH143" s="41">
        <v>360</v>
      </c>
      <c r="AI143" s="41">
        <f t="shared" si="446"/>
        <v>55</v>
      </c>
      <c r="AJ143" s="42">
        <f t="shared" si="447"/>
        <v>7.9693051345508498E-2</v>
      </c>
      <c r="AK143" s="41">
        <f t="shared" si="448"/>
        <v>8306</v>
      </c>
      <c r="AL143" s="42">
        <f t="shared" si="449"/>
        <v>0.11817425415520297</v>
      </c>
      <c r="AM143" s="1058"/>
      <c r="AN143" s="260">
        <v>6</v>
      </c>
      <c r="AO143" s="67">
        <v>24</v>
      </c>
      <c r="AP143" s="68">
        <f t="shared" si="458"/>
        <v>71.575199999999995</v>
      </c>
      <c r="AQ143" s="68">
        <f t="shared" si="459"/>
        <v>9.7304440033714883</v>
      </c>
      <c r="AR143" s="69">
        <f t="shared" si="460"/>
        <v>6494.8529400000025</v>
      </c>
      <c r="AS143" s="140">
        <f t="shared" si="461"/>
        <v>7.8014266736132809</v>
      </c>
      <c r="AT143" s="1073"/>
      <c r="AU143" s="70">
        <v>3.5</v>
      </c>
      <c r="AV143" s="71">
        <v>12</v>
      </c>
      <c r="AW143" s="72">
        <f t="shared" si="462"/>
        <v>21.702660000000002</v>
      </c>
      <c r="AX143" s="72">
        <f t="shared" si="463"/>
        <v>2.9504146387884389</v>
      </c>
      <c r="AY143" s="73">
        <f t="shared" si="464"/>
        <v>2094.3066899999999</v>
      </c>
      <c r="AZ143" s="192">
        <f t="shared" si="465"/>
        <v>2.515619710720153</v>
      </c>
      <c r="BA143" s="1075"/>
      <c r="BB143" s="90">
        <f t="shared" si="407"/>
        <v>41957</v>
      </c>
      <c r="BC143" s="59"/>
      <c r="BD143" s="56">
        <v>41957</v>
      </c>
      <c r="BE143" s="56"/>
      <c r="BF143" s="58">
        <f t="shared" si="440"/>
        <v>67943</v>
      </c>
      <c r="BG143" s="58">
        <f t="shared" si="441"/>
        <v>81.611136908252604</v>
      </c>
      <c r="BH143" s="1133"/>
      <c r="BI143" s="63">
        <f t="shared" si="410"/>
        <v>228</v>
      </c>
      <c r="BJ143" s="64">
        <v>1100</v>
      </c>
      <c r="BK143" s="64">
        <v>1104</v>
      </c>
      <c r="BL143" s="64">
        <f t="shared" si="450"/>
        <v>224</v>
      </c>
      <c r="BM143" s="65">
        <f t="shared" si="451"/>
        <v>0.32456806366170732</v>
      </c>
      <c r="BN143" s="64">
        <f t="shared" si="452"/>
        <v>21028</v>
      </c>
      <c r="BO143" s="65">
        <f t="shared" si="453"/>
        <v>0.29917748812612666</v>
      </c>
      <c r="BP143" s="1071"/>
      <c r="BQ143" s="35">
        <f t="shared" si="413"/>
        <v>38568</v>
      </c>
      <c r="BR143" s="35"/>
      <c r="BS143" s="35">
        <v>38568</v>
      </c>
      <c r="BT143" s="35"/>
      <c r="BU143" s="74">
        <f t="shared" si="433"/>
        <v>386439</v>
      </c>
      <c r="BV143" s="74">
        <f t="shared" si="434"/>
        <v>464.179181603524</v>
      </c>
      <c r="BW143" s="1098"/>
      <c r="BX143" s="295">
        <f t="shared" si="454"/>
        <v>840</v>
      </c>
      <c r="BY143" s="296"/>
      <c r="BZ143" s="296">
        <v>840</v>
      </c>
      <c r="CA143" s="296"/>
      <c r="CB143" s="297"/>
      <c r="CC143" s="296">
        <f t="shared" si="455"/>
        <v>7910</v>
      </c>
      <c r="CD143" s="297">
        <f t="shared" si="456"/>
        <v>0.11254013368259759</v>
      </c>
      <c r="CE143" s="1061"/>
    </row>
    <row r="144" spans="1:83">
      <c r="A144" s="30">
        <v>43726</v>
      </c>
      <c r="B144" s="32">
        <v>700996</v>
      </c>
      <c r="C144" s="114">
        <f t="shared" si="388"/>
        <v>70987033</v>
      </c>
      <c r="D144" s="91">
        <v>6579.82</v>
      </c>
      <c r="E144" s="93">
        <f t="shared" si="389"/>
        <v>839100.99999999977</v>
      </c>
      <c r="F144" s="240">
        <f t="shared" si="390"/>
        <v>3000</v>
      </c>
      <c r="G144" s="321">
        <v>18910</v>
      </c>
      <c r="H144" s="240">
        <v>1500</v>
      </c>
      <c r="I144" s="240">
        <f t="shared" si="419"/>
        <v>20410</v>
      </c>
      <c r="J144" s="280">
        <f t="shared" si="457"/>
        <v>29.115715353582615</v>
      </c>
      <c r="K144" s="240">
        <f t="shared" si="435"/>
        <v>1905530</v>
      </c>
      <c r="L144" s="280">
        <f t="shared" si="436"/>
        <v>26.843353207902069</v>
      </c>
      <c r="M144" s="280">
        <f t="shared" si="437"/>
        <v>3.2868070537409171</v>
      </c>
      <c r="N144" s="1089"/>
      <c r="O144" s="1084"/>
      <c r="P144" s="77">
        <f t="shared" si="394"/>
        <v>40911</v>
      </c>
      <c r="Q144" s="35"/>
      <c r="R144" s="35">
        <v>39335</v>
      </c>
      <c r="S144" s="35">
        <f t="shared" si="430"/>
        <v>1576</v>
      </c>
      <c r="T144" s="36">
        <f t="shared" si="431"/>
        <v>2.2482296617955022</v>
      </c>
      <c r="U144" s="74">
        <f t="shared" si="438"/>
        <v>190523</v>
      </c>
      <c r="V144" s="36">
        <f t="shared" si="439"/>
        <v>2.6839127083956305</v>
      </c>
      <c r="W144" s="1136"/>
      <c r="X144" s="49">
        <f t="shared" si="397"/>
        <v>904</v>
      </c>
      <c r="Y144" s="50"/>
      <c r="Z144" s="50">
        <f>653+112</f>
        <v>765</v>
      </c>
      <c r="AA144" s="50">
        <f t="shared" si="442"/>
        <v>139</v>
      </c>
      <c r="AB144" s="51">
        <f t="shared" si="443"/>
        <v>0.19828929123703987</v>
      </c>
      <c r="AC144" s="50">
        <f t="shared" si="444"/>
        <v>16129</v>
      </c>
      <c r="AD144" s="51">
        <f t="shared" si="445"/>
        <v>0.22721051040406209</v>
      </c>
      <c r="AE144" s="1047"/>
      <c r="AF144" s="40">
        <f t="shared" si="400"/>
        <v>360</v>
      </c>
      <c r="AG144" s="41"/>
      <c r="AH144" s="41">
        <v>325</v>
      </c>
      <c r="AI144" s="41">
        <f t="shared" si="446"/>
        <v>35</v>
      </c>
      <c r="AJ144" s="42">
        <f t="shared" si="447"/>
        <v>4.9928958225153926E-2</v>
      </c>
      <c r="AK144" s="41">
        <f t="shared" si="448"/>
        <v>8341</v>
      </c>
      <c r="AL144" s="42">
        <f t="shared" si="449"/>
        <v>0.11750033277204303</v>
      </c>
      <c r="AM144" s="1058"/>
      <c r="AN144" s="220">
        <v>5.7</v>
      </c>
      <c r="AO144" s="67">
        <v>24</v>
      </c>
      <c r="AP144" s="68">
        <f t="shared" ref="AP144:AP149" si="466">AN144*AO144*0.49705</f>
        <v>67.996440000000007</v>
      </c>
      <c r="AQ144" s="68">
        <f t="shared" ref="AQ144:AQ149" si="467">AP144*1000/D144</f>
        <v>10.334088166545591</v>
      </c>
      <c r="AR144" s="69">
        <f t="shared" ref="AR144:AR149" si="468">AR143+AP144</f>
        <v>6562.8493800000024</v>
      </c>
      <c r="AS144" s="140">
        <f t="shared" ref="AS144:AS149" si="469">AR144*1000/E144</f>
        <v>7.8212865674096497</v>
      </c>
      <c r="AT144" s="1073"/>
      <c r="AU144" s="70">
        <v>3.2</v>
      </c>
      <c r="AV144" s="71">
        <v>12</v>
      </c>
      <c r="AW144" s="72">
        <f t="shared" si="462"/>
        <v>19.842432000000002</v>
      </c>
      <c r="AX144" s="72">
        <f t="shared" si="463"/>
        <v>3.0156496682280065</v>
      </c>
      <c r="AY144" s="73">
        <f t="shared" si="464"/>
        <v>2114.1491219999998</v>
      </c>
      <c r="AZ144" s="192">
        <f t="shared" si="465"/>
        <v>2.5195407012981756</v>
      </c>
      <c r="BA144" s="1075"/>
      <c r="BB144" s="90">
        <f t="shared" si="407"/>
        <v>41957</v>
      </c>
      <c r="BC144" s="59"/>
      <c r="BD144" s="56">
        <v>41957</v>
      </c>
      <c r="BE144" s="56"/>
      <c r="BF144" s="58">
        <f t="shared" si="440"/>
        <v>67943</v>
      </c>
      <c r="BG144" s="58">
        <f t="shared" si="441"/>
        <v>80.97118225338788</v>
      </c>
      <c r="BH144" s="1133"/>
      <c r="BI144" s="63">
        <f t="shared" si="410"/>
        <v>1104</v>
      </c>
      <c r="BJ144" s="64"/>
      <c r="BK144" s="64">
        <v>925</v>
      </c>
      <c r="BL144" s="64">
        <f t="shared" si="450"/>
        <v>179</v>
      </c>
      <c r="BM144" s="65">
        <f t="shared" si="451"/>
        <v>0.25535095778007294</v>
      </c>
      <c r="BN144" s="64">
        <f t="shared" si="452"/>
        <v>21207</v>
      </c>
      <c r="BO144" s="65">
        <f t="shared" si="453"/>
        <v>0.29874470172601802</v>
      </c>
      <c r="BP144" s="1071"/>
      <c r="BQ144" s="35">
        <f t="shared" si="413"/>
        <v>38568</v>
      </c>
      <c r="BR144" s="35"/>
      <c r="BS144" s="35">
        <v>38568</v>
      </c>
      <c r="BT144" s="35"/>
      <c r="BU144" s="74">
        <f t="shared" ref="BU144:BU149" si="470">BU143+BT144</f>
        <v>386439</v>
      </c>
      <c r="BV144" s="74">
        <f t="shared" ref="BV144:BV149" si="471">BU144*1000/E144</f>
        <v>460.53931529100799</v>
      </c>
      <c r="BW144" s="1098"/>
      <c r="BX144" s="295">
        <f t="shared" si="454"/>
        <v>840</v>
      </c>
      <c r="BY144" s="296"/>
      <c r="BZ144" s="296">
        <v>840</v>
      </c>
      <c r="CA144" s="296"/>
      <c r="CB144" s="297"/>
      <c r="CC144" s="296">
        <f t="shared" si="455"/>
        <v>7910</v>
      </c>
      <c r="CD144" s="297">
        <f t="shared" si="456"/>
        <v>0.11142880136996287</v>
      </c>
      <c r="CE144" s="1061"/>
    </row>
    <row r="145" spans="1:83">
      <c r="A145" s="30">
        <v>43727</v>
      </c>
      <c r="B145" s="265">
        <v>693080</v>
      </c>
      <c r="C145" s="114">
        <f t="shared" si="388"/>
        <v>71680113</v>
      </c>
      <c r="D145" s="91">
        <v>6798.14</v>
      </c>
      <c r="E145" s="93">
        <f t="shared" si="389"/>
        <v>845899.13999999978</v>
      </c>
      <c r="F145" s="240">
        <f t="shared" si="390"/>
        <v>1500</v>
      </c>
      <c r="G145" s="321">
        <v>18120</v>
      </c>
      <c r="H145" s="240">
        <v>1500</v>
      </c>
      <c r="I145" s="240">
        <f t="shared" si="419"/>
        <v>18120</v>
      </c>
      <c r="J145" s="280">
        <f t="shared" si="457"/>
        <v>26.144168061407054</v>
      </c>
      <c r="K145" s="240">
        <f t="shared" si="435"/>
        <v>1923650</v>
      </c>
      <c r="L145" s="280">
        <f t="shared" si="436"/>
        <v>26.836592738072273</v>
      </c>
      <c r="M145" s="280">
        <f t="shared" si="437"/>
        <v>3.2859792748955887</v>
      </c>
      <c r="N145" s="1089"/>
      <c r="O145" s="1084"/>
      <c r="P145" s="77">
        <f t="shared" si="394"/>
        <v>39335</v>
      </c>
      <c r="Q145" s="35"/>
      <c r="R145" s="35">
        <v>32657</v>
      </c>
      <c r="S145" s="35">
        <f t="shared" si="430"/>
        <v>6678</v>
      </c>
      <c r="T145" s="36">
        <f t="shared" si="431"/>
        <v>9.6352513418364403</v>
      </c>
      <c r="U145" s="74">
        <f t="shared" si="438"/>
        <v>197201</v>
      </c>
      <c r="V145" s="36">
        <f t="shared" si="439"/>
        <v>2.7511256853068855</v>
      </c>
      <c r="W145" s="1136"/>
      <c r="X145" s="49">
        <f t="shared" si="397"/>
        <v>765</v>
      </c>
      <c r="Y145" s="50"/>
      <c r="Z145" s="50">
        <f>546+140</f>
        <v>686</v>
      </c>
      <c r="AA145" s="50">
        <f t="shared" si="442"/>
        <v>79</v>
      </c>
      <c r="AB145" s="51">
        <f t="shared" si="443"/>
        <v>0.11398395567611243</v>
      </c>
      <c r="AC145" s="50">
        <f t="shared" si="444"/>
        <v>16208</v>
      </c>
      <c r="AD145" s="51">
        <f t="shared" si="445"/>
        <v>0.22611571496825067</v>
      </c>
      <c r="AE145" s="1047"/>
      <c r="AF145" s="40">
        <f t="shared" si="400"/>
        <v>325</v>
      </c>
      <c r="AG145" s="41"/>
      <c r="AH145" s="41">
        <v>256</v>
      </c>
      <c r="AI145" s="41">
        <f t="shared" si="446"/>
        <v>69</v>
      </c>
      <c r="AJ145" s="42">
        <f t="shared" si="447"/>
        <v>9.9555606856351356E-2</v>
      </c>
      <c r="AK145" s="41">
        <f t="shared" si="448"/>
        <v>8410</v>
      </c>
      <c r="AL145" s="42">
        <f t="shared" si="449"/>
        <v>0.11732682396859502</v>
      </c>
      <c r="AM145" s="1058"/>
      <c r="AN145" s="220">
        <v>5.2</v>
      </c>
      <c r="AO145" s="67">
        <v>24</v>
      </c>
      <c r="AP145" s="68">
        <f t="shared" si="466"/>
        <v>62.031840000000003</v>
      </c>
      <c r="AQ145" s="68">
        <f t="shared" si="467"/>
        <v>9.124825319866904</v>
      </c>
      <c r="AR145" s="69">
        <f t="shared" si="468"/>
        <v>6624.881220000002</v>
      </c>
      <c r="AS145" s="140">
        <f t="shared" si="469"/>
        <v>7.831762566870565</v>
      </c>
      <c r="AT145" s="1073"/>
      <c r="AU145" s="70">
        <v>3.2</v>
      </c>
      <c r="AV145" s="71">
        <v>12</v>
      </c>
      <c r="AW145" s="72">
        <f t="shared" si="462"/>
        <v>19.842432000000002</v>
      </c>
      <c r="AX145" s="72">
        <f t="shared" si="463"/>
        <v>2.9188030843730783</v>
      </c>
      <c r="AY145" s="73">
        <f t="shared" si="464"/>
        <v>2133.9915539999997</v>
      </c>
      <c r="AZ145" s="192">
        <f t="shared" si="465"/>
        <v>2.5227494072165624</v>
      </c>
      <c r="BA145" s="1075"/>
      <c r="BB145" s="90">
        <f t="shared" si="407"/>
        <v>41957</v>
      </c>
      <c r="BC145" s="59"/>
      <c r="BD145" s="56">
        <v>41957</v>
      </c>
      <c r="BE145" s="56"/>
      <c r="BF145" s="58">
        <f t="shared" si="440"/>
        <v>67943</v>
      </c>
      <c r="BG145" s="58">
        <f t="shared" si="441"/>
        <v>80.320450497207048</v>
      </c>
      <c r="BH145" s="1133"/>
      <c r="BI145" s="63">
        <f t="shared" si="410"/>
        <v>925</v>
      </c>
      <c r="BJ145" s="64"/>
      <c r="BK145" s="64">
        <v>744</v>
      </c>
      <c r="BL145" s="64">
        <f t="shared" si="450"/>
        <v>181</v>
      </c>
      <c r="BM145" s="65">
        <f t="shared" si="451"/>
        <v>0.26115311363767529</v>
      </c>
      <c r="BN145" s="64">
        <f t="shared" si="452"/>
        <v>21388</v>
      </c>
      <c r="BO145" s="65">
        <f t="shared" si="453"/>
        <v>0.29838122604522122</v>
      </c>
      <c r="BP145" s="1071"/>
      <c r="BQ145" s="35">
        <f t="shared" si="413"/>
        <v>38568</v>
      </c>
      <c r="BR145" s="35"/>
      <c r="BS145" s="35">
        <v>32099</v>
      </c>
      <c r="BT145" s="35">
        <f>BQ145-BS145+BR145</f>
        <v>6469</v>
      </c>
      <c r="BU145" s="74">
        <f t="shared" si="470"/>
        <v>392908</v>
      </c>
      <c r="BV145" s="74">
        <f t="shared" si="471"/>
        <v>464.48563595891596</v>
      </c>
      <c r="BW145" s="1098"/>
      <c r="BX145" s="295">
        <f t="shared" si="454"/>
        <v>840</v>
      </c>
      <c r="BY145" s="296"/>
      <c r="BZ145" s="296">
        <v>840</v>
      </c>
      <c r="CA145" s="296"/>
      <c r="CB145" s="297"/>
      <c r="CC145" s="296">
        <f t="shared" si="455"/>
        <v>7910</v>
      </c>
      <c r="CD145" s="297">
        <f t="shared" si="456"/>
        <v>0.11035138853645501</v>
      </c>
      <c r="CE145" s="1061"/>
    </row>
    <row r="146" spans="1:83">
      <c r="A146" s="30">
        <v>43728</v>
      </c>
      <c r="B146" s="32">
        <v>461866</v>
      </c>
      <c r="C146" s="114">
        <f t="shared" si="388"/>
        <v>72141979</v>
      </c>
      <c r="D146" s="91">
        <v>1225.46</v>
      </c>
      <c r="E146" s="93">
        <f t="shared" si="389"/>
        <v>847124.59999999974</v>
      </c>
      <c r="F146" s="240">
        <f t="shared" si="390"/>
        <v>1500</v>
      </c>
      <c r="G146" s="321">
        <v>32730</v>
      </c>
      <c r="H146" s="240">
        <v>34000</v>
      </c>
      <c r="I146" s="240">
        <f t="shared" si="419"/>
        <v>230</v>
      </c>
      <c r="J146" s="280">
        <f t="shared" si="457"/>
        <v>0.4979799335738071</v>
      </c>
      <c r="K146" s="240">
        <f t="shared" si="435"/>
        <v>1923880</v>
      </c>
      <c r="L146" s="280">
        <f t="shared" si="436"/>
        <v>26.667968174258153</v>
      </c>
      <c r="M146" s="280">
        <f t="shared" si="437"/>
        <v>3.2653322118596981</v>
      </c>
      <c r="N146" s="1089"/>
      <c r="O146" s="1084"/>
      <c r="P146" s="77">
        <f t="shared" si="394"/>
        <v>32657</v>
      </c>
      <c r="Q146" s="35"/>
      <c r="R146" s="35">
        <v>31849</v>
      </c>
      <c r="S146" s="35">
        <f t="shared" si="430"/>
        <v>808</v>
      </c>
      <c r="T146" s="36">
        <f t="shared" si="431"/>
        <v>1.7494251579462441</v>
      </c>
      <c r="U146" s="74">
        <f t="shared" si="438"/>
        <v>198009</v>
      </c>
      <c r="V146" s="36">
        <f t="shared" si="439"/>
        <v>2.7447126173236804</v>
      </c>
      <c r="W146" s="1136"/>
      <c r="X146" s="49">
        <f t="shared" si="397"/>
        <v>686</v>
      </c>
      <c r="Y146" s="50"/>
      <c r="Z146" s="50">
        <f>546+100</f>
        <v>646</v>
      </c>
      <c r="AA146" s="50">
        <f t="shared" si="442"/>
        <v>40</v>
      </c>
      <c r="AB146" s="51">
        <f t="shared" si="443"/>
        <v>8.6605205838922977E-2</v>
      </c>
      <c r="AC146" s="50">
        <f t="shared" si="444"/>
        <v>16248</v>
      </c>
      <c r="AD146" s="51">
        <f t="shared" si="445"/>
        <v>0.22522254345143483</v>
      </c>
      <c r="AE146" s="1047"/>
      <c r="AF146" s="40">
        <f t="shared" si="400"/>
        <v>256</v>
      </c>
      <c r="AG146" s="41"/>
      <c r="AH146" s="41">
        <v>224</v>
      </c>
      <c r="AI146" s="41">
        <f t="shared" si="446"/>
        <v>32</v>
      </c>
      <c r="AJ146" s="42">
        <f t="shared" si="447"/>
        <v>6.9284164671138376E-2</v>
      </c>
      <c r="AK146" s="41">
        <f t="shared" si="448"/>
        <v>8442</v>
      </c>
      <c r="AL146" s="42">
        <f t="shared" si="449"/>
        <v>0.11701924617288362</v>
      </c>
      <c r="AM146" s="1058"/>
      <c r="AN146" s="220">
        <v>3.2</v>
      </c>
      <c r="AO146" s="67">
        <v>24</v>
      </c>
      <c r="AP146" s="68">
        <f t="shared" si="466"/>
        <v>38.173440000000006</v>
      </c>
      <c r="AQ146" s="68">
        <f t="shared" si="467"/>
        <v>31.150294583258539</v>
      </c>
      <c r="AR146" s="69">
        <f t="shared" si="468"/>
        <v>6663.0546600000016</v>
      </c>
      <c r="AS146" s="140">
        <f t="shared" si="469"/>
        <v>7.8654954182655112</v>
      </c>
      <c r="AT146" s="1073"/>
      <c r="AU146" s="70">
        <v>0.5</v>
      </c>
      <c r="AV146" s="71">
        <v>12</v>
      </c>
      <c r="AW146" s="72">
        <f t="shared" si="462"/>
        <v>3.1003800000000004</v>
      </c>
      <c r="AX146" s="72">
        <f t="shared" si="463"/>
        <v>2.5299724185203929</v>
      </c>
      <c r="AY146" s="73">
        <f t="shared" si="464"/>
        <v>2137.0919339999996</v>
      </c>
      <c r="AZ146" s="192">
        <f t="shared" si="465"/>
        <v>2.5227598561061737</v>
      </c>
      <c r="BA146" s="1075"/>
      <c r="BB146" s="90">
        <f t="shared" si="407"/>
        <v>41957</v>
      </c>
      <c r="BC146" s="59"/>
      <c r="BD146" s="56">
        <v>41957</v>
      </c>
      <c r="BE146" s="56"/>
      <c r="BF146" s="58">
        <f t="shared" si="440"/>
        <v>67943</v>
      </c>
      <c r="BG146" s="58">
        <f t="shared" si="441"/>
        <v>80.204258027685682</v>
      </c>
      <c r="BH146" s="1133"/>
      <c r="BI146" s="63">
        <f t="shared" si="410"/>
        <v>744</v>
      </c>
      <c r="BJ146" s="64"/>
      <c r="BK146" s="64">
        <v>672</v>
      </c>
      <c r="BL146" s="64">
        <f t="shared" si="450"/>
        <v>72</v>
      </c>
      <c r="BM146" s="65">
        <f t="shared" si="451"/>
        <v>0.15588937051006135</v>
      </c>
      <c r="BN146" s="64">
        <f t="shared" si="452"/>
        <v>21460</v>
      </c>
      <c r="BO146" s="65">
        <f t="shared" si="453"/>
        <v>0.29746896740939144</v>
      </c>
      <c r="BP146" s="1071"/>
      <c r="BQ146" s="35">
        <f t="shared" si="413"/>
        <v>32099</v>
      </c>
      <c r="BR146" s="35"/>
      <c r="BS146" s="35">
        <v>32099</v>
      </c>
      <c r="BT146" s="35"/>
      <c r="BU146" s="74">
        <f t="shared" si="470"/>
        <v>392908</v>
      </c>
      <c r="BV146" s="74">
        <f t="shared" si="471"/>
        <v>463.8137057995956</v>
      </c>
      <c r="BW146" s="1098"/>
      <c r="BX146" s="295">
        <f t="shared" si="454"/>
        <v>840</v>
      </c>
      <c r="BY146" s="296"/>
      <c r="BZ146" s="296">
        <v>840</v>
      </c>
      <c r="CA146" s="296"/>
      <c r="CB146" s="297"/>
      <c r="CC146" s="296">
        <f t="shared" si="455"/>
        <v>7910</v>
      </c>
      <c r="CD146" s="297">
        <f t="shared" si="456"/>
        <v>0.10964489898454269</v>
      </c>
      <c r="CE146" s="1061"/>
    </row>
    <row r="147" spans="1:83">
      <c r="A147" s="30">
        <v>43729</v>
      </c>
      <c r="B147" s="32"/>
      <c r="C147" s="114">
        <f t="shared" si="388"/>
        <v>72141979</v>
      </c>
      <c r="D147" s="91"/>
      <c r="E147" s="93">
        <f t="shared" si="389"/>
        <v>847124.59999999974</v>
      </c>
      <c r="F147" s="240">
        <f t="shared" si="390"/>
        <v>34000</v>
      </c>
      <c r="G147" s="240"/>
      <c r="H147" s="240">
        <v>34000</v>
      </c>
      <c r="I147" s="240"/>
      <c r="J147" s="280"/>
      <c r="K147" s="240">
        <f t="shared" si="435"/>
        <v>1923880</v>
      </c>
      <c r="L147" s="280">
        <f t="shared" si="436"/>
        <v>26.667968174258153</v>
      </c>
      <c r="M147" s="280">
        <f t="shared" si="437"/>
        <v>3.2653322118596981</v>
      </c>
      <c r="N147" s="1089"/>
      <c r="O147" s="1084"/>
      <c r="P147" s="77">
        <f t="shared" si="394"/>
        <v>31849</v>
      </c>
      <c r="Q147" s="35"/>
      <c r="R147" s="35">
        <v>31849</v>
      </c>
      <c r="S147" s="35"/>
      <c r="T147" s="36"/>
      <c r="U147" s="74">
        <f t="shared" si="438"/>
        <v>198009</v>
      </c>
      <c r="V147" s="36">
        <f t="shared" si="439"/>
        <v>2.7447126173236804</v>
      </c>
      <c r="W147" s="1136"/>
      <c r="X147" s="49">
        <f t="shared" si="397"/>
        <v>646</v>
      </c>
      <c r="Y147" s="50"/>
      <c r="Z147" s="50">
        <f>546+100</f>
        <v>646</v>
      </c>
      <c r="AA147" s="50"/>
      <c r="AB147" s="51"/>
      <c r="AC147" s="50">
        <f t="shared" si="444"/>
        <v>16248</v>
      </c>
      <c r="AD147" s="51">
        <f t="shared" si="445"/>
        <v>0.22522254345143483</v>
      </c>
      <c r="AE147" s="1047"/>
      <c r="AF147" s="40">
        <f t="shared" si="400"/>
        <v>224</v>
      </c>
      <c r="AG147" s="41"/>
      <c r="AH147" s="41">
        <v>224</v>
      </c>
      <c r="AI147" s="41"/>
      <c r="AJ147" s="42"/>
      <c r="AK147" s="41">
        <f t="shared" si="448"/>
        <v>8442</v>
      </c>
      <c r="AL147" s="42">
        <f t="shared" si="449"/>
        <v>0.11701924617288362</v>
      </c>
      <c r="AM147" s="1058"/>
      <c r="AN147" s="220"/>
      <c r="AO147" s="67"/>
      <c r="AP147" s="68"/>
      <c r="AQ147" s="68"/>
      <c r="AR147" s="69">
        <f t="shared" si="468"/>
        <v>6663.0546600000016</v>
      </c>
      <c r="AS147" s="140">
        <f t="shared" si="469"/>
        <v>7.8654954182655112</v>
      </c>
      <c r="AT147" s="1073"/>
      <c r="AU147" s="70"/>
      <c r="AV147" s="71"/>
      <c r="AW147" s="72"/>
      <c r="AX147" s="72"/>
      <c r="AY147" s="73">
        <f t="shared" si="464"/>
        <v>2137.0919339999996</v>
      </c>
      <c r="AZ147" s="192">
        <f t="shared" si="465"/>
        <v>2.5227598561061737</v>
      </c>
      <c r="BA147" s="1075"/>
      <c r="BB147" s="90">
        <f t="shared" si="407"/>
        <v>41957</v>
      </c>
      <c r="BC147" s="59"/>
      <c r="BD147" s="56">
        <v>37849</v>
      </c>
      <c r="BE147" s="56">
        <f>BB147-BD147+BC147</f>
        <v>4108</v>
      </c>
      <c r="BF147" s="58">
        <f t="shared" si="440"/>
        <v>72051</v>
      </c>
      <c r="BG147" s="58">
        <f t="shared" si="441"/>
        <v>85.05360368474723</v>
      </c>
      <c r="BH147" s="1133"/>
      <c r="BI147" s="63">
        <f t="shared" si="410"/>
        <v>672</v>
      </c>
      <c r="BJ147" s="64"/>
      <c r="BK147" s="64">
        <v>672</v>
      </c>
      <c r="BL147" s="64"/>
      <c r="BM147" s="65"/>
      <c r="BN147" s="64">
        <f t="shared" si="452"/>
        <v>21460</v>
      </c>
      <c r="BO147" s="65">
        <f t="shared" si="453"/>
        <v>0.29746896740939144</v>
      </c>
      <c r="BP147" s="1071"/>
      <c r="BQ147" s="35">
        <f t="shared" si="413"/>
        <v>32099</v>
      </c>
      <c r="BR147" s="35"/>
      <c r="BS147" s="35">
        <v>32099</v>
      </c>
      <c r="BT147" s="35"/>
      <c r="BU147" s="74">
        <f t="shared" si="470"/>
        <v>392908</v>
      </c>
      <c r="BV147" s="74">
        <f t="shared" si="471"/>
        <v>463.8137057995956</v>
      </c>
      <c r="BW147" s="1098"/>
      <c r="BX147" s="295">
        <f t="shared" si="454"/>
        <v>840</v>
      </c>
      <c r="BY147" s="296"/>
      <c r="BZ147" s="296">
        <v>840</v>
      </c>
      <c r="CA147" s="296"/>
      <c r="CB147" s="297"/>
      <c r="CC147" s="296">
        <f t="shared" si="455"/>
        <v>7910</v>
      </c>
      <c r="CD147" s="297">
        <f t="shared" si="456"/>
        <v>0.10964489898454269</v>
      </c>
      <c r="CE147" s="1061"/>
    </row>
    <row r="148" spans="1:83">
      <c r="A148" s="30">
        <v>43730</v>
      </c>
      <c r="B148" s="32"/>
      <c r="C148" s="114">
        <f t="shared" si="388"/>
        <v>72141979</v>
      </c>
      <c r="D148" s="91">
        <v>3782.64</v>
      </c>
      <c r="E148" s="93">
        <f t="shared" si="389"/>
        <v>850907.23999999976</v>
      </c>
      <c r="F148" s="240">
        <f t="shared" si="390"/>
        <v>34000</v>
      </c>
      <c r="G148" s="240"/>
      <c r="H148" s="240">
        <v>26000</v>
      </c>
      <c r="I148" s="240">
        <f t="shared" si="419"/>
        <v>8000</v>
      </c>
      <c r="J148" s="280"/>
      <c r="K148" s="240">
        <f t="shared" si="435"/>
        <v>1931880</v>
      </c>
      <c r="L148" s="280">
        <f t="shared" si="436"/>
        <v>26.778860613180573</v>
      </c>
      <c r="M148" s="280">
        <f t="shared" si="437"/>
        <v>3.2789103236415542</v>
      </c>
      <c r="N148" s="1089"/>
      <c r="O148" s="1084"/>
      <c r="P148" s="77">
        <f t="shared" si="394"/>
        <v>31849</v>
      </c>
      <c r="Q148" s="35"/>
      <c r="R148" s="35">
        <v>31310</v>
      </c>
      <c r="S148" s="35">
        <f>P148+Q148-R148</f>
        <v>539</v>
      </c>
      <c r="T148" s="36"/>
      <c r="U148" s="74">
        <f t="shared" si="438"/>
        <v>198548</v>
      </c>
      <c r="V148" s="36">
        <f t="shared" si="439"/>
        <v>2.7521839953960785</v>
      </c>
      <c r="W148" s="1136"/>
      <c r="X148" s="49">
        <f t="shared" si="397"/>
        <v>646</v>
      </c>
      <c r="Y148" s="50"/>
      <c r="Z148" s="50">
        <f>528+75</f>
        <v>603</v>
      </c>
      <c r="AA148" s="50">
        <f>X148-Z148+Y148</f>
        <v>43</v>
      </c>
      <c r="AB148" s="51"/>
      <c r="AC148" s="50">
        <f t="shared" si="444"/>
        <v>16291</v>
      </c>
      <c r="AD148" s="51">
        <f t="shared" si="445"/>
        <v>0.22581859031064286</v>
      </c>
      <c r="AE148" s="1047"/>
      <c r="AF148" s="40">
        <f t="shared" si="400"/>
        <v>224</v>
      </c>
      <c r="AG148" s="41"/>
      <c r="AH148" s="41">
        <v>224</v>
      </c>
      <c r="AI148" s="41"/>
      <c r="AJ148" s="42"/>
      <c r="AK148" s="41">
        <f t="shared" si="448"/>
        <v>8442</v>
      </c>
      <c r="AL148" s="42">
        <f t="shared" si="449"/>
        <v>0.11701924617288362</v>
      </c>
      <c r="AM148" s="1058"/>
      <c r="AN148" s="220">
        <v>3.4</v>
      </c>
      <c r="AO148" s="67">
        <v>24</v>
      </c>
      <c r="AP148" s="68">
        <f t="shared" si="466"/>
        <v>40.559279999999994</v>
      </c>
      <c r="AQ148" s="68">
        <f t="shared" si="467"/>
        <v>10.722479538100373</v>
      </c>
      <c r="AR148" s="69">
        <f t="shared" si="468"/>
        <v>6703.613940000002</v>
      </c>
      <c r="AS148" s="140">
        <f t="shared" si="469"/>
        <v>7.878195912400515</v>
      </c>
      <c r="AT148" s="1073"/>
      <c r="AU148" s="70">
        <v>1.7</v>
      </c>
      <c r="AV148" s="71">
        <v>12</v>
      </c>
      <c r="AW148" s="72">
        <f t="shared" si="462"/>
        <v>10.541292</v>
      </c>
      <c r="AX148" s="72">
        <f t="shared" si="463"/>
        <v>2.7867552820252524</v>
      </c>
      <c r="AY148" s="73">
        <f t="shared" si="464"/>
        <v>2147.6332259999995</v>
      </c>
      <c r="AZ148" s="192">
        <f t="shared" si="465"/>
        <v>2.5239334266329663</v>
      </c>
      <c r="BA148" s="1075"/>
      <c r="BB148" s="90">
        <f t="shared" si="407"/>
        <v>37849</v>
      </c>
      <c r="BC148" s="59"/>
      <c r="BD148" s="56">
        <v>35702</v>
      </c>
      <c r="BE148" s="56">
        <f>BB148-BD148+BC148</f>
        <v>2147</v>
      </c>
      <c r="BF148" s="58">
        <f t="shared" si="440"/>
        <v>74198</v>
      </c>
      <c r="BG148" s="58">
        <f t="shared" si="441"/>
        <v>87.198693949295844</v>
      </c>
      <c r="BH148" s="1133"/>
      <c r="BI148" s="63">
        <f t="shared" si="410"/>
        <v>672</v>
      </c>
      <c r="BJ148" s="64"/>
      <c r="BK148" s="64">
        <v>672</v>
      </c>
      <c r="BL148" s="64"/>
      <c r="BM148" s="65"/>
      <c r="BN148" s="64">
        <f t="shared" si="452"/>
        <v>21460</v>
      </c>
      <c r="BO148" s="65">
        <f t="shared" si="453"/>
        <v>0.29746896740939144</v>
      </c>
      <c r="BP148" s="1071"/>
      <c r="BQ148" s="35">
        <f t="shared" si="413"/>
        <v>32099</v>
      </c>
      <c r="BR148" s="35"/>
      <c r="BS148" s="35">
        <v>32099</v>
      </c>
      <c r="BT148" s="35"/>
      <c r="BU148" s="74">
        <f t="shared" si="470"/>
        <v>392908</v>
      </c>
      <c r="BV148" s="74">
        <f t="shared" si="471"/>
        <v>461.75185910981332</v>
      </c>
      <c r="BW148" s="1098"/>
      <c r="BX148" s="295">
        <f t="shared" si="454"/>
        <v>840</v>
      </c>
      <c r="BY148" s="296"/>
      <c r="BZ148" s="296">
        <v>840</v>
      </c>
      <c r="CA148" s="296"/>
      <c r="CB148" s="297"/>
      <c r="CC148" s="296">
        <f t="shared" si="455"/>
        <v>7910</v>
      </c>
      <c r="CD148" s="297">
        <f t="shared" si="456"/>
        <v>0.10964489898454269</v>
      </c>
      <c r="CE148" s="1061"/>
    </row>
    <row r="149" spans="1:83">
      <c r="A149" s="30">
        <v>43731</v>
      </c>
      <c r="B149" s="32">
        <v>564897</v>
      </c>
      <c r="C149" s="114">
        <f t="shared" si="388"/>
        <v>72706876</v>
      </c>
      <c r="D149" s="91">
        <v>6630.98</v>
      </c>
      <c r="E149" s="93">
        <f t="shared" si="389"/>
        <v>857538.21999999974</v>
      </c>
      <c r="F149" s="240">
        <f t="shared" si="390"/>
        <v>26000</v>
      </c>
      <c r="G149" s="240"/>
      <c r="H149" s="240"/>
      <c r="I149" s="240">
        <f t="shared" si="419"/>
        <v>26000</v>
      </c>
      <c r="J149" s="280">
        <f>I149*1000/B149</f>
        <v>46.026089711929785</v>
      </c>
      <c r="K149" s="240">
        <f t="shared" si="435"/>
        <v>1957880</v>
      </c>
      <c r="L149" s="280">
        <f t="shared" si="436"/>
        <v>26.928402205040413</v>
      </c>
      <c r="M149" s="280">
        <f t="shared" si="437"/>
        <v>3.2972207916052914</v>
      </c>
      <c r="N149" s="1089"/>
      <c r="O149" s="1084"/>
      <c r="P149" s="77">
        <f t="shared" si="394"/>
        <v>31310</v>
      </c>
      <c r="Q149" s="35"/>
      <c r="R149" s="35">
        <v>28887</v>
      </c>
      <c r="S149" s="35">
        <f>P149+Q149-R149</f>
        <v>2423</v>
      </c>
      <c r="T149" s="36">
        <f>1000*S149/B149</f>
        <v>4.2892775143079183</v>
      </c>
      <c r="U149" s="74">
        <f t="shared" si="438"/>
        <v>200971</v>
      </c>
      <c r="V149" s="36">
        <f t="shared" si="439"/>
        <v>2.7641264630872051</v>
      </c>
      <c r="W149" s="1136"/>
      <c r="X149" s="49">
        <f t="shared" si="397"/>
        <v>603</v>
      </c>
      <c r="Y149" s="50"/>
      <c r="Z149" s="50">
        <f>441+75</f>
        <v>516</v>
      </c>
      <c r="AA149" s="50">
        <f>X149-Z149+Y149</f>
        <v>87</v>
      </c>
      <c r="AB149" s="51">
        <f>AA149*1000/B149</f>
        <v>0.15401037711299581</v>
      </c>
      <c r="AC149" s="50">
        <f t="shared" si="444"/>
        <v>16378</v>
      </c>
      <c r="AD149" s="51">
        <f t="shared" si="445"/>
        <v>0.22526067548274251</v>
      </c>
      <c r="AE149" s="1047"/>
      <c r="AF149" s="40">
        <f t="shared" si="400"/>
        <v>224</v>
      </c>
      <c r="AG149" s="41">
        <v>1000</v>
      </c>
      <c r="AH149" s="41">
        <v>1156</v>
      </c>
      <c r="AI149" s="41">
        <f>AF149+AG149-AH149</f>
        <v>68</v>
      </c>
      <c r="AJ149" s="42">
        <f>AI149*1000/B149</f>
        <v>0.12037592693889329</v>
      </c>
      <c r="AK149" s="41">
        <f t="shared" si="448"/>
        <v>8510</v>
      </c>
      <c r="AL149" s="42">
        <f t="shared" si="449"/>
        <v>0.11704532594688843</v>
      </c>
      <c r="AM149" s="1058"/>
      <c r="AN149" s="220">
        <v>8.3000000000000007</v>
      </c>
      <c r="AO149" s="67">
        <v>24</v>
      </c>
      <c r="AP149" s="68">
        <f t="shared" si="466"/>
        <v>99.012360000000001</v>
      </c>
      <c r="AQ149" s="68">
        <f t="shared" si="467"/>
        <v>14.931783838889578</v>
      </c>
      <c r="AR149" s="69">
        <f t="shared" si="468"/>
        <v>6802.6263000000017</v>
      </c>
      <c r="AS149" s="140">
        <f t="shared" si="469"/>
        <v>7.9327383215642611</v>
      </c>
      <c r="AT149" s="1073"/>
      <c r="AU149" s="70">
        <v>3.7</v>
      </c>
      <c r="AV149" s="71">
        <v>12</v>
      </c>
      <c r="AW149" s="72">
        <f t="shared" si="462"/>
        <v>22.942812000000004</v>
      </c>
      <c r="AX149" s="72">
        <f t="shared" si="463"/>
        <v>3.4599428742056237</v>
      </c>
      <c r="AY149" s="73">
        <f t="shared" si="464"/>
        <v>2170.5760379999992</v>
      </c>
      <c r="AZ149" s="192">
        <f t="shared" si="465"/>
        <v>2.531171191413486</v>
      </c>
      <c r="BA149" s="1075"/>
      <c r="BB149" s="90">
        <f t="shared" si="407"/>
        <v>35702</v>
      </c>
      <c r="BC149" s="59"/>
      <c r="BD149" s="56">
        <v>35702</v>
      </c>
      <c r="BE149" s="56"/>
      <c r="BF149" s="58">
        <f t="shared" ref="BF149:BF156" si="472">BF148+BE149</f>
        <v>74198</v>
      </c>
      <c r="BG149" s="58">
        <f t="shared" ref="BG149:BG156" si="473">BF149*1000/E149</f>
        <v>86.524423366226202</v>
      </c>
      <c r="BH149" s="1133"/>
      <c r="BI149" s="63">
        <f t="shared" si="410"/>
        <v>672</v>
      </c>
      <c r="BJ149" s="64"/>
      <c r="BK149" s="64">
        <v>480</v>
      </c>
      <c r="BL149" s="64">
        <f>BI149-BK149+BJ149</f>
        <v>192</v>
      </c>
      <c r="BM149" s="65">
        <f>BL149*1000/B149</f>
        <v>0.33988497018040459</v>
      </c>
      <c r="BN149" s="64">
        <f t="shared" si="452"/>
        <v>21652</v>
      </c>
      <c r="BO149" s="65">
        <f t="shared" si="453"/>
        <v>0.29779851908366961</v>
      </c>
      <c r="BP149" s="1071"/>
      <c r="BQ149" s="35">
        <f t="shared" si="413"/>
        <v>32099</v>
      </c>
      <c r="BR149" s="35"/>
      <c r="BS149" s="35">
        <v>30250</v>
      </c>
      <c r="BT149" s="35">
        <f>BQ149-BS149+BR149</f>
        <v>1849</v>
      </c>
      <c r="BU149" s="74">
        <f t="shared" si="470"/>
        <v>394757</v>
      </c>
      <c r="BV149" s="74">
        <f t="shared" si="471"/>
        <v>460.33749959272967</v>
      </c>
      <c r="BW149" s="1098"/>
      <c r="BX149" s="295">
        <f t="shared" si="454"/>
        <v>840</v>
      </c>
      <c r="BY149" s="296"/>
      <c r="BZ149" s="296">
        <v>840</v>
      </c>
      <c r="CA149" s="296"/>
      <c r="CB149" s="297"/>
      <c r="CC149" s="296">
        <f t="shared" si="455"/>
        <v>7910</v>
      </c>
      <c r="CD149" s="297">
        <f t="shared" si="456"/>
        <v>0.10879301154405259</v>
      </c>
      <c r="CE149" s="1061"/>
    </row>
    <row r="150" spans="1:83">
      <c r="A150" s="30">
        <v>43732</v>
      </c>
      <c r="B150" s="32">
        <v>662077</v>
      </c>
      <c r="C150" s="114">
        <f t="shared" si="388"/>
        <v>73368953</v>
      </c>
      <c r="D150" s="91">
        <v>6358.84</v>
      </c>
      <c r="E150" s="93">
        <f t="shared" si="389"/>
        <v>863897.05999999971</v>
      </c>
      <c r="F150" s="240"/>
      <c r="G150" s="240"/>
      <c r="H150" s="240"/>
      <c r="I150" s="240"/>
      <c r="J150" s="280"/>
      <c r="K150" s="240">
        <f t="shared" si="435"/>
        <v>1957880</v>
      </c>
      <c r="L150" s="280">
        <f t="shared" si="436"/>
        <v>26.685401930159749</v>
      </c>
      <c r="M150" s="280">
        <f t="shared" si="437"/>
        <v>3.2674668703513836</v>
      </c>
      <c r="N150" s="1089"/>
      <c r="O150" s="1084"/>
      <c r="P150" s="77">
        <f t="shared" si="394"/>
        <v>28887</v>
      </c>
      <c r="Q150" s="35"/>
      <c r="R150" s="35">
        <v>24343</v>
      </c>
      <c r="S150" s="35">
        <f t="shared" ref="S150:S155" si="474">P150+Q150-R150</f>
        <v>4544</v>
      </c>
      <c r="T150" s="36">
        <f t="shared" ref="T150:T155" si="475">1000*S150/B150</f>
        <v>6.8632500449343503</v>
      </c>
      <c r="U150" s="74">
        <f t="shared" ref="U150:U155" si="476">U149+S150</f>
        <v>205515</v>
      </c>
      <c r="V150" s="36">
        <f t="shared" ref="V150:V155" si="477">1000*U150/C150</f>
        <v>2.8011167066810945</v>
      </c>
      <c r="W150" s="1136"/>
      <c r="X150" s="49">
        <f t="shared" si="397"/>
        <v>516</v>
      </c>
      <c r="Y150" s="50"/>
      <c r="Z150" s="50">
        <f>357+112</f>
        <v>469</v>
      </c>
      <c r="AA150" s="50">
        <f t="shared" ref="AA150:AA155" si="478">X150-Z150+Y150</f>
        <v>47</v>
      </c>
      <c r="AB150" s="51">
        <f t="shared" ref="AB150:AB155" si="479">AA150*1000/B150</f>
        <v>7.0988721855614986E-2</v>
      </c>
      <c r="AC150" s="50">
        <f t="shared" ref="AC150:AC155" si="480">AC149+AA150</f>
        <v>16425</v>
      </c>
      <c r="AD150" s="51">
        <f t="shared" ref="AD150:AD155" si="481">AC150*1000/C150</f>
        <v>0.22386853469205156</v>
      </c>
      <c r="AE150" s="1047"/>
      <c r="AF150" s="40">
        <f t="shared" si="400"/>
        <v>1156</v>
      </c>
      <c r="AG150" s="41"/>
      <c r="AH150" s="41">
        <v>1100</v>
      </c>
      <c r="AI150" s="41">
        <f t="shared" ref="AI150:AI155" si="482">AF150+AG150-AH150</f>
        <v>56</v>
      </c>
      <c r="AJ150" s="42">
        <f t="shared" ref="AJ150:AJ155" si="483">AI150*1000/B150</f>
        <v>8.4582306891796577E-2</v>
      </c>
      <c r="AK150" s="41">
        <f t="shared" ref="AK150:AK155" si="484">AK149+AI150</f>
        <v>8566</v>
      </c>
      <c r="AL150" s="42">
        <f t="shared" ref="AL150:AL155" si="485">AK150*1000/C150</f>
        <v>0.11675238162387297</v>
      </c>
      <c r="AM150" s="1058"/>
      <c r="AN150" s="220">
        <v>7.1</v>
      </c>
      <c r="AO150" s="67">
        <v>24</v>
      </c>
      <c r="AP150" s="68">
        <f t="shared" ref="AP150:AP155" si="486">AN150*AO150*0.49705</f>
        <v>84.697319999999991</v>
      </c>
      <c r="AQ150" s="68">
        <f t="shared" ref="AQ150:AQ155" si="487">AP150*1000/D150</f>
        <v>13.319618043542532</v>
      </c>
      <c r="AR150" s="69">
        <f t="shared" ref="AR150:AR155" si="488">AR149+AP150</f>
        <v>6887.3236200000019</v>
      </c>
      <c r="AS150" s="140">
        <f t="shared" ref="AS150:AS155" si="489">AR150*1000/E150</f>
        <v>7.9723892335042841</v>
      </c>
      <c r="AT150" s="1073"/>
      <c r="AU150" s="70">
        <v>3.3</v>
      </c>
      <c r="AV150" s="71">
        <v>12</v>
      </c>
      <c r="AW150" s="72">
        <f t="shared" ref="AW150:AW156" si="490">AU150*AV150*0.51673</f>
        <v>20.462508</v>
      </c>
      <c r="AX150" s="72">
        <f t="shared" ref="AX150:AX156" si="491">AW150*1000/D150</f>
        <v>3.2179623956570693</v>
      </c>
      <c r="AY150" s="73">
        <f t="shared" ref="AY150:AY156" si="492">AY149+AW150</f>
        <v>2191.0385459999993</v>
      </c>
      <c r="AZ150" s="192">
        <f t="shared" ref="AZ150:AZ156" si="493">AY150*1000/E150</f>
        <v>2.5362264179947549</v>
      </c>
      <c r="BA150" s="1075"/>
      <c r="BB150" s="90">
        <f t="shared" si="407"/>
        <v>35702</v>
      </c>
      <c r="BC150" s="59"/>
      <c r="BD150" s="56">
        <v>35702</v>
      </c>
      <c r="BE150" s="56"/>
      <c r="BF150" s="58">
        <f t="shared" si="472"/>
        <v>74198</v>
      </c>
      <c r="BG150" s="58">
        <f t="shared" si="473"/>
        <v>85.887547759451834</v>
      </c>
      <c r="BH150" s="1133"/>
      <c r="BI150" s="63">
        <f t="shared" si="410"/>
        <v>480</v>
      </c>
      <c r="BJ150" s="64">
        <v>1100</v>
      </c>
      <c r="BK150" s="64">
        <v>1440</v>
      </c>
      <c r="BL150" s="64">
        <f t="shared" ref="BL150:BL156" si="494">BI150-BK150+BJ150</f>
        <v>140</v>
      </c>
      <c r="BM150" s="65">
        <f t="shared" ref="BM150:BM156" si="495">BL150*1000/B150</f>
        <v>0.21145576722949144</v>
      </c>
      <c r="BN150" s="64">
        <f t="shared" ref="BN150:BN156" si="496">BN149+BL150</f>
        <v>21792</v>
      </c>
      <c r="BO150" s="65">
        <f t="shared" ref="BO150:BO156" si="497">BN150*1000/C150</f>
        <v>0.29701936730649542</v>
      </c>
      <c r="BP150" s="1071"/>
      <c r="BQ150" s="35">
        <f t="shared" si="413"/>
        <v>30250</v>
      </c>
      <c r="BR150" s="35"/>
      <c r="BS150" s="35">
        <v>30250</v>
      </c>
      <c r="BT150" s="35">
        <f t="shared" ref="BT150:BT156" si="498">BQ150-BS150+BR150</f>
        <v>0</v>
      </c>
      <c r="BU150" s="74">
        <f t="shared" ref="BU150:BU156" si="499">BU149+BT150</f>
        <v>394757</v>
      </c>
      <c r="BV150" s="74">
        <f t="shared" ref="BV150:BV156" si="500">BU150*1000/E150</f>
        <v>456.94911845168235</v>
      </c>
      <c r="BW150" s="1098"/>
      <c r="BX150" s="295">
        <f t="shared" si="454"/>
        <v>840</v>
      </c>
      <c r="BY150" s="296"/>
      <c r="BZ150" s="296">
        <v>300</v>
      </c>
      <c r="CA150" s="296">
        <f>BY150+BX150-BZ150</f>
        <v>540</v>
      </c>
      <c r="CB150" s="297">
        <f>CA150*1000/B150</f>
        <v>0.8156151021708955</v>
      </c>
      <c r="CC150" s="296">
        <f t="shared" si="455"/>
        <v>8450</v>
      </c>
      <c r="CD150" s="297">
        <f t="shared" si="456"/>
        <v>0.11517133139408436</v>
      </c>
      <c r="CE150" s="1061"/>
    </row>
    <row r="151" spans="1:83">
      <c r="A151" s="30">
        <v>43733</v>
      </c>
      <c r="B151" s="32">
        <v>464699</v>
      </c>
      <c r="C151" s="114">
        <f t="shared" si="388"/>
        <v>73833652</v>
      </c>
      <c r="D151" s="91">
        <v>710.72</v>
      </c>
      <c r="E151" s="93">
        <f t="shared" si="389"/>
        <v>864607.77999999968</v>
      </c>
      <c r="F151" s="240"/>
      <c r="G151" s="321">
        <v>20800</v>
      </c>
      <c r="H151" s="240">
        <v>8000</v>
      </c>
      <c r="I151" s="240">
        <f t="shared" si="419"/>
        <v>12800</v>
      </c>
      <c r="J151" s="280">
        <f t="shared" ref="J151:J158" si="501">I151*1000/B151</f>
        <v>27.54471173813587</v>
      </c>
      <c r="K151" s="240">
        <f t="shared" si="435"/>
        <v>1970680</v>
      </c>
      <c r="L151" s="280">
        <f t="shared" si="436"/>
        <v>26.69081030964038</v>
      </c>
      <c r="M151" s="280">
        <f t="shared" si="437"/>
        <v>3.2681290938705008</v>
      </c>
      <c r="N151" s="1089"/>
      <c r="O151" s="1084"/>
      <c r="P151" s="77">
        <f t="shared" si="394"/>
        <v>24343</v>
      </c>
      <c r="Q151" s="35"/>
      <c r="R151" s="35">
        <v>24078</v>
      </c>
      <c r="S151" s="35">
        <f t="shared" si="474"/>
        <v>265</v>
      </c>
      <c r="T151" s="36">
        <f t="shared" si="475"/>
        <v>0.57026161020359412</v>
      </c>
      <c r="U151" s="74">
        <f t="shared" si="476"/>
        <v>205780</v>
      </c>
      <c r="V151" s="36">
        <f t="shared" si="477"/>
        <v>2.7870760070218386</v>
      </c>
      <c r="W151" s="1136"/>
      <c r="X151" s="49">
        <f t="shared" si="397"/>
        <v>469</v>
      </c>
      <c r="Y151" s="50"/>
      <c r="Z151" s="50">
        <f>357+80</f>
        <v>437</v>
      </c>
      <c r="AA151" s="50">
        <f t="shared" si="478"/>
        <v>32</v>
      </c>
      <c r="AB151" s="51">
        <f t="shared" si="479"/>
        <v>6.8861779345339671E-2</v>
      </c>
      <c r="AC151" s="50">
        <f t="shared" si="480"/>
        <v>16457</v>
      </c>
      <c r="AD151" s="51">
        <f t="shared" si="481"/>
        <v>0.22289294317989308</v>
      </c>
      <c r="AE151" s="1047"/>
      <c r="AF151" s="40">
        <f t="shared" si="400"/>
        <v>1100</v>
      </c>
      <c r="AG151" s="41"/>
      <c r="AH151" s="41">
        <v>1081</v>
      </c>
      <c r="AI151" s="41">
        <f t="shared" si="482"/>
        <v>19</v>
      </c>
      <c r="AJ151" s="42">
        <f t="shared" si="483"/>
        <v>4.0886681486295429E-2</v>
      </c>
      <c r="AK151" s="41">
        <f t="shared" si="484"/>
        <v>8585</v>
      </c>
      <c r="AL151" s="42">
        <f t="shared" si="485"/>
        <v>0.11627489318827139</v>
      </c>
      <c r="AM151" s="1058"/>
      <c r="AN151" s="220">
        <v>2.2999999999999998</v>
      </c>
      <c r="AO151" s="67">
        <v>24</v>
      </c>
      <c r="AP151" s="68">
        <f t="shared" si="486"/>
        <v>27.437159999999999</v>
      </c>
      <c r="AQ151" s="68">
        <f t="shared" si="487"/>
        <v>38.604738856371</v>
      </c>
      <c r="AR151" s="69">
        <f t="shared" si="488"/>
        <v>6914.7607800000023</v>
      </c>
      <c r="AS151" s="140">
        <f t="shared" si="489"/>
        <v>7.9975694643876611</v>
      </c>
      <c r="AT151" s="1073"/>
      <c r="AU151" s="70">
        <v>0.5</v>
      </c>
      <c r="AV151" s="71">
        <v>12</v>
      </c>
      <c r="AW151" s="72">
        <f t="shared" si="490"/>
        <v>3.1003800000000004</v>
      </c>
      <c r="AX151" s="72">
        <f t="shared" si="491"/>
        <v>4.3623086447546155</v>
      </c>
      <c r="AY151" s="73">
        <f t="shared" si="492"/>
        <v>2194.1389259999992</v>
      </c>
      <c r="AZ151" s="192">
        <f t="shared" si="493"/>
        <v>2.5377274837846127</v>
      </c>
      <c r="BA151" s="1075"/>
      <c r="BB151" s="90">
        <f t="shared" si="407"/>
        <v>35702</v>
      </c>
      <c r="BC151" s="59"/>
      <c r="BD151" s="56">
        <v>35702</v>
      </c>
      <c r="BE151" s="56"/>
      <c r="BF151" s="58">
        <f t="shared" si="472"/>
        <v>74198</v>
      </c>
      <c r="BG151" s="58">
        <f t="shared" si="473"/>
        <v>85.816946962933912</v>
      </c>
      <c r="BH151" s="1133"/>
      <c r="BI151" s="63">
        <f t="shared" si="410"/>
        <v>1440</v>
      </c>
      <c r="BJ151" s="64"/>
      <c r="BK151" s="64">
        <v>1320</v>
      </c>
      <c r="BL151" s="64">
        <f t="shared" si="494"/>
        <v>120</v>
      </c>
      <c r="BM151" s="65">
        <f t="shared" si="495"/>
        <v>0.25823167254502377</v>
      </c>
      <c r="BN151" s="64">
        <f t="shared" si="496"/>
        <v>21912</v>
      </c>
      <c r="BO151" s="65">
        <f t="shared" si="497"/>
        <v>0.29677524281204459</v>
      </c>
      <c r="BP151" s="1071"/>
      <c r="BQ151" s="35">
        <f t="shared" si="413"/>
        <v>30250</v>
      </c>
      <c r="BR151" s="35"/>
      <c r="BS151" s="35">
        <v>30250</v>
      </c>
      <c r="BT151" s="35">
        <f t="shared" si="498"/>
        <v>0</v>
      </c>
      <c r="BU151" s="74">
        <f t="shared" si="499"/>
        <v>394757</v>
      </c>
      <c r="BV151" s="74">
        <f t="shared" si="500"/>
        <v>456.57349972030107</v>
      </c>
      <c r="BW151" s="1098"/>
      <c r="BX151" s="295">
        <f t="shared" si="454"/>
        <v>300</v>
      </c>
      <c r="BY151" s="296">
        <v>1250</v>
      </c>
      <c r="BZ151" s="296">
        <v>1000</v>
      </c>
      <c r="CA151" s="296">
        <f t="shared" ref="CA151:CA156" si="502">BY151+BX151-BZ151</f>
        <v>550</v>
      </c>
      <c r="CB151" s="297">
        <f t="shared" ref="CB151:CB156" si="503">CA151*1000/B151</f>
        <v>1.1835618324980257</v>
      </c>
      <c r="CC151" s="296">
        <f t="shared" ref="CC151:CC156" si="504">CC150+CA151</f>
        <v>9000</v>
      </c>
      <c r="CD151" s="297">
        <f t="shared" ref="CD151:CD156" si="505">CC151*1000/C151</f>
        <v>0.12189563642334798</v>
      </c>
      <c r="CE151" s="1061"/>
    </row>
    <row r="152" spans="1:83">
      <c r="A152" s="30">
        <v>43734</v>
      </c>
      <c r="B152" s="32">
        <v>118826</v>
      </c>
      <c r="C152" s="114">
        <f t="shared" si="388"/>
        <v>73952478</v>
      </c>
      <c r="D152" s="91">
        <v>5361.19</v>
      </c>
      <c r="E152" s="93">
        <f t="shared" si="389"/>
        <v>869968.96999999962</v>
      </c>
      <c r="F152" s="240">
        <f t="shared" si="390"/>
        <v>8000</v>
      </c>
      <c r="G152" s="240"/>
      <c r="H152" s="240"/>
      <c r="I152" s="240">
        <f t="shared" si="419"/>
        <v>8000</v>
      </c>
      <c r="J152" s="280">
        <f t="shared" si="501"/>
        <v>67.325332839614219</v>
      </c>
      <c r="K152" s="240">
        <f t="shared" si="435"/>
        <v>1978680</v>
      </c>
      <c r="L152" s="280">
        <f t="shared" si="436"/>
        <v>26.756101397981553</v>
      </c>
      <c r="M152" s="280">
        <f t="shared" si="437"/>
        <v>3.2761235947081615</v>
      </c>
      <c r="N152" s="1089"/>
      <c r="O152" s="1084"/>
      <c r="P152" s="77">
        <f t="shared" si="394"/>
        <v>24078</v>
      </c>
      <c r="Q152" s="35">
        <v>35550</v>
      </c>
      <c r="R152" s="35">
        <v>55423</v>
      </c>
      <c r="S152" s="35">
        <f t="shared" si="474"/>
        <v>4205</v>
      </c>
      <c r="T152" s="36">
        <f t="shared" si="475"/>
        <v>35.387878073822229</v>
      </c>
      <c r="U152" s="74">
        <f t="shared" si="476"/>
        <v>209985</v>
      </c>
      <c r="V152" s="36">
        <f t="shared" si="477"/>
        <v>2.8394586047542587</v>
      </c>
      <c r="W152" s="1136"/>
      <c r="X152" s="49">
        <f t="shared" si="397"/>
        <v>437</v>
      </c>
      <c r="Y152" s="50"/>
      <c r="Z152" s="50">
        <f>276+87</f>
        <v>363</v>
      </c>
      <c r="AA152" s="50">
        <f t="shared" si="478"/>
        <v>74</v>
      </c>
      <c r="AB152" s="51">
        <f t="shared" si="479"/>
        <v>0.62275932876643159</v>
      </c>
      <c r="AC152" s="50">
        <f t="shared" si="480"/>
        <v>16531</v>
      </c>
      <c r="AD152" s="51">
        <f t="shared" si="481"/>
        <v>0.22353544393738908</v>
      </c>
      <c r="AE152" s="1047"/>
      <c r="AF152" s="40">
        <f t="shared" si="400"/>
        <v>1081</v>
      </c>
      <c r="AG152" s="41"/>
      <c r="AH152" s="41">
        <v>1062</v>
      </c>
      <c r="AI152" s="41">
        <f t="shared" si="482"/>
        <v>19</v>
      </c>
      <c r="AJ152" s="42">
        <f t="shared" si="483"/>
        <v>0.1598976654940838</v>
      </c>
      <c r="AK152" s="41">
        <f t="shared" si="484"/>
        <v>8604</v>
      </c>
      <c r="AL152" s="42">
        <f t="shared" si="485"/>
        <v>0.11634498576234321</v>
      </c>
      <c r="AM152" s="1058"/>
      <c r="AN152" s="220">
        <v>4.5999999999999996</v>
      </c>
      <c r="AO152" s="67">
        <v>24</v>
      </c>
      <c r="AP152" s="68">
        <f t="shared" si="486"/>
        <v>54.874319999999997</v>
      </c>
      <c r="AQ152" s="68">
        <f t="shared" si="487"/>
        <v>10.235473840695816</v>
      </c>
      <c r="AR152" s="69">
        <f t="shared" si="488"/>
        <v>6969.6351000000022</v>
      </c>
      <c r="AS152" s="140">
        <f t="shared" si="489"/>
        <v>8.0113605661130709</v>
      </c>
      <c r="AT152" s="1073"/>
      <c r="AU152" s="70">
        <v>2.7</v>
      </c>
      <c r="AV152" s="71">
        <v>12</v>
      </c>
      <c r="AW152" s="72">
        <f t="shared" si="490"/>
        <v>16.742052000000005</v>
      </c>
      <c r="AX152" s="72">
        <f t="shared" si="491"/>
        <v>3.1228238506749442</v>
      </c>
      <c r="AY152" s="73">
        <f t="shared" si="492"/>
        <v>2210.8809779999992</v>
      </c>
      <c r="AZ152" s="192">
        <f t="shared" si="493"/>
        <v>2.5413331443304239</v>
      </c>
      <c r="BA152" s="1075"/>
      <c r="BB152" s="90">
        <f t="shared" si="407"/>
        <v>35702</v>
      </c>
      <c r="BC152" s="59"/>
      <c r="BD152" s="56">
        <v>35702</v>
      </c>
      <c r="BE152" s="56"/>
      <c r="BF152" s="58">
        <f t="shared" si="472"/>
        <v>74198</v>
      </c>
      <c r="BG152" s="58">
        <f t="shared" si="473"/>
        <v>85.288099413476814</v>
      </c>
      <c r="BH152" s="1133"/>
      <c r="BI152" s="63">
        <f t="shared" si="410"/>
        <v>1320</v>
      </c>
      <c r="BJ152" s="64"/>
      <c r="BK152" s="64">
        <v>1200</v>
      </c>
      <c r="BL152" s="64">
        <f t="shared" si="494"/>
        <v>120</v>
      </c>
      <c r="BM152" s="65">
        <f t="shared" si="495"/>
        <v>1.0098799925942135</v>
      </c>
      <c r="BN152" s="64">
        <f t="shared" si="496"/>
        <v>22032</v>
      </c>
      <c r="BO152" s="65">
        <f t="shared" si="497"/>
        <v>0.29792105140817593</v>
      </c>
      <c r="BP152" s="1071"/>
      <c r="BQ152" s="35">
        <f t="shared" si="413"/>
        <v>30250</v>
      </c>
      <c r="BR152" s="35"/>
      <c r="BS152" s="35">
        <v>28402</v>
      </c>
      <c r="BT152" s="35">
        <f t="shared" si="498"/>
        <v>1848</v>
      </c>
      <c r="BU152" s="74">
        <f t="shared" si="499"/>
        <v>396605</v>
      </c>
      <c r="BV152" s="74">
        <f t="shared" si="500"/>
        <v>455.88407595733003</v>
      </c>
      <c r="BW152" s="1098"/>
      <c r="BX152" s="295">
        <f t="shared" si="454"/>
        <v>1000</v>
      </c>
      <c r="BY152" s="296"/>
      <c r="BZ152" s="296">
        <v>880</v>
      </c>
      <c r="CA152" s="296">
        <f t="shared" si="502"/>
        <v>120</v>
      </c>
      <c r="CB152" s="297">
        <f t="shared" si="503"/>
        <v>1.0098799925942135</v>
      </c>
      <c r="CC152" s="296">
        <f t="shared" si="504"/>
        <v>9120</v>
      </c>
      <c r="CD152" s="297">
        <f t="shared" si="505"/>
        <v>0.12332243958072642</v>
      </c>
      <c r="CE152" s="1061"/>
    </row>
    <row r="153" spans="1:83">
      <c r="A153" s="30">
        <v>43735</v>
      </c>
      <c r="B153" s="32">
        <v>642178</v>
      </c>
      <c r="C153" s="114">
        <f t="shared" si="388"/>
        <v>74594656</v>
      </c>
      <c r="D153" s="91">
        <v>5944.2</v>
      </c>
      <c r="E153" s="93">
        <f t="shared" si="389"/>
        <v>875913.16999999958</v>
      </c>
      <c r="F153" s="240"/>
      <c r="G153" s="321">
        <v>31840</v>
      </c>
      <c r="H153" s="240"/>
      <c r="I153" s="240">
        <f t="shared" si="419"/>
        <v>31840</v>
      </c>
      <c r="J153" s="280">
        <f t="shared" si="501"/>
        <v>49.581268744802841</v>
      </c>
      <c r="K153" s="240">
        <f t="shared" si="435"/>
        <v>2010520</v>
      </c>
      <c r="L153" s="280">
        <f t="shared" si="436"/>
        <v>26.952601001337147</v>
      </c>
      <c r="M153" s="280">
        <f t="shared" si="437"/>
        <v>3.300183788580525</v>
      </c>
      <c r="N153" s="1089"/>
      <c r="O153" s="1084"/>
      <c r="P153" s="77">
        <f t="shared" si="394"/>
        <v>55423</v>
      </c>
      <c r="Q153" s="35"/>
      <c r="R153" s="35">
        <v>53314</v>
      </c>
      <c r="S153" s="35">
        <f t="shared" si="474"/>
        <v>2109</v>
      </c>
      <c r="T153" s="36">
        <f t="shared" si="475"/>
        <v>3.2841361740825752</v>
      </c>
      <c r="U153" s="74">
        <f t="shared" si="476"/>
        <v>212094</v>
      </c>
      <c r="V153" s="36">
        <f t="shared" si="477"/>
        <v>2.843286789874063</v>
      </c>
      <c r="W153" s="1136"/>
      <c r="X153" s="49">
        <f t="shared" si="397"/>
        <v>363</v>
      </c>
      <c r="Y153" s="50"/>
      <c r="Z153" s="50">
        <f>159+37</f>
        <v>196</v>
      </c>
      <c r="AA153" s="50">
        <f t="shared" si="478"/>
        <v>167</v>
      </c>
      <c r="AB153" s="51">
        <f t="shared" si="479"/>
        <v>0.2600525088059697</v>
      </c>
      <c r="AC153" s="50">
        <f t="shared" si="480"/>
        <v>16698</v>
      </c>
      <c r="AD153" s="51">
        <f t="shared" si="481"/>
        <v>0.22384981572942705</v>
      </c>
      <c r="AE153" s="1047"/>
      <c r="AF153" s="40">
        <f t="shared" si="400"/>
        <v>1062</v>
      </c>
      <c r="AG153" s="41"/>
      <c r="AH153" s="41">
        <v>1023</v>
      </c>
      <c r="AI153" s="41">
        <f t="shared" si="482"/>
        <v>39</v>
      </c>
      <c r="AJ153" s="42">
        <f t="shared" si="483"/>
        <v>6.0730825409777353E-2</v>
      </c>
      <c r="AK153" s="41">
        <f t="shared" si="484"/>
        <v>8643</v>
      </c>
      <c r="AL153" s="42">
        <f t="shared" si="485"/>
        <v>0.11586620896810625</v>
      </c>
      <c r="AM153" s="1058"/>
      <c r="AN153" s="220">
        <v>5.6</v>
      </c>
      <c r="AO153" s="67">
        <v>24</v>
      </c>
      <c r="AP153" s="68">
        <f t="shared" si="486"/>
        <v>66.803519999999992</v>
      </c>
      <c r="AQ153" s="68">
        <f t="shared" si="487"/>
        <v>11.238437468456645</v>
      </c>
      <c r="AR153" s="69">
        <f t="shared" si="488"/>
        <v>7036.4386200000026</v>
      </c>
      <c r="AS153" s="140">
        <f t="shared" si="489"/>
        <v>8.0332604429272436</v>
      </c>
      <c r="AT153" s="1073"/>
      <c r="AU153" s="70">
        <v>3.2</v>
      </c>
      <c r="AV153" s="71">
        <v>12</v>
      </c>
      <c r="AW153" s="72">
        <f t="shared" si="490"/>
        <v>19.842432000000002</v>
      </c>
      <c r="AX153" s="72">
        <f t="shared" si="491"/>
        <v>3.3381164832946402</v>
      </c>
      <c r="AY153" s="73">
        <f t="shared" si="492"/>
        <v>2230.7234099999991</v>
      </c>
      <c r="AZ153" s="192">
        <f t="shared" si="493"/>
        <v>2.5467403464204108</v>
      </c>
      <c r="BA153" s="1075"/>
      <c r="BB153" s="90">
        <f t="shared" si="407"/>
        <v>35702</v>
      </c>
      <c r="BC153" s="59"/>
      <c r="BD153" s="252">
        <v>35702</v>
      </c>
      <c r="BE153" s="56"/>
      <c r="BF153" s="58">
        <f t="shared" si="472"/>
        <v>74198</v>
      </c>
      <c r="BG153" s="58">
        <f t="shared" si="473"/>
        <v>84.709309713884124</v>
      </c>
      <c r="BH153" s="1133"/>
      <c r="BI153" s="63">
        <f t="shared" si="410"/>
        <v>1200</v>
      </c>
      <c r="BJ153" s="64"/>
      <c r="BK153" s="64">
        <v>1080</v>
      </c>
      <c r="BL153" s="64">
        <f t="shared" si="494"/>
        <v>120</v>
      </c>
      <c r="BM153" s="65">
        <f t="shared" si="495"/>
        <v>0.1868640781839303</v>
      </c>
      <c r="BN153" s="64">
        <f t="shared" si="496"/>
        <v>22152</v>
      </c>
      <c r="BO153" s="65">
        <f t="shared" si="497"/>
        <v>0.29696497293318169</v>
      </c>
      <c r="BP153" s="1071"/>
      <c r="BQ153" s="35">
        <f t="shared" si="413"/>
        <v>28402</v>
      </c>
      <c r="BR153" s="35"/>
      <c r="BS153" s="35">
        <v>28402</v>
      </c>
      <c r="BT153" s="35">
        <f t="shared" si="498"/>
        <v>0</v>
      </c>
      <c r="BU153" s="74">
        <f t="shared" si="499"/>
        <v>396605</v>
      </c>
      <c r="BV153" s="74">
        <f t="shared" si="500"/>
        <v>452.79031482081746</v>
      </c>
      <c r="BW153" s="1098"/>
      <c r="BX153" s="295">
        <f t="shared" si="454"/>
        <v>880</v>
      </c>
      <c r="BY153" s="296"/>
      <c r="BZ153" s="296">
        <v>540</v>
      </c>
      <c r="CA153" s="296">
        <f t="shared" si="502"/>
        <v>340</v>
      </c>
      <c r="CB153" s="297">
        <f t="shared" si="503"/>
        <v>0.52944822152113591</v>
      </c>
      <c r="CC153" s="296">
        <f t="shared" si="504"/>
        <v>9460</v>
      </c>
      <c r="CD153" s="297">
        <f t="shared" si="505"/>
        <v>0.12681873618399689</v>
      </c>
      <c r="CE153" s="1061"/>
    </row>
    <row r="154" spans="1:83">
      <c r="A154" s="30">
        <v>43736</v>
      </c>
      <c r="B154" s="32">
        <v>610003</v>
      </c>
      <c r="C154" s="114">
        <f t="shared" si="388"/>
        <v>75204659</v>
      </c>
      <c r="D154" s="91">
        <v>7051.28</v>
      </c>
      <c r="E154" s="93">
        <f t="shared" si="389"/>
        <v>882964.4499999996</v>
      </c>
      <c r="F154" s="240"/>
      <c r="G154" s="321">
        <v>31490</v>
      </c>
      <c r="H154" s="240">
        <v>12000</v>
      </c>
      <c r="I154" s="240">
        <f t="shared" si="419"/>
        <v>19490</v>
      </c>
      <c r="J154" s="280">
        <f t="shared" si="501"/>
        <v>31.950662537725226</v>
      </c>
      <c r="K154" s="240">
        <f t="shared" si="435"/>
        <v>2030010</v>
      </c>
      <c r="L154" s="280">
        <f t="shared" si="436"/>
        <v>26.993141475450344</v>
      </c>
      <c r="M154" s="280">
        <f t="shared" si="437"/>
        <v>3.3051477256581787</v>
      </c>
      <c r="N154" s="1089"/>
      <c r="O154" s="1084"/>
      <c r="P154" s="77">
        <f t="shared" si="394"/>
        <v>53314</v>
      </c>
      <c r="Q154" s="35"/>
      <c r="R154" s="35">
        <v>52876</v>
      </c>
      <c r="S154" s="35">
        <f t="shared" si="474"/>
        <v>438</v>
      </c>
      <c r="T154" s="36">
        <f t="shared" si="475"/>
        <v>0.71802925559382491</v>
      </c>
      <c r="U154" s="74">
        <f t="shared" si="476"/>
        <v>212532</v>
      </c>
      <c r="V154" s="36">
        <f t="shared" si="477"/>
        <v>2.8260483170331243</v>
      </c>
      <c r="W154" s="1136"/>
      <c r="X154" s="49">
        <f t="shared" si="397"/>
        <v>196</v>
      </c>
      <c r="Y154" s="50"/>
      <c r="Z154" s="50">
        <f>44+37</f>
        <v>81</v>
      </c>
      <c r="AA154" s="50">
        <f t="shared" si="478"/>
        <v>115</v>
      </c>
      <c r="AB154" s="51">
        <f t="shared" si="479"/>
        <v>0.18852366299837869</v>
      </c>
      <c r="AC154" s="50">
        <f t="shared" si="480"/>
        <v>16813</v>
      </c>
      <c r="AD154" s="51">
        <f t="shared" si="481"/>
        <v>0.22356327684432423</v>
      </c>
      <c r="AE154" s="1047"/>
      <c r="AF154" s="40">
        <f t="shared" si="400"/>
        <v>1023</v>
      </c>
      <c r="AG154" s="41"/>
      <c r="AH154" s="41">
        <v>964</v>
      </c>
      <c r="AI154" s="41">
        <f t="shared" si="482"/>
        <v>59</v>
      </c>
      <c r="AJ154" s="42">
        <f t="shared" si="483"/>
        <v>9.6720835799168195E-2</v>
      </c>
      <c r="AK154" s="41">
        <f t="shared" si="484"/>
        <v>8702</v>
      </c>
      <c r="AL154" s="42">
        <f t="shared" si="485"/>
        <v>0.11571091626118536</v>
      </c>
      <c r="AM154" s="1058"/>
      <c r="AN154" s="220">
        <v>6.5</v>
      </c>
      <c r="AO154" s="67">
        <v>24</v>
      </c>
      <c r="AP154" s="68">
        <f t="shared" si="486"/>
        <v>77.5398</v>
      </c>
      <c r="AQ154" s="68">
        <f t="shared" si="487"/>
        <v>10.996556653543754</v>
      </c>
      <c r="AR154" s="69">
        <f t="shared" si="488"/>
        <v>7113.9784200000022</v>
      </c>
      <c r="AS154" s="140">
        <f t="shared" si="489"/>
        <v>8.0569250777876782</v>
      </c>
      <c r="AT154" s="1073"/>
      <c r="AU154" s="70">
        <v>3.7</v>
      </c>
      <c r="AV154" s="71">
        <v>12</v>
      </c>
      <c r="AW154" s="72">
        <f t="shared" si="490"/>
        <v>22.942812000000004</v>
      </c>
      <c r="AX154" s="72">
        <f t="shared" si="491"/>
        <v>3.2537088301698422</v>
      </c>
      <c r="AY154" s="73">
        <f t="shared" si="492"/>
        <v>2253.6662219999989</v>
      </c>
      <c r="AZ154" s="192">
        <f t="shared" si="493"/>
        <v>2.5523861374033805</v>
      </c>
      <c r="BA154" s="1075"/>
      <c r="BB154" s="90">
        <f t="shared" si="407"/>
        <v>35702</v>
      </c>
      <c r="BC154" s="59"/>
      <c r="BD154" s="252">
        <v>35267</v>
      </c>
      <c r="BE154" s="56">
        <f>BB154-BD154+BC154</f>
        <v>435</v>
      </c>
      <c r="BF154" s="58">
        <f t="shared" si="472"/>
        <v>74633</v>
      </c>
      <c r="BG154" s="58">
        <f t="shared" si="473"/>
        <v>84.525486841514436</v>
      </c>
      <c r="BH154" s="1133"/>
      <c r="BI154" s="63">
        <f t="shared" si="410"/>
        <v>1080</v>
      </c>
      <c r="BJ154" s="64"/>
      <c r="BK154" s="64">
        <v>840</v>
      </c>
      <c r="BL154" s="64">
        <f t="shared" si="494"/>
        <v>240</v>
      </c>
      <c r="BM154" s="65">
        <f t="shared" si="495"/>
        <v>0.39344068799661641</v>
      </c>
      <c r="BN154" s="64">
        <f t="shared" si="496"/>
        <v>22392</v>
      </c>
      <c r="BO154" s="65">
        <f t="shared" si="497"/>
        <v>0.29774751056314208</v>
      </c>
      <c r="BP154" s="1071"/>
      <c r="BQ154" s="35">
        <f t="shared" si="413"/>
        <v>28402</v>
      </c>
      <c r="BR154" s="315">
        <v>26740</v>
      </c>
      <c r="BS154" s="35">
        <v>48734</v>
      </c>
      <c r="BT154" s="35">
        <f t="shared" si="498"/>
        <v>6408</v>
      </c>
      <c r="BU154" s="74">
        <f t="shared" si="499"/>
        <v>403013</v>
      </c>
      <c r="BV154" s="74">
        <f t="shared" si="500"/>
        <v>456.43173969235136</v>
      </c>
      <c r="BW154" s="1098"/>
      <c r="BX154" s="295">
        <f t="shared" si="454"/>
        <v>540</v>
      </c>
      <c r="BY154" s="296"/>
      <c r="BZ154" s="296">
        <v>280</v>
      </c>
      <c r="CA154" s="296">
        <f t="shared" si="502"/>
        <v>260</v>
      </c>
      <c r="CB154" s="297">
        <f t="shared" si="503"/>
        <v>0.42622741199633446</v>
      </c>
      <c r="CC154" s="296">
        <f t="shared" si="504"/>
        <v>9720</v>
      </c>
      <c r="CD154" s="297">
        <f t="shared" si="505"/>
        <v>0.12924731165924175</v>
      </c>
      <c r="CE154" s="1061"/>
    </row>
    <row r="155" spans="1:83">
      <c r="A155" s="30">
        <v>43737</v>
      </c>
      <c r="B155" s="32">
        <v>675173</v>
      </c>
      <c r="C155" s="114">
        <f t="shared" si="388"/>
        <v>75879832</v>
      </c>
      <c r="D155" s="91">
        <v>6490.82</v>
      </c>
      <c r="E155" s="93">
        <f t="shared" si="389"/>
        <v>889455.26999999955</v>
      </c>
      <c r="F155" s="240">
        <f t="shared" si="390"/>
        <v>12000</v>
      </c>
      <c r="G155" s="321">
        <v>18700</v>
      </c>
      <c r="H155" s="240"/>
      <c r="I155" s="240">
        <f t="shared" si="419"/>
        <v>30700</v>
      </c>
      <c r="J155" s="280">
        <f t="shared" si="501"/>
        <v>45.469827733040276</v>
      </c>
      <c r="K155" s="240">
        <f t="shared" si="435"/>
        <v>2060710</v>
      </c>
      <c r="L155" s="280">
        <f t="shared" si="436"/>
        <v>27.157545630833763</v>
      </c>
      <c r="M155" s="280">
        <f t="shared" si="437"/>
        <v>3.3252780250806615</v>
      </c>
      <c r="N155" s="1089"/>
      <c r="O155" s="1084"/>
      <c r="P155" s="77">
        <f t="shared" si="394"/>
        <v>52876</v>
      </c>
      <c r="Q155" s="35"/>
      <c r="R155" s="35">
        <v>51302</v>
      </c>
      <c r="S155" s="35">
        <f t="shared" si="474"/>
        <v>1574</v>
      </c>
      <c r="T155" s="36">
        <f t="shared" si="475"/>
        <v>2.331254359993661</v>
      </c>
      <c r="U155" s="74">
        <f t="shared" si="476"/>
        <v>214106</v>
      </c>
      <c r="V155" s="36">
        <f t="shared" si="477"/>
        <v>2.8216456778660239</v>
      </c>
      <c r="W155" s="1136"/>
      <c r="X155" s="49">
        <f t="shared" si="397"/>
        <v>81</v>
      </c>
      <c r="Y155" s="336">
        <v>900</v>
      </c>
      <c r="Z155" s="50">
        <f>815+105</f>
        <v>920</v>
      </c>
      <c r="AA155" s="50">
        <f t="shared" si="478"/>
        <v>61</v>
      </c>
      <c r="AB155" s="51">
        <f t="shared" si="479"/>
        <v>9.0347214713858523E-2</v>
      </c>
      <c r="AC155" s="50">
        <f t="shared" si="480"/>
        <v>16874</v>
      </c>
      <c r="AD155" s="51">
        <f t="shared" si="481"/>
        <v>0.22237793040975631</v>
      </c>
      <c r="AE155" s="1047"/>
      <c r="AF155" s="40">
        <f t="shared" si="400"/>
        <v>964</v>
      </c>
      <c r="AG155" s="41"/>
      <c r="AH155" s="41">
        <v>925</v>
      </c>
      <c r="AI155" s="41">
        <f t="shared" si="482"/>
        <v>39</v>
      </c>
      <c r="AJ155" s="42">
        <f t="shared" si="483"/>
        <v>5.7762973341647254E-2</v>
      </c>
      <c r="AK155" s="41">
        <f t="shared" si="484"/>
        <v>8741</v>
      </c>
      <c r="AL155" s="42">
        <f t="shared" si="485"/>
        <v>0.11519529985253525</v>
      </c>
      <c r="AM155" s="1058"/>
      <c r="AN155" s="220">
        <v>5.8</v>
      </c>
      <c r="AO155" s="67">
        <v>24</v>
      </c>
      <c r="AP155" s="68">
        <f t="shared" si="486"/>
        <v>69.189359999999994</v>
      </c>
      <c r="AQ155" s="68">
        <f t="shared" si="487"/>
        <v>10.659571517928399</v>
      </c>
      <c r="AR155" s="69">
        <f t="shared" si="488"/>
        <v>7183.1677800000025</v>
      </c>
      <c r="AS155" s="140">
        <f t="shared" si="489"/>
        <v>8.075917949196036</v>
      </c>
      <c r="AT155" s="1073"/>
      <c r="AU155" s="70">
        <v>3.4</v>
      </c>
      <c r="AV155" s="71">
        <v>12</v>
      </c>
      <c r="AW155" s="72">
        <f t="shared" si="490"/>
        <v>21.082584000000001</v>
      </c>
      <c r="AX155" s="72">
        <f t="shared" si="491"/>
        <v>3.2480617240964933</v>
      </c>
      <c r="AY155" s="73">
        <f t="shared" si="492"/>
        <v>2274.7488059999991</v>
      </c>
      <c r="AZ155" s="192">
        <f t="shared" si="493"/>
        <v>2.5574628457707602</v>
      </c>
      <c r="BA155" s="1075"/>
      <c r="BB155" s="90">
        <f t="shared" si="407"/>
        <v>35267</v>
      </c>
      <c r="BC155" s="59"/>
      <c r="BD155" s="252">
        <v>35267</v>
      </c>
      <c r="BE155" s="56"/>
      <c r="BF155" s="58">
        <f t="shared" si="472"/>
        <v>74633</v>
      </c>
      <c r="BG155" s="58">
        <f t="shared" si="473"/>
        <v>83.908660184789326</v>
      </c>
      <c r="BH155" s="1133"/>
      <c r="BI155" s="63">
        <f t="shared" si="410"/>
        <v>840</v>
      </c>
      <c r="BJ155" s="64"/>
      <c r="BK155" s="64">
        <v>720</v>
      </c>
      <c r="BL155" s="64">
        <f t="shared" si="494"/>
        <v>120</v>
      </c>
      <c r="BM155" s="65">
        <f t="shared" si="495"/>
        <v>0.17773222566660693</v>
      </c>
      <c r="BN155" s="64">
        <f t="shared" si="496"/>
        <v>22512</v>
      </c>
      <c r="BO155" s="65">
        <f t="shared" si="497"/>
        <v>0.29667962364492317</v>
      </c>
      <c r="BP155" s="1071"/>
      <c r="BQ155" s="35">
        <f t="shared" si="413"/>
        <v>48734</v>
      </c>
      <c r="BR155" s="35"/>
      <c r="BS155" s="35">
        <v>43189</v>
      </c>
      <c r="BT155" s="35">
        <f t="shared" si="498"/>
        <v>5545</v>
      </c>
      <c r="BU155" s="74">
        <f t="shared" si="499"/>
        <v>408558</v>
      </c>
      <c r="BV155" s="74">
        <f t="shared" si="500"/>
        <v>459.33507145334045</v>
      </c>
      <c r="BW155" s="1098"/>
      <c r="BX155" s="295">
        <f t="shared" si="454"/>
        <v>280</v>
      </c>
      <c r="BY155" s="296">
        <v>1250</v>
      </c>
      <c r="BZ155" s="296">
        <v>900</v>
      </c>
      <c r="CA155" s="296">
        <f t="shared" si="502"/>
        <v>630</v>
      </c>
      <c r="CB155" s="297">
        <f t="shared" si="503"/>
        <v>0.93309418474968642</v>
      </c>
      <c r="CC155" s="296">
        <f t="shared" si="504"/>
        <v>10350</v>
      </c>
      <c r="CD155" s="297">
        <f t="shared" si="505"/>
        <v>0.13639988027385194</v>
      </c>
      <c r="CE155" s="1061"/>
    </row>
    <row r="156" spans="1:83" ht="15.75" thickBot="1">
      <c r="A156" s="30">
        <v>43738</v>
      </c>
      <c r="B156" s="109">
        <v>689124</v>
      </c>
      <c r="C156" s="171">
        <f t="shared" si="388"/>
        <v>76568956</v>
      </c>
      <c r="D156" s="110">
        <v>6667.98</v>
      </c>
      <c r="E156" s="94">
        <f t="shared" si="389"/>
        <v>896123.24999999953</v>
      </c>
      <c r="F156" s="240"/>
      <c r="G156" s="324">
        <v>18100</v>
      </c>
      <c r="H156" s="231">
        <v>2500</v>
      </c>
      <c r="I156" s="240">
        <f t="shared" si="419"/>
        <v>15600</v>
      </c>
      <c r="J156" s="280">
        <f t="shared" si="501"/>
        <v>22.637435352708657</v>
      </c>
      <c r="K156" s="240">
        <f t="shared" si="435"/>
        <v>2076310</v>
      </c>
      <c r="L156" s="280">
        <f t="shared" si="436"/>
        <v>27.116864437853899</v>
      </c>
      <c r="M156" s="280">
        <f t="shared" si="437"/>
        <v>3.3202968578246477</v>
      </c>
      <c r="N156" s="1090"/>
      <c r="O156" s="1085"/>
      <c r="P156" s="79">
        <f t="shared" si="394"/>
        <v>51302</v>
      </c>
      <c r="Q156" s="76"/>
      <c r="R156" s="76">
        <v>47752</v>
      </c>
      <c r="S156" s="76">
        <f>P156+Q156-R156</f>
        <v>3550</v>
      </c>
      <c r="T156" s="80">
        <f>1000*S156/B156</f>
        <v>5.1514676603920337</v>
      </c>
      <c r="U156" s="81">
        <f>U155+S156</f>
        <v>217656</v>
      </c>
      <c r="V156" s="80">
        <f>1000*U156/C156</f>
        <v>2.8426141790414383</v>
      </c>
      <c r="W156" s="1136"/>
      <c r="X156" s="83">
        <f t="shared" si="397"/>
        <v>920</v>
      </c>
      <c r="Y156" s="82"/>
      <c r="Z156" s="82">
        <f>743+115</f>
        <v>858</v>
      </c>
      <c r="AA156" s="82">
        <f>X156-Z156+Y156</f>
        <v>62</v>
      </c>
      <c r="AB156" s="84">
        <f>AA156*1000/B156</f>
        <v>8.9969294350508766E-2</v>
      </c>
      <c r="AC156" s="82">
        <f>AC155+AA156</f>
        <v>16936</v>
      </c>
      <c r="AD156" s="84">
        <f>AC156*1000/C156</f>
        <v>0.22118624681261162</v>
      </c>
      <c r="AE156" s="1047"/>
      <c r="AF156" s="95">
        <f t="shared" si="400"/>
        <v>925</v>
      </c>
      <c r="AG156" s="96"/>
      <c r="AH156" s="96">
        <v>845</v>
      </c>
      <c r="AI156" s="96">
        <f>AF156+AG156-AH156</f>
        <v>80</v>
      </c>
      <c r="AJ156" s="97">
        <f>AI156*1000/B156</f>
        <v>0.11608941206517259</v>
      </c>
      <c r="AK156" s="96">
        <f>AK155+AI156</f>
        <v>8821</v>
      </c>
      <c r="AL156" s="97">
        <f>AK156*1000/C156</f>
        <v>0.11520334690210482</v>
      </c>
      <c r="AM156" s="1058"/>
      <c r="AN156" s="215">
        <v>5.9</v>
      </c>
      <c r="AO156" s="67">
        <v>24</v>
      </c>
      <c r="AP156" s="68">
        <f>AN156*AO156*0.49705</f>
        <v>70.382280000000009</v>
      </c>
      <c r="AQ156" s="68">
        <f>AP156*1000/D156</f>
        <v>10.555262613265189</v>
      </c>
      <c r="AR156" s="69">
        <f>AR155+AP156</f>
        <v>7253.5500600000023</v>
      </c>
      <c r="AS156" s="140">
        <f>AR156*1000/E156</f>
        <v>8.0943665505833113</v>
      </c>
      <c r="AT156" s="1074"/>
      <c r="AU156" s="113">
        <v>3.3</v>
      </c>
      <c r="AV156" s="279">
        <v>12</v>
      </c>
      <c r="AW156" s="105">
        <f t="shared" si="490"/>
        <v>20.462508</v>
      </c>
      <c r="AX156" s="105">
        <f t="shared" si="491"/>
        <v>3.0687716519845591</v>
      </c>
      <c r="AY156" s="193">
        <f t="shared" si="492"/>
        <v>2295.2113139999992</v>
      </c>
      <c r="AZ156" s="193">
        <f t="shared" si="493"/>
        <v>2.5612674528866433</v>
      </c>
      <c r="BA156" s="1075"/>
      <c r="BB156" s="87">
        <f t="shared" si="407"/>
        <v>35267</v>
      </c>
      <c r="BC156" s="100"/>
      <c r="BD156" s="274">
        <v>35267</v>
      </c>
      <c r="BE156" s="88"/>
      <c r="BF156" s="89">
        <f t="shared" si="472"/>
        <v>74633</v>
      </c>
      <c r="BG156" s="89">
        <f t="shared" si="473"/>
        <v>83.284302689390145</v>
      </c>
      <c r="BH156" s="1134"/>
      <c r="BI156" s="207">
        <f t="shared" si="410"/>
        <v>720</v>
      </c>
      <c r="BJ156" s="85"/>
      <c r="BK156" s="85">
        <v>408</v>
      </c>
      <c r="BL156" s="85">
        <f t="shared" si="494"/>
        <v>312</v>
      </c>
      <c r="BM156" s="86">
        <f t="shared" si="495"/>
        <v>0.45274870705417314</v>
      </c>
      <c r="BN156" s="85">
        <f t="shared" si="496"/>
        <v>22824</v>
      </c>
      <c r="BO156" s="86">
        <f t="shared" si="497"/>
        <v>0.29808425231761027</v>
      </c>
      <c r="BP156" s="1071"/>
      <c r="BQ156" s="35">
        <f t="shared" si="413"/>
        <v>43189</v>
      </c>
      <c r="BR156" s="76"/>
      <c r="BS156" s="76">
        <v>43189</v>
      </c>
      <c r="BT156" s="35">
        <f t="shared" si="498"/>
        <v>0</v>
      </c>
      <c r="BU156" s="74">
        <f t="shared" si="499"/>
        <v>408558</v>
      </c>
      <c r="BV156" s="74">
        <f t="shared" si="500"/>
        <v>455.91719665793761</v>
      </c>
      <c r="BW156" s="1098"/>
      <c r="BX156" s="305">
        <f t="shared" si="454"/>
        <v>900</v>
      </c>
      <c r="BY156" s="299"/>
      <c r="BZ156" s="299">
        <v>780</v>
      </c>
      <c r="CA156" s="299">
        <f t="shared" si="502"/>
        <v>120</v>
      </c>
      <c r="CB156" s="300">
        <f t="shared" si="503"/>
        <v>0.17413411809775889</v>
      </c>
      <c r="CC156" s="299">
        <f t="shared" si="504"/>
        <v>10470</v>
      </c>
      <c r="CD156" s="300">
        <f t="shared" si="505"/>
        <v>0.13673949008786276</v>
      </c>
      <c r="CE156" s="1061"/>
    </row>
    <row r="157" spans="1:83">
      <c r="A157" s="30">
        <v>43739</v>
      </c>
      <c r="B157" s="32">
        <v>683799</v>
      </c>
      <c r="C157" s="1">
        <f t="shared" si="388"/>
        <v>77252755</v>
      </c>
      <c r="D157" s="91">
        <v>6968.37</v>
      </c>
      <c r="E157" s="91">
        <f t="shared" si="389"/>
        <v>903091.61999999953</v>
      </c>
      <c r="F157" s="242">
        <f>H156</f>
        <v>2500</v>
      </c>
      <c r="G157" s="323">
        <f>32250+31500</f>
        <v>63750</v>
      </c>
      <c r="H157" s="241">
        <v>14000</v>
      </c>
      <c r="I157" s="241">
        <f>F157-H157+G157</f>
        <v>52250</v>
      </c>
      <c r="J157" s="313">
        <f t="shared" si="501"/>
        <v>76.411343099361076</v>
      </c>
      <c r="K157" s="241">
        <f t="shared" si="435"/>
        <v>2128560</v>
      </c>
      <c r="L157" s="313">
        <f t="shared" si="436"/>
        <v>27.553192115931658</v>
      </c>
      <c r="M157" s="313">
        <f t="shared" si="437"/>
        <v>3.3737225561321975</v>
      </c>
      <c r="N157" s="1052">
        <f>1000*SUM(I157:I187)/SUM(B157:B187)</f>
        <v>34.671246513454442</v>
      </c>
      <c r="O157" s="1083">
        <f>N157/8.167</f>
        <v>4.245285479791165</v>
      </c>
      <c r="P157" s="35">
        <f>R156</f>
        <v>47752</v>
      </c>
      <c r="Q157" s="98"/>
      <c r="R157" s="35">
        <v>46275</v>
      </c>
      <c r="S157" s="35">
        <f>P157+Q157-R157</f>
        <v>1477</v>
      </c>
      <c r="T157" s="36">
        <f>1000*S157/B157</f>
        <v>2.1599914594785896</v>
      </c>
      <c r="U157" s="74">
        <f>U156+S157</f>
        <v>219133</v>
      </c>
      <c r="V157" s="36">
        <f>1000*U157/C157</f>
        <v>2.8365719772712312</v>
      </c>
      <c r="W157" s="1135">
        <f>1000*SUM(S157:S187)/SUM(B157:B187)</f>
        <v>3.5656725278073353</v>
      </c>
      <c r="X157" s="49">
        <f>Z156</f>
        <v>858</v>
      </c>
      <c r="Y157" s="248"/>
      <c r="Z157" s="50">
        <f>635+110</f>
        <v>745</v>
      </c>
      <c r="AA157" s="50">
        <f>X157-Z157+Y157</f>
        <v>113</v>
      </c>
      <c r="AB157" s="51">
        <f>AA157*1000/B157</f>
        <v>0.1652532396215847</v>
      </c>
      <c r="AC157" s="50">
        <f>AC156+AA157</f>
        <v>17049</v>
      </c>
      <c r="AD157" s="51">
        <f>AC157*1000/C157</f>
        <v>0.22069115852243715</v>
      </c>
      <c r="AE157" s="1046">
        <f>1000*SUM(AA157:AA187)/SUM(B157:B187)</f>
        <v>0.11352440989171451</v>
      </c>
      <c r="AF157" s="40">
        <f>AH156</f>
        <v>845</v>
      </c>
      <c r="AG157" s="44"/>
      <c r="AH157" s="41">
        <v>805</v>
      </c>
      <c r="AI157" s="41">
        <f>AF157+AG157-AH157</f>
        <v>40</v>
      </c>
      <c r="AJ157" s="42">
        <f>AI157*1000/B157</f>
        <v>5.8496721989941491E-2</v>
      </c>
      <c r="AK157" s="41">
        <f>AK156+AI157</f>
        <v>8861</v>
      </c>
      <c r="AL157" s="42">
        <f>AK157*1000/C157</f>
        <v>0.11470141097233361</v>
      </c>
      <c r="AM157" s="1057">
        <f>1000*SUM(AI157:AI186)/SUM(B157:B186)</f>
        <v>8.4018987577150053E-2</v>
      </c>
      <c r="AN157" s="219">
        <v>5.6</v>
      </c>
      <c r="AO157" s="135">
        <v>24</v>
      </c>
      <c r="AP157" s="102">
        <f>AN157*AO157*0.49705</f>
        <v>66.803519999999992</v>
      </c>
      <c r="AQ157" s="102">
        <f>AP157*1000/D157</f>
        <v>9.5866780897110786</v>
      </c>
      <c r="AR157" s="257">
        <f>AR156+AP157</f>
        <v>7320.3535800000027</v>
      </c>
      <c r="AS157" s="102">
        <f>AR157*1000/E157</f>
        <v>8.1058814165499697</v>
      </c>
      <c r="AT157" s="1064">
        <f>1000*SUM(AP157:AP187)/SUM(D157:D187)</f>
        <v>10.605217125734947</v>
      </c>
      <c r="AU157" s="71">
        <v>3.5</v>
      </c>
      <c r="AV157" s="71">
        <v>12</v>
      </c>
      <c r="AW157" s="72">
        <f>AU157*AV157*0.51673</f>
        <v>21.702660000000002</v>
      </c>
      <c r="AX157" s="72">
        <f>AW157*1000/D157</f>
        <v>3.1144528777892102</v>
      </c>
      <c r="AY157" s="276">
        <f>AY156+AW157</f>
        <v>2316.9139739999991</v>
      </c>
      <c r="AZ157" s="72">
        <f>AY157*1000/E157</f>
        <v>2.5655359021048167</v>
      </c>
      <c r="BA157" s="1065">
        <f>1000*SUM(AW157:AW187)/SUM(D157:D187)</f>
        <v>2.8762662371390935</v>
      </c>
      <c r="BB157" s="253">
        <f>BD156</f>
        <v>35267</v>
      </c>
      <c r="BC157" s="59"/>
      <c r="BD157" s="252">
        <v>35267</v>
      </c>
      <c r="BE157" s="57"/>
      <c r="BF157" s="58">
        <f>BF156+BE157</f>
        <v>74633</v>
      </c>
      <c r="BG157" s="58">
        <f>BF157*1000/E157</f>
        <v>82.641670398846173</v>
      </c>
      <c r="BH157" s="1132">
        <f>1000*SUM(BE157:BE187)/SUM(D157:D187)</f>
        <v>81.841190716069775</v>
      </c>
      <c r="BI157" s="63">
        <f>BK156</f>
        <v>408</v>
      </c>
      <c r="BJ157" s="64">
        <v>2200</v>
      </c>
      <c r="BK157" s="64">
        <v>2160</v>
      </c>
      <c r="BL157" s="64">
        <f>BI157-BK157+BJ157</f>
        <v>448</v>
      </c>
      <c r="BM157" s="65">
        <f>BL157*1000/B157</f>
        <v>0.65516328628734466</v>
      </c>
      <c r="BN157" s="64">
        <f>BN156+BL157</f>
        <v>23272</v>
      </c>
      <c r="BO157" s="65">
        <f>BN157*1000/C157</f>
        <v>0.3012449200031766</v>
      </c>
      <c r="BP157" s="1067">
        <f>1000*SUM(BL157:BL187)/SUM(B157:B187)</f>
        <v>0.2990733698657857</v>
      </c>
      <c r="BQ157" s="117">
        <f>BS156</f>
        <v>43189</v>
      </c>
      <c r="BR157" s="118"/>
      <c r="BS157" s="118">
        <v>39492</v>
      </c>
      <c r="BT157" s="118">
        <f>BQ157-BS157+BR157</f>
        <v>3697</v>
      </c>
      <c r="BU157" s="118">
        <f>BU156+BT157</f>
        <v>412255</v>
      </c>
      <c r="BV157" s="120">
        <f>BU157*1000/E157</f>
        <v>456.49299680136573</v>
      </c>
      <c r="BW157" s="1063">
        <f>1000*SUM(BT157:BT187)/SUM(D157:D187)</f>
        <v>415.66346292010223</v>
      </c>
      <c r="BX157" s="295">
        <f>BZ156</f>
        <v>780</v>
      </c>
      <c r="BY157" s="303">
        <v>1250</v>
      </c>
      <c r="BZ157" s="296">
        <v>1650</v>
      </c>
      <c r="CA157" s="296">
        <f>BY157+BX157-BZ157</f>
        <v>380</v>
      </c>
      <c r="CB157" s="296">
        <f>CA157*1000/B157</f>
        <v>0.55571885890444417</v>
      </c>
      <c r="CC157" s="296">
        <f>CC156+CA157</f>
        <v>10850</v>
      </c>
      <c r="CD157" s="297">
        <f>CC157*1000/C157</f>
        <v>0.14044806557384265</v>
      </c>
      <c r="CE157" s="1060">
        <f>1000*SUM(CA157:CA187)/SUM(B157:B187)</f>
        <v>2.1721689707377402E-2</v>
      </c>
    </row>
    <row r="158" spans="1:83">
      <c r="A158" s="30">
        <v>43740</v>
      </c>
      <c r="B158" s="32">
        <v>711831</v>
      </c>
      <c r="C158" s="1">
        <f t="shared" si="388"/>
        <v>77964586</v>
      </c>
      <c r="D158" s="91">
        <v>7396.38</v>
      </c>
      <c r="E158" s="91">
        <f t="shared" si="389"/>
        <v>910487.99999999953</v>
      </c>
      <c r="F158" s="243">
        <f>H157</f>
        <v>14000</v>
      </c>
      <c r="G158" s="321">
        <v>30680</v>
      </c>
      <c r="H158" s="240"/>
      <c r="I158" s="240">
        <f>F158-H158+G158</f>
        <v>44680</v>
      </c>
      <c r="J158" s="280">
        <f t="shared" si="501"/>
        <v>62.767707503606893</v>
      </c>
      <c r="K158" s="240">
        <f t="shared" si="435"/>
        <v>2173240</v>
      </c>
      <c r="L158" s="280">
        <f t="shared" si="436"/>
        <v>27.874707113817035</v>
      </c>
      <c r="M158" s="280">
        <f t="shared" si="437"/>
        <v>3.4130901327068734</v>
      </c>
      <c r="N158" s="1089"/>
      <c r="O158" s="1084"/>
      <c r="P158" s="35">
        <f>R157</f>
        <v>46275</v>
      </c>
      <c r="Q158" s="98"/>
      <c r="R158" s="35">
        <v>45023</v>
      </c>
      <c r="S158" s="35">
        <f>P158+Q158-R158</f>
        <v>1252</v>
      </c>
      <c r="T158" s="36">
        <f>1000*S158/B158</f>
        <v>1.7588444448190652</v>
      </c>
      <c r="U158" s="74">
        <f>U157+S158</f>
        <v>220385</v>
      </c>
      <c r="V158" s="36">
        <f>1000*U158/C158</f>
        <v>2.8267321268146026</v>
      </c>
      <c r="W158" s="1136"/>
      <c r="X158" s="49">
        <f>Z157</f>
        <v>745</v>
      </c>
      <c r="Y158" s="248"/>
      <c r="Z158" s="50">
        <f>635+37</f>
        <v>672</v>
      </c>
      <c r="AA158" s="50">
        <f>X158-Z158+Y158</f>
        <v>73</v>
      </c>
      <c r="AB158" s="51">
        <f>AA158*1000/B158</f>
        <v>0.10255243168673463</v>
      </c>
      <c r="AC158" s="50">
        <f>AC157+AA158</f>
        <v>17122</v>
      </c>
      <c r="AD158" s="51">
        <f>AC158*1000/C158</f>
        <v>0.21961253023263666</v>
      </c>
      <c r="AE158" s="1047"/>
      <c r="AF158" s="40">
        <f>AH157</f>
        <v>805</v>
      </c>
      <c r="AG158" s="44"/>
      <c r="AH158" s="41">
        <v>745</v>
      </c>
      <c r="AI158" s="41">
        <f>AF158+AG158-AH158</f>
        <v>60</v>
      </c>
      <c r="AJ158" s="42">
        <f>AI158*1000/B158</f>
        <v>8.4289669879507922E-2</v>
      </c>
      <c r="AK158" s="41">
        <f>AK157+AI158</f>
        <v>8921</v>
      </c>
      <c r="AL158" s="42">
        <f>AK158*1000/C158</f>
        <v>0.11442374618650576</v>
      </c>
      <c r="AM158" s="1058"/>
      <c r="AN158" s="260">
        <v>6</v>
      </c>
      <c r="AO158" s="67">
        <v>24</v>
      </c>
      <c r="AP158" s="68">
        <f>AN158*AO158*0.49705</f>
        <v>71.575199999999995</v>
      </c>
      <c r="AQ158" s="68">
        <f>AP158*1000/D158</f>
        <v>9.677058236596821</v>
      </c>
      <c r="AR158" s="258">
        <f>AR157+AP158</f>
        <v>7391.9287800000029</v>
      </c>
      <c r="AS158" s="68">
        <f>AR158*1000/E158</f>
        <v>8.1186449244800674</v>
      </c>
      <c r="AT158" s="1073"/>
      <c r="AU158" s="71">
        <v>3.4</v>
      </c>
      <c r="AV158" s="71">
        <v>12</v>
      </c>
      <c r="AW158" s="72">
        <f>AU158*AV158*0.51673</f>
        <v>21.082584000000001</v>
      </c>
      <c r="AX158" s="72">
        <f>AW158*1000/D158</f>
        <v>2.8503922188962707</v>
      </c>
      <c r="AY158" s="276">
        <f>AY157+AW158</f>
        <v>2337.9965579999994</v>
      </c>
      <c r="AZ158" s="72">
        <f>AY158*1000/E158</f>
        <v>2.5678499420091208</v>
      </c>
      <c r="BA158" s="1075"/>
      <c r="BB158" s="253">
        <f>BD157</f>
        <v>35267</v>
      </c>
      <c r="BC158" s="59"/>
      <c r="BD158" s="252">
        <v>31955</v>
      </c>
      <c r="BE158" s="57">
        <f>BB158-BD158+BC158</f>
        <v>3312</v>
      </c>
      <c r="BF158" s="58">
        <f>BF157+BE158</f>
        <v>77945</v>
      </c>
      <c r="BG158" s="58">
        <f>BF158*1000/E158</f>
        <v>85.607937721309938</v>
      </c>
      <c r="BH158" s="1133"/>
      <c r="BI158" s="63">
        <f>BK157</f>
        <v>2160</v>
      </c>
      <c r="BJ158" s="133"/>
      <c r="BK158" s="64">
        <v>1920</v>
      </c>
      <c r="BL158" s="64">
        <f>BI158-BK158+BJ158</f>
        <v>240</v>
      </c>
      <c r="BM158" s="65">
        <f>BL158*1000/B158</f>
        <v>0.33715867951803169</v>
      </c>
      <c r="BN158" s="64">
        <f>BN157+BL158</f>
        <v>23512</v>
      </c>
      <c r="BO158" s="65">
        <f>BN158*1000/C158</f>
        <v>0.30157281922846357</v>
      </c>
      <c r="BP158" s="1071"/>
      <c r="BQ158" s="77">
        <f>BS157</f>
        <v>39492</v>
      </c>
      <c r="BR158" s="35"/>
      <c r="BS158" s="35">
        <v>35795</v>
      </c>
      <c r="BT158" s="35">
        <f>BQ158-BS158+BR158</f>
        <v>3697</v>
      </c>
      <c r="BU158" s="35">
        <f>BU157+BT158</f>
        <v>415952</v>
      </c>
      <c r="BV158" s="74">
        <f>BU158*1000/E158</f>
        <v>456.84512041894038</v>
      </c>
      <c r="BW158" s="1098"/>
      <c r="BX158" s="295">
        <f>BZ157</f>
        <v>1650</v>
      </c>
      <c r="BY158" s="303"/>
      <c r="BZ158" s="296">
        <v>1650</v>
      </c>
      <c r="CA158" s="296"/>
      <c r="CB158" s="296"/>
      <c r="CC158" s="296">
        <f>CC157+CA158</f>
        <v>10850</v>
      </c>
      <c r="CD158" s="297">
        <f>CC158*1000/C158</f>
        <v>0.13916574892092673</v>
      </c>
      <c r="CE158" s="1061"/>
    </row>
    <row r="159" spans="1:83">
      <c r="A159" s="30">
        <v>43741</v>
      </c>
      <c r="B159" s="32">
        <v>721625</v>
      </c>
      <c r="C159" s="1">
        <f t="shared" si="388"/>
        <v>78686211</v>
      </c>
      <c r="D159" s="91">
        <v>7383.78</v>
      </c>
      <c r="E159" s="91">
        <f t="shared" si="389"/>
        <v>917871.77999999956</v>
      </c>
      <c r="F159" s="243"/>
      <c r="G159" s="321"/>
      <c r="H159" s="240"/>
      <c r="I159" s="240"/>
      <c r="J159" s="280"/>
      <c r="K159" s="240">
        <f t="shared" ref="K159:K177" si="506">K158+I159</f>
        <v>2173240</v>
      </c>
      <c r="L159" s="280">
        <f t="shared" ref="L159:L177" si="507">K159*1000/C159</f>
        <v>27.619070385788433</v>
      </c>
      <c r="M159" s="280">
        <f t="shared" ref="M159:M177" si="508">L159/8.167</f>
        <v>3.3817889538127139</v>
      </c>
      <c r="N159" s="1089"/>
      <c r="O159" s="1084"/>
      <c r="P159" s="35">
        <f t="shared" ref="P159:P187" si="509">R158</f>
        <v>45023</v>
      </c>
      <c r="Q159" s="98"/>
      <c r="R159" s="35">
        <v>38807</v>
      </c>
      <c r="S159" s="35">
        <f t="shared" ref="S159:S165" si="510">P159+Q159-R159</f>
        <v>6216</v>
      </c>
      <c r="T159" s="36">
        <f t="shared" ref="T159:T165" si="511">1000*S159/B159</f>
        <v>8.6138922570587209</v>
      </c>
      <c r="U159" s="74">
        <f t="shared" ref="U159:U165" si="512">U158+S159</f>
        <v>226601</v>
      </c>
      <c r="V159" s="36">
        <f t="shared" ref="V159:V165" si="513">1000*U159/C159</f>
        <v>2.8798057133542749</v>
      </c>
      <c r="W159" s="1136"/>
      <c r="X159" s="49">
        <f t="shared" ref="X159:X187" si="514">Z158</f>
        <v>672</v>
      </c>
      <c r="Y159" s="248"/>
      <c r="Z159" s="50">
        <f>546+100</f>
        <v>646</v>
      </c>
      <c r="AA159" s="50">
        <f t="shared" ref="AA159:AA165" si="515">X159-Z159+Y159</f>
        <v>26</v>
      </c>
      <c r="AB159" s="51">
        <f t="shared" ref="AB159:AB165" si="516">AA159*1000/B159</f>
        <v>3.6029793868006234E-2</v>
      </c>
      <c r="AC159" s="50">
        <f t="shared" ref="AC159:AC165" si="517">AC158+AA159</f>
        <v>17148</v>
      </c>
      <c r="AD159" s="51">
        <f t="shared" ref="AD159:AD165" si="518">AC159*1000/C159</f>
        <v>0.21792890751849775</v>
      </c>
      <c r="AE159" s="1047"/>
      <c r="AF159" s="40">
        <f t="shared" ref="AF159:AF187" si="519">AH158</f>
        <v>745</v>
      </c>
      <c r="AG159" s="44"/>
      <c r="AH159" s="41">
        <v>666</v>
      </c>
      <c r="AI159" s="41">
        <f t="shared" ref="AI159:AI165" si="520">AF159+AG159-AH159</f>
        <v>79</v>
      </c>
      <c r="AJ159" s="42">
        <f t="shared" ref="AJ159:AJ165" si="521">AI159*1000/B159</f>
        <v>0.10947514290663433</v>
      </c>
      <c r="AK159" s="41">
        <f t="shared" ref="AK159:AK165" si="522">AK158+AI159</f>
        <v>9000</v>
      </c>
      <c r="AL159" s="42">
        <f t="shared" ref="AL159:AL165" si="523">AK159*1000/C159</f>
        <v>0.11437836293832981</v>
      </c>
      <c r="AM159" s="1058"/>
      <c r="AN159" s="220">
        <v>6.4</v>
      </c>
      <c r="AO159" s="67">
        <v>24</v>
      </c>
      <c r="AP159" s="68">
        <f t="shared" ref="AP159:AP166" si="524">AN159*AO159*0.49705</f>
        <v>76.346880000000013</v>
      </c>
      <c r="AQ159" s="68">
        <f t="shared" ref="AQ159:AQ166" si="525">AP159*1000/D159</f>
        <v>10.339809690971293</v>
      </c>
      <c r="AR159" s="258">
        <f t="shared" ref="AR159:AR166" si="526">AR158+AP159</f>
        <v>7468.275660000003</v>
      </c>
      <c r="AS159" s="68">
        <f t="shared" ref="AS159:AS166" si="527">AR159*1000/E159</f>
        <v>8.1365129887749745</v>
      </c>
      <c r="AT159" s="1073"/>
      <c r="AU159" s="71">
        <v>3.3</v>
      </c>
      <c r="AV159" s="71">
        <v>12</v>
      </c>
      <c r="AW159" s="72">
        <f t="shared" ref="AW159:AW166" si="528">AU159*AV159*0.51673</f>
        <v>20.462508</v>
      </c>
      <c r="AX159" s="72">
        <f t="shared" ref="AX159:AX166" si="529">AW159*1000/D159</f>
        <v>2.7712781258379851</v>
      </c>
      <c r="AY159" s="276">
        <f t="shared" ref="AY159:AY166" si="530">AY158+AW159</f>
        <v>2358.4590659999994</v>
      </c>
      <c r="AZ159" s="72">
        <f t="shared" ref="AZ159:AZ166" si="531">AY159*1000/E159</f>
        <v>2.5694864112719542</v>
      </c>
      <c r="BA159" s="1075"/>
      <c r="BB159" s="253">
        <f t="shared" ref="BB159:BB187" si="532">BD158</f>
        <v>31955</v>
      </c>
      <c r="BC159" s="59"/>
      <c r="BD159" s="252">
        <v>31955</v>
      </c>
      <c r="BE159" s="57"/>
      <c r="BF159" s="58">
        <f t="shared" ref="BF159:BF175" si="533">BF158+BE159</f>
        <v>77945</v>
      </c>
      <c r="BG159" s="58">
        <f t="shared" ref="BG159:BG175" si="534">BF159*1000/E159</f>
        <v>84.919268353582069</v>
      </c>
      <c r="BH159" s="1133"/>
      <c r="BI159" s="63">
        <f t="shared" ref="BI159:BI187" si="535">BK158</f>
        <v>1920</v>
      </c>
      <c r="BJ159" s="133"/>
      <c r="BK159" s="64">
        <v>1620</v>
      </c>
      <c r="BL159" s="64">
        <f t="shared" ref="BL159:BL165" si="536">BI159-BK159+BJ159</f>
        <v>300</v>
      </c>
      <c r="BM159" s="65">
        <f t="shared" ref="BM159:BM165" si="537">BL159*1000/B159</f>
        <v>0.41572839078468732</v>
      </c>
      <c r="BN159" s="64">
        <f t="shared" ref="BN159:BN165" si="538">BN158+BL159</f>
        <v>23812</v>
      </c>
      <c r="BO159" s="65">
        <f t="shared" ref="BO159:BO165" si="539">BN159*1000/C159</f>
        <v>0.30261973092083438</v>
      </c>
      <c r="BP159" s="1071"/>
      <c r="BQ159" s="77">
        <f t="shared" ref="BQ159:BQ187" si="540">BS158</f>
        <v>35795</v>
      </c>
      <c r="BR159" s="35"/>
      <c r="BS159" s="35">
        <v>33023</v>
      </c>
      <c r="BT159" s="35">
        <f t="shared" ref="BT159:BT165" si="541">BQ159-BS159+BR159</f>
        <v>2772</v>
      </c>
      <c r="BU159" s="35">
        <f t="shared" ref="BU159:BU165" si="542">BU158+BT159</f>
        <v>418724</v>
      </c>
      <c r="BV159" s="74">
        <f t="shared" ref="BV159:BV165" si="543">BU159*1000/E159</f>
        <v>456.19007918513432</v>
      </c>
      <c r="BW159" s="1098"/>
      <c r="BX159" s="295">
        <f t="shared" ref="BX159:BX187" si="544">BZ158</f>
        <v>1650</v>
      </c>
      <c r="BY159" s="303"/>
      <c r="BZ159" s="296">
        <v>1650</v>
      </c>
      <c r="CA159" s="296"/>
      <c r="CB159" s="296"/>
      <c r="CC159" s="296">
        <f t="shared" ref="CC159:CC165" si="545">CC158+CA159</f>
        <v>10850</v>
      </c>
      <c r="CD159" s="297">
        <f t="shared" ref="CD159:CD165" si="546">CC159*1000/C159</f>
        <v>0.13788947087565318</v>
      </c>
      <c r="CE159" s="1061"/>
    </row>
    <row r="160" spans="1:83">
      <c r="A160" s="30">
        <v>43742</v>
      </c>
      <c r="B160" s="32">
        <v>720145</v>
      </c>
      <c r="C160" s="1">
        <f t="shared" si="388"/>
        <v>79406356</v>
      </c>
      <c r="D160" s="91">
        <v>6865.06</v>
      </c>
      <c r="E160" s="91">
        <f t="shared" si="389"/>
        <v>924736.83999999962</v>
      </c>
      <c r="F160" s="243"/>
      <c r="G160" s="321">
        <v>31900</v>
      </c>
      <c r="H160" s="240">
        <v>12000</v>
      </c>
      <c r="I160" s="240">
        <f t="shared" ref="I160:I177" si="547">F160-H160+G160</f>
        <v>19900</v>
      </c>
      <c r="J160" s="280">
        <f t="shared" ref="J160:J177" si="548">I160*1000/B160</f>
        <v>27.633323844503536</v>
      </c>
      <c r="K160" s="240">
        <f t="shared" si="506"/>
        <v>2193140</v>
      </c>
      <c r="L160" s="280">
        <f t="shared" si="507"/>
        <v>27.619199651977482</v>
      </c>
      <c r="M160" s="280">
        <f t="shared" si="508"/>
        <v>3.3818047816796231</v>
      </c>
      <c r="N160" s="1089"/>
      <c r="O160" s="1084"/>
      <c r="P160" s="35">
        <f t="shared" si="509"/>
        <v>38807</v>
      </c>
      <c r="Q160" s="98"/>
      <c r="R160" s="35">
        <v>36681</v>
      </c>
      <c r="S160" s="35">
        <f t="shared" si="510"/>
        <v>2126</v>
      </c>
      <c r="T160" s="36">
        <f t="shared" si="511"/>
        <v>2.9521832408751014</v>
      </c>
      <c r="U160" s="74">
        <f t="shared" si="512"/>
        <v>228727</v>
      </c>
      <c r="V160" s="36">
        <f t="shared" si="513"/>
        <v>2.8804621131336137</v>
      </c>
      <c r="W160" s="1136"/>
      <c r="X160" s="49">
        <f t="shared" si="514"/>
        <v>646</v>
      </c>
      <c r="Y160" s="248"/>
      <c r="Z160" s="50">
        <f>493+70</f>
        <v>563</v>
      </c>
      <c r="AA160" s="50">
        <f t="shared" si="515"/>
        <v>83</v>
      </c>
      <c r="AB160" s="51">
        <f t="shared" si="516"/>
        <v>0.11525456678863284</v>
      </c>
      <c r="AC160" s="50">
        <f t="shared" si="517"/>
        <v>17231</v>
      </c>
      <c r="AD160" s="51">
        <f t="shared" si="518"/>
        <v>0.21699774259884183</v>
      </c>
      <c r="AE160" s="1047"/>
      <c r="AF160" s="40">
        <f t="shared" si="519"/>
        <v>666</v>
      </c>
      <c r="AG160" s="44"/>
      <c r="AH160" s="41">
        <v>606</v>
      </c>
      <c r="AI160" s="41">
        <f t="shared" si="520"/>
        <v>60</v>
      </c>
      <c r="AJ160" s="42">
        <f t="shared" si="521"/>
        <v>8.3316554305035789E-2</v>
      </c>
      <c r="AK160" s="41">
        <f t="shared" si="522"/>
        <v>9060</v>
      </c>
      <c r="AL160" s="42">
        <f t="shared" si="523"/>
        <v>0.11409665997014143</v>
      </c>
      <c r="AM160" s="1058"/>
      <c r="AN160" s="220">
        <v>4.7</v>
      </c>
      <c r="AO160" s="67">
        <v>24</v>
      </c>
      <c r="AP160" s="68">
        <f t="shared" si="524"/>
        <v>56.067240000000005</v>
      </c>
      <c r="AQ160" s="68">
        <f t="shared" si="525"/>
        <v>8.1670429683061769</v>
      </c>
      <c r="AR160" s="258">
        <f t="shared" si="526"/>
        <v>7524.3429000000033</v>
      </c>
      <c r="AS160" s="68">
        <f t="shared" si="527"/>
        <v>8.1367396371923562</v>
      </c>
      <c r="AT160" s="1073"/>
      <c r="AU160" s="71">
        <v>3.1</v>
      </c>
      <c r="AV160" s="71">
        <v>12</v>
      </c>
      <c r="AW160" s="72">
        <f t="shared" si="528"/>
        <v>19.222356000000001</v>
      </c>
      <c r="AX160" s="72">
        <f t="shared" si="529"/>
        <v>2.8000273850483461</v>
      </c>
      <c r="AY160" s="276">
        <f t="shared" si="530"/>
        <v>2377.6814219999997</v>
      </c>
      <c r="AZ160" s="72">
        <f t="shared" si="531"/>
        <v>2.5711979010158186</v>
      </c>
      <c r="BA160" s="1075"/>
      <c r="BB160" s="253">
        <f t="shared" si="532"/>
        <v>31955</v>
      </c>
      <c r="BC160" s="59"/>
      <c r="BD160" s="252">
        <v>31955</v>
      </c>
      <c r="BE160" s="57"/>
      <c r="BF160" s="58">
        <f t="shared" si="533"/>
        <v>77945</v>
      </c>
      <c r="BG160" s="58">
        <f t="shared" si="534"/>
        <v>84.288844813406627</v>
      </c>
      <c r="BH160" s="1133"/>
      <c r="BI160" s="63">
        <f t="shared" si="535"/>
        <v>1620</v>
      </c>
      <c r="BJ160" s="133"/>
      <c r="BK160" s="64">
        <v>1440</v>
      </c>
      <c r="BL160" s="64">
        <f t="shared" si="536"/>
        <v>180</v>
      </c>
      <c r="BM160" s="65">
        <f t="shared" si="537"/>
        <v>0.24994966291510737</v>
      </c>
      <c r="BN160" s="64">
        <f t="shared" si="538"/>
        <v>23992</v>
      </c>
      <c r="BO160" s="65">
        <f t="shared" si="539"/>
        <v>0.30214206026530166</v>
      </c>
      <c r="BP160" s="1071"/>
      <c r="BQ160" s="77">
        <f t="shared" si="540"/>
        <v>33023</v>
      </c>
      <c r="BR160" s="35"/>
      <c r="BS160" s="35">
        <v>32099</v>
      </c>
      <c r="BT160" s="35">
        <f t="shared" si="541"/>
        <v>924</v>
      </c>
      <c r="BU160" s="35">
        <f t="shared" si="542"/>
        <v>419648</v>
      </c>
      <c r="BV160" s="74">
        <f t="shared" si="543"/>
        <v>453.80261913216322</v>
      </c>
      <c r="BW160" s="1098"/>
      <c r="BX160" s="295">
        <f t="shared" si="544"/>
        <v>1650</v>
      </c>
      <c r="BY160" s="303"/>
      <c r="BZ160" s="296">
        <v>1650</v>
      </c>
      <c r="CA160" s="296"/>
      <c r="CB160" s="296"/>
      <c r="CC160" s="296">
        <f t="shared" si="545"/>
        <v>10850</v>
      </c>
      <c r="CD160" s="297">
        <f t="shared" si="546"/>
        <v>0.13663893605695746</v>
      </c>
      <c r="CE160" s="1061"/>
    </row>
    <row r="161" spans="1:83">
      <c r="A161" s="30">
        <v>43743</v>
      </c>
      <c r="B161" s="32">
        <v>686928</v>
      </c>
      <c r="C161" s="1">
        <f t="shared" si="388"/>
        <v>80093284</v>
      </c>
      <c r="D161" s="91">
        <v>6874.62</v>
      </c>
      <c r="E161" s="91">
        <f t="shared" si="389"/>
        <v>931611.45999999961</v>
      </c>
      <c r="F161" s="243">
        <f t="shared" ref="F161:F183" si="549">H160</f>
        <v>12000</v>
      </c>
      <c r="G161" s="321">
        <v>30800</v>
      </c>
      <c r="H161" s="240">
        <v>12000</v>
      </c>
      <c r="I161" s="240">
        <f t="shared" si="547"/>
        <v>30800</v>
      </c>
      <c r="J161" s="280">
        <f t="shared" si="548"/>
        <v>44.837304637458367</v>
      </c>
      <c r="K161" s="240">
        <f t="shared" si="506"/>
        <v>2223940</v>
      </c>
      <c r="L161" s="280">
        <f t="shared" si="507"/>
        <v>27.766872438393211</v>
      </c>
      <c r="M161" s="280">
        <f t="shared" si="508"/>
        <v>3.3998864256634276</v>
      </c>
      <c r="N161" s="1089"/>
      <c r="O161" s="1084"/>
      <c r="P161" s="35">
        <f t="shared" si="509"/>
        <v>36681</v>
      </c>
      <c r="Q161" s="98"/>
      <c r="R161" s="35">
        <v>36147</v>
      </c>
      <c r="S161" s="35">
        <f t="shared" si="510"/>
        <v>534</v>
      </c>
      <c r="T161" s="36">
        <f t="shared" si="511"/>
        <v>0.77737404793515474</v>
      </c>
      <c r="U161" s="74">
        <f t="shared" si="512"/>
        <v>229261</v>
      </c>
      <c r="V161" s="36">
        <f t="shared" si="513"/>
        <v>2.862424769597411</v>
      </c>
      <c r="W161" s="1136"/>
      <c r="X161" s="49">
        <f t="shared" si="514"/>
        <v>563</v>
      </c>
      <c r="Y161" s="248"/>
      <c r="Z161" s="50">
        <f>441+37</f>
        <v>478</v>
      </c>
      <c r="AA161" s="50">
        <f t="shared" si="515"/>
        <v>85</v>
      </c>
      <c r="AB161" s="51">
        <f t="shared" si="516"/>
        <v>0.1237393147462325</v>
      </c>
      <c r="AC161" s="50">
        <f t="shared" si="517"/>
        <v>17316</v>
      </c>
      <c r="AD161" s="51">
        <f t="shared" si="518"/>
        <v>0.21619790243586465</v>
      </c>
      <c r="AE161" s="1047"/>
      <c r="AF161" s="40">
        <f t="shared" si="519"/>
        <v>606</v>
      </c>
      <c r="AG161" s="44"/>
      <c r="AH161" s="41">
        <v>548</v>
      </c>
      <c r="AI161" s="41">
        <f t="shared" si="520"/>
        <v>58</v>
      </c>
      <c r="AJ161" s="42">
        <f t="shared" si="521"/>
        <v>8.4433885356252764E-2</v>
      </c>
      <c r="AK161" s="41">
        <f t="shared" si="522"/>
        <v>9118</v>
      </c>
      <c r="AL161" s="42">
        <f t="shared" si="523"/>
        <v>0.11384225423944409</v>
      </c>
      <c r="AM161" s="1058"/>
      <c r="AN161" s="220">
        <v>5.2</v>
      </c>
      <c r="AO161" s="67">
        <v>24</v>
      </c>
      <c r="AP161" s="68">
        <f t="shared" si="524"/>
        <v>62.031840000000003</v>
      </c>
      <c r="AQ161" s="68">
        <f t="shared" si="525"/>
        <v>9.0233118339631861</v>
      </c>
      <c r="AR161" s="258">
        <f t="shared" si="526"/>
        <v>7586.3747400000029</v>
      </c>
      <c r="AS161" s="68">
        <f t="shared" si="527"/>
        <v>8.1432818999457197</v>
      </c>
      <c r="AT161" s="1073"/>
      <c r="AU161" s="71">
        <v>2.9</v>
      </c>
      <c r="AV161" s="71">
        <v>12</v>
      </c>
      <c r="AW161" s="72">
        <f t="shared" si="528"/>
        <v>17.982203999999999</v>
      </c>
      <c r="AX161" s="72">
        <f t="shared" si="529"/>
        <v>2.6157378880578124</v>
      </c>
      <c r="AY161" s="276">
        <f t="shared" si="530"/>
        <v>2395.6636259999996</v>
      </c>
      <c r="AZ161" s="72">
        <f t="shared" si="531"/>
        <v>2.5715265739646447</v>
      </c>
      <c r="BA161" s="1075"/>
      <c r="BB161" s="253">
        <f t="shared" si="532"/>
        <v>31955</v>
      </c>
      <c r="BC161" s="59"/>
      <c r="BD161" s="252">
        <v>31955</v>
      </c>
      <c r="BE161" s="57"/>
      <c r="BF161" s="58">
        <f t="shared" si="533"/>
        <v>77945</v>
      </c>
      <c r="BG161" s="58">
        <f t="shared" si="534"/>
        <v>83.666853990825786</v>
      </c>
      <c r="BH161" s="1133"/>
      <c r="BI161" s="63">
        <f t="shared" si="535"/>
        <v>1440</v>
      </c>
      <c r="BJ161" s="133"/>
      <c r="BK161" s="64">
        <v>1200</v>
      </c>
      <c r="BL161" s="64">
        <f t="shared" si="536"/>
        <v>240</v>
      </c>
      <c r="BM161" s="65">
        <f t="shared" si="537"/>
        <v>0.34938159457759765</v>
      </c>
      <c r="BN161" s="64">
        <f t="shared" si="538"/>
        <v>24232</v>
      </c>
      <c r="BO161" s="65">
        <f t="shared" si="539"/>
        <v>0.30254721482015895</v>
      </c>
      <c r="BP161" s="1071"/>
      <c r="BQ161" s="77">
        <f t="shared" si="540"/>
        <v>32099</v>
      </c>
      <c r="BR161" s="35"/>
      <c r="BS161" s="35">
        <v>28402</v>
      </c>
      <c r="BT161" s="35">
        <f t="shared" si="541"/>
        <v>3697</v>
      </c>
      <c r="BU161" s="35">
        <f t="shared" si="542"/>
        <v>423345</v>
      </c>
      <c r="BV161" s="74">
        <f t="shared" si="543"/>
        <v>454.42227599905243</v>
      </c>
      <c r="BW161" s="1098"/>
      <c r="BX161" s="295">
        <f t="shared" si="544"/>
        <v>1650</v>
      </c>
      <c r="BY161" s="303"/>
      <c r="BZ161" s="296">
        <v>1650</v>
      </c>
      <c r="CA161" s="296"/>
      <c r="CB161" s="296"/>
      <c r="CC161" s="296">
        <f t="shared" si="545"/>
        <v>10850</v>
      </c>
      <c r="CD161" s="297">
        <f t="shared" si="546"/>
        <v>0.13546703865957102</v>
      </c>
      <c r="CE161" s="1061"/>
    </row>
    <row r="162" spans="1:83">
      <c r="A162" s="30">
        <v>43744</v>
      </c>
      <c r="B162" s="32">
        <v>688261</v>
      </c>
      <c r="C162" s="1">
        <f t="shared" si="388"/>
        <v>80781545</v>
      </c>
      <c r="D162" s="91">
        <v>6592.16</v>
      </c>
      <c r="E162" s="91">
        <f t="shared" si="389"/>
        <v>938203.61999999965</v>
      </c>
      <c r="F162" s="243">
        <f t="shared" si="549"/>
        <v>12000</v>
      </c>
      <c r="G162" s="321">
        <v>30800</v>
      </c>
      <c r="H162" s="240">
        <v>4000</v>
      </c>
      <c r="I162" s="240">
        <f t="shared" si="547"/>
        <v>38800</v>
      </c>
      <c r="J162" s="280">
        <f t="shared" si="548"/>
        <v>56.37396278446694</v>
      </c>
      <c r="K162" s="240">
        <f t="shared" si="506"/>
        <v>2262740</v>
      </c>
      <c r="L162" s="280">
        <f t="shared" si="507"/>
        <v>28.010605640186753</v>
      </c>
      <c r="M162" s="280">
        <f t="shared" si="508"/>
        <v>3.4297300894069735</v>
      </c>
      <c r="N162" s="1089"/>
      <c r="O162" s="1084"/>
      <c r="P162" s="35">
        <f t="shared" si="509"/>
        <v>36147</v>
      </c>
      <c r="Q162" s="98"/>
      <c r="R162" s="35">
        <v>35611</v>
      </c>
      <c r="S162" s="35">
        <f t="shared" si="510"/>
        <v>536</v>
      </c>
      <c r="T162" s="36">
        <f t="shared" si="511"/>
        <v>0.77877433124933715</v>
      </c>
      <c r="U162" s="74">
        <f t="shared" si="512"/>
        <v>229797</v>
      </c>
      <c r="V162" s="36">
        <f t="shared" si="513"/>
        <v>2.8446720101726206</v>
      </c>
      <c r="W162" s="1136"/>
      <c r="X162" s="49">
        <f t="shared" si="514"/>
        <v>478</v>
      </c>
      <c r="Y162" s="248"/>
      <c r="Z162" s="50">
        <f>357+15</f>
        <v>372</v>
      </c>
      <c r="AA162" s="50">
        <f t="shared" si="515"/>
        <v>106</v>
      </c>
      <c r="AB162" s="51">
        <f t="shared" si="516"/>
        <v>0.15401134162766741</v>
      </c>
      <c r="AC162" s="50">
        <f t="shared" si="517"/>
        <v>17422</v>
      </c>
      <c r="AD162" s="51">
        <f t="shared" si="518"/>
        <v>0.21566807121601847</v>
      </c>
      <c r="AE162" s="1047"/>
      <c r="AF162" s="40">
        <f t="shared" si="519"/>
        <v>548</v>
      </c>
      <c r="AG162" s="44"/>
      <c r="AH162" s="41">
        <v>490</v>
      </c>
      <c r="AI162" s="41">
        <f t="shared" si="520"/>
        <v>58</v>
      </c>
      <c r="AJ162" s="42">
        <f t="shared" si="521"/>
        <v>8.4270356739667068E-2</v>
      </c>
      <c r="AK162" s="41">
        <f t="shared" si="522"/>
        <v>9176</v>
      </c>
      <c r="AL162" s="42">
        <f t="shared" si="523"/>
        <v>0.11359030085398837</v>
      </c>
      <c r="AM162" s="1058"/>
      <c r="AN162" s="220">
        <v>5.3</v>
      </c>
      <c r="AO162" s="67">
        <v>24</v>
      </c>
      <c r="AP162" s="68">
        <f t="shared" si="524"/>
        <v>63.224759999999996</v>
      </c>
      <c r="AQ162" s="68">
        <f t="shared" si="525"/>
        <v>9.5909019198563144</v>
      </c>
      <c r="AR162" s="258">
        <f t="shared" si="526"/>
        <v>7649.599500000003</v>
      </c>
      <c r="AS162" s="68">
        <f t="shared" si="527"/>
        <v>8.1534534049229155</v>
      </c>
      <c r="AT162" s="1073"/>
      <c r="AU162" s="71">
        <v>2.9</v>
      </c>
      <c r="AV162" s="71">
        <v>12</v>
      </c>
      <c r="AW162" s="72">
        <f t="shared" si="528"/>
        <v>17.982203999999999</v>
      </c>
      <c r="AX162" s="72">
        <f t="shared" si="529"/>
        <v>2.727816679206815</v>
      </c>
      <c r="AY162" s="276">
        <f t="shared" si="530"/>
        <v>2413.6458299999995</v>
      </c>
      <c r="AZ162" s="72">
        <f t="shared" si="531"/>
        <v>2.5726247251103129</v>
      </c>
      <c r="BA162" s="1075"/>
      <c r="BB162" s="253">
        <f t="shared" si="532"/>
        <v>31955</v>
      </c>
      <c r="BC162" s="59"/>
      <c r="BD162" s="252">
        <v>31955</v>
      </c>
      <c r="BE162" s="57"/>
      <c r="BF162" s="58">
        <f t="shared" si="533"/>
        <v>77945</v>
      </c>
      <c r="BG162" s="58">
        <f t="shared" si="534"/>
        <v>83.078980232457454</v>
      </c>
      <c r="BH162" s="1133"/>
      <c r="BI162" s="63">
        <f t="shared" si="535"/>
        <v>1200</v>
      </c>
      <c r="BJ162" s="133"/>
      <c r="BK162" s="64">
        <v>948</v>
      </c>
      <c r="BL162" s="64">
        <f t="shared" si="536"/>
        <v>252</v>
      </c>
      <c r="BM162" s="65">
        <f t="shared" si="537"/>
        <v>0.36614017066200177</v>
      </c>
      <c r="BN162" s="64">
        <f t="shared" si="538"/>
        <v>24484</v>
      </c>
      <c r="BO162" s="65">
        <f t="shared" si="539"/>
        <v>0.30308902856463071</v>
      </c>
      <c r="BP162" s="1071"/>
      <c r="BQ162" s="77">
        <f t="shared" si="540"/>
        <v>28402</v>
      </c>
      <c r="BR162" s="35"/>
      <c r="BS162" s="35">
        <v>24705</v>
      </c>
      <c r="BT162" s="35">
        <f t="shared" si="541"/>
        <v>3697</v>
      </c>
      <c r="BU162" s="35">
        <f t="shared" si="542"/>
        <v>427042</v>
      </c>
      <c r="BV162" s="74">
        <f t="shared" si="543"/>
        <v>455.16984895027389</v>
      </c>
      <c r="BW162" s="1098"/>
      <c r="BX162" s="295">
        <f t="shared" si="544"/>
        <v>1650</v>
      </c>
      <c r="BY162" s="303"/>
      <c r="BZ162" s="296">
        <v>1650</v>
      </c>
      <c r="CA162" s="296"/>
      <c r="CB162" s="296"/>
      <c r="CC162" s="296">
        <f t="shared" si="545"/>
        <v>10850</v>
      </c>
      <c r="CD162" s="297">
        <f t="shared" si="546"/>
        <v>0.13431285573951326</v>
      </c>
      <c r="CE162" s="1061"/>
    </row>
    <row r="163" spans="1:83">
      <c r="A163" s="30">
        <v>43745</v>
      </c>
      <c r="B163" s="32">
        <v>668533</v>
      </c>
      <c r="C163" s="1">
        <f t="shared" si="388"/>
        <v>81450078</v>
      </c>
      <c r="D163" s="91">
        <v>6515.42</v>
      </c>
      <c r="E163" s="91">
        <f t="shared" si="389"/>
        <v>944719.03999999969</v>
      </c>
      <c r="F163" s="243">
        <f t="shared" si="549"/>
        <v>4000</v>
      </c>
      <c r="G163" s="321"/>
      <c r="H163" s="240"/>
      <c r="I163" s="240">
        <f t="shared" si="547"/>
        <v>4000</v>
      </c>
      <c r="J163" s="280">
        <f t="shared" si="548"/>
        <v>5.9832498919275485</v>
      </c>
      <c r="K163" s="240">
        <f t="shared" si="506"/>
        <v>2266740</v>
      </c>
      <c r="L163" s="280">
        <f t="shared" si="507"/>
        <v>27.829807603130842</v>
      </c>
      <c r="M163" s="280">
        <f t="shared" si="508"/>
        <v>3.4075924578340691</v>
      </c>
      <c r="N163" s="1089"/>
      <c r="O163" s="1084"/>
      <c r="P163" s="35">
        <f t="shared" si="509"/>
        <v>35611</v>
      </c>
      <c r="Q163" s="98"/>
      <c r="R163" s="35">
        <v>31579</v>
      </c>
      <c r="S163" s="35">
        <f t="shared" si="510"/>
        <v>4032</v>
      </c>
      <c r="T163" s="36">
        <f t="shared" si="511"/>
        <v>6.031115891062969</v>
      </c>
      <c r="U163" s="74">
        <f t="shared" si="512"/>
        <v>233829</v>
      </c>
      <c r="V163" s="36">
        <f t="shared" si="513"/>
        <v>2.8708259800561517</v>
      </c>
      <c r="W163" s="1136"/>
      <c r="X163" s="49">
        <f t="shared" si="514"/>
        <v>372</v>
      </c>
      <c r="Y163" s="248"/>
      <c r="Z163" s="50">
        <f>308+40</f>
        <v>348</v>
      </c>
      <c r="AA163" s="50">
        <f t="shared" si="515"/>
        <v>24</v>
      </c>
      <c r="AB163" s="51">
        <f t="shared" si="516"/>
        <v>3.5899499351565292E-2</v>
      </c>
      <c r="AC163" s="50">
        <f t="shared" si="517"/>
        <v>17446</v>
      </c>
      <c r="AD163" s="51">
        <f t="shared" si="518"/>
        <v>0.21419255117226529</v>
      </c>
      <c r="AE163" s="1047"/>
      <c r="AF163" s="40">
        <f t="shared" si="519"/>
        <v>490</v>
      </c>
      <c r="AG163" s="44"/>
      <c r="AH163" s="41">
        <v>433</v>
      </c>
      <c r="AI163" s="41">
        <f t="shared" si="520"/>
        <v>57</v>
      </c>
      <c r="AJ163" s="42">
        <f t="shared" si="521"/>
        <v>8.5261310959967571E-2</v>
      </c>
      <c r="AK163" s="41">
        <f t="shared" si="522"/>
        <v>9233</v>
      </c>
      <c r="AL163" s="42">
        <f t="shared" si="523"/>
        <v>0.11335777971876221</v>
      </c>
      <c r="AM163" s="1058"/>
      <c r="AN163" s="220">
        <v>5.8</v>
      </c>
      <c r="AO163" s="67">
        <v>24</v>
      </c>
      <c r="AP163" s="68">
        <f t="shared" si="524"/>
        <v>69.189359999999994</v>
      </c>
      <c r="AQ163" s="68">
        <f t="shared" si="525"/>
        <v>10.61932461759948</v>
      </c>
      <c r="AR163" s="258">
        <f t="shared" si="526"/>
        <v>7718.7888600000033</v>
      </c>
      <c r="AS163" s="68">
        <f t="shared" si="527"/>
        <v>8.1704597167852206</v>
      </c>
      <c r="AT163" s="1073"/>
      <c r="AU163" s="71">
        <v>2.9</v>
      </c>
      <c r="AV163" s="71">
        <v>12</v>
      </c>
      <c r="AW163" s="72">
        <f t="shared" si="528"/>
        <v>17.982203999999999</v>
      </c>
      <c r="AX163" s="72">
        <f t="shared" si="529"/>
        <v>2.7599454831768324</v>
      </c>
      <c r="AY163" s="276">
        <f t="shared" si="530"/>
        <v>2431.6280339999994</v>
      </c>
      <c r="AZ163" s="72">
        <f t="shared" si="531"/>
        <v>2.5739166154627311</v>
      </c>
      <c r="BA163" s="1075"/>
      <c r="BB163" s="253">
        <f t="shared" si="532"/>
        <v>31955</v>
      </c>
      <c r="BC163" s="59"/>
      <c r="BD163" s="252">
        <v>31955</v>
      </c>
      <c r="BE163" s="57"/>
      <c r="BF163" s="58">
        <f t="shared" si="533"/>
        <v>77945</v>
      </c>
      <c r="BG163" s="58">
        <f t="shared" si="534"/>
        <v>82.506011522748636</v>
      </c>
      <c r="BH163" s="1133"/>
      <c r="BI163" s="63">
        <f t="shared" si="535"/>
        <v>948</v>
      </c>
      <c r="BJ163" s="64">
        <v>1100</v>
      </c>
      <c r="BK163" s="64">
        <v>1800</v>
      </c>
      <c r="BL163" s="64">
        <f t="shared" si="536"/>
        <v>248</v>
      </c>
      <c r="BM163" s="65">
        <f t="shared" si="537"/>
        <v>0.370961493299508</v>
      </c>
      <c r="BN163" s="64">
        <f t="shared" si="538"/>
        <v>24732</v>
      </c>
      <c r="BO163" s="65">
        <f t="shared" si="539"/>
        <v>0.30364611805528291</v>
      </c>
      <c r="BP163" s="1071"/>
      <c r="BQ163" s="77">
        <f t="shared" si="540"/>
        <v>24705</v>
      </c>
      <c r="BR163" s="315">
        <v>36020</v>
      </c>
      <c r="BS163" s="35">
        <f>52725+8000</f>
        <v>60725</v>
      </c>
      <c r="BT163" s="35"/>
      <c r="BU163" s="35">
        <f t="shared" si="542"/>
        <v>427042</v>
      </c>
      <c r="BV163" s="74">
        <f t="shared" si="543"/>
        <v>452.03069052149107</v>
      </c>
      <c r="BW163" s="1098"/>
      <c r="BX163" s="295">
        <f t="shared" si="544"/>
        <v>1650</v>
      </c>
      <c r="BY163" s="303"/>
      <c r="BZ163" s="296">
        <v>1650</v>
      </c>
      <c r="CA163" s="296"/>
      <c r="CB163" s="296"/>
      <c r="CC163" s="296">
        <f t="shared" si="545"/>
        <v>10850</v>
      </c>
      <c r="CD163" s="297">
        <f t="shared" si="546"/>
        <v>0.13321043105692298</v>
      </c>
      <c r="CE163" s="1061"/>
    </row>
    <row r="164" spans="1:83">
      <c r="A164" s="30">
        <v>43746</v>
      </c>
      <c r="B164" s="32">
        <v>632633</v>
      </c>
      <c r="C164" s="1">
        <f t="shared" si="388"/>
        <v>82082711</v>
      </c>
      <c r="D164" s="91">
        <v>6529.84</v>
      </c>
      <c r="E164" s="91">
        <f t="shared" si="389"/>
        <v>951248.87999999966</v>
      </c>
      <c r="F164" s="243"/>
      <c r="G164" s="321"/>
      <c r="H164" s="240"/>
      <c r="I164" s="240"/>
      <c r="J164" s="280"/>
      <c r="K164" s="240">
        <f t="shared" si="506"/>
        <v>2266740</v>
      </c>
      <c r="L164" s="280">
        <f t="shared" si="507"/>
        <v>27.615315970740781</v>
      </c>
      <c r="M164" s="280">
        <f t="shared" si="508"/>
        <v>3.3813292482846555</v>
      </c>
      <c r="N164" s="1089"/>
      <c r="O164" s="1084"/>
      <c r="P164" s="35">
        <f t="shared" si="509"/>
        <v>31579</v>
      </c>
      <c r="Q164" s="98"/>
      <c r="R164" s="35">
        <v>27009</v>
      </c>
      <c r="S164" s="35">
        <f t="shared" si="510"/>
        <v>4570</v>
      </c>
      <c r="T164" s="36">
        <f t="shared" si="511"/>
        <v>7.2237774507494867</v>
      </c>
      <c r="U164" s="74">
        <f t="shared" si="512"/>
        <v>238399</v>
      </c>
      <c r="V164" s="36">
        <f t="shared" si="513"/>
        <v>2.9043753196699362</v>
      </c>
      <c r="W164" s="1136"/>
      <c r="X164" s="49">
        <f t="shared" si="514"/>
        <v>348</v>
      </c>
      <c r="Y164" s="248"/>
      <c r="Z164" s="50">
        <f>231+62</f>
        <v>293</v>
      </c>
      <c r="AA164" s="50">
        <f t="shared" si="515"/>
        <v>55</v>
      </c>
      <c r="AB164" s="51">
        <f t="shared" si="516"/>
        <v>8.6938240654534302E-2</v>
      </c>
      <c r="AC164" s="50">
        <f t="shared" si="517"/>
        <v>17501</v>
      </c>
      <c r="AD164" s="51">
        <f t="shared" si="518"/>
        <v>0.21321176879745116</v>
      </c>
      <c r="AE164" s="1047"/>
      <c r="AF164" s="40">
        <f t="shared" si="519"/>
        <v>433</v>
      </c>
      <c r="AG164" s="44"/>
      <c r="AH164" s="41">
        <v>360</v>
      </c>
      <c r="AI164" s="41">
        <f t="shared" si="520"/>
        <v>73</v>
      </c>
      <c r="AJ164" s="42">
        <f t="shared" si="521"/>
        <v>0.11539075577783645</v>
      </c>
      <c r="AK164" s="41">
        <f t="shared" si="522"/>
        <v>9306</v>
      </c>
      <c r="AL164" s="42">
        <f t="shared" si="523"/>
        <v>0.11337344839889608</v>
      </c>
      <c r="AM164" s="1058"/>
      <c r="AN164" s="220">
        <v>5.5</v>
      </c>
      <c r="AO164" s="67">
        <v>24</v>
      </c>
      <c r="AP164" s="68">
        <f t="shared" si="524"/>
        <v>65.610600000000005</v>
      </c>
      <c r="AQ164" s="68">
        <f t="shared" si="525"/>
        <v>10.047811278683705</v>
      </c>
      <c r="AR164" s="258">
        <f t="shared" si="526"/>
        <v>7784.3994600000033</v>
      </c>
      <c r="AS164" s="68">
        <f t="shared" si="527"/>
        <v>8.1833467809181624</v>
      </c>
      <c r="AT164" s="1073"/>
      <c r="AU164" s="71">
        <v>2.9</v>
      </c>
      <c r="AV164" s="71">
        <v>12</v>
      </c>
      <c r="AW164" s="72">
        <f t="shared" si="528"/>
        <v>17.982203999999999</v>
      </c>
      <c r="AX164" s="72">
        <f t="shared" si="529"/>
        <v>2.7538506303370371</v>
      </c>
      <c r="AY164" s="276">
        <f t="shared" si="530"/>
        <v>2449.6102379999993</v>
      </c>
      <c r="AZ164" s="72">
        <f t="shared" si="531"/>
        <v>2.5751517710065532</v>
      </c>
      <c r="BA164" s="1075"/>
      <c r="BB164" s="253">
        <f t="shared" si="532"/>
        <v>31955</v>
      </c>
      <c r="BC164" s="59"/>
      <c r="BD164" s="252">
        <v>31955</v>
      </c>
      <c r="BE164" s="57"/>
      <c r="BF164" s="58">
        <f t="shared" si="533"/>
        <v>77945</v>
      </c>
      <c r="BG164" s="58">
        <f t="shared" si="534"/>
        <v>81.939649695040927</v>
      </c>
      <c r="BH164" s="1133"/>
      <c r="BI164" s="63">
        <f t="shared" si="535"/>
        <v>1800</v>
      </c>
      <c r="BJ164" s="133"/>
      <c r="BK164" s="64">
        <v>1560</v>
      </c>
      <c r="BL164" s="64">
        <f t="shared" si="536"/>
        <v>240</v>
      </c>
      <c r="BM164" s="65">
        <f t="shared" si="537"/>
        <v>0.37936686831069516</v>
      </c>
      <c r="BN164" s="64">
        <f t="shared" si="538"/>
        <v>24972</v>
      </c>
      <c r="BO164" s="65">
        <f t="shared" si="539"/>
        <v>0.30422971775383978</v>
      </c>
      <c r="BP164" s="1071"/>
      <c r="BQ164" s="77">
        <f t="shared" si="540"/>
        <v>60725</v>
      </c>
      <c r="BR164" s="35"/>
      <c r="BS164" s="35">
        <f>52725+8000</f>
        <v>60725</v>
      </c>
      <c r="BT164" s="35"/>
      <c r="BU164" s="35">
        <f t="shared" si="542"/>
        <v>427042</v>
      </c>
      <c r="BV164" s="74">
        <f t="shared" si="543"/>
        <v>448.9277296179315</v>
      </c>
      <c r="BW164" s="1098"/>
      <c r="BX164" s="295">
        <f t="shared" si="544"/>
        <v>1650</v>
      </c>
      <c r="BY164" s="303"/>
      <c r="BZ164" s="296">
        <v>1650</v>
      </c>
      <c r="CA164" s="296"/>
      <c r="CB164" s="296"/>
      <c r="CC164" s="296">
        <f t="shared" si="545"/>
        <v>10850</v>
      </c>
      <c r="CD164" s="297">
        <f t="shared" si="546"/>
        <v>0.13218374329765983</v>
      </c>
      <c r="CE164" s="1061"/>
    </row>
    <row r="165" spans="1:83">
      <c r="A165" s="30">
        <v>43747</v>
      </c>
      <c r="B165" s="32">
        <v>598299</v>
      </c>
      <c r="C165" s="1">
        <f t="shared" si="388"/>
        <v>82681010</v>
      </c>
      <c r="D165" s="91">
        <v>6138.62</v>
      </c>
      <c r="E165" s="91">
        <f t="shared" si="389"/>
        <v>957387.49999999965</v>
      </c>
      <c r="F165" s="243"/>
      <c r="G165" s="321">
        <v>21500</v>
      </c>
      <c r="H165" s="240">
        <v>2000</v>
      </c>
      <c r="I165" s="240">
        <f t="shared" si="547"/>
        <v>19500</v>
      </c>
      <c r="J165" s="280">
        <f t="shared" si="548"/>
        <v>32.592399452447687</v>
      </c>
      <c r="K165" s="240">
        <f t="shared" si="506"/>
        <v>2286240</v>
      </c>
      <c r="L165" s="280">
        <f t="shared" si="507"/>
        <v>27.651331303282337</v>
      </c>
      <c r="M165" s="280">
        <f t="shared" si="508"/>
        <v>3.3857391090097142</v>
      </c>
      <c r="N165" s="1089"/>
      <c r="O165" s="1084"/>
      <c r="P165" s="35">
        <f t="shared" si="509"/>
        <v>27009</v>
      </c>
      <c r="Q165" s="98"/>
      <c r="R165" s="35">
        <v>25406</v>
      </c>
      <c r="S165" s="35">
        <f t="shared" si="510"/>
        <v>1603</v>
      </c>
      <c r="T165" s="36">
        <f t="shared" si="511"/>
        <v>2.6792623755012128</v>
      </c>
      <c r="U165" s="74">
        <f t="shared" si="512"/>
        <v>240002</v>
      </c>
      <c r="V165" s="36">
        <f t="shared" si="513"/>
        <v>2.9027463500990129</v>
      </c>
      <c r="W165" s="1136"/>
      <c r="X165" s="49">
        <f t="shared" si="514"/>
        <v>293</v>
      </c>
      <c r="Y165" s="248"/>
      <c r="Z165" s="50">
        <f>173+60</f>
        <v>233</v>
      </c>
      <c r="AA165" s="50">
        <f t="shared" si="515"/>
        <v>60</v>
      </c>
      <c r="AB165" s="51">
        <f t="shared" si="516"/>
        <v>0.10028430600753135</v>
      </c>
      <c r="AC165" s="50">
        <f t="shared" si="517"/>
        <v>17561</v>
      </c>
      <c r="AD165" s="51">
        <f t="shared" si="518"/>
        <v>0.21239459943704123</v>
      </c>
      <c r="AE165" s="1047"/>
      <c r="AF165" s="40">
        <f t="shared" si="519"/>
        <v>360</v>
      </c>
      <c r="AG165" s="44"/>
      <c r="AH165" s="41">
        <v>307</v>
      </c>
      <c r="AI165" s="41">
        <f t="shared" si="520"/>
        <v>53</v>
      </c>
      <c r="AJ165" s="42">
        <f t="shared" si="521"/>
        <v>8.8584470306652688E-2</v>
      </c>
      <c r="AK165" s="41">
        <f t="shared" si="522"/>
        <v>9359</v>
      </c>
      <c r="AL165" s="42">
        <f t="shared" si="523"/>
        <v>0.11319406959348949</v>
      </c>
      <c r="AM165" s="1058"/>
      <c r="AN165" s="260">
        <v>5</v>
      </c>
      <c r="AO165" s="67">
        <v>24</v>
      </c>
      <c r="AP165" s="68">
        <f t="shared" si="524"/>
        <v>59.646000000000001</v>
      </c>
      <c r="AQ165" s="68">
        <f t="shared" si="525"/>
        <v>9.7165160899355225</v>
      </c>
      <c r="AR165" s="258">
        <f t="shared" si="526"/>
        <v>7844.045460000003</v>
      </c>
      <c r="AS165" s="68">
        <f t="shared" si="527"/>
        <v>8.1931772244780774</v>
      </c>
      <c r="AT165" s="1073"/>
      <c r="AU165" s="71">
        <v>2.8</v>
      </c>
      <c r="AV165" s="71">
        <v>12</v>
      </c>
      <c r="AW165" s="72">
        <f t="shared" si="528"/>
        <v>17.362127999999998</v>
      </c>
      <c r="AX165" s="72">
        <f t="shared" si="529"/>
        <v>2.8283438297206858</v>
      </c>
      <c r="AY165" s="276">
        <f t="shared" si="530"/>
        <v>2466.9723659999995</v>
      </c>
      <c r="AZ165" s="72">
        <f t="shared" si="531"/>
        <v>2.576775199174838</v>
      </c>
      <c r="BA165" s="1075"/>
      <c r="BB165" s="253">
        <f t="shared" si="532"/>
        <v>31955</v>
      </c>
      <c r="BC165" s="59"/>
      <c r="BD165" s="252">
        <v>31955</v>
      </c>
      <c r="BE165" s="57"/>
      <c r="BF165" s="58">
        <f t="shared" si="533"/>
        <v>77945</v>
      </c>
      <c r="BG165" s="58">
        <f t="shared" si="534"/>
        <v>81.414265383661302</v>
      </c>
      <c r="BH165" s="1133"/>
      <c r="BI165" s="63">
        <f t="shared" si="535"/>
        <v>1560</v>
      </c>
      <c r="BJ165" s="133"/>
      <c r="BK165" s="64">
        <v>1320</v>
      </c>
      <c r="BL165" s="64">
        <f t="shared" si="536"/>
        <v>240</v>
      </c>
      <c r="BM165" s="65">
        <f t="shared" si="537"/>
        <v>0.40113722403012542</v>
      </c>
      <c r="BN165" s="64">
        <f t="shared" si="538"/>
        <v>25212</v>
      </c>
      <c r="BO165" s="65">
        <f t="shared" si="539"/>
        <v>0.3049309629865431</v>
      </c>
      <c r="BP165" s="1071"/>
      <c r="BQ165" s="77">
        <f t="shared" si="540"/>
        <v>60725</v>
      </c>
      <c r="BR165" s="35"/>
      <c r="BS165" s="35">
        <f>40416+8000</f>
        <v>48416</v>
      </c>
      <c r="BT165" s="35">
        <f t="shared" si="541"/>
        <v>12309</v>
      </c>
      <c r="BU165" s="35">
        <f t="shared" si="542"/>
        <v>439351</v>
      </c>
      <c r="BV165" s="74">
        <f t="shared" si="543"/>
        <v>458.90613779686925</v>
      </c>
      <c r="BW165" s="1098"/>
      <c r="BX165" s="295">
        <f t="shared" si="544"/>
        <v>1650</v>
      </c>
      <c r="BY165" s="303"/>
      <c r="BZ165" s="296">
        <v>1650</v>
      </c>
      <c r="CA165" s="296"/>
      <c r="CB165" s="296"/>
      <c r="CC165" s="296">
        <f t="shared" si="545"/>
        <v>10850</v>
      </c>
      <c r="CD165" s="297">
        <f t="shared" si="546"/>
        <v>0.1312272310171344</v>
      </c>
      <c r="CE165" s="1061"/>
    </row>
    <row r="166" spans="1:83">
      <c r="A166" s="30">
        <v>43748</v>
      </c>
      <c r="B166" s="32">
        <v>646206</v>
      </c>
      <c r="C166" s="1">
        <f t="shared" si="388"/>
        <v>83327216</v>
      </c>
      <c r="D166" s="91">
        <v>6229.18</v>
      </c>
      <c r="E166" s="91">
        <f t="shared" si="389"/>
        <v>963616.6799999997</v>
      </c>
      <c r="F166" s="243">
        <f t="shared" si="549"/>
        <v>2000</v>
      </c>
      <c r="G166" s="337"/>
      <c r="H166" s="240">
        <v>2000</v>
      </c>
      <c r="I166" s="240"/>
      <c r="J166" s="280"/>
      <c r="K166" s="240">
        <f t="shared" si="506"/>
        <v>2286240</v>
      </c>
      <c r="L166" s="280">
        <f t="shared" si="507"/>
        <v>27.436894087521178</v>
      </c>
      <c r="M166" s="280">
        <f t="shared" si="508"/>
        <v>3.3594825624490241</v>
      </c>
      <c r="N166" s="1089"/>
      <c r="O166" s="1084"/>
      <c r="P166" s="35">
        <f t="shared" si="509"/>
        <v>25406</v>
      </c>
      <c r="Q166" s="98"/>
      <c r="R166" s="35">
        <v>21188</v>
      </c>
      <c r="S166" s="35">
        <f t="shared" ref="S166:S177" si="550">P166+Q166-R166</f>
        <v>4218</v>
      </c>
      <c r="T166" s="36">
        <f t="shared" ref="T166:T177" si="551">1000*S166/B166</f>
        <v>6.5273302940548374</v>
      </c>
      <c r="U166" s="74">
        <f t="shared" ref="U166:U177" si="552">U165+S166</f>
        <v>244220</v>
      </c>
      <c r="V166" s="36">
        <f t="shared" ref="V166:V177" si="553">1000*U166/C166</f>
        <v>2.9308551482147203</v>
      </c>
      <c r="W166" s="1136"/>
      <c r="X166" s="49">
        <f t="shared" si="514"/>
        <v>233</v>
      </c>
      <c r="Y166" s="50">
        <v>900</v>
      </c>
      <c r="Z166" s="50">
        <f>938+110</f>
        <v>1048</v>
      </c>
      <c r="AA166" s="50">
        <f t="shared" ref="AA166:AA177" si="554">X166-Z166+Y166</f>
        <v>85</v>
      </c>
      <c r="AB166" s="51">
        <f t="shared" ref="AB166:AB177" si="555">AA166*1000/B166</f>
        <v>0.13153700213244693</v>
      </c>
      <c r="AC166" s="50">
        <f t="shared" ref="AC166:AC177" si="556">AC165+AA166</f>
        <v>17646</v>
      </c>
      <c r="AD166" s="51">
        <f t="shared" ref="AD166:AD177" si="557">AC166*1000/C166</f>
        <v>0.21176754543197507</v>
      </c>
      <c r="AE166" s="1047"/>
      <c r="AF166" s="40">
        <f t="shared" si="519"/>
        <v>307</v>
      </c>
      <c r="AG166" s="41">
        <v>1000</v>
      </c>
      <c r="AH166" s="41">
        <v>1211</v>
      </c>
      <c r="AI166" s="41">
        <f t="shared" ref="AI166:AI177" si="558">AF166+AG166-AH166</f>
        <v>96</v>
      </c>
      <c r="AJ166" s="42">
        <f t="shared" ref="AJ166:AJ177" si="559">AI166*1000/B166</f>
        <v>0.1485594377025283</v>
      </c>
      <c r="AK166" s="41">
        <f t="shared" ref="AK166:AK177" si="560">AK165+AI166</f>
        <v>9455</v>
      </c>
      <c r="AL166" s="42">
        <f t="shared" ref="AL166:AL177" si="561">AK166*1000/C166</f>
        <v>0.11346832948313069</v>
      </c>
      <c r="AM166" s="1058"/>
      <c r="AN166" s="220">
        <v>5.7</v>
      </c>
      <c r="AO166" s="67">
        <v>24</v>
      </c>
      <c r="AP166" s="68">
        <f t="shared" si="524"/>
        <v>67.996440000000007</v>
      </c>
      <c r="AQ166" s="68">
        <f t="shared" si="525"/>
        <v>10.915793089941213</v>
      </c>
      <c r="AR166" s="258">
        <f t="shared" si="526"/>
        <v>7912.0419000000029</v>
      </c>
      <c r="AS166" s="68">
        <f t="shared" si="527"/>
        <v>8.2107772356119924</v>
      </c>
      <c r="AT166" s="1073"/>
      <c r="AU166" s="71">
        <v>2.9</v>
      </c>
      <c r="AV166" s="71">
        <v>12</v>
      </c>
      <c r="AW166" s="72">
        <f t="shared" si="528"/>
        <v>17.982203999999999</v>
      </c>
      <c r="AX166" s="72">
        <f t="shared" si="529"/>
        <v>2.886769045042846</v>
      </c>
      <c r="AY166" s="276">
        <f t="shared" si="530"/>
        <v>2484.9545699999994</v>
      </c>
      <c r="AZ166" s="72">
        <f t="shared" si="531"/>
        <v>2.5787791157786932</v>
      </c>
      <c r="BA166" s="1075"/>
      <c r="BB166" s="253">
        <f t="shared" si="532"/>
        <v>31955</v>
      </c>
      <c r="BC166" s="59"/>
      <c r="BD166" s="252">
        <v>31955</v>
      </c>
      <c r="BE166" s="57"/>
      <c r="BF166" s="58">
        <f t="shared" si="533"/>
        <v>77945</v>
      </c>
      <c r="BG166" s="58">
        <f t="shared" si="534"/>
        <v>80.887973006029767</v>
      </c>
      <c r="BH166" s="1133"/>
      <c r="BI166" s="63">
        <f t="shared" si="535"/>
        <v>1320</v>
      </c>
      <c r="BJ166" s="133"/>
      <c r="BK166" s="64">
        <v>1200</v>
      </c>
      <c r="BL166" s="64">
        <f t="shared" ref="BL166:BL177" si="562">BI166-BK166+BJ166</f>
        <v>120</v>
      </c>
      <c r="BM166" s="65">
        <f t="shared" ref="BM166:BM177" si="563">BL166*1000/B166</f>
        <v>0.18569929712816036</v>
      </c>
      <c r="BN166" s="64">
        <f t="shared" ref="BN166:BN177" si="564">BN165+BL166</f>
        <v>25332</v>
      </c>
      <c r="BO166" s="65">
        <f t="shared" ref="BO166:BO177" si="565">BN166*1000/C166</f>
        <v>0.30400631649568133</v>
      </c>
      <c r="BP166" s="1071"/>
      <c r="BQ166" s="77">
        <f t="shared" si="540"/>
        <v>48416</v>
      </c>
      <c r="BR166" s="35"/>
      <c r="BS166" s="35">
        <f>39942+8000</f>
        <v>47942</v>
      </c>
      <c r="BT166" s="35">
        <f t="shared" ref="BT166:BT172" si="566">BQ166-BS166+BR166</f>
        <v>474</v>
      </c>
      <c r="BU166" s="35">
        <f t="shared" ref="BU166:BU172" si="567">BU165+BT166</f>
        <v>439825</v>
      </c>
      <c r="BV166" s="74">
        <f t="shared" ref="BV166:BV172" si="568">BU166*1000/E166</f>
        <v>456.43149307046048</v>
      </c>
      <c r="BW166" s="1098"/>
      <c r="BX166" s="295">
        <f t="shared" si="544"/>
        <v>1650</v>
      </c>
      <c r="BY166" s="303"/>
      <c r="BZ166" s="296">
        <v>1650</v>
      </c>
      <c r="CA166" s="296"/>
      <c r="CB166" s="297"/>
      <c r="CC166" s="296">
        <f t="shared" ref="CC166:CC177" si="569">CC165+CA166</f>
        <v>10850</v>
      </c>
      <c r="CD166" s="297">
        <f t="shared" ref="CD166:CD177" si="570">CC166*1000/C166</f>
        <v>0.13020955842326473</v>
      </c>
      <c r="CE166" s="1061"/>
    </row>
    <row r="167" spans="1:83">
      <c r="A167" s="30">
        <v>43749</v>
      </c>
      <c r="B167" s="32">
        <v>652998</v>
      </c>
      <c r="C167" s="1">
        <f t="shared" si="388"/>
        <v>83980214</v>
      </c>
      <c r="D167" s="91">
        <v>6903.44</v>
      </c>
      <c r="E167" s="91">
        <f t="shared" si="389"/>
        <v>970520.11999999965</v>
      </c>
      <c r="F167" s="243">
        <f t="shared" si="549"/>
        <v>2000</v>
      </c>
      <c r="G167" s="321"/>
      <c r="H167" s="240">
        <v>2000</v>
      </c>
      <c r="I167" s="240"/>
      <c r="J167" s="280"/>
      <c r="K167" s="240">
        <f t="shared" si="506"/>
        <v>2286240</v>
      </c>
      <c r="L167" s="280">
        <f t="shared" si="507"/>
        <v>27.223555300775967</v>
      </c>
      <c r="M167" s="280">
        <f t="shared" si="508"/>
        <v>3.3333605119108567</v>
      </c>
      <c r="N167" s="1089"/>
      <c r="O167" s="1084"/>
      <c r="P167" s="35">
        <f t="shared" si="509"/>
        <v>21188</v>
      </c>
      <c r="Q167" s="98"/>
      <c r="R167" s="35">
        <v>18611</v>
      </c>
      <c r="S167" s="35">
        <f t="shared" si="550"/>
        <v>2577</v>
      </c>
      <c r="T167" s="36">
        <f t="shared" si="551"/>
        <v>3.9464133121387812</v>
      </c>
      <c r="U167" s="74">
        <f t="shared" si="552"/>
        <v>246797</v>
      </c>
      <c r="V167" s="36">
        <f t="shared" si="553"/>
        <v>2.9387517397848022</v>
      </c>
      <c r="W167" s="1136"/>
      <c r="X167" s="49">
        <f t="shared" si="514"/>
        <v>1048</v>
      </c>
      <c r="Y167" s="248"/>
      <c r="Z167" s="50">
        <f>921+35</f>
        <v>956</v>
      </c>
      <c r="AA167" s="50">
        <f t="shared" si="554"/>
        <v>92</v>
      </c>
      <c r="AB167" s="51">
        <f t="shared" si="555"/>
        <v>0.14088863978143884</v>
      </c>
      <c r="AC167" s="50">
        <f t="shared" si="556"/>
        <v>17738</v>
      </c>
      <c r="AD167" s="51">
        <f t="shared" si="557"/>
        <v>0.21121641819107534</v>
      </c>
      <c r="AE167" s="1047"/>
      <c r="AF167" s="40">
        <f t="shared" si="519"/>
        <v>1211</v>
      </c>
      <c r="AG167" s="44"/>
      <c r="AH167" s="41">
        <v>1174</v>
      </c>
      <c r="AI167" s="41">
        <f t="shared" si="558"/>
        <v>37</v>
      </c>
      <c r="AJ167" s="42">
        <f t="shared" si="559"/>
        <v>5.666173556427432E-2</v>
      </c>
      <c r="AK167" s="41">
        <f t="shared" si="560"/>
        <v>9492</v>
      </c>
      <c r="AL167" s="42">
        <f t="shared" si="561"/>
        <v>0.11302662315197244</v>
      </c>
      <c r="AM167" s="1058"/>
      <c r="AN167" s="220">
        <v>5.6</v>
      </c>
      <c r="AO167" s="67">
        <v>24</v>
      </c>
      <c r="AP167" s="68">
        <f>AN167*AO167*0.49705</f>
        <v>66.803519999999992</v>
      </c>
      <c r="AQ167" s="68">
        <f>AP167*1000/D167</f>
        <v>9.6768451670471531</v>
      </c>
      <c r="AR167" s="258">
        <f>AR166+AP167</f>
        <v>7978.8454200000033</v>
      </c>
      <c r="AS167" s="68">
        <f>AR167*1000/E167</f>
        <v>8.2212055737700798</v>
      </c>
      <c r="AT167" s="1073"/>
      <c r="AU167" s="216">
        <v>3</v>
      </c>
      <c r="AV167" s="71">
        <v>12</v>
      </c>
      <c r="AW167" s="72">
        <f>AU167*AV167*0.51673</f>
        <v>18.60228</v>
      </c>
      <c r="AX167" s="72">
        <f>AW167*1000/D167</f>
        <v>2.6946391943726606</v>
      </c>
      <c r="AY167" s="276">
        <f>AY166+AW167</f>
        <v>2503.5568499999995</v>
      </c>
      <c r="AZ167" s="72">
        <f>AY167*1000/E167</f>
        <v>2.5796032440831835</v>
      </c>
      <c r="BA167" s="1075"/>
      <c r="BB167" s="253">
        <f t="shared" si="532"/>
        <v>31955</v>
      </c>
      <c r="BC167" s="59"/>
      <c r="BD167" s="252">
        <v>31955</v>
      </c>
      <c r="BE167" s="57"/>
      <c r="BF167" s="58">
        <f t="shared" si="533"/>
        <v>77945</v>
      </c>
      <c r="BG167" s="58">
        <f t="shared" si="534"/>
        <v>80.312605986983584</v>
      </c>
      <c r="BH167" s="1133"/>
      <c r="BI167" s="63">
        <f t="shared" si="535"/>
        <v>1200</v>
      </c>
      <c r="BJ167" s="133"/>
      <c r="BK167" s="64">
        <v>1032</v>
      </c>
      <c r="BL167" s="64">
        <f t="shared" si="562"/>
        <v>168</v>
      </c>
      <c r="BM167" s="65">
        <f t="shared" si="563"/>
        <v>0.25727490742697529</v>
      </c>
      <c r="BN167" s="64">
        <f t="shared" si="564"/>
        <v>25500</v>
      </c>
      <c r="BO167" s="65">
        <f t="shared" si="565"/>
        <v>0.30364295094556437</v>
      </c>
      <c r="BP167" s="1071"/>
      <c r="BQ167" s="77">
        <f t="shared" si="540"/>
        <v>47942</v>
      </c>
      <c r="BR167" s="35"/>
      <c r="BS167" s="35">
        <f>37644+8000</f>
        <v>45644</v>
      </c>
      <c r="BT167" s="35">
        <f t="shared" si="566"/>
        <v>2298</v>
      </c>
      <c r="BU167" s="35">
        <f t="shared" si="567"/>
        <v>442123</v>
      </c>
      <c r="BV167" s="74">
        <f t="shared" si="568"/>
        <v>455.55263707464422</v>
      </c>
      <c r="BW167" s="1098"/>
      <c r="BX167" s="295">
        <f t="shared" si="544"/>
        <v>1650</v>
      </c>
      <c r="BY167" s="303"/>
      <c r="BZ167" s="296">
        <v>1650</v>
      </c>
      <c r="CA167" s="296"/>
      <c r="CB167" s="297"/>
      <c r="CC167" s="296">
        <f t="shared" si="569"/>
        <v>10850</v>
      </c>
      <c r="CD167" s="297">
        <f t="shared" si="570"/>
        <v>0.12919709873566171</v>
      </c>
      <c r="CE167" s="1061"/>
    </row>
    <row r="168" spans="1:83">
      <c r="A168" s="30">
        <v>43750</v>
      </c>
      <c r="B168" s="32">
        <v>639057</v>
      </c>
      <c r="C168" s="1">
        <f t="shared" si="388"/>
        <v>84619271</v>
      </c>
      <c r="D168" s="91">
        <v>6794.7</v>
      </c>
      <c r="E168" s="91">
        <f t="shared" si="389"/>
        <v>977314.8199999996</v>
      </c>
      <c r="F168" s="243">
        <f t="shared" si="549"/>
        <v>2000</v>
      </c>
      <c r="G168" s="321">
        <f>31720+33000</f>
        <v>64720</v>
      </c>
      <c r="H168" s="240">
        <v>6000</v>
      </c>
      <c r="I168" s="240">
        <f t="shared" si="547"/>
        <v>60720</v>
      </c>
      <c r="J168" s="280">
        <f t="shared" si="548"/>
        <v>95.014998662091173</v>
      </c>
      <c r="K168" s="240">
        <f t="shared" si="506"/>
        <v>2346960</v>
      </c>
      <c r="L168" s="280">
        <f t="shared" si="507"/>
        <v>27.735526107285892</v>
      </c>
      <c r="M168" s="280">
        <f t="shared" si="508"/>
        <v>3.396048256065372</v>
      </c>
      <c r="N168" s="1089"/>
      <c r="O168" s="1084"/>
      <c r="P168" s="35">
        <f t="shared" si="509"/>
        <v>18611</v>
      </c>
      <c r="Q168" s="35">
        <v>31720</v>
      </c>
      <c r="R168" s="35">
        <v>49673</v>
      </c>
      <c r="S168" s="35">
        <f t="shared" si="550"/>
        <v>658</v>
      </c>
      <c r="T168" s="36">
        <f t="shared" si="551"/>
        <v>1.0296421133013174</v>
      </c>
      <c r="U168" s="74">
        <f t="shared" si="552"/>
        <v>247455</v>
      </c>
      <c r="V168" s="36">
        <f t="shared" si="553"/>
        <v>2.9243338671636629</v>
      </c>
      <c r="W168" s="1136"/>
      <c r="X168" s="49">
        <f t="shared" si="514"/>
        <v>956</v>
      </c>
      <c r="Y168" s="248"/>
      <c r="Z168" s="50">
        <f>906+50</f>
        <v>956</v>
      </c>
      <c r="AA168" s="50"/>
      <c r="AB168" s="51"/>
      <c r="AC168" s="50">
        <f t="shared" si="556"/>
        <v>17738</v>
      </c>
      <c r="AD168" s="51">
        <f t="shared" si="557"/>
        <v>0.20962128118546425</v>
      </c>
      <c r="AE168" s="1047"/>
      <c r="AF168" s="40">
        <f t="shared" si="519"/>
        <v>1174</v>
      </c>
      <c r="AG168" s="44"/>
      <c r="AH168" s="41">
        <v>1119</v>
      </c>
      <c r="AI168" s="41">
        <f t="shared" si="558"/>
        <v>55</v>
      </c>
      <c r="AJ168" s="42">
        <f t="shared" si="559"/>
        <v>8.6064310382328965E-2</v>
      </c>
      <c r="AK168" s="41">
        <f t="shared" si="560"/>
        <v>9547</v>
      </c>
      <c r="AL168" s="42">
        <f t="shared" si="561"/>
        <v>0.11282299985779835</v>
      </c>
      <c r="AM168" s="1058"/>
      <c r="AN168" s="220">
        <v>5.4</v>
      </c>
      <c r="AO168" s="67">
        <v>24</v>
      </c>
      <c r="AP168" s="68">
        <f>AN168*AO168*0.49705</f>
        <v>64.417680000000004</v>
      </c>
      <c r="AQ168" s="68">
        <f>AP168*1000/D168</f>
        <v>9.4805775089407938</v>
      </c>
      <c r="AR168" s="258">
        <f>AR167+AP168</f>
        <v>8043.2631000000029</v>
      </c>
      <c r="AS168" s="68">
        <f>AR168*1000/E168</f>
        <v>8.229961252403811</v>
      </c>
      <c r="AT168" s="1073"/>
      <c r="AU168" s="216">
        <v>3</v>
      </c>
      <c r="AV168" s="71">
        <v>12</v>
      </c>
      <c r="AW168" s="72">
        <f>AU168*AV168*0.51673</f>
        <v>18.60228</v>
      </c>
      <c r="AX168" s="72">
        <f>AW168*1000/D168</f>
        <v>2.7377632566559229</v>
      </c>
      <c r="AY168" s="276">
        <f>AY167+AW168</f>
        <v>2522.1591299999995</v>
      </c>
      <c r="AZ168" s="72">
        <f>AY168*1000/E168</f>
        <v>2.580702838415978</v>
      </c>
      <c r="BA168" s="1075"/>
      <c r="BB168" s="253">
        <f t="shared" si="532"/>
        <v>31955</v>
      </c>
      <c r="BC168" s="59"/>
      <c r="BD168" s="252">
        <v>31955</v>
      </c>
      <c r="BE168" s="57"/>
      <c r="BF168" s="58">
        <f t="shared" si="533"/>
        <v>77945</v>
      </c>
      <c r="BG168" s="58">
        <f t="shared" si="534"/>
        <v>79.754239273686679</v>
      </c>
      <c r="BH168" s="1133"/>
      <c r="BI168" s="63">
        <f t="shared" si="535"/>
        <v>1032</v>
      </c>
      <c r="BJ168" s="133"/>
      <c r="BK168" s="64">
        <v>840</v>
      </c>
      <c r="BL168" s="64">
        <f t="shared" si="562"/>
        <v>192</v>
      </c>
      <c r="BM168" s="65">
        <f t="shared" si="563"/>
        <v>0.30044268351649384</v>
      </c>
      <c r="BN168" s="64">
        <f t="shared" si="564"/>
        <v>25692</v>
      </c>
      <c r="BO168" s="65">
        <f t="shared" si="565"/>
        <v>0.30361878206206716</v>
      </c>
      <c r="BP168" s="1071"/>
      <c r="BQ168" s="77">
        <f t="shared" si="540"/>
        <v>45644</v>
      </c>
      <c r="BR168" s="35"/>
      <c r="BS168" s="35">
        <f>35795+8000</f>
        <v>43795</v>
      </c>
      <c r="BT168" s="35">
        <f t="shared" si="566"/>
        <v>1849</v>
      </c>
      <c r="BU168" s="35">
        <f t="shared" si="567"/>
        <v>443972</v>
      </c>
      <c r="BV168" s="74">
        <f t="shared" si="568"/>
        <v>454.27736376697959</v>
      </c>
      <c r="BW168" s="1098"/>
      <c r="BX168" s="295">
        <f t="shared" si="544"/>
        <v>1650</v>
      </c>
      <c r="BY168" s="303"/>
      <c r="BZ168" s="296">
        <v>1650</v>
      </c>
      <c r="CA168" s="296"/>
      <c r="CB168" s="297"/>
      <c r="CC168" s="296">
        <f t="shared" si="569"/>
        <v>10850</v>
      </c>
      <c r="CD168" s="297">
        <f t="shared" si="570"/>
        <v>0.12822138351912771</v>
      </c>
      <c r="CE168" s="1061"/>
    </row>
    <row r="169" spans="1:83">
      <c r="A169" s="30">
        <v>43751</v>
      </c>
      <c r="B169" s="32">
        <v>609685</v>
      </c>
      <c r="C169" s="1">
        <f t="shared" si="388"/>
        <v>85228956</v>
      </c>
      <c r="D169" s="91">
        <v>6682.66</v>
      </c>
      <c r="E169" s="91">
        <f t="shared" si="389"/>
        <v>983997.47999999963</v>
      </c>
      <c r="F169" s="243">
        <f t="shared" si="549"/>
        <v>6000</v>
      </c>
      <c r="G169" s="321">
        <v>31780</v>
      </c>
      <c r="H169" s="240">
        <v>14000</v>
      </c>
      <c r="I169" s="240">
        <f t="shared" si="547"/>
        <v>23780</v>
      </c>
      <c r="J169" s="280">
        <f t="shared" si="548"/>
        <v>39.003747836997796</v>
      </c>
      <c r="K169" s="240">
        <f t="shared" si="506"/>
        <v>2370740</v>
      </c>
      <c r="L169" s="280">
        <f t="shared" si="507"/>
        <v>27.816133286907796</v>
      </c>
      <c r="M169" s="280">
        <f t="shared" si="508"/>
        <v>3.4059181201062563</v>
      </c>
      <c r="N169" s="1089"/>
      <c r="O169" s="1084"/>
      <c r="P169" s="35">
        <f t="shared" si="509"/>
        <v>49673</v>
      </c>
      <c r="Q169" s="98"/>
      <c r="R169" s="35">
        <v>48480</v>
      </c>
      <c r="S169" s="35">
        <f t="shared" si="550"/>
        <v>1193</v>
      </c>
      <c r="T169" s="36">
        <f t="shared" si="551"/>
        <v>1.9567481568350871</v>
      </c>
      <c r="U169" s="74">
        <f t="shared" si="552"/>
        <v>248648</v>
      </c>
      <c r="V169" s="36">
        <f t="shared" si="553"/>
        <v>2.9174122466078312</v>
      </c>
      <c r="W169" s="1136"/>
      <c r="X169" s="49">
        <f t="shared" si="514"/>
        <v>956</v>
      </c>
      <c r="Y169" s="248"/>
      <c r="Z169" s="50">
        <f>779+110</f>
        <v>889</v>
      </c>
      <c r="AA169" s="50">
        <f t="shared" si="554"/>
        <v>67</v>
      </c>
      <c r="AB169" s="51">
        <f t="shared" si="555"/>
        <v>0.10989281350205433</v>
      </c>
      <c r="AC169" s="50">
        <f t="shared" si="556"/>
        <v>17805</v>
      </c>
      <c r="AD169" s="51">
        <f t="shared" si="557"/>
        <v>0.20890787398592564</v>
      </c>
      <c r="AE169" s="1047"/>
      <c r="AF169" s="40">
        <f t="shared" si="519"/>
        <v>1119</v>
      </c>
      <c r="AG169" s="44"/>
      <c r="AH169" s="41">
        <v>1042</v>
      </c>
      <c r="AI169" s="41">
        <f t="shared" si="558"/>
        <v>77</v>
      </c>
      <c r="AJ169" s="42">
        <f t="shared" si="559"/>
        <v>0.12629472596504751</v>
      </c>
      <c r="AK169" s="41">
        <f t="shared" si="560"/>
        <v>9624</v>
      </c>
      <c r="AL169" s="42">
        <f t="shared" si="561"/>
        <v>0.11291936979727876</v>
      </c>
      <c r="AM169" s="1058"/>
      <c r="AN169" s="220">
        <v>5.5</v>
      </c>
      <c r="AO169" s="67">
        <v>24</v>
      </c>
      <c r="AP169" s="68">
        <f>AN169*AO169*0.49705</f>
        <v>65.610600000000005</v>
      </c>
      <c r="AQ169" s="68">
        <f>AP169*1000/D169</f>
        <v>9.8180365303636581</v>
      </c>
      <c r="AR169" s="258">
        <f>AR168+AP169</f>
        <v>8108.8737000000028</v>
      </c>
      <c r="AS169" s="68">
        <f>AR169*1000/E169</f>
        <v>8.2407464092286151</v>
      </c>
      <c r="AT169" s="1073"/>
      <c r="AU169" s="71">
        <v>2.9</v>
      </c>
      <c r="AV169" s="71">
        <v>12</v>
      </c>
      <c r="AW169" s="72">
        <f>AU169*AV169*0.51673</f>
        <v>17.982203999999999</v>
      </c>
      <c r="AX169" s="72">
        <f>AW169*1000/D169</f>
        <v>2.6908751904181867</v>
      </c>
      <c r="AY169" s="276">
        <f>AY168+AW169</f>
        <v>2540.1413339999995</v>
      </c>
      <c r="AZ169" s="72">
        <f>AY169*1000/E169</f>
        <v>2.581451056155144</v>
      </c>
      <c r="BA169" s="1075"/>
      <c r="BB169" s="253">
        <f t="shared" si="532"/>
        <v>31955</v>
      </c>
      <c r="BC169" s="59"/>
      <c r="BD169" s="252">
        <v>31955</v>
      </c>
      <c r="BE169" s="57"/>
      <c r="BF169" s="58">
        <f t="shared" si="533"/>
        <v>77945</v>
      </c>
      <c r="BG169" s="58">
        <f t="shared" si="534"/>
        <v>79.212601235523522</v>
      </c>
      <c r="BH169" s="1133"/>
      <c r="BI169" s="63">
        <f t="shared" si="535"/>
        <v>840</v>
      </c>
      <c r="BJ169" s="64"/>
      <c r="BK169" s="64">
        <v>636</v>
      </c>
      <c r="BL169" s="64">
        <f t="shared" si="562"/>
        <v>204</v>
      </c>
      <c r="BM169" s="65">
        <f t="shared" si="563"/>
        <v>0.334599014245061</v>
      </c>
      <c r="BN169" s="64">
        <f t="shared" si="564"/>
        <v>25896</v>
      </c>
      <c r="BO169" s="65">
        <f t="shared" si="565"/>
        <v>0.30384039903058296</v>
      </c>
      <c r="BP169" s="1071"/>
      <c r="BQ169" s="77">
        <f t="shared" si="540"/>
        <v>43795</v>
      </c>
      <c r="BR169" s="35"/>
      <c r="BS169" s="35">
        <f>35795+8000</f>
        <v>43795</v>
      </c>
      <c r="BT169" s="35"/>
      <c r="BU169" s="35">
        <f t="shared" si="567"/>
        <v>443972</v>
      </c>
      <c r="BV169" s="74">
        <f t="shared" si="568"/>
        <v>451.19221240282053</v>
      </c>
      <c r="BW169" s="1098"/>
      <c r="BX169" s="295">
        <f t="shared" si="544"/>
        <v>1650</v>
      </c>
      <c r="BY169" s="296"/>
      <c r="BZ169" s="296">
        <v>1650</v>
      </c>
      <c r="CA169" s="296"/>
      <c r="CB169" s="297"/>
      <c r="CC169" s="296">
        <f t="shared" si="569"/>
        <v>10850</v>
      </c>
      <c r="CD169" s="297">
        <f t="shared" si="570"/>
        <v>0.12730415235873593</v>
      </c>
      <c r="CE169" s="1061"/>
    </row>
    <row r="170" spans="1:83">
      <c r="A170" s="30">
        <v>43752</v>
      </c>
      <c r="B170" s="32">
        <v>617828</v>
      </c>
      <c r="C170" s="1">
        <f t="shared" si="388"/>
        <v>85846784</v>
      </c>
      <c r="D170" s="91">
        <v>5696.68</v>
      </c>
      <c r="E170" s="91">
        <f t="shared" si="389"/>
        <v>989694.15999999968</v>
      </c>
      <c r="F170" s="243">
        <f t="shared" si="549"/>
        <v>14000</v>
      </c>
      <c r="G170" s="337"/>
      <c r="H170" s="240">
        <v>2500</v>
      </c>
      <c r="I170" s="240">
        <f t="shared" si="547"/>
        <v>11500</v>
      </c>
      <c r="J170" s="280">
        <f t="shared" si="548"/>
        <v>18.613594722155682</v>
      </c>
      <c r="K170" s="240">
        <f t="shared" si="506"/>
        <v>2382240</v>
      </c>
      <c r="L170" s="280">
        <f t="shared" si="507"/>
        <v>27.749903828662934</v>
      </c>
      <c r="M170" s="280">
        <f t="shared" si="508"/>
        <v>3.3978087215211135</v>
      </c>
      <c r="N170" s="1089"/>
      <c r="O170" s="1084"/>
      <c r="P170" s="35">
        <f t="shared" si="509"/>
        <v>48480</v>
      </c>
      <c r="Q170" s="98"/>
      <c r="R170" s="35">
        <v>45776</v>
      </c>
      <c r="S170" s="35">
        <f t="shared" si="550"/>
        <v>2704</v>
      </c>
      <c r="T170" s="36">
        <f t="shared" si="551"/>
        <v>4.376622619887736</v>
      </c>
      <c r="U170" s="74">
        <f t="shared" si="552"/>
        <v>251352</v>
      </c>
      <c r="V170" s="36">
        <f t="shared" si="553"/>
        <v>2.9279139915130661</v>
      </c>
      <c r="W170" s="1136"/>
      <c r="X170" s="49">
        <f t="shared" si="514"/>
        <v>889</v>
      </c>
      <c r="Y170" s="248"/>
      <c r="Z170" s="50">
        <f>779+50</f>
        <v>829</v>
      </c>
      <c r="AA170" s="50">
        <f t="shared" si="554"/>
        <v>60</v>
      </c>
      <c r="AB170" s="51">
        <f t="shared" si="555"/>
        <v>9.7114407246029641E-2</v>
      </c>
      <c r="AC170" s="50">
        <f t="shared" si="556"/>
        <v>17865</v>
      </c>
      <c r="AD170" s="51">
        <f t="shared" si="557"/>
        <v>0.20810331112694916</v>
      </c>
      <c r="AE170" s="1047"/>
      <c r="AF170" s="40">
        <f t="shared" si="519"/>
        <v>1042</v>
      </c>
      <c r="AG170" s="44"/>
      <c r="AH170" s="41">
        <v>984</v>
      </c>
      <c r="AI170" s="41">
        <f t="shared" si="558"/>
        <v>58</v>
      </c>
      <c r="AJ170" s="42">
        <f t="shared" si="559"/>
        <v>9.3877260337828658E-2</v>
      </c>
      <c r="AK170" s="41">
        <f t="shared" si="560"/>
        <v>9682</v>
      </c>
      <c r="AL170" s="42">
        <f t="shared" si="561"/>
        <v>0.11278232624299589</v>
      </c>
      <c r="AM170" s="1058"/>
      <c r="AN170" s="260">
        <v>5</v>
      </c>
      <c r="AO170" s="67">
        <v>24</v>
      </c>
      <c r="AP170" s="68">
        <f t="shared" ref="AP170:AP177" si="571">AN170*AO170*0.49705</f>
        <v>59.646000000000001</v>
      </c>
      <c r="AQ170" s="68">
        <f t="shared" ref="AQ170:AQ177" si="572">AP170*1000/D170</f>
        <v>10.47030902209708</v>
      </c>
      <c r="AR170" s="258">
        <f t="shared" ref="AR170:AR177" si="573">AR169+AP170</f>
        <v>8168.5197000000026</v>
      </c>
      <c r="AS170" s="68">
        <f t="shared" ref="AS170:AS177" si="574">AR170*1000/E170</f>
        <v>8.2535797725632793</v>
      </c>
      <c r="AT170" s="1073"/>
      <c r="AU170" s="71">
        <v>2.7</v>
      </c>
      <c r="AV170" s="71">
        <v>12</v>
      </c>
      <c r="AW170" s="72">
        <f t="shared" ref="AW170:AW177" si="575">AU170*AV170*0.51673</f>
        <v>16.742052000000005</v>
      </c>
      <c r="AX170" s="72">
        <f t="shared" ref="AX170:AX177" si="576">AW170*1000/D170</f>
        <v>2.93891389370651</v>
      </c>
      <c r="AY170" s="276">
        <f t="shared" ref="AY170:AY177" si="577">AY169+AW170</f>
        <v>2556.8833859999995</v>
      </c>
      <c r="AZ170" s="72">
        <f t="shared" ref="AZ170:AZ177" si="578">AY170*1000/E170</f>
        <v>2.583508612397996</v>
      </c>
      <c r="BA170" s="1075"/>
      <c r="BB170" s="253">
        <f t="shared" si="532"/>
        <v>31955</v>
      </c>
      <c r="BC170" s="59"/>
      <c r="BD170" s="252">
        <v>31955</v>
      </c>
      <c r="BE170" s="57"/>
      <c r="BF170" s="58">
        <f t="shared" si="533"/>
        <v>77945</v>
      </c>
      <c r="BG170" s="58">
        <f t="shared" si="534"/>
        <v>78.75665346959309</v>
      </c>
      <c r="BH170" s="1133"/>
      <c r="BI170" s="63">
        <f t="shared" si="535"/>
        <v>636</v>
      </c>
      <c r="BJ170" s="64">
        <v>1100</v>
      </c>
      <c r="BK170" s="64">
        <v>1560</v>
      </c>
      <c r="BL170" s="64">
        <f t="shared" si="562"/>
        <v>176</v>
      </c>
      <c r="BM170" s="65">
        <f t="shared" si="563"/>
        <v>0.28486892792168694</v>
      </c>
      <c r="BN170" s="64">
        <f t="shared" si="564"/>
        <v>26072</v>
      </c>
      <c r="BO170" s="65">
        <f t="shared" si="565"/>
        <v>0.30370386385120729</v>
      </c>
      <c r="BP170" s="1071"/>
      <c r="BQ170" s="77">
        <f t="shared" si="540"/>
        <v>43795</v>
      </c>
      <c r="BR170" s="35"/>
      <c r="BS170" s="35">
        <f>35795+8000</f>
        <v>43795</v>
      </c>
      <c r="BT170" s="35"/>
      <c r="BU170" s="35">
        <f t="shared" si="567"/>
        <v>443972</v>
      </c>
      <c r="BV170" s="74">
        <f t="shared" si="568"/>
        <v>448.5951498390171</v>
      </c>
      <c r="BW170" s="1098"/>
      <c r="BX170" s="295">
        <f t="shared" si="544"/>
        <v>1650</v>
      </c>
      <c r="BY170" s="303"/>
      <c r="BZ170" s="296">
        <v>1650</v>
      </c>
      <c r="CA170" s="303"/>
      <c r="CB170" s="303"/>
      <c r="CC170" s="296">
        <f t="shared" si="569"/>
        <v>10850</v>
      </c>
      <c r="CD170" s="297">
        <f t="shared" si="570"/>
        <v>0.12638796113783365</v>
      </c>
      <c r="CE170" s="1061"/>
    </row>
    <row r="171" spans="1:83">
      <c r="A171" s="30">
        <v>43753</v>
      </c>
      <c r="B171" s="32">
        <v>194817</v>
      </c>
      <c r="C171" s="1">
        <f t="shared" si="388"/>
        <v>86041601</v>
      </c>
      <c r="E171" s="91">
        <f t="shared" si="389"/>
        <v>989694.15999999968</v>
      </c>
      <c r="F171" s="243">
        <f t="shared" si="549"/>
        <v>2500</v>
      </c>
      <c r="G171" s="337"/>
      <c r="H171" s="240">
        <v>2500</v>
      </c>
      <c r="I171" s="240"/>
      <c r="J171" s="280"/>
      <c r="K171" s="240">
        <f t="shared" si="506"/>
        <v>2382240</v>
      </c>
      <c r="L171" s="280">
        <f t="shared" si="507"/>
        <v>27.687071978123697</v>
      </c>
      <c r="M171" s="280">
        <f t="shared" si="508"/>
        <v>3.3901153395523078</v>
      </c>
      <c r="N171" s="1089"/>
      <c r="O171" s="1084"/>
      <c r="P171" s="35">
        <f t="shared" si="509"/>
        <v>45776</v>
      </c>
      <c r="Q171" s="98"/>
      <c r="R171" s="35">
        <v>45275</v>
      </c>
      <c r="S171" s="35">
        <f t="shared" si="550"/>
        <v>501</v>
      </c>
      <c r="T171" s="36">
        <f t="shared" si="551"/>
        <v>2.5716441583640033</v>
      </c>
      <c r="U171" s="74">
        <f t="shared" si="552"/>
        <v>251853</v>
      </c>
      <c r="V171" s="36">
        <f t="shared" si="553"/>
        <v>2.9271073187027286</v>
      </c>
      <c r="W171" s="1136"/>
      <c r="X171" s="49">
        <f t="shared" si="514"/>
        <v>829</v>
      </c>
      <c r="Y171" s="248"/>
      <c r="Z171" s="50">
        <f>779+50</f>
        <v>829</v>
      </c>
      <c r="AA171" s="50"/>
      <c r="AB171" s="51"/>
      <c r="AC171" s="50">
        <f t="shared" si="556"/>
        <v>17865</v>
      </c>
      <c r="AD171" s="51">
        <f t="shared" si="557"/>
        <v>0.2076321197231093</v>
      </c>
      <c r="AE171" s="1047"/>
      <c r="AF171" s="40">
        <f t="shared" si="519"/>
        <v>984</v>
      </c>
      <c r="AG171" s="44"/>
      <c r="AH171" s="41">
        <v>984</v>
      </c>
      <c r="AI171" s="41"/>
      <c r="AJ171" s="42"/>
      <c r="AK171" s="41">
        <f t="shared" si="560"/>
        <v>9682</v>
      </c>
      <c r="AL171" s="42">
        <f t="shared" si="561"/>
        <v>0.11252696239345895</v>
      </c>
      <c r="AM171" s="1058"/>
      <c r="AN171" s="220">
        <v>0.3</v>
      </c>
      <c r="AO171" s="67">
        <v>24</v>
      </c>
      <c r="AP171" s="68">
        <f t="shared" si="571"/>
        <v>3.5787599999999995</v>
      </c>
      <c r="AQ171" s="68"/>
      <c r="AR171" s="258">
        <f t="shared" si="573"/>
        <v>8172.0984600000029</v>
      </c>
      <c r="AS171" s="68">
        <f t="shared" si="574"/>
        <v>8.2571957987506011</v>
      </c>
      <c r="AT171" s="1073"/>
      <c r="AU171" s="216">
        <v>0</v>
      </c>
      <c r="AV171" s="71">
        <v>12</v>
      </c>
      <c r="AW171" s="72">
        <f t="shared" si="575"/>
        <v>0</v>
      </c>
      <c r="AX171" s="72"/>
      <c r="AY171" s="276">
        <f t="shared" si="577"/>
        <v>2556.8833859999995</v>
      </c>
      <c r="AZ171" s="72">
        <f t="shared" si="578"/>
        <v>2.583508612397996</v>
      </c>
      <c r="BA171" s="1075"/>
      <c r="BB171" s="253">
        <f t="shared" si="532"/>
        <v>31955</v>
      </c>
      <c r="BC171" s="59"/>
      <c r="BD171" s="252">
        <v>27000</v>
      </c>
      <c r="BE171" s="57">
        <f>BB171-BD171+BC171</f>
        <v>4955</v>
      </c>
      <c r="BF171" s="58">
        <f t="shared" si="533"/>
        <v>82900</v>
      </c>
      <c r="BG171" s="58">
        <f t="shared" si="534"/>
        <v>83.763250659173366</v>
      </c>
      <c r="BH171" s="1133"/>
      <c r="BI171" s="63">
        <f t="shared" si="535"/>
        <v>1560</v>
      </c>
      <c r="BJ171" s="133"/>
      <c r="BK171" s="64">
        <v>1560</v>
      </c>
      <c r="BL171" s="64"/>
      <c r="BM171" s="65"/>
      <c r="BN171" s="64">
        <f t="shared" si="564"/>
        <v>26072</v>
      </c>
      <c r="BO171" s="65">
        <f t="shared" si="565"/>
        <v>0.30301621189033895</v>
      </c>
      <c r="BP171" s="1071"/>
      <c r="BQ171" s="77">
        <f t="shared" si="540"/>
        <v>43795</v>
      </c>
      <c r="BR171" s="35"/>
      <c r="BS171" s="35">
        <f>35795+8000</f>
        <v>43795</v>
      </c>
      <c r="BT171" s="35"/>
      <c r="BU171" s="35">
        <f t="shared" si="567"/>
        <v>443972</v>
      </c>
      <c r="BV171" s="74">
        <f t="shared" si="568"/>
        <v>448.5951498390171</v>
      </c>
      <c r="BW171" s="1098"/>
      <c r="BX171" s="295">
        <f t="shared" si="544"/>
        <v>1650</v>
      </c>
      <c r="BY171" s="303"/>
      <c r="BZ171" s="296">
        <v>1650</v>
      </c>
      <c r="CA171" s="303"/>
      <c r="CB171" s="303"/>
      <c r="CC171" s="296">
        <f t="shared" si="569"/>
        <v>10850</v>
      </c>
      <c r="CD171" s="297">
        <f t="shared" si="570"/>
        <v>0.1261017911556527</v>
      </c>
      <c r="CE171" s="1061"/>
    </row>
    <row r="172" spans="1:83">
      <c r="A172" s="30">
        <v>43754</v>
      </c>
      <c r="B172" s="32">
        <v>247602</v>
      </c>
      <c r="C172" s="1">
        <f t="shared" si="388"/>
        <v>86289203</v>
      </c>
      <c r="D172" s="91">
        <v>6100.8</v>
      </c>
      <c r="E172" s="91">
        <f t="shared" si="389"/>
        <v>995794.95999999973</v>
      </c>
      <c r="F172" s="243">
        <f t="shared" si="549"/>
        <v>2500</v>
      </c>
      <c r="G172" s="321">
        <v>30700</v>
      </c>
      <c r="H172" s="240">
        <v>8000</v>
      </c>
      <c r="I172" s="240">
        <f t="shared" si="547"/>
        <v>25200</v>
      </c>
      <c r="J172" s="280">
        <f t="shared" si="548"/>
        <v>101.7762376717474</v>
      </c>
      <c r="K172" s="240">
        <f t="shared" si="506"/>
        <v>2407440</v>
      </c>
      <c r="L172" s="280">
        <f t="shared" si="507"/>
        <v>27.899666659338596</v>
      </c>
      <c r="M172" s="280">
        <f t="shared" si="508"/>
        <v>3.4161462788464059</v>
      </c>
      <c r="N172" s="1089"/>
      <c r="O172" s="1084"/>
      <c r="P172" s="35">
        <f t="shared" si="509"/>
        <v>45275</v>
      </c>
      <c r="Q172" s="98"/>
      <c r="R172" s="35">
        <v>45023</v>
      </c>
      <c r="S172" s="35">
        <f t="shared" si="550"/>
        <v>252</v>
      </c>
      <c r="T172" s="36">
        <f t="shared" si="551"/>
        <v>1.0177623767174739</v>
      </c>
      <c r="U172" s="74">
        <f t="shared" si="552"/>
        <v>252105</v>
      </c>
      <c r="V172" s="36">
        <f t="shared" si="553"/>
        <v>2.9216285611074655</v>
      </c>
      <c r="W172" s="1136"/>
      <c r="X172" s="49">
        <f t="shared" si="514"/>
        <v>829</v>
      </c>
      <c r="Y172" s="248"/>
      <c r="Z172" s="50">
        <f>689+50</f>
        <v>739</v>
      </c>
      <c r="AA172" s="50">
        <f t="shared" si="554"/>
        <v>90</v>
      </c>
      <c r="AB172" s="51">
        <f t="shared" si="555"/>
        <v>0.36348656311338357</v>
      </c>
      <c r="AC172" s="50">
        <f t="shared" si="556"/>
        <v>17955</v>
      </c>
      <c r="AD172" s="51">
        <f t="shared" si="557"/>
        <v>0.20807933525588362</v>
      </c>
      <c r="AE172" s="1047"/>
      <c r="AF172" s="40">
        <f t="shared" si="519"/>
        <v>984</v>
      </c>
      <c r="AG172" s="44"/>
      <c r="AH172" s="41">
        <v>945</v>
      </c>
      <c r="AI172" s="41">
        <f t="shared" si="558"/>
        <v>39</v>
      </c>
      <c r="AJ172" s="42">
        <f t="shared" si="559"/>
        <v>0.15751084401579954</v>
      </c>
      <c r="AK172" s="41">
        <f t="shared" si="560"/>
        <v>9721</v>
      </c>
      <c r="AL172" s="42">
        <f t="shared" si="561"/>
        <v>0.11265604110400695</v>
      </c>
      <c r="AM172" s="1058"/>
      <c r="AN172" s="220">
        <v>4.5999999999999996</v>
      </c>
      <c r="AO172" s="67">
        <v>24</v>
      </c>
      <c r="AP172" s="68">
        <f t="shared" si="571"/>
        <v>54.874319999999997</v>
      </c>
      <c r="AQ172" s="68">
        <f t="shared" si="572"/>
        <v>8.9946105428796219</v>
      </c>
      <c r="AR172" s="258">
        <f t="shared" si="573"/>
        <v>8226.9727800000037</v>
      </c>
      <c r="AS172" s="68">
        <f t="shared" si="574"/>
        <v>8.2617136162247764</v>
      </c>
      <c r="AT172" s="1073"/>
      <c r="AU172" s="71">
        <v>2.2999999999999998</v>
      </c>
      <c r="AV172" s="71">
        <v>12</v>
      </c>
      <c r="AW172" s="72">
        <f t="shared" si="575"/>
        <v>14.261747999999999</v>
      </c>
      <c r="AX172" s="72">
        <f t="shared" si="576"/>
        <v>2.3376848937844215</v>
      </c>
      <c r="AY172" s="276">
        <f t="shared" si="577"/>
        <v>2571.1451339999994</v>
      </c>
      <c r="AZ172" s="72">
        <f t="shared" si="578"/>
        <v>2.5820025580366468</v>
      </c>
      <c r="BA172" s="1075"/>
      <c r="BB172" s="253">
        <f t="shared" si="532"/>
        <v>27000</v>
      </c>
      <c r="BC172" s="59"/>
      <c r="BD172" s="252">
        <v>27000</v>
      </c>
      <c r="BE172" s="57"/>
      <c r="BF172" s="58">
        <f t="shared" si="533"/>
        <v>82900</v>
      </c>
      <c r="BG172" s="58">
        <f t="shared" si="534"/>
        <v>83.250069873822241</v>
      </c>
      <c r="BH172" s="1133"/>
      <c r="BI172" s="63">
        <f t="shared" si="535"/>
        <v>1560</v>
      </c>
      <c r="BJ172" s="133"/>
      <c r="BK172" s="64">
        <v>1284</v>
      </c>
      <c r="BL172" s="64">
        <f t="shared" si="562"/>
        <v>276</v>
      </c>
      <c r="BM172" s="65">
        <f t="shared" si="563"/>
        <v>1.114692126881043</v>
      </c>
      <c r="BN172" s="64">
        <f t="shared" si="564"/>
        <v>26348</v>
      </c>
      <c r="BO172" s="65">
        <f t="shared" si="565"/>
        <v>0.30534527013767876</v>
      </c>
      <c r="BP172" s="1071"/>
      <c r="BQ172" s="77">
        <f t="shared" si="540"/>
        <v>43795</v>
      </c>
      <c r="BR172" s="35"/>
      <c r="BS172" s="35">
        <v>42264</v>
      </c>
      <c r="BT172" s="35">
        <f t="shared" si="566"/>
        <v>1531</v>
      </c>
      <c r="BU172" s="35">
        <f t="shared" si="567"/>
        <v>445503</v>
      </c>
      <c r="BV172" s="74">
        <f t="shared" si="568"/>
        <v>447.38426874544547</v>
      </c>
      <c r="BW172" s="1098"/>
      <c r="BX172" s="295">
        <f t="shared" si="544"/>
        <v>1650</v>
      </c>
      <c r="BY172" s="303"/>
      <c r="BZ172" s="296">
        <v>1650</v>
      </c>
      <c r="CA172" s="303"/>
      <c r="CB172" s="303"/>
      <c r="CC172" s="296">
        <f t="shared" si="569"/>
        <v>10850</v>
      </c>
      <c r="CD172" s="297">
        <f t="shared" si="570"/>
        <v>0.12573994917996867</v>
      </c>
      <c r="CE172" s="1061"/>
    </row>
    <row r="173" spans="1:83">
      <c r="A173" s="30">
        <v>43755</v>
      </c>
      <c r="B173" s="32">
        <v>551456</v>
      </c>
      <c r="C173" s="1">
        <f t="shared" si="388"/>
        <v>86840659</v>
      </c>
      <c r="D173" s="91">
        <v>6477.48</v>
      </c>
      <c r="E173" s="91">
        <f t="shared" si="389"/>
        <v>1002272.4399999997</v>
      </c>
      <c r="F173" s="243">
        <f t="shared" si="549"/>
        <v>8000</v>
      </c>
      <c r="G173" s="321"/>
      <c r="H173" s="240">
        <v>1000</v>
      </c>
      <c r="I173" s="240">
        <f t="shared" si="547"/>
        <v>7000</v>
      </c>
      <c r="J173" s="280">
        <f t="shared" si="548"/>
        <v>12.693669123193873</v>
      </c>
      <c r="K173" s="240">
        <f t="shared" si="506"/>
        <v>2414440</v>
      </c>
      <c r="L173" s="280">
        <f t="shared" si="507"/>
        <v>27.803105455475642</v>
      </c>
      <c r="M173" s="280">
        <f t="shared" si="508"/>
        <v>3.4043229405504642</v>
      </c>
      <c r="N173" s="1089"/>
      <c r="O173" s="1084"/>
      <c r="P173" s="35">
        <f t="shared" si="509"/>
        <v>45023</v>
      </c>
      <c r="Q173" s="98"/>
      <c r="R173" s="35">
        <v>41172</v>
      </c>
      <c r="S173" s="35">
        <f t="shared" si="550"/>
        <v>3851</v>
      </c>
      <c r="T173" s="36">
        <f t="shared" si="551"/>
        <v>6.983331399059943</v>
      </c>
      <c r="U173" s="74">
        <f t="shared" si="552"/>
        <v>255956</v>
      </c>
      <c r="V173" s="36">
        <f t="shared" si="553"/>
        <v>2.9474212073862773</v>
      </c>
      <c r="W173" s="1136"/>
      <c r="X173" s="49">
        <f t="shared" si="514"/>
        <v>739</v>
      </c>
      <c r="Y173" s="248"/>
      <c r="Z173" s="50">
        <f>584+155</f>
        <v>739</v>
      </c>
      <c r="AA173" s="50"/>
      <c r="AB173" s="51"/>
      <c r="AC173" s="50">
        <f t="shared" si="556"/>
        <v>17955</v>
      </c>
      <c r="AD173" s="51">
        <f t="shared" si="557"/>
        <v>0.20675798878955998</v>
      </c>
      <c r="AE173" s="1047"/>
      <c r="AF173" s="40">
        <f t="shared" si="519"/>
        <v>945</v>
      </c>
      <c r="AG173" s="44"/>
      <c r="AH173" s="41">
        <v>905</v>
      </c>
      <c r="AI173" s="41">
        <f t="shared" si="558"/>
        <v>40</v>
      </c>
      <c r="AJ173" s="42">
        <f t="shared" si="559"/>
        <v>7.2535252132536407E-2</v>
      </c>
      <c r="AK173" s="41">
        <f t="shared" si="560"/>
        <v>9761</v>
      </c>
      <c r="AL173" s="42">
        <f t="shared" si="561"/>
        <v>0.11240126586326343</v>
      </c>
      <c r="AM173" s="1058"/>
      <c r="AN173" s="220">
        <v>4.8</v>
      </c>
      <c r="AO173" s="67">
        <v>24</v>
      </c>
      <c r="AP173" s="68">
        <f t="shared" si="571"/>
        <v>57.260159999999992</v>
      </c>
      <c r="AQ173" s="68">
        <f t="shared" si="572"/>
        <v>8.8398821764019324</v>
      </c>
      <c r="AR173" s="258">
        <f t="shared" si="573"/>
        <v>8284.2329400000035</v>
      </c>
      <c r="AS173" s="68">
        <f t="shared" si="574"/>
        <v>8.2654502003467289</v>
      </c>
      <c r="AT173" s="1073"/>
      <c r="AU173" s="71">
        <v>2.8</v>
      </c>
      <c r="AV173" s="71">
        <v>12</v>
      </c>
      <c r="AW173" s="72">
        <f t="shared" si="575"/>
        <v>17.362127999999998</v>
      </c>
      <c r="AX173" s="72">
        <f t="shared" si="576"/>
        <v>2.6803831119509436</v>
      </c>
      <c r="AY173" s="276">
        <f t="shared" si="577"/>
        <v>2588.5072619999996</v>
      </c>
      <c r="AZ173" s="72">
        <f t="shared" si="578"/>
        <v>2.5826383712596153</v>
      </c>
      <c r="BA173" s="1075"/>
      <c r="BB173" s="253">
        <f t="shared" si="532"/>
        <v>27000</v>
      </c>
      <c r="BC173" s="59"/>
      <c r="BD173" s="252">
        <v>27000</v>
      </c>
      <c r="BE173" s="57"/>
      <c r="BF173" s="58">
        <f t="shared" si="533"/>
        <v>82900</v>
      </c>
      <c r="BG173" s="58">
        <f t="shared" si="534"/>
        <v>82.712041847623809</v>
      </c>
      <c r="BH173" s="1133"/>
      <c r="BI173" s="63">
        <f t="shared" si="535"/>
        <v>1284</v>
      </c>
      <c r="BJ173" s="133"/>
      <c r="BK173" s="64">
        <v>1200</v>
      </c>
      <c r="BL173" s="64">
        <f t="shared" si="562"/>
        <v>84</v>
      </c>
      <c r="BM173" s="65">
        <f t="shared" si="563"/>
        <v>0.15232402947832646</v>
      </c>
      <c r="BN173" s="64">
        <f t="shared" si="564"/>
        <v>26432</v>
      </c>
      <c r="BO173" s="65">
        <f t="shared" si="565"/>
        <v>0.30437355386720405</v>
      </c>
      <c r="BP173" s="1071"/>
      <c r="BQ173" s="77">
        <f t="shared" si="540"/>
        <v>42264</v>
      </c>
      <c r="BR173" s="35"/>
      <c r="BS173" s="35">
        <v>39492</v>
      </c>
      <c r="BT173" s="35">
        <f>BQ173-BS173+BR173</f>
        <v>2772</v>
      </c>
      <c r="BU173" s="35">
        <f t="shared" ref="BU173:BU189" si="579">BU172+BT173</f>
        <v>448275</v>
      </c>
      <c r="BV173" s="74">
        <f t="shared" ref="BV173:BV189" si="580">BU173*1000/E173</f>
        <v>447.25863159521788</v>
      </c>
      <c r="BW173" s="1098"/>
      <c r="BX173" s="295">
        <f t="shared" si="544"/>
        <v>1650</v>
      </c>
      <c r="BY173" s="303"/>
      <c r="BZ173" s="296">
        <v>1650</v>
      </c>
      <c r="CA173" s="303"/>
      <c r="CB173" s="303"/>
      <c r="CC173" s="296">
        <f t="shared" si="569"/>
        <v>10850</v>
      </c>
      <c r="CD173" s="297">
        <f t="shared" si="570"/>
        <v>0.12494147470714149</v>
      </c>
      <c r="CE173" s="1061"/>
    </row>
    <row r="174" spans="1:83">
      <c r="A174" s="30">
        <v>43756</v>
      </c>
      <c r="B174" s="32">
        <v>691032</v>
      </c>
      <c r="C174" s="1">
        <f t="shared" si="388"/>
        <v>87531691</v>
      </c>
      <c r="D174" s="91">
        <v>5988.6</v>
      </c>
      <c r="E174" s="91">
        <f t="shared" si="389"/>
        <v>1008261.0399999997</v>
      </c>
      <c r="F174" s="243">
        <f t="shared" si="549"/>
        <v>1000</v>
      </c>
      <c r="G174" s="321">
        <v>31900</v>
      </c>
      <c r="H174" s="240">
        <v>10000</v>
      </c>
      <c r="I174" s="240">
        <f t="shared" si="547"/>
        <v>22900</v>
      </c>
      <c r="J174" s="280">
        <f t="shared" si="548"/>
        <v>33.138841616596629</v>
      </c>
      <c r="K174" s="240">
        <f t="shared" si="506"/>
        <v>2437340</v>
      </c>
      <c r="L174" s="280">
        <f t="shared" si="507"/>
        <v>27.845229221037211</v>
      </c>
      <c r="M174" s="280">
        <f t="shared" si="508"/>
        <v>3.4094807421375304</v>
      </c>
      <c r="N174" s="1089"/>
      <c r="O174" s="1084"/>
      <c r="P174" s="35">
        <f t="shared" si="509"/>
        <v>41172</v>
      </c>
      <c r="Q174" s="98"/>
      <c r="R174" s="35">
        <v>40125</v>
      </c>
      <c r="S174" s="35">
        <f t="shared" si="550"/>
        <v>1047</v>
      </c>
      <c r="T174" s="36">
        <f t="shared" si="551"/>
        <v>1.5151252040426493</v>
      </c>
      <c r="U174" s="74">
        <f t="shared" si="552"/>
        <v>257003</v>
      </c>
      <c r="V174" s="36">
        <f t="shared" si="553"/>
        <v>2.9361137327965023</v>
      </c>
      <c r="W174" s="1136"/>
      <c r="X174" s="49">
        <f t="shared" si="514"/>
        <v>739</v>
      </c>
      <c r="Y174" s="248"/>
      <c r="Z174" s="50">
        <f>493+125</f>
        <v>618</v>
      </c>
      <c r="AA174" s="50">
        <f t="shared" si="554"/>
        <v>121</v>
      </c>
      <c r="AB174" s="51">
        <f t="shared" si="555"/>
        <v>0.17510042950254112</v>
      </c>
      <c r="AC174" s="50">
        <f t="shared" si="556"/>
        <v>18076</v>
      </c>
      <c r="AD174" s="51">
        <f t="shared" si="557"/>
        <v>0.2065080634624093</v>
      </c>
      <c r="AE174" s="1047"/>
      <c r="AF174" s="40">
        <f t="shared" si="519"/>
        <v>905</v>
      </c>
      <c r="AG174" s="44"/>
      <c r="AH174" s="41">
        <v>865</v>
      </c>
      <c r="AI174" s="41">
        <f t="shared" si="558"/>
        <v>40</v>
      </c>
      <c r="AJ174" s="42">
        <f t="shared" si="559"/>
        <v>5.7884439504972275E-2</v>
      </c>
      <c r="AK174" s="41">
        <f t="shared" si="560"/>
        <v>9801</v>
      </c>
      <c r="AL174" s="42">
        <f t="shared" si="561"/>
        <v>0.11197087464013462</v>
      </c>
      <c r="AM174" s="1058"/>
      <c r="AN174" s="220">
        <v>5.2</v>
      </c>
      <c r="AO174" s="67">
        <v>24</v>
      </c>
      <c r="AP174" s="68">
        <f t="shared" si="571"/>
        <v>62.031840000000003</v>
      </c>
      <c r="AQ174" s="68">
        <f t="shared" si="572"/>
        <v>10.358320809538123</v>
      </c>
      <c r="AR174" s="258">
        <f t="shared" si="573"/>
        <v>8346.2647800000032</v>
      </c>
      <c r="AS174" s="68">
        <f t="shared" si="574"/>
        <v>8.2778808749765886</v>
      </c>
      <c r="AT174" s="1073"/>
      <c r="AU174" s="71">
        <v>2.7</v>
      </c>
      <c r="AV174" s="71">
        <v>12</v>
      </c>
      <c r="AW174" s="72">
        <f t="shared" si="575"/>
        <v>16.742052000000005</v>
      </c>
      <c r="AX174" s="72">
        <f t="shared" si="576"/>
        <v>2.7956537421100096</v>
      </c>
      <c r="AY174" s="276">
        <f t="shared" si="577"/>
        <v>2605.2493139999997</v>
      </c>
      <c r="AZ174" s="72">
        <f t="shared" si="578"/>
        <v>2.5839035831435089</v>
      </c>
      <c r="BA174" s="1075"/>
      <c r="BB174" s="253">
        <f t="shared" si="532"/>
        <v>27000</v>
      </c>
      <c r="BC174" s="59"/>
      <c r="BD174" s="252">
        <v>24963</v>
      </c>
      <c r="BE174" s="57">
        <f>BB174-BD174+BC174</f>
        <v>2037</v>
      </c>
      <c r="BF174" s="58">
        <f t="shared" si="533"/>
        <v>84937</v>
      </c>
      <c r="BG174" s="58">
        <f t="shared" si="534"/>
        <v>84.241081059722418</v>
      </c>
      <c r="BH174" s="1133"/>
      <c r="BI174" s="63">
        <f t="shared" si="535"/>
        <v>1200</v>
      </c>
      <c r="BJ174" s="133"/>
      <c r="BK174" s="64">
        <v>1080</v>
      </c>
      <c r="BL174" s="64">
        <f t="shared" si="562"/>
        <v>120</v>
      </c>
      <c r="BM174" s="65">
        <f t="shared" si="563"/>
        <v>0.17365331851491683</v>
      </c>
      <c r="BN174" s="64">
        <f t="shared" si="564"/>
        <v>26552</v>
      </c>
      <c r="BO174" s="65">
        <f t="shared" si="565"/>
        <v>0.30334156345728541</v>
      </c>
      <c r="BP174" s="1071"/>
      <c r="BQ174" s="77">
        <f t="shared" si="540"/>
        <v>39492</v>
      </c>
      <c r="BR174" s="35"/>
      <c r="BS174" s="35">
        <v>37644</v>
      </c>
      <c r="BT174" s="35">
        <f>BQ174-BS174+BR174</f>
        <v>1848</v>
      </c>
      <c r="BU174" s="35">
        <f t="shared" si="579"/>
        <v>450123</v>
      </c>
      <c r="BV174" s="74">
        <f t="shared" si="580"/>
        <v>446.43498275010222</v>
      </c>
      <c r="BW174" s="1098"/>
      <c r="BX174" s="295">
        <f t="shared" si="544"/>
        <v>1650</v>
      </c>
      <c r="BY174" s="303"/>
      <c r="BZ174" s="296">
        <v>1650</v>
      </c>
      <c r="CA174" s="303"/>
      <c r="CB174" s="303"/>
      <c r="CC174" s="296">
        <f t="shared" si="569"/>
        <v>10850</v>
      </c>
      <c r="CD174" s="297">
        <f t="shared" si="570"/>
        <v>0.12395510558570152</v>
      </c>
      <c r="CE174" s="1061"/>
    </row>
    <row r="175" spans="1:83">
      <c r="A175" s="30">
        <v>43757</v>
      </c>
      <c r="B175" s="32">
        <v>301296</v>
      </c>
      <c r="C175" s="1">
        <f t="shared" si="388"/>
        <v>87832987</v>
      </c>
      <c r="E175" s="91">
        <f t="shared" si="389"/>
        <v>1008261.0399999997</v>
      </c>
      <c r="F175" s="243">
        <f t="shared" si="549"/>
        <v>10000</v>
      </c>
      <c r="G175" s="321">
        <v>21700</v>
      </c>
      <c r="H175" s="240">
        <v>30000</v>
      </c>
      <c r="I175" s="240">
        <f t="shared" si="547"/>
        <v>1700</v>
      </c>
      <c r="J175" s="280">
        <f t="shared" si="548"/>
        <v>5.6422919653762413</v>
      </c>
      <c r="K175" s="240">
        <f t="shared" si="506"/>
        <v>2439040</v>
      </c>
      <c r="L175" s="280">
        <f t="shared" si="507"/>
        <v>27.769065852217913</v>
      </c>
      <c r="M175" s="280">
        <f t="shared" si="508"/>
        <v>3.4001549959860307</v>
      </c>
      <c r="N175" s="1089"/>
      <c r="O175" s="1084"/>
      <c r="P175" s="35">
        <f t="shared" si="509"/>
        <v>40125</v>
      </c>
      <c r="Q175" s="98"/>
      <c r="R175" s="35">
        <v>40125</v>
      </c>
      <c r="S175" s="35"/>
      <c r="T175" s="36"/>
      <c r="U175" s="74">
        <f t="shared" si="552"/>
        <v>257003</v>
      </c>
      <c r="V175" s="36">
        <f t="shared" si="553"/>
        <v>2.9260418981310519</v>
      </c>
      <c r="W175" s="1136"/>
      <c r="X175" s="49">
        <f t="shared" si="514"/>
        <v>618</v>
      </c>
      <c r="Y175" s="248"/>
      <c r="Z175" s="50">
        <f>493+125</f>
        <v>618</v>
      </c>
      <c r="AA175" s="50"/>
      <c r="AB175" s="51"/>
      <c r="AC175" s="50">
        <f t="shared" si="556"/>
        <v>18076</v>
      </c>
      <c r="AD175" s="51">
        <f t="shared" si="557"/>
        <v>0.20579967296341636</v>
      </c>
      <c r="AE175" s="1047"/>
      <c r="AF175" s="40">
        <f t="shared" si="519"/>
        <v>865</v>
      </c>
      <c r="AG175" s="44"/>
      <c r="AH175" s="41">
        <v>865</v>
      </c>
      <c r="AI175" s="41"/>
      <c r="AJ175" s="42"/>
      <c r="AK175" s="41">
        <f t="shared" si="560"/>
        <v>9801</v>
      </c>
      <c r="AL175" s="42">
        <f t="shared" si="561"/>
        <v>0.11158677775583335</v>
      </c>
      <c r="AM175" s="1058"/>
      <c r="AN175" s="220">
        <v>1.4</v>
      </c>
      <c r="AO175" s="67">
        <v>24</v>
      </c>
      <c r="AP175" s="68">
        <f t="shared" si="571"/>
        <v>16.700879999999998</v>
      </c>
      <c r="AQ175" s="68"/>
      <c r="AR175" s="258">
        <f t="shared" si="573"/>
        <v>8362.9656600000035</v>
      </c>
      <c r="AS175" s="68">
        <f t="shared" si="574"/>
        <v>8.2944449187484288</v>
      </c>
      <c r="AT175" s="1073"/>
      <c r="AU175" s="216"/>
      <c r="AV175" s="71">
        <v>12</v>
      </c>
      <c r="AW175" s="72"/>
      <c r="AX175" s="72"/>
      <c r="AY175" s="276">
        <f t="shared" si="577"/>
        <v>2605.2493139999997</v>
      </c>
      <c r="AZ175" s="72">
        <f t="shared" si="578"/>
        <v>2.5839035831435089</v>
      </c>
      <c r="BA175" s="1075"/>
      <c r="BB175" s="253">
        <f t="shared" si="532"/>
        <v>24963</v>
      </c>
      <c r="BC175" s="59"/>
      <c r="BD175" s="252">
        <v>23381</v>
      </c>
      <c r="BE175" s="57">
        <f>BB175-BD175+BC175</f>
        <v>1582</v>
      </c>
      <c r="BF175" s="58">
        <f t="shared" si="533"/>
        <v>86519</v>
      </c>
      <c r="BG175" s="58">
        <f t="shared" si="534"/>
        <v>85.81011917310623</v>
      </c>
      <c r="BH175" s="1133"/>
      <c r="BI175" s="63">
        <f t="shared" si="535"/>
        <v>1080</v>
      </c>
      <c r="BJ175" s="133"/>
      <c r="BK175" s="64">
        <v>1080</v>
      </c>
      <c r="BL175" s="64"/>
      <c r="BM175" s="65"/>
      <c r="BN175" s="64">
        <f t="shared" si="564"/>
        <v>26552</v>
      </c>
      <c r="BO175" s="65">
        <f t="shared" si="565"/>
        <v>0.30230100224190259</v>
      </c>
      <c r="BP175" s="1071"/>
      <c r="BQ175" s="77">
        <f t="shared" si="540"/>
        <v>37644</v>
      </c>
      <c r="BR175" s="35"/>
      <c r="BS175" s="35">
        <v>34871</v>
      </c>
      <c r="BT175" s="35">
        <f>BQ175-BS175+BR175</f>
        <v>2773</v>
      </c>
      <c r="BU175" s="35">
        <f t="shared" si="579"/>
        <v>452896</v>
      </c>
      <c r="BV175" s="74">
        <f t="shared" si="580"/>
        <v>449.18526257842922</v>
      </c>
      <c r="BW175" s="1098"/>
      <c r="BX175" s="295">
        <f t="shared" si="544"/>
        <v>1650</v>
      </c>
      <c r="BY175" s="303"/>
      <c r="BZ175" s="296">
        <v>1650</v>
      </c>
      <c r="CA175" s="303"/>
      <c r="CB175" s="303"/>
      <c r="CC175" s="296">
        <f t="shared" si="569"/>
        <v>10850</v>
      </c>
      <c r="CD175" s="297">
        <f t="shared" si="570"/>
        <v>0.12352989885223874</v>
      </c>
      <c r="CE175" s="1061"/>
    </row>
    <row r="176" spans="1:83">
      <c r="A176" s="30">
        <v>43758</v>
      </c>
      <c r="B176" s="32"/>
      <c r="C176" s="1">
        <f t="shared" si="388"/>
        <v>87832987</v>
      </c>
      <c r="D176" s="91">
        <v>2440.7399999999998</v>
      </c>
      <c r="E176" s="91">
        <f t="shared" si="389"/>
        <v>1010701.7799999997</v>
      </c>
      <c r="F176" s="243">
        <f t="shared" si="549"/>
        <v>30000</v>
      </c>
      <c r="G176" s="321"/>
      <c r="H176" s="240">
        <v>14000</v>
      </c>
      <c r="I176" s="240">
        <f t="shared" si="547"/>
        <v>16000</v>
      </c>
      <c r="J176" s="280"/>
      <c r="K176" s="240">
        <f t="shared" si="506"/>
        <v>2455040</v>
      </c>
      <c r="L176" s="280">
        <f t="shared" si="507"/>
        <v>27.951229758359464</v>
      </c>
      <c r="M176" s="280">
        <f t="shared" si="508"/>
        <v>3.4224598700085056</v>
      </c>
      <c r="N176" s="1089"/>
      <c r="O176" s="1084"/>
      <c r="P176" s="35">
        <f t="shared" si="509"/>
        <v>40125</v>
      </c>
      <c r="Q176" s="98"/>
      <c r="R176" s="35">
        <v>40125</v>
      </c>
      <c r="S176" s="35"/>
      <c r="T176" s="36"/>
      <c r="U176" s="74">
        <f t="shared" si="552"/>
        <v>257003</v>
      </c>
      <c r="V176" s="36">
        <f t="shared" si="553"/>
        <v>2.9260418981310519</v>
      </c>
      <c r="W176" s="1136"/>
      <c r="X176" s="49">
        <f t="shared" si="514"/>
        <v>618</v>
      </c>
      <c r="Y176" s="50"/>
      <c r="Z176" s="50">
        <f>493+87</f>
        <v>580</v>
      </c>
      <c r="AA176" s="50">
        <f t="shared" si="554"/>
        <v>38</v>
      </c>
      <c r="AB176" s="51"/>
      <c r="AC176" s="50">
        <f t="shared" si="556"/>
        <v>18114</v>
      </c>
      <c r="AD176" s="51">
        <f t="shared" si="557"/>
        <v>0.20623231224050254</v>
      </c>
      <c r="AE176" s="1047"/>
      <c r="AF176" s="40">
        <f t="shared" si="519"/>
        <v>865</v>
      </c>
      <c r="AG176" s="44"/>
      <c r="AH176" s="41">
        <v>845</v>
      </c>
      <c r="AI176" s="41">
        <f t="shared" si="558"/>
        <v>20</v>
      </c>
      <c r="AJ176" s="42"/>
      <c r="AK176" s="41">
        <f t="shared" si="560"/>
        <v>9821</v>
      </c>
      <c r="AL176" s="42">
        <f t="shared" si="561"/>
        <v>0.11181448263851029</v>
      </c>
      <c r="AM176" s="1058"/>
      <c r="AN176" s="220">
        <v>1.3</v>
      </c>
      <c r="AO176" s="67">
        <v>24</v>
      </c>
      <c r="AP176" s="68">
        <f t="shared" si="571"/>
        <v>15.507960000000001</v>
      </c>
      <c r="AQ176" s="68">
        <f t="shared" si="572"/>
        <v>6.3537943410604987</v>
      </c>
      <c r="AR176" s="258">
        <f t="shared" si="573"/>
        <v>8378.4736200000043</v>
      </c>
      <c r="AS176" s="68">
        <f t="shared" si="574"/>
        <v>8.2897584488275147</v>
      </c>
      <c r="AT176" s="1073"/>
      <c r="AU176" s="71">
        <v>0.8</v>
      </c>
      <c r="AV176" s="71">
        <v>12</v>
      </c>
      <c r="AW176" s="72">
        <f t="shared" si="575"/>
        <v>4.9606080000000006</v>
      </c>
      <c r="AX176" s="72">
        <f t="shared" si="576"/>
        <v>2.0324196759999018</v>
      </c>
      <c r="AY176" s="276">
        <f t="shared" si="577"/>
        <v>2610.2099219999996</v>
      </c>
      <c r="AZ176" s="72">
        <f t="shared" si="578"/>
        <v>2.5825718066905949</v>
      </c>
      <c r="BA176" s="1075"/>
      <c r="BB176" s="253">
        <f t="shared" si="532"/>
        <v>23381</v>
      </c>
      <c r="BC176" s="59"/>
      <c r="BD176" s="252">
        <v>23381</v>
      </c>
      <c r="BE176" s="57"/>
      <c r="BF176" s="58">
        <f t="shared" ref="BF176:BF187" si="581">BF175+BE176</f>
        <v>86519</v>
      </c>
      <c r="BG176" s="58">
        <f t="shared" ref="BG176:BG187" si="582">BF176*1000/E176</f>
        <v>85.602896632872287</v>
      </c>
      <c r="BH176" s="1133"/>
      <c r="BI176" s="63">
        <f t="shared" si="535"/>
        <v>1080</v>
      </c>
      <c r="BJ176" s="133"/>
      <c r="BK176" s="64">
        <v>1080</v>
      </c>
      <c r="BL176" s="64"/>
      <c r="BM176" s="65"/>
      <c r="BN176" s="64">
        <f t="shared" si="564"/>
        <v>26552</v>
      </c>
      <c r="BO176" s="65">
        <f t="shared" si="565"/>
        <v>0.30230100224190259</v>
      </c>
      <c r="BP176" s="1071"/>
      <c r="BQ176" s="77">
        <f t="shared" si="540"/>
        <v>34871</v>
      </c>
      <c r="BR176" s="35"/>
      <c r="BS176" s="35">
        <v>32099</v>
      </c>
      <c r="BT176" s="35">
        <f>BQ176-BS176+BR176</f>
        <v>2772</v>
      </c>
      <c r="BU176" s="35">
        <f t="shared" si="579"/>
        <v>455668</v>
      </c>
      <c r="BV176" s="74">
        <f t="shared" si="580"/>
        <v>450.84317552107223</v>
      </c>
      <c r="BW176" s="1098"/>
      <c r="BX176" s="295">
        <f t="shared" si="544"/>
        <v>1650</v>
      </c>
      <c r="BY176" s="303"/>
      <c r="BZ176" s="296">
        <v>1650</v>
      </c>
      <c r="CA176" s="303"/>
      <c r="CB176" s="303"/>
      <c r="CC176" s="296">
        <f t="shared" si="569"/>
        <v>10850</v>
      </c>
      <c r="CD176" s="297">
        <f t="shared" si="570"/>
        <v>0.12352989885223874</v>
      </c>
      <c r="CE176" s="1061"/>
    </row>
    <row r="177" spans="1:84">
      <c r="A177" s="30">
        <v>43759</v>
      </c>
      <c r="B177" s="32">
        <v>557891</v>
      </c>
      <c r="C177" s="1">
        <f t="shared" si="388"/>
        <v>88390878</v>
      </c>
      <c r="D177" s="91">
        <v>4244.3</v>
      </c>
      <c r="E177" s="91">
        <f t="shared" si="389"/>
        <v>1014946.0799999997</v>
      </c>
      <c r="F177" s="243">
        <f t="shared" si="549"/>
        <v>14000</v>
      </c>
      <c r="G177" s="337"/>
      <c r="H177" s="240"/>
      <c r="I177" s="240">
        <f t="shared" si="547"/>
        <v>14000</v>
      </c>
      <c r="J177" s="280">
        <f t="shared" si="548"/>
        <v>25.09450770849503</v>
      </c>
      <c r="K177" s="240">
        <f t="shared" si="506"/>
        <v>2469040</v>
      </c>
      <c r="L177" s="280">
        <f t="shared" si="507"/>
        <v>27.933199170167764</v>
      </c>
      <c r="M177" s="280">
        <f t="shared" si="508"/>
        <v>3.420252132994706</v>
      </c>
      <c r="N177" s="1089"/>
      <c r="O177" s="1084"/>
      <c r="P177" s="35">
        <f t="shared" si="509"/>
        <v>40125</v>
      </c>
      <c r="Q177" s="98"/>
      <c r="R177" s="35">
        <v>39071</v>
      </c>
      <c r="S177" s="35">
        <f t="shared" si="550"/>
        <v>1054</v>
      </c>
      <c r="T177" s="36">
        <f t="shared" si="551"/>
        <v>1.8892579374824114</v>
      </c>
      <c r="U177" s="74">
        <f t="shared" si="552"/>
        <v>258057</v>
      </c>
      <c r="V177" s="36">
        <f t="shared" si="553"/>
        <v>2.9194980957197867</v>
      </c>
      <c r="W177" s="1136"/>
      <c r="X177" s="49">
        <f t="shared" si="514"/>
        <v>580</v>
      </c>
      <c r="Y177" s="248"/>
      <c r="Z177" s="50">
        <f>424+87</f>
        <v>511</v>
      </c>
      <c r="AA177" s="50">
        <f t="shared" si="554"/>
        <v>69</v>
      </c>
      <c r="AB177" s="51">
        <f t="shared" si="555"/>
        <v>0.12368007370615407</v>
      </c>
      <c r="AC177" s="50">
        <f t="shared" si="556"/>
        <v>18183</v>
      </c>
      <c r="AD177" s="51">
        <f t="shared" si="557"/>
        <v>0.20571127260439703</v>
      </c>
      <c r="AE177" s="1047"/>
      <c r="AF177" s="40">
        <f t="shared" si="519"/>
        <v>845</v>
      </c>
      <c r="AG177" s="44"/>
      <c r="AH177" s="41">
        <v>805</v>
      </c>
      <c r="AI177" s="41">
        <f t="shared" si="558"/>
        <v>40</v>
      </c>
      <c r="AJ177" s="42">
        <f t="shared" si="559"/>
        <v>7.1698593452842935E-2</v>
      </c>
      <c r="AK177" s="41">
        <f t="shared" si="560"/>
        <v>9861</v>
      </c>
      <c r="AL177" s="42">
        <f t="shared" si="561"/>
        <v>0.11156128576978272</v>
      </c>
      <c r="AM177" s="1058"/>
      <c r="AN177" s="260">
        <v>5</v>
      </c>
      <c r="AO177" s="67">
        <v>24</v>
      </c>
      <c r="AP177" s="68">
        <f t="shared" si="571"/>
        <v>59.646000000000001</v>
      </c>
      <c r="AQ177" s="68">
        <f t="shared" si="572"/>
        <v>14.053200763376763</v>
      </c>
      <c r="AR177" s="258">
        <f t="shared" si="573"/>
        <v>8438.1196200000049</v>
      </c>
      <c r="AS177" s="68">
        <f t="shared" si="574"/>
        <v>8.3138600032821515</v>
      </c>
      <c r="AT177" s="1073"/>
      <c r="AU177" s="71">
        <v>2.8</v>
      </c>
      <c r="AV177" s="71">
        <v>12</v>
      </c>
      <c r="AW177" s="72">
        <f t="shared" si="575"/>
        <v>17.362127999999998</v>
      </c>
      <c r="AX177" s="72">
        <f t="shared" si="576"/>
        <v>4.0906929293405261</v>
      </c>
      <c r="AY177" s="276">
        <f t="shared" si="577"/>
        <v>2627.5720499999998</v>
      </c>
      <c r="AZ177" s="72">
        <f t="shared" si="578"/>
        <v>2.5888784653466521</v>
      </c>
      <c r="BA177" s="1075"/>
      <c r="BB177" s="253">
        <f t="shared" si="532"/>
        <v>23381</v>
      </c>
      <c r="BC177" s="59"/>
      <c r="BD177" s="252">
        <v>23381</v>
      </c>
      <c r="BE177" s="57"/>
      <c r="BF177" s="58">
        <f t="shared" si="581"/>
        <v>86519</v>
      </c>
      <c r="BG177" s="58">
        <f t="shared" si="582"/>
        <v>85.244922567709239</v>
      </c>
      <c r="BH177" s="1133"/>
      <c r="BI177" s="63">
        <f t="shared" si="535"/>
        <v>1080</v>
      </c>
      <c r="BJ177" s="133"/>
      <c r="BK177" s="64">
        <v>960</v>
      </c>
      <c r="BL177" s="64">
        <f t="shared" si="562"/>
        <v>120</v>
      </c>
      <c r="BM177" s="65">
        <f t="shared" si="563"/>
        <v>0.2150957803585288</v>
      </c>
      <c r="BN177" s="64">
        <f t="shared" si="564"/>
        <v>26672</v>
      </c>
      <c r="BO177" s="65">
        <f t="shared" si="565"/>
        <v>0.30175059467109266</v>
      </c>
      <c r="BP177" s="1071"/>
      <c r="BQ177" s="77">
        <f t="shared" si="540"/>
        <v>32099</v>
      </c>
      <c r="BR177" s="35"/>
      <c r="BS177" s="35">
        <v>32099</v>
      </c>
      <c r="BT177" s="35"/>
      <c r="BU177" s="35">
        <f t="shared" si="579"/>
        <v>455668</v>
      </c>
      <c r="BV177" s="74">
        <f t="shared" si="580"/>
        <v>448.95784020368859</v>
      </c>
      <c r="BW177" s="1098"/>
      <c r="BX177" s="295">
        <f t="shared" si="544"/>
        <v>1650</v>
      </c>
      <c r="BY177" s="303"/>
      <c r="BZ177" s="296">
        <v>1650</v>
      </c>
      <c r="CA177" s="303"/>
      <c r="CB177" s="303"/>
      <c r="CC177" s="296">
        <f t="shared" si="569"/>
        <v>10850</v>
      </c>
      <c r="CD177" s="297">
        <f t="shared" si="570"/>
        <v>0.12275022316216838</v>
      </c>
      <c r="CE177" s="1061"/>
    </row>
    <row r="178" spans="1:84">
      <c r="A178" s="30">
        <v>43760</v>
      </c>
      <c r="B178" s="32"/>
      <c r="C178" s="1">
        <f t="shared" si="388"/>
        <v>88390878</v>
      </c>
      <c r="D178" s="1"/>
      <c r="E178" s="91">
        <f t="shared" si="389"/>
        <v>1014946.0799999997</v>
      </c>
      <c r="F178" s="243"/>
      <c r="G178" s="321">
        <v>31680</v>
      </c>
      <c r="H178" s="240">
        <v>31000</v>
      </c>
      <c r="I178" s="240">
        <f t="shared" ref="I178:I183" si="583">F178-H178+G178</f>
        <v>680</v>
      </c>
      <c r="J178" s="280"/>
      <c r="K178" s="240">
        <f t="shared" ref="K178:K183" si="584">K177+I178</f>
        <v>2469720</v>
      </c>
      <c r="L178" s="280">
        <f t="shared" ref="L178:L183" si="585">K178*1000/C178</f>
        <v>27.940892271711569</v>
      </c>
      <c r="M178" s="280">
        <f t="shared" ref="M178:M183" si="586">L178/8.167</f>
        <v>3.4211941069807237</v>
      </c>
      <c r="N178" s="1089"/>
      <c r="O178" s="1084"/>
      <c r="P178" s="35">
        <f t="shared" si="509"/>
        <v>39071</v>
      </c>
      <c r="Q178" s="98"/>
      <c r="R178" s="35">
        <v>39071</v>
      </c>
      <c r="S178" s="35"/>
      <c r="T178" s="36"/>
      <c r="U178" s="74">
        <f t="shared" ref="U178:U189" si="587">U177+S178</f>
        <v>258057</v>
      </c>
      <c r="V178" s="36">
        <f t="shared" ref="V178:V189" si="588">1000*U178/C178</f>
        <v>2.9194980957197867</v>
      </c>
      <c r="W178" s="1136"/>
      <c r="X178" s="49">
        <f t="shared" si="514"/>
        <v>511</v>
      </c>
      <c r="Y178" s="248"/>
      <c r="Z178" s="50">
        <f>424+87</f>
        <v>511</v>
      </c>
      <c r="AA178" s="50"/>
      <c r="AB178" s="51"/>
      <c r="AC178" s="50">
        <f t="shared" ref="AC178:AC183" si="589">AC177+AA178</f>
        <v>18183</v>
      </c>
      <c r="AD178" s="51">
        <f t="shared" ref="AD178:AD183" si="590">AC178*1000/C178</f>
        <v>0.20571127260439703</v>
      </c>
      <c r="AE178" s="1047"/>
      <c r="AF178" s="40">
        <f t="shared" si="519"/>
        <v>805</v>
      </c>
      <c r="AG178" s="44"/>
      <c r="AH178" s="41">
        <v>805</v>
      </c>
      <c r="AI178" s="41"/>
      <c r="AJ178" s="42"/>
      <c r="AK178" s="41">
        <f t="shared" ref="AK178:AK183" si="591">AK177+AI178</f>
        <v>9861</v>
      </c>
      <c r="AL178" s="42">
        <f t="shared" ref="AL178:AL183" si="592">AK178*1000/C178</f>
        <v>0.11156128576978272</v>
      </c>
      <c r="AM178" s="1058"/>
      <c r="AN178" s="220"/>
      <c r="AO178" s="67">
        <v>24</v>
      </c>
      <c r="AP178" s="68"/>
      <c r="AQ178" s="68"/>
      <c r="AR178" s="258">
        <f t="shared" ref="AR178:AR183" si="593">AR177+AP178</f>
        <v>8438.1196200000049</v>
      </c>
      <c r="AS178" s="68">
        <f t="shared" ref="AS178:AS183" si="594">AR178*1000/E178</f>
        <v>8.3138600032821515</v>
      </c>
      <c r="AT178" s="1073"/>
      <c r="AU178" s="71"/>
      <c r="AV178" s="71">
        <v>12</v>
      </c>
      <c r="AW178" s="72"/>
      <c r="AX178" s="72"/>
      <c r="AY178" s="276">
        <f t="shared" ref="AY178:AY187" si="595">AY177+AW178</f>
        <v>2627.5720499999998</v>
      </c>
      <c r="AZ178" s="72">
        <f t="shared" ref="AZ178:AZ187" si="596">AY178*1000/E178</f>
        <v>2.5888784653466521</v>
      </c>
      <c r="BA178" s="1075"/>
      <c r="BB178" s="253">
        <f t="shared" si="532"/>
        <v>23381</v>
      </c>
      <c r="BC178" s="59"/>
      <c r="BD178" s="252">
        <v>23381</v>
      </c>
      <c r="BE178" s="57"/>
      <c r="BF178" s="58">
        <f t="shared" si="581"/>
        <v>86519</v>
      </c>
      <c r="BG178" s="58">
        <f t="shared" si="582"/>
        <v>85.244922567709239</v>
      </c>
      <c r="BH178" s="1133"/>
      <c r="BI178" s="63">
        <f t="shared" si="535"/>
        <v>960</v>
      </c>
      <c r="BJ178" s="133"/>
      <c r="BK178" s="64">
        <v>960</v>
      </c>
      <c r="BL178" s="64"/>
      <c r="BM178" s="65"/>
      <c r="BN178" s="64">
        <f t="shared" ref="BN178:BN183" si="597">BN177+BL178</f>
        <v>26672</v>
      </c>
      <c r="BO178" s="65">
        <f t="shared" ref="BO178:BO183" si="598">BN178*1000/C178</f>
        <v>0.30175059467109266</v>
      </c>
      <c r="BP178" s="1071"/>
      <c r="BQ178" s="77">
        <f t="shared" si="540"/>
        <v>32099</v>
      </c>
      <c r="BR178" s="35"/>
      <c r="BS178" s="35">
        <v>32099</v>
      </c>
      <c r="BT178" s="35"/>
      <c r="BU178" s="35">
        <f t="shared" si="579"/>
        <v>455668</v>
      </c>
      <c r="BV178" s="74">
        <f t="shared" si="580"/>
        <v>448.95784020368859</v>
      </c>
      <c r="BW178" s="1098"/>
      <c r="BX178" s="295">
        <f t="shared" si="544"/>
        <v>1650</v>
      </c>
      <c r="BY178" s="303"/>
      <c r="BZ178" s="296">
        <v>1650</v>
      </c>
      <c r="CA178" s="303"/>
      <c r="CB178" s="303"/>
      <c r="CC178" s="296">
        <f t="shared" ref="CC178:CC183" si="599">CC177+CA178</f>
        <v>10850</v>
      </c>
      <c r="CD178" s="297">
        <f t="shared" ref="CD178:CD183" si="600">CC178*1000/C178</f>
        <v>0.12275022316216838</v>
      </c>
      <c r="CE178" s="1061"/>
    </row>
    <row r="179" spans="1:84">
      <c r="A179" s="30">
        <v>43761</v>
      </c>
      <c r="B179" s="32">
        <v>355516</v>
      </c>
      <c r="C179" s="1">
        <f t="shared" si="388"/>
        <v>88746394</v>
      </c>
      <c r="D179" s="91">
        <v>6380.58</v>
      </c>
      <c r="E179" s="91">
        <f t="shared" si="389"/>
        <v>1021326.6599999997</v>
      </c>
      <c r="F179" s="243">
        <f t="shared" si="549"/>
        <v>31000</v>
      </c>
      <c r="G179" s="321"/>
      <c r="H179" s="240"/>
      <c r="I179" s="240">
        <f t="shared" si="583"/>
        <v>31000</v>
      </c>
      <c r="J179" s="280">
        <f t="shared" ref="J179:J185" si="601">I179*1000/B179</f>
        <v>87.197200688576601</v>
      </c>
      <c r="K179" s="240">
        <f t="shared" si="584"/>
        <v>2500720</v>
      </c>
      <c r="L179" s="280">
        <f t="shared" si="585"/>
        <v>28.17827167152279</v>
      </c>
      <c r="M179" s="280">
        <f t="shared" si="586"/>
        <v>3.4502597859094881</v>
      </c>
      <c r="N179" s="1089"/>
      <c r="O179" s="1084"/>
      <c r="P179" s="35">
        <f t="shared" si="509"/>
        <v>39071</v>
      </c>
      <c r="Q179" s="98"/>
      <c r="R179" s="35">
        <v>37214</v>
      </c>
      <c r="S179" s="35">
        <f t="shared" ref="S179:S189" si="602">P179+Q179-R179</f>
        <v>1857</v>
      </c>
      <c r="T179" s="36">
        <f t="shared" ref="T179:T189" si="603">1000*S179/B179</f>
        <v>5.2233936025382821</v>
      </c>
      <c r="U179" s="74">
        <f t="shared" si="587"/>
        <v>259914</v>
      </c>
      <c r="V179" s="36">
        <f t="shared" si="588"/>
        <v>2.9287274477879066</v>
      </c>
      <c r="W179" s="1136"/>
      <c r="X179" s="49">
        <f t="shared" si="514"/>
        <v>511</v>
      </c>
      <c r="Y179" s="248"/>
      <c r="Z179" s="50">
        <f>292+130</f>
        <v>422</v>
      </c>
      <c r="AA179" s="50">
        <f t="shared" ref="AA179:AA188" si="604">X179-Z179+Y179</f>
        <v>89</v>
      </c>
      <c r="AB179" s="51">
        <f t="shared" ref="AB179:AB188" si="605">AA179*1000/B179</f>
        <v>0.250340350363978</v>
      </c>
      <c r="AC179" s="50">
        <f t="shared" si="589"/>
        <v>18272</v>
      </c>
      <c r="AD179" s="51">
        <f t="shared" si="590"/>
        <v>0.20589005565679661</v>
      </c>
      <c r="AE179" s="1047"/>
      <c r="AF179" s="40">
        <f t="shared" si="519"/>
        <v>805</v>
      </c>
      <c r="AG179" s="44"/>
      <c r="AH179" s="41">
        <v>745</v>
      </c>
      <c r="AI179" s="41">
        <f t="shared" ref="AI179:AI189" si="606">AF179+AG179-AH179</f>
        <v>60</v>
      </c>
      <c r="AJ179" s="42">
        <f t="shared" ref="AJ179:AJ189" si="607">AI179*1000/B179</f>
        <v>0.16876877552627731</v>
      </c>
      <c r="AK179" s="41">
        <f t="shared" si="591"/>
        <v>9921</v>
      </c>
      <c r="AL179" s="42">
        <f t="shared" si="592"/>
        <v>0.11179045764946799</v>
      </c>
      <c r="AM179" s="1058"/>
      <c r="AN179" s="220">
        <v>4.4000000000000004</v>
      </c>
      <c r="AO179" s="67">
        <v>24</v>
      </c>
      <c r="AP179" s="68">
        <f t="shared" ref="AP179:AP189" si="608">AN179*AO179*0.49705</f>
        <v>52.488480000000003</v>
      </c>
      <c r="AQ179" s="68">
        <f t="shared" ref="AQ179:AQ189" si="609">AP179*1000/D179</f>
        <v>8.2262866385187561</v>
      </c>
      <c r="AR179" s="258">
        <f t="shared" si="593"/>
        <v>8490.6081000000049</v>
      </c>
      <c r="AS179" s="68">
        <f t="shared" si="594"/>
        <v>8.3133129022598986</v>
      </c>
      <c r="AT179" s="1073"/>
      <c r="AU179" s="216">
        <v>3</v>
      </c>
      <c r="AV179" s="71">
        <v>12</v>
      </c>
      <c r="AW179" s="72">
        <f t="shared" ref="AW179:AW187" si="610">AU179*AV179*0.51673</f>
        <v>18.60228</v>
      </c>
      <c r="AX179" s="72">
        <f t="shared" ref="AX179:AX187" si="611">AW179*1000/D179</f>
        <v>2.9154528271724511</v>
      </c>
      <c r="AY179" s="276">
        <f t="shared" si="595"/>
        <v>2646.1743299999998</v>
      </c>
      <c r="AZ179" s="72">
        <f t="shared" si="596"/>
        <v>2.5909186880522639</v>
      </c>
      <c r="BA179" s="1075"/>
      <c r="BB179" s="253">
        <f t="shared" si="532"/>
        <v>23381</v>
      </c>
      <c r="BC179" s="59"/>
      <c r="BD179" s="252">
        <v>23381</v>
      </c>
      <c r="BE179" s="57"/>
      <c r="BF179" s="58">
        <f t="shared" si="581"/>
        <v>86519</v>
      </c>
      <c r="BG179" s="58">
        <f t="shared" si="582"/>
        <v>84.712368127157305</v>
      </c>
      <c r="BH179" s="1133"/>
      <c r="BI179" s="63">
        <f t="shared" si="535"/>
        <v>960</v>
      </c>
      <c r="BJ179" s="133"/>
      <c r="BK179" s="64">
        <v>864</v>
      </c>
      <c r="BL179" s="64">
        <f t="shared" ref="BL179:BL189" si="612">BI179-BK179+BJ179</f>
        <v>96</v>
      </c>
      <c r="BM179" s="65">
        <f t="shared" ref="BM179:BM189" si="613">BL179*1000/B179</f>
        <v>0.27003004084204368</v>
      </c>
      <c r="BN179" s="64">
        <f t="shared" si="597"/>
        <v>26768</v>
      </c>
      <c r="BO179" s="65">
        <f t="shared" si="598"/>
        <v>0.30162352286674321</v>
      </c>
      <c r="BP179" s="1071"/>
      <c r="BQ179" s="77">
        <f t="shared" si="540"/>
        <v>32099</v>
      </c>
      <c r="BR179" s="35"/>
      <c r="BS179" s="35">
        <v>29326</v>
      </c>
      <c r="BT179" s="35">
        <f t="shared" ref="BT179:BT188" si="614">BQ179-BS179+BR179</f>
        <v>2773</v>
      </c>
      <c r="BU179" s="35">
        <f t="shared" si="579"/>
        <v>458441</v>
      </c>
      <c r="BV179" s="74">
        <f t="shared" si="580"/>
        <v>448.8681417559394</v>
      </c>
      <c r="BW179" s="1098"/>
      <c r="BX179" s="295">
        <f t="shared" si="544"/>
        <v>1650</v>
      </c>
      <c r="BY179" s="303"/>
      <c r="BZ179" s="296">
        <v>1650</v>
      </c>
      <c r="CA179" s="303"/>
      <c r="CB179" s="303"/>
      <c r="CC179" s="296">
        <f t="shared" si="599"/>
        <v>10850</v>
      </c>
      <c r="CD179" s="297">
        <f t="shared" si="600"/>
        <v>0.12225848860968931</v>
      </c>
      <c r="CE179" s="1061"/>
    </row>
    <row r="180" spans="1:84" ht="15" customHeight="1">
      <c r="A180" s="30">
        <v>43762</v>
      </c>
      <c r="B180" s="32">
        <v>688900</v>
      </c>
      <c r="C180" s="1">
        <f t="shared" si="388"/>
        <v>89435294</v>
      </c>
      <c r="D180" s="91">
        <v>7147.82</v>
      </c>
      <c r="E180" s="91">
        <f t="shared" si="389"/>
        <v>1028474.4799999996</v>
      </c>
      <c r="F180" s="243"/>
      <c r="G180" s="321">
        <v>31880</v>
      </c>
      <c r="H180" s="240">
        <v>12000</v>
      </c>
      <c r="I180" s="240">
        <f t="shared" si="583"/>
        <v>19880</v>
      </c>
      <c r="J180" s="280">
        <f t="shared" si="601"/>
        <v>28.857599070982726</v>
      </c>
      <c r="K180" s="240">
        <f t="shared" si="584"/>
        <v>2520600</v>
      </c>
      <c r="L180" s="280">
        <f t="shared" si="585"/>
        <v>28.183504378036705</v>
      </c>
      <c r="M180" s="280">
        <f t="shared" si="586"/>
        <v>3.4509004993310524</v>
      </c>
      <c r="N180" s="1089"/>
      <c r="O180" s="1084"/>
      <c r="P180" s="35">
        <f t="shared" si="509"/>
        <v>37214</v>
      </c>
      <c r="Q180" s="98"/>
      <c r="R180" s="35">
        <v>34539</v>
      </c>
      <c r="S180" s="35">
        <f t="shared" si="602"/>
        <v>2675</v>
      </c>
      <c r="T180" s="36">
        <f t="shared" si="603"/>
        <v>3.8830018870663374</v>
      </c>
      <c r="U180" s="74">
        <f t="shared" si="587"/>
        <v>262589</v>
      </c>
      <c r="V180" s="36">
        <f t="shared" si="588"/>
        <v>2.9360780096501946</v>
      </c>
      <c r="W180" s="1136"/>
      <c r="X180" s="49">
        <f t="shared" si="514"/>
        <v>422</v>
      </c>
      <c r="Y180" s="50">
        <v>900</v>
      </c>
      <c r="Z180" s="50">
        <f>1106+45</f>
        <v>1151</v>
      </c>
      <c r="AA180" s="50">
        <f t="shared" si="604"/>
        <v>171</v>
      </c>
      <c r="AB180" s="51">
        <f t="shared" si="605"/>
        <v>0.24822180287414719</v>
      </c>
      <c r="AC180" s="50">
        <f t="shared" si="589"/>
        <v>18443</v>
      </c>
      <c r="AD180" s="51">
        <f t="shared" si="590"/>
        <v>0.2062161276061775</v>
      </c>
      <c r="AE180" s="1047"/>
      <c r="AF180" s="40">
        <f t="shared" si="519"/>
        <v>745</v>
      </c>
      <c r="AG180" s="44"/>
      <c r="AH180" s="41">
        <v>705</v>
      </c>
      <c r="AI180" s="41">
        <f t="shared" si="606"/>
        <v>40</v>
      </c>
      <c r="AJ180" s="42">
        <f t="shared" si="607"/>
        <v>5.8063579619683552E-2</v>
      </c>
      <c r="AK180" s="41">
        <f t="shared" si="591"/>
        <v>9961</v>
      </c>
      <c r="AL180" s="42">
        <f t="shared" si="592"/>
        <v>0.1113766115645575</v>
      </c>
      <c r="AM180" s="1058"/>
      <c r="AN180" s="220">
        <v>8.1999999999999993</v>
      </c>
      <c r="AO180" s="67">
        <v>24</v>
      </c>
      <c r="AP180" s="68">
        <f t="shared" si="608"/>
        <v>97.819439999999986</v>
      </c>
      <c r="AQ180" s="68">
        <f t="shared" si="609"/>
        <v>13.685213113928441</v>
      </c>
      <c r="AR180" s="258">
        <f t="shared" si="593"/>
        <v>8588.4275400000042</v>
      </c>
      <c r="AS180" s="68">
        <f t="shared" si="594"/>
        <v>8.3506472032247299</v>
      </c>
      <c r="AT180" s="1073"/>
      <c r="AU180" s="71">
        <v>3.7</v>
      </c>
      <c r="AV180" s="71">
        <v>12</v>
      </c>
      <c r="AW180" s="72">
        <f t="shared" si="610"/>
        <v>22.942812000000004</v>
      </c>
      <c r="AX180" s="72">
        <f t="shared" si="611"/>
        <v>3.2097635362949832</v>
      </c>
      <c r="AY180" s="276">
        <f t="shared" si="595"/>
        <v>2669.1171420000001</v>
      </c>
      <c r="AZ180" s="72">
        <f t="shared" si="596"/>
        <v>2.5952196130330827</v>
      </c>
      <c r="BA180" s="1075"/>
      <c r="BB180" s="253">
        <f t="shared" si="532"/>
        <v>23381</v>
      </c>
      <c r="BC180" s="59"/>
      <c r="BD180" s="252">
        <v>23381</v>
      </c>
      <c r="BE180" s="57"/>
      <c r="BF180" s="58">
        <f t="shared" si="581"/>
        <v>86519</v>
      </c>
      <c r="BG180" s="58">
        <f t="shared" si="582"/>
        <v>84.123623563318787</v>
      </c>
      <c r="BH180" s="1133"/>
      <c r="BI180" s="63">
        <f t="shared" si="535"/>
        <v>864</v>
      </c>
      <c r="BJ180" s="64">
        <v>1100</v>
      </c>
      <c r="BK180" s="64">
        <v>1800</v>
      </c>
      <c r="BL180" s="64">
        <f t="shared" si="612"/>
        <v>164</v>
      </c>
      <c r="BM180" s="65">
        <f t="shared" si="613"/>
        <v>0.23806067644070256</v>
      </c>
      <c r="BN180" s="64">
        <f t="shared" si="597"/>
        <v>26932</v>
      </c>
      <c r="BO180" s="65">
        <f t="shared" si="598"/>
        <v>0.30113391252451188</v>
      </c>
      <c r="BP180" s="1071"/>
      <c r="BQ180" s="77">
        <f t="shared" si="540"/>
        <v>29326</v>
      </c>
      <c r="BR180" s="315">
        <v>31300</v>
      </c>
      <c r="BS180" s="35">
        <v>57853</v>
      </c>
      <c r="BT180" s="35">
        <f t="shared" si="614"/>
        <v>2773</v>
      </c>
      <c r="BU180" s="35">
        <f t="shared" si="579"/>
        <v>461214</v>
      </c>
      <c r="BV180" s="74">
        <f t="shared" si="580"/>
        <v>448.44476841078273</v>
      </c>
      <c r="BW180" s="1098"/>
      <c r="BX180" s="295">
        <f t="shared" si="544"/>
        <v>1650</v>
      </c>
      <c r="BY180" s="303"/>
      <c r="BZ180" s="296">
        <v>1650</v>
      </c>
      <c r="CA180" s="303"/>
      <c r="CB180" s="303"/>
      <c r="CC180" s="296">
        <f t="shared" si="599"/>
        <v>10850</v>
      </c>
      <c r="CD180" s="297">
        <f t="shared" si="600"/>
        <v>0.12131675890728329</v>
      </c>
      <c r="CE180" s="1061"/>
    </row>
    <row r="181" spans="1:84">
      <c r="A181" s="30">
        <v>43763</v>
      </c>
      <c r="B181" s="32">
        <v>669766</v>
      </c>
      <c r="C181" s="1">
        <f t="shared" si="388"/>
        <v>90105060</v>
      </c>
      <c r="D181" s="91">
        <v>6346.04</v>
      </c>
      <c r="E181" s="91">
        <f t="shared" si="389"/>
        <v>1034820.5199999997</v>
      </c>
      <c r="F181" s="243">
        <f t="shared" si="549"/>
        <v>12000</v>
      </c>
      <c r="G181" s="321">
        <v>31520</v>
      </c>
      <c r="H181" s="240"/>
      <c r="I181" s="240">
        <f t="shared" si="583"/>
        <v>43520</v>
      </c>
      <c r="J181" s="280">
        <f t="shared" si="601"/>
        <v>64.977917660794958</v>
      </c>
      <c r="K181" s="240">
        <f t="shared" si="584"/>
        <v>2564120</v>
      </c>
      <c r="L181" s="280">
        <f t="shared" si="585"/>
        <v>28.457003413570781</v>
      </c>
      <c r="M181" s="280">
        <f t="shared" si="586"/>
        <v>3.4843888102817169</v>
      </c>
      <c r="N181" s="1089"/>
      <c r="O181" s="1084"/>
      <c r="P181" s="35">
        <f t="shared" si="509"/>
        <v>34539</v>
      </c>
      <c r="Q181" s="98"/>
      <c r="R181" s="35">
        <v>33195</v>
      </c>
      <c r="S181" s="35">
        <f t="shared" si="602"/>
        <v>1344</v>
      </c>
      <c r="T181" s="36">
        <f t="shared" si="603"/>
        <v>2.0066709865833738</v>
      </c>
      <c r="U181" s="74">
        <f t="shared" si="587"/>
        <v>263933</v>
      </c>
      <c r="V181" s="36">
        <f t="shared" si="588"/>
        <v>2.9291695716089641</v>
      </c>
      <c r="W181" s="1136"/>
      <c r="X181" s="49">
        <f t="shared" si="514"/>
        <v>1151</v>
      </c>
      <c r="Y181" s="248"/>
      <c r="Z181" s="50">
        <f>1057+80</f>
        <v>1137</v>
      </c>
      <c r="AA181" s="50">
        <f t="shared" si="604"/>
        <v>14</v>
      </c>
      <c r="AB181" s="51">
        <f t="shared" si="605"/>
        <v>2.0902822776910145E-2</v>
      </c>
      <c r="AC181" s="50">
        <f t="shared" si="589"/>
        <v>18457</v>
      </c>
      <c r="AD181" s="51">
        <f t="shared" si="590"/>
        <v>0.2048386627787607</v>
      </c>
      <c r="AE181" s="1047"/>
      <c r="AF181" s="40">
        <f t="shared" si="519"/>
        <v>705</v>
      </c>
      <c r="AG181" s="44"/>
      <c r="AH181" s="41">
        <v>666</v>
      </c>
      <c r="AI181" s="41">
        <f t="shared" si="606"/>
        <v>39</v>
      </c>
      <c r="AJ181" s="42">
        <f t="shared" si="607"/>
        <v>5.8229292021392549E-2</v>
      </c>
      <c r="AK181" s="41">
        <f t="shared" si="591"/>
        <v>10000</v>
      </c>
      <c r="AL181" s="42">
        <f t="shared" si="592"/>
        <v>0.1109815586383273</v>
      </c>
      <c r="AM181" s="1058"/>
      <c r="AN181" s="220">
        <v>7.8</v>
      </c>
      <c r="AO181" s="67">
        <v>24</v>
      </c>
      <c r="AP181" s="68">
        <f t="shared" si="608"/>
        <v>93.047759999999997</v>
      </c>
      <c r="AQ181" s="68">
        <f t="shared" si="609"/>
        <v>14.66233430611846</v>
      </c>
      <c r="AR181" s="258">
        <f t="shared" si="593"/>
        <v>8681.4753000000037</v>
      </c>
      <c r="AS181" s="68">
        <f t="shared" si="594"/>
        <v>8.3893536436637408</v>
      </c>
      <c r="AT181" s="1073"/>
      <c r="AU181" s="71">
        <v>3.2</v>
      </c>
      <c r="AV181" s="71">
        <v>12</v>
      </c>
      <c r="AW181" s="72">
        <f t="shared" si="610"/>
        <v>19.842432000000002</v>
      </c>
      <c r="AX181" s="72">
        <f t="shared" si="611"/>
        <v>3.1267423464081538</v>
      </c>
      <c r="AY181" s="276">
        <f t="shared" si="595"/>
        <v>2688.959574</v>
      </c>
      <c r="AZ181" s="72">
        <f t="shared" si="596"/>
        <v>2.5984791778191649</v>
      </c>
      <c r="BA181" s="1075"/>
      <c r="BB181" s="253">
        <f t="shared" si="532"/>
        <v>23381</v>
      </c>
      <c r="BC181" s="59"/>
      <c r="BD181" s="252">
        <v>23381</v>
      </c>
      <c r="BE181" s="57"/>
      <c r="BF181" s="58">
        <f t="shared" si="581"/>
        <v>86519</v>
      </c>
      <c r="BG181" s="58">
        <f t="shared" si="582"/>
        <v>83.607735184841545</v>
      </c>
      <c r="BH181" s="1133"/>
      <c r="BI181" s="63">
        <f t="shared" si="535"/>
        <v>1800</v>
      </c>
      <c r="BJ181" s="133"/>
      <c r="BK181" s="64">
        <v>1632</v>
      </c>
      <c r="BL181" s="64">
        <f t="shared" si="612"/>
        <v>168</v>
      </c>
      <c r="BM181" s="65">
        <f t="shared" si="613"/>
        <v>0.25083387332292173</v>
      </c>
      <c r="BN181" s="64">
        <f t="shared" si="597"/>
        <v>27100</v>
      </c>
      <c r="BO181" s="65">
        <f t="shared" si="598"/>
        <v>0.300760023909867</v>
      </c>
      <c r="BP181" s="1071"/>
      <c r="BQ181" s="77">
        <f t="shared" si="540"/>
        <v>57853</v>
      </c>
      <c r="BR181" s="35"/>
      <c r="BS181" s="35">
        <f>47810+6000</f>
        <v>53810</v>
      </c>
      <c r="BT181" s="35">
        <f t="shared" si="614"/>
        <v>4043</v>
      </c>
      <c r="BU181" s="35">
        <f t="shared" si="579"/>
        <v>465257</v>
      </c>
      <c r="BV181" s="74">
        <f t="shared" si="580"/>
        <v>449.60163719985002</v>
      </c>
      <c r="BW181" s="1098"/>
      <c r="BX181" s="295">
        <f t="shared" si="544"/>
        <v>1650</v>
      </c>
      <c r="BY181" s="303"/>
      <c r="BZ181" s="296">
        <v>1650</v>
      </c>
      <c r="CA181" s="303"/>
      <c r="CB181" s="303"/>
      <c r="CC181" s="296">
        <f t="shared" si="599"/>
        <v>10850</v>
      </c>
      <c r="CD181" s="297">
        <f t="shared" si="600"/>
        <v>0.12041499112258512</v>
      </c>
      <c r="CE181" s="1061"/>
    </row>
    <row r="182" spans="1:84">
      <c r="A182" s="30">
        <v>43764</v>
      </c>
      <c r="B182" s="32">
        <v>662268</v>
      </c>
      <c r="C182" s="1">
        <f t="shared" si="388"/>
        <v>90767328</v>
      </c>
      <c r="D182" s="91">
        <v>6863.82</v>
      </c>
      <c r="E182" s="91">
        <f t="shared" si="389"/>
        <v>1041684.3399999996</v>
      </c>
      <c r="F182" s="243"/>
      <c r="G182" s="321">
        <v>31700</v>
      </c>
      <c r="H182" s="240">
        <v>10000</v>
      </c>
      <c r="I182" s="240">
        <f t="shared" si="583"/>
        <v>21700</v>
      </c>
      <c r="J182" s="280">
        <f t="shared" si="601"/>
        <v>32.766191330397966</v>
      </c>
      <c r="K182" s="240">
        <f t="shared" si="584"/>
        <v>2585820</v>
      </c>
      <c r="L182" s="280">
        <f t="shared" si="585"/>
        <v>28.488444652683839</v>
      </c>
      <c r="M182" s="280">
        <f t="shared" si="586"/>
        <v>3.488238600793907</v>
      </c>
      <c r="N182" s="1089"/>
      <c r="O182" s="1084"/>
      <c r="P182" s="35">
        <f t="shared" si="509"/>
        <v>33195</v>
      </c>
      <c r="Q182" s="98"/>
      <c r="R182" s="35">
        <v>32387</v>
      </c>
      <c r="S182" s="35">
        <f t="shared" si="602"/>
        <v>808</v>
      </c>
      <c r="T182" s="36">
        <f t="shared" si="603"/>
        <v>1.2200498891687352</v>
      </c>
      <c r="U182" s="74">
        <f t="shared" si="587"/>
        <v>264741</v>
      </c>
      <c r="V182" s="36">
        <f t="shared" si="588"/>
        <v>2.9166992775197702</v>
      </c>
      <c r="W182" s="1136"/>
      <c r="X182" s="49">
        <f t="shared" si="514"/>
        <v>1137</v>
      </c>
      <c r="Y182" s="248"/>
      <c r="Z182" s="50">
        <f>1007+45</f>
        <v>1052</v>
      </c>
      <c r="AA182" s="50">
        <f t="shared" si="604"/>
        <v>85</v>
      </c>
      <c r="AB182" s="51">
        <f t="shared" si="605"/>
        <v>0.12834683240017636</v>
      </c>
      <c r="AC182" s="50">
        <f t="shared" si="589"/>
        <v>18542</v>
      </c>
      <c r="AD182" s="51">
        <f t="shared" si="590"/>
        <v>0.20428055346082238</v>
      </c>
      <c r="AE182" s="1047"/>
      <c r="AF182" s="40">
        <f t="shared" si="519"/>
        <v>666</v>
      </c>
      <c r="AG182" s="44"/>
      <c r="AH182" s="41">
        <v>626</v>
      </c>
      <c r="AI182" s="41">
        <f t="shared" si="606"/>
        <v>40</v>
      </c>
      <c r="AJ182" s="42">
        <f t="shared" si="607"/>
        <v>6.0398509364788876E-2</v>
      </c>
      <c r="AK182" s="41">
        <f t="shared" si="591"/>
        <v>10040</v>
      </c>
      <c r="AL182" s="42">
        <f t="shared" si="592"/>
        <v>0.11061248822924478</v>
      </c>
      <c r="AM182" s="1058"/>
      <c r="AN182" s="220">
        <v>7.4</v>
      </c>
      <c r="AO182" s="67">
        <v>24</v>
      </c>
      <c r="AP182" s="68">
        <f t="shared" si="608"/>
        <v>88.276080000000007</v>
      </c>
      <c r="AQ182" s="68">
        <f t="shared" si="609"/>
        <v>12.861071531596108</v>
      </c>
      <c r="AR182" s="258">
        <f t="shared" si="593"/>
        <v>8769.7513800000033</v>
      </c>
      <c r="AS182" s="68">
        <f t="shared" si="594"/>
        <v>8.4188184877580152</v>
      </c>
      <c r="AT182" s="1073"/>
      <c r="AU182" s="71">
        <v>3.3</v>
      </c>
      <c r="AV182" s="71">
        <v>12</v>
      </c>
      <c r="AW182" s="72">
        <f t="shared" si="610"/>
        <v>20.462508</v>
      </c>
      <c r="AX182" s="72">
        <f t="shared" si="611"/>
        <v>2.9812127940418018</v>
      </c>
      <c r="AY182" s="276">
        <f t="shared" si="595"/>
        <v>2709.422082</v>
      </c>
      <c r="AZ182" s="72">
        <f t="shared" si="596"/>
        <v>2.6010010690954624</v>
      </c>
      <c r="BA182" s="1075"/>
      <c r="BB182" s="253">
        <f t="shared" si="532"/>
        <v>23381</v>
      </c>
      <c r="BC182" s="59"/>
      <c r="BD182" s="252">
        <v>23381</v>
      </c>
      <c r="BE182" s="57"/>
      <c r="BF182" s="58">
        <f t="shared" si="581"/>
        <v>86519</v>
      </c>
      <c r="BG182" s="58">
        <f t="shared" si="582"/>
        <v>83.056830824585532</v>
      </c>
      <c r="BH182" s="1133"/>
      <c r="BI182" s="63">
        <f t="shared" si="535"/>
        <v>1632</v>
      </c>
      <c r="BJ182" s="133"/>
      <c r="BK182" s="64">
        <v>1476</v>
      </c>
      <c r="BL182" s="64">
        <f t="shared" si="612"/>
        <v>156</v>
      </c>
      <c r="BM182" s="65">
        <f t="shared" si="613"/>
        <v>0.23555418652267662</v>
      </c>
      <c r="BN182" s="64">
        <f t="shared" si="597"/>
        <v>27256</v>
      </c>
      <c r="BO182" s="65">
        <f t="shared" si="598"/>
        <v>0.30028426087413301</v>
      </c>
      <c r="BP182" s="1071"/>
      <c r="BQ182" s="77">
        <f t="shared" si="540"/>
        <v>53810</v>
      </c>
      <c r="BR182" s="35"/>
      <c r="BS182" s="35">
        <f>44113+6000</f>
        <v>50113</v>
      </c>
      <c r="BT182" s="35">
        <f t="shared" si="614"/>
        <v>3697</v>
      </c>
      <c r="BU182" s="35">
        <f t="shared" si="579"/>
        <v>468954</v>
      </c>
      <c r="BV182" s="74">
        <f t="shared" si="580"/>
        <v>450.188201926891</v>
      </c>
      <c r="BW182" s="1098"/>
      <c r="BX182" s="295">
        <f t="shared" si="544"/>
        <v>1650</v>
      </c>
      <c r="BY182" s="303"/>
      <c r="BZ182" s="296">
        <v>1650</v>
      </c>
      <c r="CA182" s="303"/>
      <c r="CB182" s="303"/>
      <c r="CC182" s="296">
        <f t="shared" si="599"/>
        <v>10850</v>
      </c>
      <c r="CD182" s="297">
        <f t="shared" si="600"/>
        <v>0.11953640411228146</v>
      </c>
      <c r="CE182" s="1061"/>
    </row>
    <row r="183" spans="1:84">
      <c r="A183" s="30">
        <v>43765</v>
      </c>
      <c r="B183" s="32">
        <v>689083</v>
      </c>
      <c r="C183" s="1">
        <f t="shared" si="388"/>
        <v>91456411</v>
      </c>
      <c r="D183" s="91">
        <v>7060.72</v>
      </c>
      <c r="E183" s="91">
        <f t="shared" si="389"/>
        <v>1048745.0599999996</v>
      </c>
      <c r="F183" s="243">
        <f t="shared" si="549"/>
        <v>10000</v>
      </c>
      <c r="G183" s="321">
        <v>18580</v>
      </c>
      <c r="H183" s="240"/>
      <c r="I183" s="240">
        <f t="shared" si="583"/>
        <v>28580</v>
      </c>
      <c r="J183" s="280">
        <f t="shared" si="601"/>
        <v>41.475410073967865</v>
      </c>
      <c r="K183" s="240">
        <f t="shared" si="584"/>
        <v>2614400</v>
      </c>
      <c r="L183" s="280">
        <f t="shared" si="585"/>
        <v>28.586295606985935</v>
      </c>
      <c r="M183" s="280">
        <f t="shared" si="586"/>
        <v>3.5002198612692466</v>
      </c>
      <c r="N183" s="1089"/>
      <c r="O183" s="1084"/>
      <c r="P183" s="35">
        <f t="shared" si="509"/>
        <v>32387</v>
      </c>
      <c r="Q183" s="98"/>
      <c r="R183" s="35">
        <v>30771</v>
      </c>
      <c r="S183" s="35">
        <f t="shared" si="602"/>
        <v>1616</v>
      </c>
      <c r="T183" s="36">
        <f t="shared" si="603"/>
        <v>2.3451456500885959</v>
      </c>
      <c r="U183" s="74">
        <f t="shared" si="587"/>
        <v>266357</v>
      </c>
      <c r="V183" s="36">
        <f t="shared" si="588"/>
        <v>2.9123928775206367</v>
      </c>
      <c r="W183" s="1136"/>
      <c r="X183" s="49">
        <f t="shared" si="514"/>
        <v>1052</v>
      </c>
      <c r="Y183" s="248"/>
      <c r="Z183" s="50">
        <f>938+75</f>
        <v>1013</v>
      </c>
      <c r="AA183" s="50">
        <f t="shared" si="604"/>
        <v>39</v>
      </c>
      <c r="AB183" s="51">
        <f t="shared" si="605"/>
        <v>5.6596955664266861E-2</v>
      </c>
      <c r="AC183" s="50">
        <f t="shared" si="589"/>
        <v>18581</v>
      </c>
      <c r="AD183" s="51">
        <f t="shared" si="590"/>
        <v>0.20316782384998686</v>
      </c>
      <c r="AE183" s="1047"/>
      <c r="AF183" s="40">
        <f t="shared" si="519"/>
        <v>626</v>
      </c>
      <c r="AG183" s="44"/>
      <c r="AH183" s="41">
        <v>567</v>
      </c>
      <c r="AI183" s="41">
        <f t="shared" si="606"/>
        <v>59</v>
      </c>
      <c r="AJ183" s="42">
        <f t="shared" si="607"/>
        <v>8.5621035492096015E-2</v>
      </c>
      <c r="AK183" s="41">
        <f t="shared" si="591"/>
        <v>10099</v>
      </c>
      <c r="AL183" s="42">
        <f t="shared" si="592"/>
        <v>0.11042418885210792</v>
      </c>
      <c r="AM183" s="1058"/>
      <c r="AN183" s="260">
        <v>7</v>
      </c>
      <c r="AO183" s="67">
        <v>24</v>
      </c>
      <c r="AP183" s="68">
        <f t="shared" si="608"/>
        <v>83.504400000000004</v>
      </c>
      <c r="AQ183" s="68">
        <f t="shared" si="609"/>
        <v>11.826612583419255</v>
      </c>
      <c r="AR183" s="258">
        <f t="shared" si="593"/>
        <v>8853.2557800000031</v>
      </c>
      <c r="AS183" s="68">
        <f t="shared" si="594"/>
        <v>8.4417616041023411</v>
      </c>
      <c r="AT183" s="1073"/>
      <c r="AU183" s="71">
        <v>4.2</v>
      </c>
      <c r="AV183" s="71">
        <v>12</v>
      </c>
      <c r="AW183" s="72">
        <f t="shared" si="610"/>
        <v>26.043192000000005</v>
      </c>
      <c r="AX183" s="72">
        <f t="shared" si="611"/>
        <v>3.68846123341529</v>
      </c>
      <c r="AY183" s="276">
        <f t="shared" si="595"/>
        <v>2735.4652740000001</v>
      </c>
      <c r="AZ183" s="72">
        <f t="shared" si="596"/>
        <v>2.6083224401552854</v>
      </c>
      <c r="BA183" s="1075"/>
      <c r="BB183" s="253">
        <f t="shared" si="532"/>
        <v>23381</v>
      </c>
      <c r="BC183" s="59"/>
      <c r="BD183" s="252">
        <v>23381</v>
      </c>
      <c r="BE183" s="57"/>
      <c r="BF183" s="58">
        <f t="shared" si="581"/>
        <v>86519</v>
      </c>
      <c r="BG183" s="58">
        <f t="shared" si="582"/>
        <v>82.497647235639931</v>
      </c>
      <c r="BH183" s="1133"/>
      <c r="BI183" s="63">
        <f t="shared" si="535"/>
        <v>1476</v>
      </c>
      <c r="BJ183" s="133"/>
      <c r="BK183" s="64">
        <v>1320</v>
      </c>
      <c r="BL183" s="64">
        <f t="shared" si="612"/>
        <v>156</v>
      </c>
      <c r="BM183" s="65">
        <f t="shared" si="613"/>
        <v>0.22638782265706744</v>
      </c>
      <c r="BN183" s="64">
        <f t="shared" si="597"/>
        <v>27412</v>
      </c>
      <c r="BO183" s="65">
        <f t="shared" si="598"/>
        <v>0.29972748438597707</v>
      </c>
      <c r="BP183" s="1071"/>
      <c r="BQ183" s="77">
        <f t="shared" si="540"/>
        <v>50113</v>
      </c>
      <c r="BR183" s="35"/>
      <c r="BS183" s="35">
        <f>41340+6000</f>
        <v>47340</v>
      </c>
      <c r="BT183" s="35">
        <f t="shared" si="614"/>
        <v>2773</v>
      </c>
      <c r="BU183" s="35">
        <f t="shared" si="579"/>
        <v>471727</v>
      </c>
      <c r="BV183" s="74">
        <f t="shared" si="580"/>
        <v>449.80140359373917</v>
      </c>
      <c r="BW183" s="1098"/>
      <c r="BX183" s="295">
        <f t="shared" si="544"/>
        <v>1650</v>
      </c>
      <c r="BY183" s="303"/>
      <c r="BZ183" s="296">
        <v>1650</v>
      </c>
      <c r="CA183" s="303"/>
      <c r="CB183" s="303"/>
      <c r="CC183" s="296">
        <f t="shared" si="599"/>
        <v>10850</v>
      </c>
      <c r="CD183" s="297">
        <f t="shared" si="600"/>
        <v>0.11863575096993474</v>
      </c>
      <c r="CE183" s="1061"/>
    </row>
    <row r="184" spans="1:84">
      <c r="A184" s="30">
        <v>43766</v>
      </c>
      <c r="B184" s="32">
        <v>629504</v>
      </c>
      <c r="C184" s="1">
        <f t="shared" si="388"/>
        <v>92085915</v>
      </c>
      <c r="D184" s="91">
        <v>7061.72</v>
      </c>
      <c r="E184" s="91">
        <f t="shared" ref="E184:E225" si="615">E183+D184</f>
        <v>1055806.7799999996</v>
      </c>
      <c r="F184" s="244"/>
      <c r="G184" s="321">
        <v>18900</v>
      </c>
      <c r="H184" s="227"/>
      <c r="I184" s="240">
        <f>F184-H184+G184</f>
        <v>18900</v>
      </c>
      <c r="J184" s="280">
        <f t="shared" si="601"/>
        <v>30.023637657584384</v>
      </c>
      <c r="K184" s="240">
        <f t="shared" ref="K184:K189" si="616">K183+I184</f>
        <v>2633300</v>
      </c>
      <c r="L184" s="280">
        <f t="shared" ref="L184:L189" si="617">K184*1000/C184</f>
        <v>28.596121350371554</v>
      </c>
      <c r="M184" s="280">
        <f t="shared" ref="M184:M189" si="618">L184/8.167</f>
        <v>3.5014229644142958</v>
      </c>
      <c r="N184" s="1089"/>
      <c r="O184" s="1084"/>
      <c r="P184" s="35">
        <f t="shared" si="509"/>
        <v>30771</v>
      </c>
      <c r="Q184" s="98"/>
      <c r="R184" s="35">
        <v>28350</v>
      </c>
      <c r="S184" s="35">
        <f t="shared" si="602"/>
        <v>2421</v>
      </c>
      <c r="T184" s="36">
        <f t="shared" si="603"/>
        <v>3.8458850142334282</v>
      </c>
      <c r="U184" s="74">
        <f t="shared" si="587"/>
        <v>268778</v>
      </c>
      <c r="V184" s="36">
        <f t="shared" si="588"/>
        <v>2.9187742772605345</v>
      </c>
      <c r="W184" s="1136"/>
      <c r="X184" s="49">
        <f t="shared" si="514"/>
        <v>1013</v>
      </c>
      <c r="Y184" s="248"/>
      <c r="Z184" s="50">
        <f>868+35</f>
        <v>903</v>
      </c>
      <c r="AA184" s="50">
        <f t="shared" si="604"/>
        <v>110</v>
      </c>
      <c r="AB184" s="51">
        <f t="shared" si="605"/>
        <v>0.17474074827165514</v>
      </c>
      <c r="AC184" s="50">
        <f t="shared" ref="AC184:AC189" si="619">AC183+AA184</f>
        <v>18691</v>
      </c>
      <c r="AD184" s="51">
        <f t="shared" ref="AD184:AD189" si="620">AC184*1000/C184</f>
        <v>0.20297349491504754</v>
      </c>
      <c r="AE184" s="1047"/>
      <c r="AF184" s="40">
        <f t="shared" si="519"/>
        <v>567</v>
      </c>
      <c r="AG184" s="44"/>
      <c r="AH184" s="41">
        <v>528</v>
      </c>
      <c r="AI184" s="41">
        <f t="shared" si="606"/>
        <v>39</v>
      </c>
      <c r="AJ184" s="42">
        <f t="shared" si="607"/>
        <v>6.1953538023586822E-2</v>
      </c>
      <c r="AK184" s="41">
        <f t="shared" ref="AK184:AK189" si="621">AK183+AI184</f>
        <v>10138</v>
      </c>
      <c r="AL184" s="42">
        <f t="shared" ref="AL184:AL189" si="622">AK184*1000/C184</f>
        <v>0.11009284101700026</v>
      </c>
      <c r="AM184" s="1058"/>
      <c r="AN184" s="220">
        <v>6.1</v>
      </c>
      <c r="AO184" s="67">
        <v>24</v>
      </c>
      <c r="AP184" s="68">
        <f t="shared" si="608"/>
        <v>72.768119999999982</v>
      </c>
      <c r="AQ184" s="68">
        <f t="shared" si="609"/>
        <v>10.304588683776753</v>
      </c>
      <c r="AR184" s="258">
        <f t="shared" ref="AR184:AR189" si="623">AR183+AP184</f>
        <v>8926.0239000000038</v>
      </c>
      <c r="AS184" s="68">
        <f t="shared" ref="AS184:AS189" si="624">AR184*1000/E184</f>
        <v>8.4542210460137479</v>
      </c>
      <c r="AT184" s="1073"/>
      <c r="AU184" s="216">
        <v>3</v>
      </c>
      <c r="AV184" s="71">
        <v>12</v>
      </c>
      <c r="AW184" s="72">
        <f t="shared" si="610"/>
        <v>18.60228</v>
      </c>
      <c r="AX184" s="72">
        <f t="shared" si="611"/>
        <v>2.6342420826654127</v>
      </c>
      <c r="AY184" s="276">
        <f t="shared" si="595"/>
        <v>2754.0675540000002</v>
      </c>
      <c r="AZ184" s="72">
        <f t="shared" si="596"/>
        <v>2.6084958026126723</v>
      </c>
      <c r="BA184" s="1075"/>
      <c r="BB184" s="253">
        <f t="shared" si="532"/>
        <v>23381</v>
      </c>
      <c r="BC184" s="59"/>
      <c r="BD184" s="252">
        <v>23381</v>
      </c>
      <c r="BE184" s="57"/>
      <c r="BF184" s="58">
        <f t="shared" si="581"/>
        <v>86519</v>
      </c>
      <c r="BG184" s="58">
        <f t="shared" si="582"/>
        <v>81.945865132633486</v>
      </c>
      <c r="BH184" s="1133"/>
      <c r="BI184" s="63">
        <f t="shared" si="535"/>
        <v>1320</v>
      </c>
      <c r="BJ184" s="133"/>
      <c r="BK184" s="64">
        <v>1200</v>
      </c>
      <c r="BL184" s="64">
        <f t="shared" si="612"/>
        <v>120</v>
      </c>
      <c r="BM184" s="65">
        <f t="shared" si="613"/>
        <v>0.19062627084180561</v>
      </c>
      <c r="BN184" s="64">
        <f t="shared" ref="BN184:BN189" si="625">BN183+BL184</f>
        <v>27532</v>
      </c>
      <c r="BO184" s="65">
        <f t="shared" ref="BO184:BO189" si="626">BN184*1000/C184</f>
        <v>0.29898166293944084</v>
      </c>
      <c r="BP184" s="1071"/>
      <c r="BQ184" s="77">
        <f t="shared" si="540"/>
        <v>47340</v>
      </c>
      <c r="BR184" s="35"/>
      <c r="BS184" s="35">
        <f>38568+6000</f>
        <v>44568</v>
      </c>
      <c r="BT184" s="35">
        <f t="shared" si="614"/>
        <v>2772</v>
      </c>
      <c r="BU184" s="35">
        <f t="shared" si="579"/>
        <v>474499</v>
      </c>
      <c r="BV184" s="74">
        <f t="shared" si="580"/>
        <v>449.41840589430598</v>
      </c>
      <c r="BW184" s="1098"/>
      <c r="BX184" s="295">
        <f t="shared" si="544"/>
        <v>1650</v>
      </c>
      <c r="BY184" s="303"/>
      <c r="BZ184" s="296">
        <v>1650</v>
      </c>
      <c r="CA184" s="303"/>
      <c r="CB184" s="303"/>
      <c r="CC184" s="296">
        <f t="shared" ref="CC184:CC189" si="627">CC183+CA184</f>
        <v>10850</v>
      </c>
      <c r="CD184" s="297">
        <f t="shared" ref="CD184:CD189" si="628">CC184*1000/C184</f>
        <v>0.11782475094046685</v>
      </c>
      <c r="CE184" s="1061"/>
    </row>
    <row r="185" spans="1:84">
      <c r="A185" s="30">
        <v>43767</v>
      </c>
      <c r="B185" s="32">
        <v>631646</v>
      </c>
      <c r="C185" s="1">
        <f t="shared" si="388"/>
        <v>92717561</v>
      </c>
      <c r="D185" s="91">
        <v>7062.72</v>
      </c>
      <c r="E185" s="91">
        <f t="shared" si="615"/>
        <v>1062869.4999999995</v>
      </c>
      <c r="F185" s="244"/>
      <c r="G185" s="321">
        <v>18170</v>
      </c>
      <c r="H185" s="227"/>
      <c r="I185" s="240">
        <f>F185-H185+G185</f>
        <v>18170</v>
      </c>
      <c r="J185" s="280">
        <f t="shared" si="601"/>
        <v>28.766112664372134</v>
      </c>
      <c r="K185" s="240">
        <f t="shared" si="616"/>
        <v>2651470</v>
      </c>
      <c r="L185" s="280">
        <f t="shared" si="617"/>
        <v>28.597279430161024</v>
      </c>
      <c r="M185" s="280">
        <f t="shared" si="618"/>
        <v>3.5015647643150514</v>
      </c>
      <c r="N185" s="1089"/>
      <c r="O185" s="1084"/>
      <c r="P185" s="35">
        <f t="shared" si="509"/>
        <v>28350</v>
      </c>
      <c r="Q185" s="98"/>
      <c r="R185" s="35">
        <v>24874</v>
      </c>
      <c r="S185" s="35">
        <f t="shared" si="602"/>
        <v>3476</v>
      </c>
      <c r="T185" s="36">
        <f t="shared" si="603"/>
        <v>5.5030824227494515</v>
      </c>
      <c r="U185" s="74">
        <f t="shared" si="587"/>
        <v>272254</v>
      </c>
      <c r="V185" s="36">
        <f t="shared" si="588"/>
        <v>2.9363800887730425</v>
      </c>
      <c r="W185" s="1136"/>
      <c r="X185" s="49">
        <f t="shared" si="514"/>
        <v>903</v>
      </c>
      <c r="Y185" s="248"/>
      <c r="Z185" s="50">
        <f>779+62</f>
        <v>841</v>
      </c>
      <c r="AA185" s="50">
        <f t="shared" si="604"/>
        <v>62</v>
      </c>
      <c r="AB185" s="51">
        <f t="shared" si="605"/>
        <v>9.8156245745243384E-2</v>
      </c>
      <c r="AC185" s="50">
        <f t="shared" si="619"/>
        <v>18753</v>
      </c>
      <c r="AD185" s="51">
        <f t="shared" si="620"/>
        <v>0.20225941879553971</v>
      </c>
      <c r="AE185" s="1047"/>
      <c r="AF185" s="40">
        <f t="shared" si="519"/>
        <v>528</v>
      </c>
      <c r="AG185" s="44"/>
      <c r="AH185" s="41">
        <v>471</v>
      </c>
      <c r="AI185" s="41">
        <f t="shared" si="606"/>
        <v>57</v>
      </c>
      <c r="AJ185" s="42">
        <f t="shared" si="607"/>
        <v>9.0240419475465683E-2</v>
      </c>
      <c r="AK185" s="41">
        <f t="shared" si="621"/>
        <v>10195</v>
      </c>
      <c r="AL185" s="42">
        <f t="shared" si="622"/>
        <v>0.10995759476459913</v>
      </c>
      <c r="AM185" s="1058"/>
      <c r="AN185" s="260">
        <v>7</v>
      </c>
      <c r="AO185" s="67">
        <v>24</v>
      </c>
      <c r="AP185" s="68">
        <f t="shared" si="608"/>
        <v>83.504400000000004</v>
      </c>
      <c r="AQ185" s="68">
        <f t="shared" si="609"/>
        <v>11.8232635585157</v>
      </c>
      <c r="AR185" s="258">
        <f t="shared" si="623"/>
        <v>9009.5283000000036</v>
      </c>
      <c r="AS185" s="68">
        <f t="shared" si="624"/>
        <v>8.4766081819075705</v>
      </c>
      <c r="AT185" s="1073"/>
      <c r="AU185" s="216">
        <v>3.3</v>
      </c>
      <c r="AV185" s="71">
        <v>12</v>
      </c>
      <c r="AW185" s="72">
        <f t="shared" si="610"/>
        <v>20.462508</v>
      </c>
      <c r="AX185" s="72">
        <f t="shared" si="611"/>
        <v>2.8972560146798965</v>
      </c>
      <c r="AY185" s="276">
        <f t="shared" si="595"/>
        <v>2774.5300620000003</v>
      </c>
      <c r="AZ185" s="72">
        <f t="shared" si="596"/>
        <v>2.6104146012280922</v>
      </c>
      <c r="BA185" s="1075"/>
      <c r="BB185" s="253">
        <f t="shared" si="532"/>
        <v>23381</v>
      </c>
      <c r="BC185" s="59"/>
      <c r="BD185" s="252">
        <v>23381</v>
      </c>
      <c r="BE185" s="57"/>
      <c r="BF185" s="58">
        <f t="shared" si="581"/>
        <v>86519</v>
      </c>
      <c r="BG185" s="58">
        <f t="shared" si="582"/>
        <v>81.401338546265592</v>
      </c>
      <c r="BH185" s="1133"/>
      <c r="BI185" s="63">
        <f t="shared" si="535"/>
        <v>1200</v>
      </c>
      <c r="BJ185" s="133"/>
      <c r="BK185" s="64">
        <v>1020</v>
      </c>
      <c r="BL185" s="64">
        <f t="shared" si="612"/>
        <v>180</v>
      </c>
      <c r="BM185" s="65">
        <f t="shared" si="613"/>
        <v>0.2849697457119969</v>
      </c>
      <c r="BN185" s="64">
        <f t="shared" si="625"/>
        <v>27712</v>
      </c>
      <c r="BO185" s="65">
        <f t="shared" si="626"/>
        <v>0.29888620560241008</v>
      </c>
      <c r="BP185" s="1071"/>
      <c r="BQ185" s="77">
        <f t="shared" si="540"/>
        <v>44568</v>
      </c>
      <c r="BR185" s="35"/>
      <c r="BS185" s="35">
        <f>34871+6000</f>
        <v>40871</v>
      </c>
      <c r="BT185" s="35">
        <f t="shared" si="614"/>
        <v>3697</v>
      </c>
      <c r="BU185" s="35">
        <f t="shared" si="579"/>
        <v>478196</v>
      </c>
      <c r="BV185" s="74">
        <f t="shared" si="580"/>
        <v>449.91036058518961</v>
      </c>
      <c r="BW185" s="1098"/>
      <c r="BX185" s="295">
        <f t="shared" si="544"/>
        <v>1650</v>
      </c>
      <c r="BY185" s="303"/>
      <c r="BZ185" s="296">
        <v>1650</v>
      </c>
      <c r="CA185" s="303"/>
      <c r="CB185" s="303"/>
      <c r="CC185" s="296">
        <f t="shared" si="627"/>
        <v>10850</v>
      </c>
      <c r="CD185" s="297">
        <f t="shared" si="628"/>
        <v>0.11702206014672883</v>
      </c>
      <c r="CE185" s="1061"/>
    </row>
    <row r="186" spans="1:84">
      <c r="A186" s="30">
        <v>43768</v>
      </c>
      <c r="B186" s="32">
        <v>657120</v>
      </c>
      <c r="C186" s="1">
        <f t="shared" si="388"/>
        <v>93374681</v>
      </c>
      <c r="D186" s="91">
        <v>7063.72</v>
      </c>
      <c r="E186" s="91">
        <f t="shared" si="615"/>
        <v>1069933.2199999995</v>
      </c>
      <c r="F186" s="243"/>
      <c r="G186" s="240"/>
      <c r="H186" s="240"/>
      <c r="I186" s="240"/>
      <c r="J186" s="280"/>
      <c r="K186" s="240">
        <f t="shared" si="616"/>
        <v>2651470</v>
      </c>
      <c r="L186" s="280">
        <f t="shared" si="617"/>
        <v>28.396027398476466</v>
      </c>
      <c r="M186" s="280">
        <f t="shared" si="618"/>
        <v>3.4769226641944981</v>
      </c>
      <c r="N186" s="1089"/>
      <c r="O186" s="1084"/>
      <c r="P186" s="35">
        <f t="shared" si="509"/>
        <v>24874</v>
      </c>
      <c r="Q186" s="98"/>
      <c r="R186" s="35">
        <v>19122</v>
      </c>
      <c r="S186" s="35">
        <f t="shared" si="602"/>
        <v>5752</v>
      </c>
      <c r="T186" s="36">
        <f t="shared" si="603"/>
        <v>8.7533479425371326</v>
      </c>
      <c r="U186" s="74">
        <f t="shared" si="587"/>
        <v>278006</v>
      </c>
      <c r="V186" s="36">
        <f t="shared" si="588"/>
        <v>2.9773167310740263</v>
      </c>
      <c r="W186" s="1136"/>
      <c r="X186" s="49">
        <f t="shared" si="514"/>
        <v>841</v>
      </c>
      <c r="Y186" s="248"/>
      <c r="Z186" s="50">
        <f>671+112</f>
        <v>783</v>
      </c>
      <c r="AA186" s="50">
        <f t="shared" si="604"/>
        <v>58</v>
      </c>
      <c r="AB186" s="51">
        <f t="shared" si="605"/>
        <v>8.8263939615290971E-2</v>
      </c>
      <c r="AC186" s="50">
        <f t="shared" si="619"/>
        <v>18811</v>
      </c>
      <c r="AD186" s="51">
        <f t="shared" si="620"/>
        <v>0.20145718088182812</v>
      </c>
      <c r="AE186" s="1047"/>
      <c r="AF186" s="40">
        <f t="shared" si="519"/>
        <v>471</v>
      </c>
      <c r="AG186" s="44"/>
      <c r="AH186" s="41">
        <v>433</v>
      </c>
      <c r="AI186" s="41">
        <f t="shared" si="606"/>
        <v>38</v>
      </c>
      <c r="AJ186" s="42">
        <f t="shared" si="607"/>
        <v>5.7828098368638912E-2</v>
      </c>
      <c r="AK186" s="41">
        <f t="shared" si="621"/>
        <v>10233</v>
      </c>
      <c r="AL186" s="42">
        <f t="shared" si="622"/>
        <v>0.10959073584412031</v>
      </c>
      <c r="AM186" s="1058"/>
      <c r="AN186" s="220">
        <v>7.3</v>
      </c>
      <c r="AO186" s="67">
        <v>24</v>
      </c>
      <c r="AP186" s="68">
        <f t="shared" si="608"/>
        <v>87.083159999999992</v>
      </c>
      <c r="AQ186" s="68">
        <f t="shared" si="609"/>
        <v>12.328229318262895</v>
      </c>
      <c r="AR186" s="258">
        <f t="shared" si="623"/>
        <v>9096.6114600000037</v>
      </c>
      <c r="AS186" s="68">
        <f t="shared" si="624"/>
        <v>8.5020366598207033</v>
      </c>
      <c r="AT186" s="1073"/>
      <c r="AU186" s="71">
        <v>3.3</v>
      </c>
      <c r="AV186" s="71">
        <v>12</v>
      </c>
      <c r="AW186" s="72">
        <f t="shared" si="610"/>
        <v>20.462508</v>
      </c>
      <c r="AX186" s="72">
        <f t="shared" si="611"/>
        <v>2.8968458545921973</v>
      </c>
      <c r="AY186" s="276">
        <f t="shared" si="595"/>
        <v>2794.9925700000003</v>
      </c>
      <c r="AZ186" s="72">
        <f t="shared" si="596"/>
        <v>2.6123056259529931</v>
      </c>
      <c r="BA186" s="1075"/>
      <c r="BB186" s="253">
        <f t="shared" si="532"/>
        <v>23381</v>
      </c>
      <c r="BC186" s="59"/>
      <c r="BD186" s="252">
        <v>23381</v>
      </c>
      <c r="BE186" s="57"/>
      <c r="BF186" s="58">
        <f t="shared" si="581"/>
        <v>86519</v>
      </c>
      <c r="BG186" s="58">
        <f t="shared" si="582"/>
        <v>80.863925320498083</v>
      </c>
      <c r="BH186" s="1133"/>
      <c r="BI186" s="63">
        <f t="shared" si="535"/>
        <v>1020</v>
      </c>
      <c r="BJ186" s="133"/>
      <c r="BK186" s="64">
        <v>840</v>
      </c>
      <c r="BL186" s="64">
        <f t="shared" si="612"/>
        <v>180</v>
      </c>
      <c r="BM186" s="65">
        <f t="shared" si="613"/>
        <v>0.27392257121986852</v>
      </c>
      <c r="BN186" s="64">
        <f t="shared" si="625"/>
        <v>27892</v>
      </c>
      <c r="BO186" s="65">
        <f t="shared" si="626"/>
        <v>0.29871052517973262</v>
      </c>
      <c r="BP186" s="1071"/>
      <c r="BQ186" s="77">
        <f t="shared" si="540"/>
        <v>40871</v>
      </c>
      <c r="BR186" s="35"/>
      <c r="BS186" s="35">
        <f>32099+6000</f>
        <v>38099</v>
      </c>
      <c r="BT186" s="35">
        <f t="shared" si="614"/>
        <v>2772</v>
      </c>
      <c r="BU186" s="35">
        <f t="shared" si="579"/>
        <v>480968</v>
      </c>
      <c r="BV186" s="74">
        <f t="shared" si="580"/>
        <v>449.53085950541868</v>
      </c>
      <c r="BW186" s="1098"/>
      <c r="BX186" s="295">
        <f t="shared" si="544"/>
        <v>1650</v>
      </c>
      <c r="BY186" s="303"/>
      <c r="BZ186" s="296">
        <v>1650</v>
      </c>
      <c r="CA186" s="303"/>
      <c r="CB186" s="303"/>
      <c r="CC186" s="296">
        <f t="shared" si="627"/>
        <v>10850</v>
      </c>
      <c r="CD186" s="297">
        <f t="shared" si="628"/>
        <v>0.11619852280941126</v>
      </c>
      <c r="CE186" s="1061"/>
    </row>
    <row r="187" spans="1:84" ht="15.75" thickBot="1">
      <c r="A187" s="30">
        <v>43769</v>
      </c>
      <c r="B187" s="109">
        <v>688310</v>
      </c>
      <c r="C187" s="1">
        <f t="shared" si="388"/>
        <v>94062991</v>
      </c>
      <c r="D187" s="91">
        <v>7064.72</v>
      </c>
      <c r="E187" s="91">
        <f t="shared" si="615"/>
        <v>1076997.9399999995</v>
      </c>
      <c r="F187" s="245"/>
      <c r="G187" s="324">
        <v>31380</v>
      </c>
      <c r="H187" s="231"/>
      <c r="I187" s="231">
        <f>F187-H187+G187</f>
        <v>31380</v>
      </c>
      <c r="J187" s="230">
        <f>I187*1000/B187</f>
        <v>45.589923145094509</v>
      </c>
      <c r="K187" s="231">
        <f t="shared" si="616"/>
        <v>2682850</v>
      </c>
      <c r="L187" s="230">
        <f t="shared" si="617"/>
        <v>28.521844473348715</v>
      </c>
      <c r="M187" s="230">
        <f t="shared" si="618"/>
        <v>3.4923282078301354</v>
      </c>
      <c r="N187" s="1090"/>
      <c r="O187" s="1085"/>
      <c r="P187" s="35">
        <f t="shared" si="509"/>
        <v>19122</v>
      </c>
      <c r="Q187" s="247"/>
      <c r="R187" s="76">
        <v>17094</v>
      </c>
      <c r="S187" s="35">
        <f t="shared" si="602"/>
        <v>2028</v>
      </c>
      <c r="T187" s="36">
        <f t="shared" si="603"/>
        <v>2.9463468495300082</v>
      </c>
      <c r="U187" s="74">
        <f t="shared" si="587"/>
        <v>280034</v>
      </c>
      <c r="V187" s="36">
        <f t="shared" si="588"/>
        <v>2.977090107627983</v>
      </c>
      <c r="W187" s="1137"/>
      <c r="X187" s="49">
        <f t="shared" si="514"/>
        <v>783</v>
      </c>
      <c r="Y187" s="250"/>
      <c r="Z187" s="82">
        <f>635+37</f>
        <v>672</v>
      </c>
      <c r="AA187" s="50">
        <f t="shared" si="604"/>
        <v>111</v>
      </c>
      <c r="AB187" s="51">
        <f t="shared" si="605"/>
        <v>0.16126454649794425</v>
      </c>
      <c r="AC187" s="50">
        <f t="shared" si="619"/>
        <v>18922</v>
      </c>
      <c r="AD187" s="51">
        <f t="shared" si="620"/>
        <v>0.20116306954347221</v>
      </c>
      <c r="AE187" s="1048"/>
      <c r="AF187" s="40">
        <f t="shared" si="519"/>
        <v>433</v>
      </c>
      <c r="AG187" s="45"/>
      <c r="AH187" s="96">
        <v>378</v>
      </c>
      <c r="AI187" s="41">
        <f t="shared" si="606"/>
        <v>55</v>
      </c>
      <c r="AJ187" s="42">
        <f t="shared" si="607"/>
        <v>7.9905856372855258E-2</v>
      </c>
      <c r="AK187" s="41">
        <f t="shared" si="621"/>
        <v>10288</v>
      </c>
      <c r="AL187" s="42">
        <f t="shared" si="622"/>
        <v>0.10937351545625421</v>
      </c>
      <c r="AM187" s="1059"/>
      <c r="AN187" s="215">
        <v>6.3</v>
      </c>
      <c r="AO187" s="67">
        <v>24</v>
      </c>
      <c r="AP187" s="68">
        <f t="shared" si="608"/>
        <v>75.153959999999998</v>
      </c>
      <c r="AQ187" s="68">
        <f t="shared" si="609"/>
        <v>10.637924786828068</v>
      </c>
      <c r="AR187" s="258">
        <f t="shared" si="623"/>
        <v>9171.7654200000034</v>
      </c>
      <c r="AS187" s="68">
        <f t="shared" si="624"/>
        <v>8.5160473194591333</v>
      </c>
      <c r="AT187" s="1074"/>
      <c r="AU187" s="71">
        <v>3.3</v>
      </c>
      <c r="AV187" s="71">
        <v>12</v>
      </c>
      <c r="AW187" s="72">
        <f t="shared" si="610"/>
        <v>20.462508</v>
      </c>
      <c r="AX187" s="72">
        <f t="shared" si="611"/>
        <v>2.8964358106195287</v>
      </c>
      <c r="AY187" s="276">
        <f t="shared" si="595"/>
        <v>2815.4550780000004</v>
      </c>
      <c r="AZ187" s="72">
        <f t="shared" si="596"/>
        <v>2.6141694180027879</v>
      </c>
      <c r="BA187" s="1075"/>
      <c r="BB187" s="253">
        <f t="shared" si="532"/>
        <v>23381</v>
      </c>
      <c r="BC187" s="100"/>
      <c r="BD187" s="88">
        <v>20464</v>
      </c>
      <c r="BE187" s="57">
        <f>BB187-BD187+BC187</f>
        <v>2917</v>
      </c>
      <c r="BF187" s="58">
        <f t="shared" si="581"/>
        <v>89436</v>
      </c>
      <c r="BG187" s="58">
        <f t="shared" si="582"/>
        <v>83.041941565830712</v>
      </c>
      <c r="BH187" s="1134"/>
      <c r="BI187" s="63">
        <f t="shared" si="535"/>
        <v>840</v>
      </c>
      <c r="BJ187" s="85">
        <v>1100</v>
      </c>
      <c r="BK187" s="85">
        <v>1776</v>
      </c>
      <c r="BL187" s="64">
        <f t="shared" si="612"/>
        <v>164</v>
      </c>
      <c r="BM187" s="65">
        <f t="shared" si="613"/>
        <v>0.23826473536633203</v>
      </c>
      <c r="BN187" s="64">
        <f t="shared" si="625"/>
        <v>28056</v>
      </c>
      <c r="BO187" s="65">
        <f t="shared" si="626"/>
        <v>0.29826821050162011</v>
      </c>
      <c r="BP187" s="1072"/>
      <c r="BQ187" s="77">
        <f t="shared" si="540"/>
        <v>38099</v>
      </c>
      <c r="BR187" s="76"/>
      <c r="BS187" s="76">
        <f>29326+6000</f>
        <v>35326</v>
      </c>
      <c r="BT187" s="35">
        <f t="shared" si="614"/>
        <v>2773</v>
      </c>
      <c r="BU187" s="35">
        <f t="shared" si="579"/>
        <v>483741</v>
      </c>
      <c r="BV187" s="74">
        <f t="shared" si="580"/>
        <v>449.15684796945874</v>
      </c>
      <c r="BW187" s="1099"/>
      <c r="BX187" s="295">
        <f t="shared" si="544"/>
        <v>1650</v>
      </c>
      <c r="BY187" s="306"/>
      <c r="BZ187" s="296">
        <v>1650</v>
      </c>
      <c r="CA187" s="306"/>
      <c r="CB187" s="300"/>
      <c r="CC187" s="296">
        <f t="shared" si="627"/>
        <v>10850</v>
      </c>
      <c r="CD187" s="297">
        <f t="shared" si="628"/>
        <v>0.11534823509917944</v>
      </c>
      <c r="CE187" s="1062"/>
    </row>
    <row r="188" spans="1:84">
      <c r="A188" s="30">
        <v>43770</v>
      </c>
      <c r="B188" s="264">
        <v>670464</v>
      </c>
      <c r="C188" s="206">
        <f t="shared" si="388"/>
        <v>94733455</v>
      </c>
      <c r="D188" s="326">
        <v>6691.98</v>
      </c>
      <c r="E188" s="205">
        <f t="shared" si="615"/>
        <v>1083689.9199999995</v>
      </c>
      <c r="F188" s="240"/>
      <c r="G188" s="271"/>
      <c r="H188" s="108"/>
      <c r="I188" s="271"/>
      <c r="J188" s="271"/>
      <c r="K188" s="240">
        <f t="shared" si="616"/>
        <v>2682850</v>
      </c>
      <c r="L188" s="280">
        <f t="shared" si="617"/>
        <v>28.319984740343315</v>
      </c>
      <c r="M188" s="280">
        <f t="shared" si="618"/>
        <v>3.4676116983400656</v>
      </c>
      <c r="N188" s="1052">
        <f>1000*SUM(I188:I217)/SUM(B188:B217)</f>
        <v>46.008697797126061</v>
      </c>
      <c r="O188" s="1083">
        <f>N188/8.167</f>
        <v>5.6334881593150561</v>
      </c>
      <c r="P188" s="117">
        <f>R187</f>
        <v>17094</v>
      </c>
      <c r="Q188" s="118"/>
      <c r="R188" s="118">
        <v>14382</v>
      </c>
      <c r="S188" s="118">
        <f t="shared" si="602"/>
        <v>2712</v>
      </c>
      <c r="T188" s="119">
        <f t="shared" si="603"/>
        <v>4.0449599083619701</v>
      </c>
      <c r="U188" s="120">
        <f t="shared" si="587"/>
        <v>282746</v>
      </c>
      <c r="V188" s="119">
        <f t="shared" si="588"/>
        <v>2.9846478205613844</v>
      </c>
      <c r="W188" s="1178">
        <f>1000*SUM(S188:S217)/SUM(B188:B217)</f>
        <v>2.1388254439399854</v>
      </c>
      <c r="X188" s="121">
        <f>Z187</f>
        <v>672</v>
      </c>
      <c r="Y188" s="122"/>
      <c r="Z188" s="122">
        <f>528+37</f>
        <v>565</v>
      </c>
      <c r="AA188" s="122">
        <f t="shared" si="604"/>
        <v>107</v>
      </c>
      <c r="AB188" s="123">
        <f t="shared" si="605"/>
        <v>0.15959096983581519</v>
      </c>
      <c r="AC188" s="122">
        <f t="shared" si="619"/>
        <v>19029</v>
      </c>
      <c r="AD188" s="123">
        <f t="shared" si="620"/>
        <v>0.20086884828596191</v>
      </c>
      <c r="AE188" s="1049">
        <f>1000*SUM(AA188:AA217)/SUM(B188:B217)</f>
        <v>0.10045364120266076</v>
      </c>
      <c r="AF188" s="124">
        <f>AH187</f>
        <v>378</v>
      </c>
      <c r="AG188" s="125"/>
      <c r="AH188" s="125">
        <v>342</v>
      </c>
      <c r="AI188" s="125">
        <f t="shared" si="606"/>
        <v>36</v>
      </c>
      <c r="AJ188" s="126">
        <f t="shared" si="607"/>
        <v>5.3694158075601371E-2</v>
      </c>
      <c r="AK188" s="125">
        <f t="shared" si="621"/>
        <v>10324</v>
      </c>
      <c r="AL188" s="126">
        <f t="shared" si="622"/>
        <v>0.10897945187368074</v>
      </c>
      <c r="AM188" s="1057">
        <f>1000*SUM(AI188:AI217)/SUM(B188:B217)</f>
        <v>6.9945498318889715E-2</v>
      </c>
      <c r="AN188" s="219">
        <v>7.3</v>
      </c>
      <c r="AO188" s="135">
        <v>24</v>
      </c>
      <c r="AP188" s="102">
        <f t="shared" si="608"/>
        <v>87.083159999999992</v>
      </c>
      <c r="AQ188" s="102">
        <f t="shared" si="609"/>
        <v>13.013063398276742</v>
      </c>
      <c r="AR188" s="257">
        <f t="shared" si="623"/>
        <v>9258.8485800000035</v>
      </c>
      <c r="AS188" s="102">
        <f t="shared" si="624"/>
        <v>8.543817201880044</v>
      </c>
      <c r="AT188" s="1117">
        <f>1000*SUM(AP188:AP217)/SUM(D188:D217)</f>
        <v>13.169284106584414</v>
      </c>
      <c r="AU188" s="277">
        <v>3.2</v>
      </c>
      <c r="AV188" s="137">
        <v>12</v>
      </c>
      <c r="AW188" s="138">
        <f>AU188*AV188*0.51673</f>
        <v>19.842432000000002</v>
      </c>
      <c r="AX188" s="138">
        <f>AW188*1000/D188</f>
        <v>2.9651062914115109</v>
      </c>
      <c r="AY188" s="278">
        <f>AY187+AW188</f>
        <v>2835.2975100000003</v>
      </c>
      <c r="AZ188" s="138">
        <f>AY188*1000/E188</f>
        <v>2.6163365162610366</v>
      </c>
      <c r="BA188" s="1173">
        <f>1000*SUM(AW188:AW217)/SUM(D188:D217)</f>
        <v>3.0246903089042081</v>
      </c>
      <c r="BB188" s="127">
        <f>BD187</f>
        <v>20464</v>
      </c>
      <c r="BC188" s="129"/>
      <c r="BD188" s="251">
        <v>20464</v>
      </c>
      <c r="BE188" s="129"/>
      <c r="BF188" s="129">
        <f>BF187+BE188</f>
        <v>89436</v>
      </c>
      <c r="BG188" s="130">
        <f>BF188*1000/E188</f>
        <v>82.529142653647682</v>
      </c>
      <c r="BH188" s="1139">
        <f>1000*SUM(BE188:BE217)/SUM(D188:D217)</f>
        <v>26.434983590028232</v>
      </c>
      <c r="BI188" s="131">
        <f>BK187</f>
        <v>1776</v>
      </c>
      <c r="BJ188" s="132"/>
      <c r="BK188" s="132">
        <v>1632</v>
      </c>
      <c r="BL188" s="132">
        <f t="shared" si="612"/>
        <v>144</v>
      </c>
      <c r="BM188" s="134">
        <f t="shared" si="613"/>
        <v>0.21477663230240548</v>
      </c>
      <c r="BN188" s="132">
        <f t="shared" si="625"/>
        <v>28200</v>
      </c>
      <c r="BO188" s="134">
        <f t="shared" si="626"/>
        <v>0.29767730945736121</v>
      </c>
      <c r="BP188" s="1067">
        <f>1000*SUM(BL188:BL217)/SUM(B188:B217)</f>
        <v>0.22509056639855465</v>
      </c>
      <c r="BQ188" s="117">
        <f>BS187</f>
        <v>35326</v>
      </c>
      <c r="BR188" s="118"/>
      <c r="BS188" s="118">
        <f>25629+6000</f>
        <v>31629</v>
      </c>
      <c r="BT188" s="118">
        <f t="shared" si="614"/>
        <v>3697</v>
      </c>
      <c r="BU188" s="118">
        <f t="shared" si="579"/>
        <v>487438</v>
      </c>
      <c r="BV188" s="120">
        <f t="shared" si="580"/>
        <v>449.79471618597341</v>
      </c>
      <c r="BW188" s="1175">
        <f>1000*SUM(BT188:BT217)/SUM(D188:D217)</f>
        <v>374.31731376750889</v>
      </c>
      <c r="BX188" s="301">
        <f>BZ187</f>
        <v>1650</v>
      </c>
      <c r="BY188" s="302"/>
      <c r="BZ188" s="302">
        <v>1650</v>
      </c>
      <c r="CA188" s="302"/>
      <c r="CB188" s="304"/>
      <c r="CC188" s="302">
        <f t="shared" si="627"/>
        <v>10850</v>
      </c>
      <c r="CD188" s="304">
        <f t="shared" si="628"/>
        <v>0.11453187261036769</v>
      </c>
      <c r="CE188" s="1176">
        <f>1000*SUM(CA188:CA217)/SUM(B188:B217)</f>
        <v>6.0458209983082864E-2</v>
      </c>
      <c r="CF188" s="33"/>
    </row>
    <row r="189" spans="1:84">
      <c r="A189" s="30">
        <v>43771</v>
      </c>
      <c r="B189" s="32">
        <v>669179</v>
      </c>
      <c r="C189" s="1">
        <f t="shared" si="388"/>
        <v>95402634</v>
      </c>
      <c r="D189" s="91">
        <v>6921.25</v>
      </c>
      <c r="E189" s="93">
        <f t="shared" si="615"/>
        <v>1090611.1699999995</v>
      </c>
      <c r="F189" s="108"/>
      <c r="G189" s="340">
        <v>31240</v>
      </c>
      <c r="H189" s="108"/>
      <c r="I189" s="271">
        <f>F189-H189+G189</f>
        <v>31240</v>
      </c>
      <c r="J189" s="280">
        <f>I189*1000/B189</f>
        <v>46.684071078142019</v>
      </c>
      <c r="K189" s="240">
        <f t="shared" si="616"/>
        <v>2714090</v>
      </c>
      <c r="L189" s="280">
        <f t="shared" si="617"/>
        <v>28.448795239762457</v>
      </c>
      <c r="M189" s="280">
        <f t="shared" si="618"/>
        <v>3.4833837687966764</v>
      </c>
      <c r="N189" s="1089"/>
      <c r="O189" s="1084"/>
      <c r="P189" s="77">
        <f>R188</f>
        <v>14382</v>
      </c>
      <c r="Q189" s="35">
        <v>37480</v>
      </c>
      <c r="R189" s="35">
        <v>46523</v>
      </c>
      <c r="S189" s="35">
        <f t="shared" si="602"/>
        <v>5339</v>
      </c>
      <c r="T189" s="36">
        <f t="shared" si="603"/>
        <v>7.9784332742061537</v>
      </c>
      <c r="U189" s="74">
        <f t="shared" si="587"/>
        <v>288085</v>
      </c>
      <c r="V189" s="36">
        <f t="shared" si="588"/>
        <v>3.0196755364217722</v>
      </c>
      <c r="W189" s="1179"/>
      <c r="X189" s="49">
        <f>Z188</f>
        <v>565</v>
      </c>
      <c r="Y189" s="50"/>
      <c r="Z189" s="50">
        <f>493+72</f>
        <v>565</v>
      </c>
      <c r="AA189" s="50"/>
      <c r="AB189" s="51"/>
      <c r="AC189" s="50">
        <f t="shared" si="619"/>
        <v>19029</v>
      </c>
      <c r="AD189" s="51">
        <f t="shared" si="620"/>
        <v>0.19945990170460073</v>
      </c>
      <c r="AE189" s="1050"/>
      <c r="AF189" s="40">
        <f>AH188</f>
        <v>342</v>
      </c>
      <c r="AG189" s="41"/>
      <c r="AH189" s="41">
        <v>290</v>
      </c>
      <c r="AI189" s="41">
        <f t="shared" si="606"/>
        <v>52</v>
      </c>
      <c r="AJ189" s="42">
        <f t="shared" si="607"/>
        <v>7.7707160565409258E-2</v>
      </c>
      <c r="AK189" s="41">
        <f t="shared" si="621"/>
        <v>10376</v>
      </c>
      <c r="AL189" s="42">
        <f t="shared" si="622"/>
        <v>0.10876009985216969</v>
      </c>
      <c r="AM189" s="1058"/>
      <c r="AN189" s="220">
        <v>7.2</v>
      </c>
      <c r="AO189" s="67">
        <v>24</v>
      </c>
      <c r="AP189" s="68">
        <f t="shared" si="608"/>
        <v>85.890240000000006</v>
      </c>
      <c r="AQ189" s="68">
        <f t="shared" si="609"/>
        <v>12.40964276684125</v>
      </c>
      <c r="AR189" s="258">
        <f t="shared" si="623"/>
        <v>9344.7388200000041</v>
      </c>
      <c r="AS189" s="68">
        <f t="shared" si="624"/>
        <v>8.5683505515535927</v>
      </c>
      <c r="AT189" s="1118"/>
      <c r="AU189" s="70">
        <v>3.2</v>
      </c>
      <c r="AV189" s="71">
        <v>12</v>
      </c>
      <c r="AW189" s="72">
        <f>AU189*AV189*0.51673</f>
        <v>19.842432000000002</v>
      </c>
      <c r="AX189" s="72">
        <f>AW189*1000/D189</f>
        <v>2.8668856059237857</v>
      </c>
      <c r="AY189" s="276">
        <f>AY188+AW189</f>
        <v>2855.1399420000002</v>
      </c>
      <c r="AZ189" s="72">
        <f>AY189*1000/E189</f>
        <v>2.6179265539706527</v>
      </c>
      <c r="BA189" s="1174"/>
      <c r="BB189" s="253">
        <f>BD188</f>
        <v>20464</v>
      </c>
      <c r="BC189" s="56"/>
      <c r="BD189" s="252">
        <v>20464</v>
      </c>
      <c r="BE189" s="56"/>
      <c r="BF189" s="56">
        <f>BF188+BE189</f>
        <v>89436</v>
      </c>
      <c r="BG189" s="58">
        <f>BF189*1000/E189</f>
        <v>82.005395195063002</v>
      </c>
      <c r="BH189" s="1140"/>
      <c r="BI189" s="63">
        <f>BK188</f>
        <v>1632</v>
      </c>
      <c r="BJ189" s="64"/>
      <c r="BK189" s="64">
        <v>1440</v>
      </c>
      <c r="BL189" s="64">
        <f t="shared" si="612"/>
        <v>192</v>
      </c>
      <c r="BM189" s="65">
        <f t="shared" si="613"/>
        <v>0.28691874670304957</v>
      </c>
      <c r="BN189" s="64">
        <f t="shared" si="625"/>
        <v>28392</v>
      </c>
      <c r="BO189" s="65">
        <f t="shared" si="626"/>
        <v>0.29760184608739421</v>
      </c>
      <c r="BP189" s="1071"/>
      <c r="BQ189" s="77">
        <f>BS188</f>
        <v>31629</v>
      </c>
      <c r="BR189" s="35"/>
      <c r="BS189" s="35">
        <f>25629+6000</f>
        <v>31629</v>
      </c>
      <c r="BT189" s="35"/>
      <c r="BU189" s="35">
        <f t="shared" si="579"/>
        <v>487438</v>
      </c>
      <c r="BV189" s="74">
        <f t="shared" si="580"/>
        <v>446.94022343453554</v>
      </c>
      <c r="BW189" s="1143"/>
      <c r="BX189" s="295">
        <f>BZ188</f>
        <v>1650</v>
      </c>
      <c r="BY189" s="296"/>
      <c r="BZ189" s="296">
        <v>1650</v>
      </c>
      <c r="CA189" s="296"/>
      <c r="CB189" s="297"/>
      <c r="CC189" s="296">
        <f t="shared" si="627"/>
        <v>10850</v>
      </c>
      <c r="CD189" s="297">
        <f t="shared" si="628"/>
        <v>0.11372851613300321</v>
      </c>
      <c r="CE189" s="1177"/>
      <c r="CF189" s="33"/>
    </row>
    <row r="190" spans="1:84">
      <c r="A190" s="30">
        <v>43772</v>
      </c>
      <c r="B190" s="32">
        <v>671167</v>
      </c>
      <c r="C190" s="1">
        <f t="shared" si="388"/>
        <v>96073801</v>
      </c>
      <c r="D190" s="91">
        <v>6512.08</v>
      </c>
      <c r="E190" s="93">
        <f t="shared" si="615"/>
        <v>1097123.2499999995</v>
      </c>
      <c r="F190" s="108"/>
      <c r="G190" s="340">
        <v>31360</v>
      </c>
      <c r="H190" s="108"/>
      <c r="I190" s="271">
        <f t="shared" ref="I190:I207" si="629">F190-H190+G190</f>
        <v>31360</v>
      </c>
      <c r="J190" s="280">
        <f t="shared" ref="J190:J207" si="630">I190*1000/B190</f>
        <v>46.724585684337875</v>
      </c>
      <c r="K190" s="240">
        <f t="shared" ref="K190:K207" si="631">K189+I190</f>
        <v>2745450</v>
      </c>
      <c r="L190" s="280">
        <f t="shared" ref="L190:L207" si="632">K190*1000/C190</f>
        <v>28.576469041752599</v>
      </c>
      <c r="M190" s="280">
        <f t="shared" ref="M190:M207" si="633">L190/8.167</f>
        <v>3.4990166574938901</v>
      </c>
      <c r="N190" s="1089"/>
      <c r="O190" s="1084"/>
      <c r="P190" s="77">
        <f t="shared" ref="P190:P217" si="634">R189</f>
        <v>46523</v>
      </c>
      <c r="Q190" s="98"/>
      <c r="R190" s="35">
        <v>45776</v>
      </c>
      <c r="S190" s="35">
        <f t="shared" ref="S190:S206" si="635">P190+Q190-R190</f>
        <v>747</v>
      </c>
      <c r="T190" s="36">
        <f t="shared" ref="T190:T206" si="636">1000*S190/B190</f>
        <v>1.1129867827232269</v>
      </c>
      <c r="U190" s="74">
        <f t="shared" ref="U190:U206" si="637">U189+S190</f>
        <v>288832</v>
      </c>
      <c r="V190" s="36">
        <f t="shared" ref="V190:V206" si="638">1000*U190/C190</f>
        <v>3.0063554995601764</v>
      </c>
      <c r="W190" s="1179"/>
      <c r="X190" s="49">
        <f t="shared" ref="X190:X217" si="639">Z189</f>
        <v>565</v>
      </c>
      <c r="Y190" s="50"/>
      <c r="Z190" s="50">
        <f>407+158</f>
        <v>565</v>
      </c>
      <c r="AA190" s="50"/>
      <c r="AB190" s="51"/>
      <c r="AC190" s="50">
        <f t="shared" ref="AC190:AC207" si="640">AC189+AA190</f>
        <v>19029</v>
      </c>
      <c r="AD190" s="51">
        <f t="shared" ref="AD190:AD207" si="641">AC190*1000/C190</f>
        <v>0.1980664843269811</v>
      </c>
      <c r="AE190" s="1050"/>
      <c r="AF190" s="40">
        <f t="shared" ref="AF190:AF217" si="642">AH189</f>
        <v>290</v>
      </c>
      <c r="AG190" s="41"/>
      <c r="AH190" s="41">
        <v>224</v>
      </c>
      <c r="AI190" s="41">
        <f t="shared" ref="AI190:AI207" si="643">AF190+AG190-AH190</f>
        <v>66</v>
      </c>
      <c r="AJ190" s="42">
        <f t="shared" ref="AJ190:AJ207" si="644">AI190*1000/B190</f>
        <v>9.8336181606068232E-2</v>
      </c>
      <c r="AK190" s="41">
        <f t="shared" ref="AK190:AK207" si="645">AK189+AI190</f>
        <v>10442</v>
      </c>
      <c r="AL190" s="42">
        <f t="shared" ref="AL190:AL207" si="646">AK190*1000/C190</f>
        <v>0.10868727885555397</v>
      </c>
      <c r="AM190" s="1058"/>
      <c r="AN190" s="220">
        <v>8.3000000000000007</v>
      </c>
      <c r="AO190" s="67">
        <v>24</v>
      </c>
      <c r="AP190" s="68">
        <f t="shared" ref="AP190:AP206" si="647">AN190*AO190*0.49705</f>
        <v>99.012360000000001</v>
      </c>
      <c r="AQ190" s="68">
        <f t="shared" ref="AQ190:AQ206" si="648">AP190*1000/D190</f>
        <v>15.204413950688567</v>
      </c>
      <c r="AR190" s="258">
        <f t="shared" ref="AR190:AR206" si="649">AR189+AP190</f>
        <v>9443.7511800000048</v>
      </c>
      <c r="AS190" s="68">
        <f t="shared" ref="AS190:AS207" si="650">AR190*1000/E190</f>
        <v>8.6077395406578159</v>
      </c>
      <c r="AT190" s="1118"/>
      <c r="AU190" s="70">
        <v>3.3</v>
      </c>
      <c r="AV190" s="71">
        <v>12</v>
      </c>
      <c r="AW190" s="72">
        <f>AU190*AV190*0.51673</f>
        <v>20.462508</v>
      </c>
      <c r="AX190" s="72">
        <f>AW190*1000/D190</f>
        <v>3.1422384245893782</v>
      </c>
      <c r="AY190" s="276">
        <f>AY189+AW190</f>
        <v>2875.6024500000003</v>
      </c>
      <c r="AZ190" s="72">
        <f>AY190*1000/E190</f>
        <v>2.6210386572338171</v>
      </c>
      <c r="BA190" s="1174"/>
      <c r="BB190" s="253">
        <f t="shared" ref="BB190:BB217" si="651">BD189</f>
        <v>20464</v>
      </c>
      <c r="BC190" s="56"/>
      <c r="BD190" s="252">
        <v>20464</v>
      </c>
      <c r="BE190" s="56"/>
      <c r="BF190" s="56">
        <f t="shared" ref="BF190:BF207" si="652">BF189+BE190</f>
        <v>89436</v>
      </c>
      <c r="BG190" s="58">
        <f t="shared" ref="BG190:BG207" si="653">BF190*1000/E190</f>
        <v>81.518644327335181</v>
      </c>
      <c r="BH190" s="1140"/>
      <c r="BI190" s="63">
        <f t="shared" ref="BI190:BI217" si="654">BK189</f>
        <v>1440</v>
      </c>
      <c r="BJ190" s="64"/>
      <c r="BK190" s="64">
        <v>1320</v>
      </c>
      <c r="BL190" s="64">
        <f t="shared" ref="BL190:BL207" si="655">BI190-BK190+BJ190</f>
        <v>120</v>
      </c>
      <c r="BM190" s="65">
        <f t="shared" ref="BM190:BM207" si="656">BL190*1000/B190</f>
        <v>0.17879305746557861</v>
      </c>
      <c r="BN190" s="64">
        <f t="shared" ref="BN190:BN207" si="657">BN189+BL190</f>
        <v>28512</v>
      </c>
      <c r="BO190" s="65">
        <f t="shared" ref="BO190:BO207" si="658">BN190*1000/C190</f>
        <v>0.29677185354621288</v>
      </c>
      <c r="BP190" s="1071"/>
      <c r="BQ190" s="77">
        <f t="shared" ref="BQ190:BQ217" si="659">BS189</f>
        <v>31629</v>
      </c>
      <c r="BR190" s="98"/>
      <c r="BS190" s="35">
        <f>22857+6000</f>
        <v>28857</v>
      </c>
      <c r="BT190" s="35">
        <f>BQ190-BS190+BR190</f>
        <v>2772</v>
      </c>
      <c r="BU190" s="35">
        <f t="shared" ref="BU190:BU207" si="660">BU189+BT190</f>
        <v>490210</v>
      </c>
      <c r="BV190" s="74">
        <f t="shared" ref="BV190:BV207" si="661">BU190*1000/E190</f>
        <v>446.81397463776307</v>
      </c>
      <c r="BW190" s="1143"/>
      <c r="BX190" s="295">
        <f t="shared" ref="BX190:BX217" si="662">BZ189</f>
        <v>1650</v>
      </c>
      <c r="BY190" s="296"/>
      <c r="BZ190" s="296">
        <v>1650</v>
      </c>
      <c r="CA190" s="296"/>
      <c r="CB190" s="297"/>
      <c r="CC190" s="296">
        <f t="shared" ref="CC190:CC207" si="663">CC189+CA190</f>
        <v>10850</v>
      </c>
      <c r="CD190" s="297">
        <f t="shared" ref="CD190:CD207" si="664">CC190*1000/C190</f>
        <v>0.11293401413357217</v>
      </c>
      <c r="CE190" s="1177"/>
      <c r="CF190" s="33"/>
    </row>
    <row r="191" spans="1:84">
      <c r="A191" s="30">
        <v>43773</v>
      </c>
      <c r="B191" s="32">
        <v>539804</v>
      </c>
      <c r="C191" s="1">
        <f t="shared" si="388"/>
        <v>96613605</v>
      </c>
      <c r="D191" s="91">
        <v>5298.76</v>
      </c>
      <c r="E191" s="93">
        <f t="shared" si="615"/>
        <v>1102422.0099999995</v>
      </c>
      <c r="F191" s="108"/>
      <c r="G191" s="340"/>
      <c r="H191" s="108"/>
      <c r="I191" s="271"/>
      <c r="J191" s="280"/>
      <c r="K191" s="240">
        <f t="shared" si="631"/>
        <v>2745450</v>
      </c>
      <c r="L191" s="280">
        <f t="shared" si="632"/>
        <v>28.416805272921966</v>
      </c>
      <c r="M191" s="280">
        <f t="shared" si="633"/>
        <v>3.4794667898765725</v>
      </c>
      <c r="N191" s="1089"/>
      <c r="O191" s="1084"/>
      <c r="P191" s="77">
        <f t="shared" si="634"/>
        <v>45776</v>
      </c>
      <c r="Q191" s="98"/>
      <c r="R191" s="35">
        <v>42211</v>
      </c>
      <c r="S191" s="35">
        <f t="shared" si="635"/>
        <v>3565</v>
      </c>
      <c r="T191" s="36">
        <f t="shared" si="636"/>
        <v>6.6042489496187509</v>
      </c>
      <c r="U191" s="74">
        <f t="shared" si="637"/>
        <v>292397</v>
      </c>
      <c r="V191" s="36">
        <f t="shared" si="638"/>
        <v>3.0264578161636759</v>
      </c>
      <c r="W191" s="1179"/>
      <c r="X191" s="49">
        <f t="shared" si="639"/>
        <v>565</v>
      </c>
      <c r="Y191" s="50">
        <v>900</v>
      </c>
      <c r="Z191" s="50">
        <f>1254+100</f>
        <v>1354</v>
      </c>
      <c r="AA191" s="50">
        <f t="shared" ref="AA191:AA207" si="665">X191-Z191+Y191</f>
        <v>111</v>
      </c>
      <c r="AB191" s="51">
        <f t="shared" ref="AB191:AB207" si="666">AA191*1000/B191</f>
        <v>0.20563019169920935</v>
      </c>
      <c r="AC191" s="50">
        <f t="shared" si="640"/>
        <v>19140</v>
      </c>
      <c r="AD191" s="51">
        <f t="shared" si="641"/>
        <v>0.19810874462245767</v>
      </c>
      <c r="AE191" s="1050"/>
      <c r="AF191" s="40">
        <f t="shared" si="642"/>
        <v>224</v>
      </c>
      <c r="AG191" s="41">
        <v>1000</v>
      </c>
      <c r="AH191" s="41">
        <v>1174</v>
      </c>
      <c r="AI191" s="41">
        <f t="shared" si="643"/>
        <v>50</v>
      </c>
      <c r="AJ191" s="42">
        <f t="shared" si="644"/>
        <v>9.2626212477121328E-2</v>
      </c>
      <c r="AK191" s="41">
        <f t="shared" si="645"/>
        <v>10492</v>
      </c>
      <c r="AL191" s="42">
        <f t="shared" si="646"/>
        <v>0.10859754172303165</v>
      </c>
      <c r="AM191" s="1058"/>
      <c r="AN191" s="220">
        <v>6.3</v>
      </c>
      <c r="AO191" s="67">
        <v>24</v>
      </c>
      <c r="AP191" s="68">
        <f t="shared" si="647"/>
        <v>75.153959999999998</v>
      </c>
      <c r="AQ191" s="68">
        <f t="shared" si="648"/>
        <v>14.183310812340999</v>
      </c>
      <c r="AR191" s="258">
        <f t="shared" si="649"/>
        <v>9518.9051400000044</v>
      </c>
      <c r="AS191" s="68">
        <f t="shared" si="650"/>
        <v>8.6345383652127996</v>
      </c>
      <c r="AT191" s="1118"/>
      <c r="AU191" s="70">
        <v>2.5</v>
      </c>
      <c r="AV191" s="71">
        <v>12</v>
      </c>
      <c r="AW191" s="72">
        <f t="shared" ref="AW191:AW206" si="667">AU191*AV191*0.51673</f>
        <v>15.501900000000001</v>
      </c>
      <c r="AX191" s="72">
        <f t="shared" ref="AX191:AX206" si="668">AW191*1000/D191</f>
        <v>2.9255712657300954</v>
      </c>
      <c r="AY191" s="276">
        <f t="shared" ref="AY191:AY206" si="669">AY190+AW191</f>
        <v>2891.1043500000005</v>
      </c>
      <c r="AZ191" s="72">
        <f t="shared" ref="AZ191:AZ206" si="670">AY191*1000/E191</f>
        <v>2.6225023845450997</v>
      </c>
      <c r="BA191" s="1174"/>
      <c r="BB191" s="253">
        <f t="shared" si="651"/>
        <v>20464</v>
      </c>
      <c r="BC191" s="56"/>
      <c r="BD191" s="252">
        <v>20464</v>
      </c>
      <c r="BE191" s="56"/>
      <c r="BF191" s="56">
        <f t="shared" si="652"/>
        <v>89436</v>
      </c>
      <c r="BG191" s="58">
        <f t="shared" si="653"/>
        <v>81.126827284589538</v>
      </c>
      <c r="BH191" s="1140"/>
      <c r="BI191" s="63">
        <f t="shared" si="654"/>
        <v>1320</v>
      </c>
      <c r="BJ191" s="64"/>
      <c r="BK191" s="64">
        <v>1140</v>
      </c>
      <c r="BL191" s="64">
        <f t="shared" si="655"/>
        <v>180</v>
      </c>
      <c r="BM191" s="65">
        <f t="shared" si="656"/>
        <v>0.33345436491763675</v>
      </c>
      <c r="BN191" s="64">
        <f t="shared" si="657"/>
        <v>28692</v>
      </c>
      <c r="BO191" s="65">
        <f t="shared" si="658"/>
        <v>0.29697680776946478</v>
      </c>
      <c r="BP191" s="1071"/>
      <c r="BQ191" s="77">
        <f t="shared" si="659"/>
        <v>28857</v>
      </c>
      <c r="BR191" s="98"/>
      <c r="BS191" s="35">
        <f>21008+6000</f>
        <v>27008</v>
      </c>
      <c r="BT191" s="35">
        <f>BQ191-BS191+BR191</f>
        <v>1849</v>
      </c>
      <c r="BU191" s="35">
        <f t="shared" si="660"/>
        <v>492059</v>
      </c>
      <c r="BV191" s="74">
        <f t="shared" si="661"/>
        <v>446.34359214217812</v>
      </c>
      <c r="BW191" s="1143"/>
      <c r="BX191" s="295">
        <f t="shared" si="662"/>
        <v>1650</v>
      </c>
      <c r="BY191" s="296"/>
      <c r="BZ191" s="296">
        <v>1650</v>
      </c>
      <c r="CA191" s="296"/>
      <c r="CB191" s="297"/>
      <c r="CC191" s="296">
        <f t="shared" si="663"/>
        <v>10850</v>
      </c>
      <c r="CD191" s="297">
        <f t="shared" si="664"/>
        <v>0.11230302398921974</v>
      </c>
      <c r="CE191" s="1177"/>
      <c r="CF191" s="33"/>
    </row>
    <row r="192" spans="1:84">
      <c r="A192" s="30">
        <v>43774</v>
      </c>
      <c r="B192" s="32">
        <v>605219</v>
      </c>
      <c r="C192" s="1">
        <f t="shared" si="388"/>
        <v>97218824</v>
      </c>
      <c r="D192" s="91">
        <v>4519.6000000000004</v>
      </c>
      <c r="E192" s="93">
        <f t="shared" si="615"/>
        <v>1106941.6099999996</v>
      </c>
      <c r="F192" s="108"/>
      <c r="G192" s="340">
        <v>32580</v>
      </c>
      <c r="H192" s="108">
        <v>22000</v>
      </c>
      <c r="I192" s="271">
        <f t="shared" si="629"/>
        <v>10580</v>
      </c>
      <c r="J192" s="280">
        <f t="shared" si="630"/>
        <v>17.481275373046781</v>
      </c>
      <c r="K192" s="240">
        <f t="shared" si="631"/>
        <v>2756030</v>
      </c>
      <c r="L192" s="280">
        <f t="shared" si="632"/>
        <v>28.348728019997445</v>
      </c>
      <c r="M192" s="280">
        <f t="shared" si="633"/>
        <v>3.4711311399531586</v>
      </c>
      <c r="N192" s="1089"/>
      <c r="O192" s="1084"/>
      <c r="P192" s="77">
        <f t="shared" si="634"/>
        <v>42211</v>
      </c>
      <c r="Q192" s="98"/>
      <c r="R192" s="35">
        <v>40911</v>
      </c>
      <c r="S192" s="35">
        <f t="shared" si="635"/>
        <v>1300</v>
      </c>
      <c r="T192" s="36">
        <f t="shared" si="636"/>
        <v>2.1479827963100959</v>
      </c>
      <c r="U192" s="74">
        <f t="shared" si="637"/>
        <v>293697</v>
      </c>
      <c r="V192" s="36">
        <f t="shared" si="638"/>
        <v>3.0209890216322717</v>
      </c>
      <c r="W192" s="1179"/>
      <c r="X192" s="49">
        <f t="shared" si="639"/>
        <v>1354</v>
      </c>
      <c r="Y192" s="50"/>
      <c r="Z192" s="50">
        <f>1254+50</f>
        <v>1304</v>
      </c>
      <c r="AA192" s="50">
        <f t="shared" si="665"/>
        <v>50</v>
      </c>
      <c r="AB192" s="51">
        <f t="shared" si="666"/>
        <v>8.2614722935003687E-2</v>
      </c>
      <c r="AC192" s="50">
        <f t="shared" si="640"/>
        <v>19190</v>
      </c>
      <c r="AD192" s="51">
        <f t="shared" si="641"/>
        <v>0.19738975653521584</v>
      </c>
      <c r="AE192" s="1050"/>
      <c r="AF192" s="40">
        <f t="shared" si="642"/>
        <v>1174</v>
      </c>
      <c r="AG192" s="41"/>
      <c r="AH192" s="41">
        <v>1137</v>
      </c>
      <c r="AI192" s="41">
        <f t="shared" si="643"/>
        <v>37</v>
      </c>
      <c r="AJ192" s="42">
        <f t="shared" si="644"/>
        <v>6.1134894971902734E-2</v>
      </c>
      <c r="AK192" s="41">
        <f t="shared" si="645"/>
        <v>10529</v>
      </c>
      <c r="AL192" s="42">
        <f t="shared" si="646"/>
        <v>0.10830207121205251</v>
      </c>
      <c r="AM192" s="1058"/>
      <c r="AN192" s="220">
        <v>4.5999999999999996</v>
      </c>
      <c r="AO192" s="67">
        <v>24</v>
      </c>
      <c r="AP192" s="68">
        <f t="shared" si="647"/>
        <v>54.874319999999997</v>
      </c>
      <c r="AQ192" s="68">
        <f t="shared" si="648"/>
        <v>12.141410744313655</v>
      </c>
      <c r="AR192" s="258">
        <f t="shared" si="649"/>
        <v>9573.7794600000052</v>
      </c>
      <c r="AS192" s="68">
        <f t="shared" si="650"/>
        <v>8.648856790196918</v>
      </c>
      <c r="AT192" s="1118"/>
      <c r="AU192" s="70">
        <v>2.2000000000000002</v>
      </c>
      <c r="AV192" s="71">
        <v>12</v>
      </c>
      <c r="AW192" s="72">
        <f t="shared" si="667"/>
        <v>13.641672000000002</v>
      </c>
      <c r="AX192" s="72">
        <f t="shared" si="668"/>
        <v>3.018336135941234</v>
      </c>
      <c r="AY192" s="276">
        <f t="shared" si="669"/>
        <v>2904.7460220000007</v>
      </c>
      <c r="AZ192" s="72">
        <f t="shared" si="670"/>
        <v>2.6241185585208977</v>
      </c>
      <c r="BA192" s="1174"/>
      <c r="BB192" s="253">
        <f t="shared" si="651"/>
        <v>20464</v>
      </c>
      <c r="BC192" s="56"/>
      <c r="BD192" s="252">
        <v>20464</v>
      </c>
      <c r="BE192" s="56"/>
      <c r="BF192" s="56">
        <f t="shared" si="652"/>
        <v>89436</v>
      </c>
      <c r="BG192" s="58">
        <f t="shared" si="653"/>
        <v>80.795589570438167</v>
      </c>
      <c r="BH192" s="1140"/>
      <c r="BI192" s="63">
        <f t="shared" si="654"/>
        <v>1140</v>
      </c>
      <c r="BJ192" s="64"/>
      <c r="BK192" s="64">
        <v>1104</v>
      </c>
      <c r="BL192" s="64">
        <f t="shared" si="655"/>
        <v>36</v>
      </c>
      <c r="BM192" s="65">
        <f t="shared" si="656"/>
        <v>5.9482600513202658E-2</v>
      </c>
      <c r="BN192" s="64">
        <f t="shared" si="657"/>
        <v>28728</v>
      </c>
      <c r="BO192" s="65">
        <f t="shared" si="658"/>
        <v>0.29549832859529346</v>
      </c>
      <c r="BP192" s="1071"/>
      <c r="BQ192" s="77">
        <f t="shared" si="659"/>
        <v>27008</v>
      </c>
      <c r="BR192" s="98"/>
      <c r="BS192" s="35">
        <f>18236+6000</f>
        <v>24236</v>
      </c>
      <c r="BT192" s="35">
        <f>BQ192-BS192+BR192</f>
        <v>2772</v>
      </c>
      <c r="BU192" s="35">
        <f t="shared" si="660"/>
        <v>494831</v>
      </c>
      <c r="BV192" s="74">
        <f t="shared" si="661"/>
        <v>447.02538555759969</v>
      </c>
      <c r="BW192" s="1143"/>
      <c r="BX192" s="295">
        <f t="shared" si="662"/>
        <v>1650</v>
      </c>
      <c r="BY192" s="296"/>
      <c r="BZ192" s="296">
        <v>1650</v>
      </c>
      <c r="CA192" s="296"/>
      <c r="CB192" s="297"/>
      <c r="CC192" s="296">
        <f t="shared" si="663"/>
        <v>10850</v>
      </c>
      <c r="CD192" s="297">
        <f t="shared" si="664"/>
        <v>0.11160390090709182</v>
      </c>
      <c r="CE192" s="1177"/>
      <c r="CF192" s="33"/>
    </row>
    <row r="193" spans="1:84">
      <c r="A193" s="30">
        <v>43775</v>
      </c>
      <c r="B193" s="32">
        <v>144322</v>
      </c>
      <c r="C193" s="1">
        <f t="shared" ref="C193:C225" si="671">C192+B193</f>
        <v>97363146</v>
      </c>
      <c r="D193" s="91">
        <v>3055.28</v>
      </c>
      <c r="E193" s="93">
        <f t="shared" si="615"/>
        <v>1109996.8899999997</v>
      </c>
      <c r="F193" s="108">
        <f t="shared" ref="F193:F217" si="672">H192</f>
        <v>22000</v>
      </c>
      <c r="G193" s="340"/>
      <c r="H193" s="108">
        <v>24000</v>
      </c>
      <c r="I193" s="271">
        <f t="shared" si="629"/>
        <v>-2000</v>
      </c>
      <c r="J193" s="280">
        <f t="shared" si="630"/>
        <v>-13.857901082302075</v>
      </c>
      <c r="K193" s="240">
        <f t="shared" si="631"/>
        <v>2754030</v>
      </c>
      <c r="L193" s="280">
        <f t="shared" si="632"/>
        <v>28.286164869816346</v>
      </c>
      <c r="M193" s="280">
        <f t="shared" si="633"/>
        <v>3.4634706587261355</v>
      </c>
      <c r="N193" s="1089"/>
      <c r="O193" s="1084"/>
      <c r="P193" s="77">
        <f t="shared" si="634"/>
        <v>40911</v>
      </c>
      <c r="Q193" s="98"/>
      <c r="R193" s="35">
        <v>40649</v>
      </c>
      <c r="S193" s="35">
        <f t="shared" si="635"/>
        <v>262</v>
      </c>
      <c r="T193" s="36">
        <f t="shared" si="636"/>
        <v>1.8153850417815718</v>
      </c>
      <c r="U193" s="74">
        <f t="shared" si="637"/>
        <v>293959</v>
      </c>
      <c r="V193" s="36">
        <f t="shared" si="638"/>
        <v>3.0192019473158767</v>
      </c>
      <c r="W193" s="1179"/>
      <c r="X193" s="49">
        <f t="shared" si="639"/>
        <v>1304</v>
      </c>
      <c r="Y193" s="50"/>
      <c r="Z193" s="50">
        <f>1153+151</f>
        <v>1304</v>
      </c>
      <c r="AA193" s="50"/>
      <c r="AB193" s="51"/>
      <c r="AC193" s="50">
        <f t="shared" si="640"/>
        <v>19190</v>
      </c>
      <c r="AD193" s="51">
        <f t="shared" si="641"/>
        <v>0.19709716446508416</v>
      </c>
      <c r="AE193" s="1050"/>
      <c r="AF193" s="40">
        <f t="shared" si="642"/>
        <v>1137</v>
      </c>
      <c r="AG193" s="41"/>
      <c r="AH193" s="41">
        <v>1081</v>
      </c>
      <c r="AI193" s="41">
        <f t="shared" si="643"/>
        <v>56</v>
      </c>
      <c r="AJ193" s="42">
        <f t="shared" si="644"/>
        <v>0.38802123030445806</v>
      </c>
      <c r="AK193" s="41">
        <f t="shared" si="645"/>
        <v>10585</v>
      </c>
      <c r="AL193" s="42">
        <f t="shared" si="646"/>
        <v>0.10871670067029264</v>
      </c>
      <c r="AM193" s="1058"/>
      <c r="AN193" s="220">
        <v>3.7</v>
      </c>
      <c r="AO193" s="67">
        <v>24</v>
      </c>
      <c r="AP193" s="68">
        <f t="shared" si="647"/>
        <v>44.138040000000004</v>
      </c>
      <c r="AQ193" s="68">
        <f t="shared" si="648"/>
        <v>14.446479537063706</v>
      </c>
      <c r="AR193" s="258">
        <f t="shared" si="649"/>
        <v>9617.917500000005</v>
      </c>
      <c r="AS193" s="68">
        <f t="shared" si="650"/>
        <v>8.6648148176343174</v>
      </c>
      <c r="AT193" s="1118"/>
      <c r="AU193" s="70">
        <v>1.5</v>
      </c>
      <c r="AV193" s="71">
        <v>12</v>
      </c>
      <c r="AW193" s="72">
        <f t="shared" si="667"/>
        <v>9.3011400000000002</v>
      </c>
      <c r="AX193" s="72">
        <f t="shared" si="668"/>
        <v>3.0442839936110597</v>
      </c>
      <c r="AY193" s="276">
        <f t="shared" si="669"/>
        <v>2914.0471620000008</v>
      </c>
      <c r="AZ193" s="72">
        <f t="shared" si="670"/>
        <v>2.6252750690139339</v>
      </c>
      <c r="BA193" s="1174"/>
      <c r="BB193" s="253">
        <f t="shared" si="651"/>
        <v>20464</v>
      </c>
      <c r="BC193" s="56"/>
      <c r="BD193" s="252">
        <v>20019</v>
      </c>
      <c r="BE193" s="56">
        <f>BB193-BD193+BC193</f>
        <v>445</v>
      </c>
      <c r="BF193" s="56">
        <f t="shared" si="652"/>
        <v>89881</v>
      </c>
      <c r="BG193" s="58">
        <f t="shared" si="653"/>
        <v>80.974100747255278</v>
      </c>
      <c r="BH193" s="1140"/>
      <c r="BI193" s="63">
        <f t="shared" si="654"/>
        <v>1104</v>
      </c>
      <c r="BJ193" s="64"/>
      <c r="BK193" s="64">
        <v>1080</v>
      </c>
      <c r="BL193" s="64">
        <f t="shared" si="655"/>
        <v>24</v>
      </c>
      <c r="BM193" s="65">
        <f t="shared" si="656"/>
        <v>0.16629481298762488</v>
      </c>
      <c r="BN193" s="64">
        <f t="shared" si="657"/>
        <v>28752</v>
      </c>
      <c r="BO193" s="65">
        <f t="shared" si="658"/>
        <v>0.29530680941636789</v>
      </c>
      <c r="BP193" s="1071"/>
      <c r="BQ193" s="77">
        <f t="shared" si="659"/>
        <v>24236</v>
      </c>
      <c r="BR193" s="98"/>
      <c r="BS193" s="35">
        <f>18236+6000</f>
        <v>24236</v>
      </c>
      <c r="BT193" s="35"/>
      <c r="BU193" s="35">
        <f t="shared" si="660"/>
        <v>494831</v>
      </c>
      <c r="BV193" s="74">
        <f t="shared" si="661"/>
        <v>445.79494272276759</v>
      </c>
      <c r="BW193" s="1143"/>
      <c r="BX193" s="295">
        <f t="shared" si="662"/>
        <v>1650</v>
      </c>
      <c r="BY193" s="296"/>
      <c r="BZ193" s="296">
        <v>1650</v>
      </c>
      <c r="CA193" s="296"/>
      <c r="CB193" s="297"/>
      <c r="CC193" s="296">
        <f t="shared" si="663"/>
        <v>10850</v>
      </c>
      <c r="CD193" s="297">
        <f t="shared" si="664"/>
        <v>0.11143846974706426</v>
      </c>
      <c r="CE193" s="1177"/>
      <c r="CF193" s="33"/>
    </row>
    <row r="194" spans="1:84">
      <c r="A194" s="30">
        <v>43776</v>
      </c>
      <c r="B194" s="32">
        <v>550204</v>
      </c>
      <c r="C194" s="1">
        <f t="shared" si="671"/>
        <v>97913350</v>
      </c>
      <c r="D194" s="91">
        <v>6581.72</v>
      </c>
      <c r="E194" s="93">
        <f t="shared" si="615"/>
        <v>1116578.6099999996</v>
      </c>
      <c r="F194" s="108">
        <f t="shared" si="672"/>
        <v>24000</v>
      </c>
      <c r="G194" s="340">
        <f>27340+26420</f>
        <v>53760</v>
      </c>
      <c r="H194" s="108">
        <v>30000</v>
      </c>
      <c r="I194" s="271">
        <f t="shared" si="629"/>
        <v>47760</v>
      </c>
      <c r="J194" s="280">
        <f t="shared" si="630"/>
        <v>86.804167181627179</v>
      </c>
      <c r="K194" s="240">
        <f t="shared" si="631"/>
        <v>2801790</v>
      </c>
      <c r="L194" s="280">
        <f t="shared" si="632"/>
        <v>28.614994788759653</v>
      </c>
      <c r="M194" s="280">
        <f t="shared" si="633"/>
        <v>3.5037339033622694</v>
      </c>
      <c r="N194" s="1089"/>
      <c r="O194" s="1084"/>
      <c r="P194" s="77">
        <f t="shared" si="634"/>
        <v>40649</v>
      </c>
      <c r="Q194" s="98"/>
      <c r="R194" s="35">
        <v>40649</v>
      </c>
      <c r="S194" s="35"/>
      <c r="T194" s="36"/>
      <c r="U194" s="74">
        <f t="shared" si="637"/>
        <v>293959</v>
      </c>
      <c r="V194" s="36">
        <f t="shared" si="638"/>
        <v>3.0022361608503845</v>
      </c>
      <c r="W194" s="1179"/>
      <c r="X194" s="49">
        <f t="shared" si="639"/>
        <v>1304</v>
      </c>
      <c r="Y194" s="50"/>
      <c r="Z194" s="50">
        <f>1153+62</f>
        <v>1215</v>
      </c>
      <c r="AA194" s="50">
        <f t="shared" si="665"/>
        <v>89</v>
      </c>
      <c r="AB194" s="51">
        <f t="shared" si="666"/>
        <v>0.16175818423711932</v>
      </c>
      <c r="AC194" s="50">
        <f t="shared" si="640"/>
        <v>19279</v>
      </c>
      <c r="AD194" s="51">
        <f t="shared" si="641"/>
        <v>0.19689858430949406</v>
      </c>
      <c r="AE194" s="1050"/>
      <c r="AF194" s="40">
        <f t="shared" si="642"/>
        <v>1081</v>
      </c>
      <c r="AG194" s="41"/>
      <c r="AH194" s="41">
        <v>1042</v>
      </c>
      <c r="AI194" s="41">
        <f t="shared" si="643"/>
        <v>39</v>
      </c>
      <c r="AJ194" s="42">
        <f t="shared" si="644"/>
        <v>7.0882799834243296E-2</v>
      </c>
      <c r="AK194" s="41">
        <f t="shared" si="645"/>
        <v>10624</v>
      </c>
      <c r="AL194" s="42">
        <f t="shared" si="646"/>
        <v>0.10850410081975542</v>
      </c>
      <c r="AM194" s="1058"/>
      <c r="AN194" s="260">
        <v>6.6</v>
      </c>
      <c r="AO194" s="67">
        <v>24</v>
      </c>
      <c r="AP194" s="68">
        <f t="shared" si="647"/>
        <v>78.732719999999986</v>
      </c>
      <c r="AQ194" s="68">
        <f t="shared" si="648"/>
        <v>11.962332034787257</v>
      </c>
      <c r="AR194" s="258">
        <f t="shared" si="649"/>
        <v>9696.650220000005</v>
      </c>
      <c r="AS194" s="68">
        <f t="shared" si="650"/>
        <v>8.6842521728049284</v>
      </c>
      <c r="AT194" s="1118"/>
      <c r="AU194" s="319">
        <v>3</v>
      </c>
      <c r="AV194" s="71">
        <v>12</v>
      </c>
      <c r="AW194" s="72">
        <f t="shared" si="667"/>
        <v>18.60228</v>
      </c>
      <c r="AX194" s="72">
        <f t="shared" si="668"/>
        <v>2.8263554207714696</v>
      </c>
      <c r="AY194" s="276">
        <f t="shared" si="669"/>
        <v>2932.6494420000008</v>
      </c>
      <c r="AZ194" s="72">
        <f t="shared" si="670"/>
        <v>2.6264603456804547</v>
      </c>
      <c r="BA194" s="1174"/>
      <c r="BB194" s="253">
        <f t="shared" si="651"/>
        <v>20019</v>
      </c>
      <c r="BC194" s="56"/>
      <c r="BD194" s="252">
        <v>20019</v>
      </c>
      <c r="BE194" s="56"/>
      <c r="BF194" s="56">
        <f t="shared" si="652"/>
        <v>89881</v>
      </c>
      <c r="BG194" s="58">
        <f t="shared" si="653"/>
        <v>80.496795474167314</v>
      </c>
      <c r="BH194" s="1140"/>
      <c r="BI194" s="63">
        <f t="shared" si="654"/>
        <v>1080</v>
      </c>
      <c r="BJ194" s="64"/>
      <c r="BK194" s="64">
        <v>960</v>
      </c>
      <c r="BL194" s="64">
        <f t="shared" si="655"/>
        <v>120</v>
      </c>
      <c r="BM194" s="65">
        <f t="shared" si="656"/>
        <v>0.21810092256690244</v>
      </c>
      <c r="BN194" s="64">
        <f t="shared" si="657"/>
        <v>28872</v>
      </c>
      <c r="BO194" s="65">
        <f t="shared" si="658"/>
        <v>0.29487296676091668</v>
      </c>
      <c r="BP194" s="1071"/>
      <c r="BQ194" s="77">
        <f t="shared" si="659"/>
        <v>24236</v>
      </c>
      <c r="BR194" s="98"/>
      <c r="BS194" s="35">
        <f>18236+6000</f>
        <v>24236</v>
      </c>
      <c r="BT194" s="35"/>
      <c r="BU194" s="35">
        <f t="shared" si="660"/>
        <v>494831</v>
      </c>
      <c r="BV194" s="74">
        <f t="shared" si="661"/>
        <v>443.1671855150442</v>
      </c>
      <c r="BW194" s="1143"/>
      <c r="BX194" s="295">
        <f t="shared" si="662"/>
        <v>1650</v>
      </c>
      <c r="BY194" s="296"/>
      <c r="BZ194" s="296">
        <v>1650</v>
      </c>
      <c r="CA194" s="296"/>
      <c r="CB194" s="297"/>
      <c r="CC194" s="296">
        <f t="shared" si="663"/>
        <v>10850</v>
      </c>
      <c r="CD194" s="297">
        <f t="shared" si="664"/>
        <v>0.1108122641090311</v>
      </c>
      <c r="CE194" s="1177"/>
      <c r="CF194" s="33"/>
    </row>
    <row r="195" spans="1:84">
      <c r="A195" s="30">
        <v>43777</v>
      </c>
      <c r="B195" s="32">
        <v>642272</v>
      </c>
      <c r="C195" s="1">
        <f t="shared" si="671"/>
        <v>98555622</v>
      </c>
      <c r="D195" s="91">
        <v>4974.5200000000004</v>
      </c>
      <c r="E195" s="93">
        <f t="shared" si="615"/>
        <v>1121553.1299999997</v>
      </c>
      <c r="F195" s="108">
        <f t="shared" si="672"/>
        <v>30000</v>
      </c>
      <c r="G195" s="340">
        <v>20400</v>
      </c>
      <c r="H195" s="108">
        <v>12000</v>
      </c>
      <c r="I195" s="271">
        <f t="shared" si="629"/>
        <v>38400</v>
      </c>
      <c r="J195" s="280">
        <f t="shared" si="630"/>
        <v>59.787753475163171</v>
      </c>
      <c r="K195" s="240">
        <f t="shared" si="631"/>
        <v>2840190</v>
      </c>
      <c r="L195" s="280">
        <f t="shared" si="632"/>
        <v>28.818142916291471</v>
      </c>
      <c r="M195" s="280">
        <f t="shared" si="633"/>
        <v>3.5286081690083839</v>
      </c>
      <c r="N195" s="1089"/>
      <c r="O195" s="1084"/>
      <c r="P195" s="77">
        <f t="shared" si="634"/>
        <v>40649</v>
      </c>
      <c r="Q195" s="98"/>
      <c r="R195" s="35">
        <v>40649</v>
      </c>
      <c r="S195" s="35"/>
      <c r="T195" s="36"/>
      <c r="U195" s="74">
        <f t="shared" si="637"/>
        <v>293959</v>
      </c>
      <c r="V195" s="36">
        <f t="shared" si="638"/>
        <v>2.9826710443773568</v>
      </c>
      <c r="W195" s="1179"/>
      <c r="X195" s="49">
        <f t="shared" si="639"/>
        <v>1215</v>
      </c>
      <c r="Y195" s="50"/>
      <c r="Z195" s="50">
        <f>1073+90</f>
        <v>1163</v>
      </c>
      <c r="AA195" s="50">
        <f t="shared" si="665"/>
        <v>52</v>
      </c>
      <c r="AB195" s="51">
        <f t="shared" si="666"/>
        <v>8.0962582830950133E-2</v>
      </c>
      <c r="AC195" s="50">
        <f t="shared" si="640"/>
        <v>19331</v>
      </c>
      <c r="AD195" s="51">
        <f t="shared" si="641"/>
        <v>0.19614304701968194</v>
      </c>
      <c r="AE195" s="1050"/>
      <c r="AF195" s="40">
        <f t="shared" si="642"/>
        <v>1042</v>
      </c>
      <c r="AG195" s="41"/>
      <c r="AH195" s="41">
        <v>1004</v>
      </c>
      <c r="AI195" s="41">
        <f t="shared" si="643"/>
        <v>38</v>
      </c>
      <c r="AJ195" s="42">
        <f t="shared" si="644"/>
        <v>5.9164964376463555E-2</v>
      </c>
      <c r="AK195" s="41">
        <f t="shared" si="645"/>
        <v>10662</v>
      </c>
      <c r="AL195" s="42">
        <f t="shared" si="646"/>
        <v>0.10818256517116802</v>
      </c>
      <c r="AM195" s="1058"/>
      <c r="AN195" s="260">
        <v>6.2</v>
      </c>
      <c r="AO195" s="67">
        <v>24</v>
      </c>
      <c r="AP195" s="68">
        <f t="shared" si="647"/>
        <v>73.961040000000011</v>
      </c>
      <c r="AQ195" s="68">
        <f t="shared" si="648"/>
        <v>14.867975201627495</v>
      </c>
      <c r="AR195" s="258">
        <f t="shared" si="649"/>
        <v>9770.6112600000051</v>
      </c>
      <c r="AS195" s="68">
        <f t="shared" si="650"/>
        <v>8.7116793655598013</v>
      </c>
      <c r="AT195" s="1118"/>
      <c r="AU195" s="70">
        <v>2.7</v>
      </c>
      <c r="AV195" s="71">
        <v>12</v>
      </c>
      <c r="AW195" s="72">
        <f t="shared" si="667"/>
        <v>16.742052000000005</v>
      </c>
      <c r="AX195" s="72">
        <f t="shared" si="668"/>
        <v>3.3655613003867715</v>
      </c>
      <c r="AY195" s="276">
        <f t="shared" si="669"/>
        <v>2949.3914940000009</v>
      </c>
      <c r="AZ195" s="72">
        <f t="shared" si="670"/>
        <v>2.6297385430149007</v>
      </c>
      <c r="BA195" s="1174"/>
      <c r="BB195" s="253">
        <f t="shared" si="651"/>
        <v>20019</v>
      </c>
      <c r="BC195" s="56"/>
      <c r="BD195" s="252">
        <v>20019</v>
      </c>
      <c r="BE195" s="56"/>
      <c r="BF195" s="56">
        <f t="shared" si="652"/>
        <v>89881</v>
      </c>
      <c r="BG195" s="58">
        <f t="shared" si="653"/>
        <v>80.139761189913514</v>
      </c>
      <c r="BH195" s="1140"/>
      <c r="BI195" s="63">
        <f t="shared" si="654"/>
        <v>960</v>
      </c>
      <c r="BJ195" s="64"/>
      <c r="BK195" s="64">
        <v>840</v>
      </c>
      <c r="BL195" s="64">
        <f t="shared" si="655"/>
        <v>120</v>
      </c>
      <c r="BM195" s="65">
        <f t="shared" si="656"/>
        <v>0.1868367296098849</v>
      </c>
      <c r="BN195" s="64">
        <f t="shared" si="657"/>
        <v>28992</v>
      </c>
      <c r="BO195" s="65">
        <f t="shared" si="658"/>
        <v>0.29416891103381193</v>
      </c>
      <c r="BP195" s="1071"/>
      <c r="BQ195" s="77">
        <f t="shared" si="659"/>
        <v>24236</v>
      </c>
      <c r="BR195" s="317">
        <v>32650</v>
      </c>
      <c r="BS195" s="35">
        <f>50886+6000</f>
        <v>56886</v>
      </c>
      <c r="BT195" s="35"/>
      <c r="BU195" s="35">
        <f t="shared" si="660"/>
        <v>494831</v>
      </c>
      <c r="BV195" s="74">
        <f t="shared" si="661"/>
        <v>441.20156840006337</v>
      </c>
      <c r="BW195" s="1143"/>
      <c r="BX195" s="295">
        <f t="shared" si="662"/>
        <v>1650</v>
      </c>
      <c r="BY195" s="296"/>
      <c r="BZ195" s="296">
        <v>1650</v>
      </c>
      <c r="CA195" s="296"/>
      <c r="CB195" s="297"/>
      <c r="CC195" s="296">
        <f t="shared" si="663"/>
        <v>10850</v>
      </c>
      <c r="CD195" s="297">
        <f t="shared" si="664"/>
        <v>0.1100901174364259</v>
      </c>
      <c r="CE195" s="1177"/>
      <c r="CF195" s="33"/>
    </row>
    <row r="196" spans="1:84">
      <c r="A196" s="30">
        <v>43778</v>
      </c>
      <c r="B196" s="32"/>
      <c r="C196" s="1">
        <f t="shared" si="671"/>
        <v>98555622</v>
      </c>
      <c r="D196" s="91"/>
      <c r="E196" s="93">
        <f t="shared" si="615"/>
        <v>1121553.1299999997</v>
      </c>
      <c r="F196" s="108">
        <f t="shared" si="672"/>
        <v>12000</v>
      </c>
      <c r="G196" s="340">
        <v>26680</v>
      </c>
      <c r="H196" s="108">
        <v>12000</v>
      </c>
      <c r="I196" s="271">
        <f t="shared" si="629"/>
        <v>26680</v>
      </c>
      <c r="J196" s="280"/>
      <c r="K196" s="240">
        <f t="shared" si="631"/>
        <v>2866870</v>
      </c>
      <c r="L196" s="280">
        <f t="shared" si="632"/>
        <v>29.088852993084455</v>
      </c>
      <c r="M196" s="280">
        <f t="shared" si="633"/>
        <v>3.5617549887454949</v>
      </c>
      <c r="N196" s="1089"/>
      <c r="O196" s="1084"/>
      <c r="P196" s="77">
        <f t="shared" si="634"/>
        <v>40649</v>
      </c>
      <c r="Q196" s="98"/>
      <c r="R196" s="35">
        <v>40649</v>
      </c>
      <c r="S196" s="35"/>
      <c r="T196" s="36"/>
      <c r="U196" s="74">
        <f t="shared" si="637"/>
        <v>293959</v>
      </c>
      <c r="V196" s="36">
        <f t="shared" si="638"/>
        <v>2.9826710443773568</v>
      </c>
      <c r="W196" s="1179"/>
      <c r="X196" s="49">
        <f t="shared" si="639"/>
        <v>1163</v>
      </c>
      <c r="Y196" s="50"/>
      <c r="Z196" s="50">
        <f>1073+90</f>
        <v>1163</v>
      </c>
      <c r="AA196" s="50"/>
      <c r="AB196" s="51"/>
      <c r="AC196" s="50">
        <f t="shared" si="640"/>
        <v>19331</v>
      </c>
      <c r="AD196" s="51">
        <f t="shared" si="641"/>
        <v>0.19614304701968194</v>
      </c>
      <c r="AE196" s="1050"/>
      <c r="AF196" s="40">
        <f t="shared" si="642"/>
        <v>1004</v>
      </c>
      <c r="AG196" s="41"/>
      <c r="AH196" s="41">
        <v>1004</v>
      </c>
      <c r="AI196" s="41"/>
      <c r="AJ196" s="42"/>
      <c r="AK196" s="41">
        <f t="shared" si="645"/>
        <v>10662</v>
      </c>
      <c r="AL196" s="42">
        <f t="shared" si="646"/>
        <v>0.10818256517116802</v>
      </c>
      <c r="AM196" s="1058"/>
      <c r="AN196" s="260"/>
      <c r="AO196" s="67">
        <v>24</v>
      </c>
      <c r="AP196" s="68"/>
      <c r="AQ196" s="68"/>
      <c r="AR196" s="258">
        <f t="shared" si="649"/>
        <v>9770.6112600000051</v>
      </c>
      <c r="AS196" s="68">
        <f t="shared" si="650"/>
        <v>8.7116793655598013</v>
      </c>
      <c r="AT196" s="1118"/>
      <c r="AU196" s="70"/>
      <c r="AV196" s="71">
        <v>12</v>
      </c>
      <c r="AW196" s="72"/>
      <c r="AX196" s="72"/>
      <c r="AY196" s="276">
        <f t="shared" si="669"/>
        <v>2949.3914940000009</v>
      </c>
      <c r="AZ196" s="72">
        <f t="shared" si="670"/>
        <v>2.6297385430149007</v>
      </c>
      <c r="BA196" s="1174"/>
      <c r="BB196" s="253">
        <f t="shared" si="651"/>
        <v>20019</v>
      </c>
      <c r="BC196" s="56"/>
      <c r="BD196" s="252">
        <v>20019</v>
      </c>
      <c r="BE196" s="56"/>
      <c r="BF196" s="56">
        <f t="shared" si="652"/>
        <v>89881</v>
      </c>
      <c r="BG196" s="58">
        <f t="shared" si="653"/>
        <v>80.139761189913514</v>
      </c>
      <c r="BH196" s="1140"/>
      <c r="BI196" s="63">
        <f t="shared" si="654"/>
        <v>840</v>
      </c>
      <c r="BJ196" s="64"/>
      <c r="BK196" s="64">
        <v>840</v>
      </c>
      <c r="BL196" s="64"/>
      <c r="BM196" s="65"/>
      <c r="BN196" s="64">
        <f t="shared" si="657"/>
        <v>28992</v>
      </c>
      <c r="BO196" s="65">
        <f t="shared" si="658"/>
        <v>0.29416891103381193</v>
      </c>
      <c r="BP196" s="1071"/>
      <c r="BQ196" s="77">
        <f t="shared" si="659"/>
        <v>56886</v>
      </c>
      <c r="BR196" s="98"/>
      <c r="BS196" s="35">
        <f>50886+6000</f>
        <v>56886</v>
      </c>
      <c r="BT196" s="35"/>
      <c r="BU196" s="35">
        <f t="shared" si="660"/>
        <v>494831</v>
      </c>
      <c r="BV196" s="74">
        <f t="shared" si="661"/>
        <v>441.20156840006337</v>
      </c>
      <c r="BW196" s="1143"/>
      <c r="BX196" s="295">
        <f t="shared" si="662"/>
        <v>1650</v>
      </c>
      <c r="BY196" s="296"/>
      <c r="BZ196" s="296">
        <v>1650</v>
      </c>
      <c r="CA196" s="296"/>
      <c r="CB196" s="297"/>
      <c r="CC196" s="296">
        <f t="shared" si="663"/>
        <v>10850</v>
      </c>
      <c r="CD196" s="297">
        <f t="shared" si="664"/>
        <v>0.1100901174364259</v>
      </c>
      <c r="CE196" s="1177"/>
      <c r="CF196" s="33"/>
    </row>
    <row r="197" spans="1:84">
      <c r="A197" s="30">
        <v>43779</v>
      </c>
      <c r="B197" s="32"/>
      <c r="C197" s="1">
        <f t="shared" si="671"/>
        <v>98555622</v>
      </c>
      <c r="D197" s="91"/>
      <c r="E197" s="93">
        <f t="shared" si="615"/>
        <v>1121553.1299999997</v>
      </c>
      <c r="F197" s="108">
        <f t="shared" si="672"/>
        <v>12000</v>
      </c>
      <c r="G197" s="340"/>
      <c r="H197" s="108">
        <v>12000</v>
      </c>
      <c r="I197" s="271"/>
      <c r="J197" s="280"/>
      <c r="K197" s="240">
        <f t="shared" si="631"/>
        <v>2866870</v>
      </c>
      <c r="L197" s="280">
        <f t="shared" si="632"/>
        <v>29.088852993084455</v>
      </c>
      <c r="M197" s="280">
        <f t="shared" si="633"/>
        <v>3.5617549887454949</v>
      </c>
      <c r="N197" s="1089"/>
      <c r="O197" s="1084"/>
      <c r="P197" s="77">
        <f t="shared" si="634"/>
        <v>40649</v>
      </c>
      <c r="Q197" s="98"/>
      <c r="R197" s="35">
        <v>40649</v>
      </c>
      <c r="S197" s="35"/>
      <c r="T197" s="36"/>
      <c r="U197" s="74">
        <f t="shared" si="637"/>
        <v>293959</v>
      </c>
      <c r="V197" s="36">
        <f t="shared" si="638"/>
        <v>2.9826710443773568</v>
      </c>
      <c r="W197" s="1179"/>
      <c r="X197" s="49">
        <f t="shared" si="639"/>
        <v>1163</v>
      </c>
      <c r="Y197" s="50"/>
      <c r="Z197" s="50">
        <f>1073+90</f>
        <v>1163</v>
      </c>
      <c r="AA197" s="50"/>
      <c r="AB197" s="51"/>
      <c r="AC197" s="50">
        <f t="shared" si="640"/>
        <v>19331</v>
      </c>
      <c r="AD197" s="51">
        <f t="shared" si="641"/>
        <v>0.19614304701968194</v>
      </c>
      <c r="AE197" s="1050"/>
      <c r="AF197" s="40">
        <f t="shared" si="642"/>
        <v>1004</v>
      </c>
      <c r="AG197" s="41"/>
      <c r="AH197" s="41">
        <v>1004</v>
      </c>
      <c r="AI197" s="41"/>
      <c r="AJ197" s="42"/>
      <c r="AK197" s="41">
        <f t="shared" si="645"/>
        <v>10662</v>
      </c>
      <c r="AL197" s="42">
        <f t="shared" si="646"/>
        <v>0.10818256517116802</v>
      </c>
      <c r="AM197" s="1058"/>
      <c r="AN197" s="220"/>
      <c r="AO197" s="67">
        <v>24</v>
      </c>
      <c r="AP197" s="68"/>
      <c r="AQ197" s="68"/>
      <c r="AR197" s="258">
        <f t="shared" si="649"/>
        <v>9770.6112600000051</v>
      </c>
      <c r="AS197" s="68">
        <f t="shared" si="650"/>
        <v>8.7116793655598013</v>
      </c>
      <c r="AT197" s="1118"/>
      <c r="AU197" s="70"/>
      <c r="AV197" s="71">
        <v>12</v>
      </c>
      <c r="AW197" s="72"/>
      <c r="AX197" s="72"/>
      <c r="AY197" s="276">
        <f t="shared" si="669"/>
        <v>2949.3914940000009</v>
      </c>
      <c r="AZ197" s="72">
        <f t="shared" si="670"/>
        <v>2.6297385430149007</v>
      </c>
      <c r="BA197" s="1174"/>
      <c r="BB197" s="253">
        <f t="shared" si="651"/>
        <v>20019</v>
      </c>
      <c r="BC197" s="56"/>
      <c r="BD197" s="252">
        <v>20019</v>
      </c>
      <c r="BE197" s="56"/>
      <c r="BF197" s="56">
        <f t="shared" si="652"/>
        <v>89881</v>
      </c>
      <c r="BG197" s="58">
        <f t="shared" si="653"/>
        <v>80.139761189913514</v>
      </c>
      <c r="BH197" s="1140"/>
      <c r="BI197" s="63">
        <f t="shared" si="654"/>
        <v>840</v>
      </c>
      <c r="BJ197" s="64"/>
      <c r="BK197" s="64">
        <v>840</v>
      </c>
      <c r="BL197" s="64"/>
      <c r="BM197" s="65"/>
      <c r="BN197" s="64">
        <f t="shared" si="657"/>
        <v>28992</v>
      </c>
      <c r="BO197" s="65">
        <f t="shared" si="658"/>
        <v>0.29416891103381193</v>
      </c>
      <c r="BP197" s="1071"/>
      <c r="BQ197" s="77">
        <f t="shared" si="659"/>
        <v>56886</v>
      </c>
      <c r="BR197" s="98"/>
      <c r="BS197" s="35">
        <f>50886+6000</f>
        <v>56886</v>
      </c>
      <c r="BT197" s="35"/>
      <c r="BU197" s="35">
        <f t="shared" si="660"/>
        <v>494831</v>
      </c>
      <c r="BV197" s="74">
        <f t="shared" si="661"/>
        <v>441.20156840006337</v>
      </c>
      <c r="BW197" s="1143"/>
      <c r="BX197" s="295">
        <f t="shared" si="662"/>
        <v>1650</v>
      </c>
      <c r="BY197" s="296"/>
      <c r="BZ197" s="296">
        <v>1650</v>
      </c>
      <c r="CA197" s="296"/>
      <c r="CB197" s="297"/>
      <c r="CC197" s="296">
        <f t="shared" si="663"/>
        <v>10850</v>
      </c>
      <c r="CD197" s="297">
        <f t="shared" si="664"/>
        <v>0.1100901174364259</v>
      </c>
      <c r="CE197" s="1177"/>
      <c r="CF197" s="33"/>
    </row>
    <row r="198" spans="1:84">
      <c r="A198" s="30">
        <v>43780</v>
      </c>
      <c r="B198" s="32"/>
      <c r="C198" s="1">
        <f t="shared" si="671"/>
        <v>98555622</v>
      </c>
      <c r="D198" s="91"/>
      <c r="E198" s="93">
        <f t="shared" si="615"/>
        <v>1121553.1299999997</v>
      </c>
      <c r="F198" s="108">
        <f t="shared" si="672"/>
        <v>12000</v>
      </c>
      <c r="G198" s="340"/>
      <c r="H198" s="108">
        <v>12000</v>
      </c>
      <c r="I198" s="271"/>
      <c r="J198" s="280"/>
      <c r="K198" s="240">
        <f t="shared" si="631"/>
        <v>2866870</v>
      </c>
      <c r="L198" s="280">
        <f t="shared" si="632"/>
        <v>29.088852993084455</v>
      </c>
      <c r="M198" s="280">
        <f t="shared" si="633"/>
        <v>3.5617549887454949</v>
      </c>
      <c r="N198" s="1089"/>
      <c r="O198" s="1084"/>
      <c r="P198" s="77">
        <f t="shared" si="634"/>
        <v>40649</v>
      </c>
      <c r="Q198" s="98"/>
      <c r="R198" s="35">
        <v>40649</v>
      </c>
      <c r="S198" s="35"/>
      <c r="T198" s="36"/>
      <c r="U198" s="74">
        <f t="shared" si="637"/>
        <v>293959</v>
      </c>
      <c r="V198" s="36">
        <f t="shared" si="638"/>
        <v>2.9826710443773568</v>
      </c>
      <c r="W198" s="1179"/>
      <c r="X198" s="49">
        <f t="shared" si="639"/>
        <v>1163</v>
      </c>
      <c r="Y198" s="50"/>
      <c r="Z198" s="50">
        <f>1073+90</f>
        <v>1163</v>
      </c>
      <c r="AA198" s="50"/>
      <c r="AB198" s="51"/>
      <c r="AC198" s="50">
        <f t="shared" si="640"/>
        <v>19331</v>
      </c>
      <c r="AD198" s="51">
        <f t="shared" si="641"/>
        <v>0.19614304701968194</v>
      </c>
      <c r="AE198" s="1050"/>
      <c r="AF198" s="40">
        <f t="shared" si="642"/>
        <v>1004</v>
      </c>
      <c r="AG198" s="41"/>
      <c r="AH198" s="41">
        <v>1004</v>
      </c>
      <c r="AI198" s="41"/>
      <c r="AJ198" s="42"/>
      <c r="AK198" s="41">
        <f t="shared" si="645"/>
        <v>10662</v>
      </c>
      <c r="AL198" s="42">
        <f t="shared" si="646"/>
        <v>0.10818256517116802</v>
      </c>
      <c r="AM198" s="1058"/>
      <c r="AN198" s="220"/>
      <c r="AO198" s="67">
        <v>24</v>
      </c>
      <c r="AP198" s="68"/>
      <c r="AQ198" s="68"/>
      <c r="AR198" s="258">
        <f t="shared" si="649"/>
        <v>9770.6112600000051</v>
      </c>
      <c r="AS198" s="68">
        <f t="shared" si="650"/>
        <v>8.7116793655598013</v>
      </c>
      <c r="AT198" s="1118"/>
      <c r="AU198" s="70"/>
      <c r="AV198" s="71">
        <v>12</v>
      </c>
      <c r="AW198" s="72"/>
      <c r="AX198" s="72"/>
      <c r="AY198" s="276">
        <f t="shared" si="669"/>
        <v>2949.3914940000009</v>
      </c>
      <c r="AZ198" s="72">
        <f t="shared" si="670"/>
        <v>2.6297385430149007</v>
      </c>
      <c r="BA198" s="1174"/>
      <c r="BB198" s="253">
        <f t="shared" si="651"/>
        <v>20019</v>
      </c>
      <c r="BC198" s="56"/>
      <c r="BD198" s="252">
        <v>20019</v>
      </c>
      <c r="BE198" s="56"/>
      <c r="BF198" s="56">
        <f t="shared" si="652"/>
        <v>89881</v>
      </c>
      <c r="BG198" s="58">
        <f t="shared" si="653"/>
        <v>80.139761189913514</v>
      </c>
      <c r="BH198" s="1140"/>
      <c r="BI198" s="63">
        <f t="shared" si="654"/>
        <v>840</v>
      </c>
      <c r="BJ198" s="64"/>
      <c r="BK198" s="64">
        <v>840</v>
      </c>
      <c r="BL198" s="64"/>
      <c r="BM198" s="65"/>
      <c r="BN198" s="64">
        <f t="shared" si="657"/>
        <v>28992</v>
      </c>
      <c r="BO198" s="65">
        <f t="shared" si="658"/>
        <v>0.29416891103381193</v>
      </c>
      <c r="BP198" s="1071"/>
      <c r="BQ198" s="77">
        <f t="shared" si="659"/>
        <v>56886</v>
      </c>
      <c r="BR198" s="98"/>
      <c r="BS198" s="35">
        <f>50886+6000</f>
        <v>56886</v>
      </c>
      <c r="BT198" s="35"/>
      <c r="BU198" s="35">
        <f t="shared" si="660"/>
        <v>494831</v>
      </c>
      <c r="BV198" s="74">
        <f t="shared" si="661"/>
        <v>441.20156840006337</v>
      </c>
      <c r="BW198" s="1143"/>
      <c r="BX198" s="295">
        <f t="shared" si="662"/>
        <v>1650</v>
      </c>
      <c r="BY198" s="296"/>
      <c r="BZ198" s="296">
        <v>1650</v>
      </c>
      <c r="CA198" s="296"/>
      <c r="CB198" s="297"/>
      <c r="CC198" s="296">
        <f t="shared" si="663"/>
        <v>10850</v>
      </c>
      <c r="CD198" s="297">
        <f t="shared" si="664"/>
        <v>0.1100901174364259</v>
      </c>
      <c r="CE198" s="1177"/>
      <c r="CF198" s="33"/>
    </row>
    <row r="199" spans="1:84">
      <c r="A199" s="30">
        <v>43781</v>
      </c>
      <c r="B199" s="265">
        <v>190060</v>
      </c>
      <c r="C199" s="1">
        <f t="shared" si="671"/>
        <v>98745682</v>
      </c>
      <c r="D199" s="91">
        <v>3885.08</v>
      </c>
      <c r="E199" s="93">
        <f t="shared" si="615"/>
        <v>1125438.2099999997</v>
      </c>
      <c r="F199" s="108">
        <f t="shared" si="672"/>
        <v>12000</v>
      </c>
      <c r="G199" s="340"/>
      <c r="H199" s="108">
        <v>12000</v>
      </c>
      <c r="I199" s="271"/>
      <c r="J199" s="280"/>
      <c r="K199" s="240">
        <f t="shared" si="631"/>
        <v>2866870</v>
      </c>
      <c r="L199" s="280">
        <f t="shared" si="632"/>
        <v>29.03286444464478</v>
      </c>
      <c r="M199" s="280">
        <f t="shared" si="633"/>
        <v>3.5548995279349556</v>
      </c>
      <c r="N199" s="1089"/>
      <c r="O199" s="1084"/>
      <c r="P199" s="77">
        <f t="shared" si="634"/>
        <v>40649</v>
      </c>
      <c r="Q199" s="98"/>
      <c r="R199" s="35">
        <v>40649</v>
      </c>
      <c r="S199" s="35"/>
      <c r="T199" s="36"/>
      <c r="U199" s="74">
        <f t="shared" si="637"/>
        <v>293959</v>
      </c>
      <c r="V199" s="36">
        <f t="shared" si="638"/>
        <v>2.9769301709820586</v>
      </c>
      <c r="W199" s="1179"/>
      <c r="X199" s="49">
        <f t="shared" si="639"/>
        <v>1163</v>
      </c>
      <c r="Y199" s="50"/>
      <c r="Z199" s="50">
        <f>1073+90</f>
        <v>1163</v>
      </c>
      <c r="AA199" s="50"/>
      <c r="AB199" s="51"/>
      <c r="AC199" s="50">
        <f t="shared" si="640"/>
        <v>19331</v>
      </c>
      <c r="AD199" s="51">
        <f t="shared" si="641"/>
        <v>0.19576552218252946</v>
      </c>
      <c r="AE199" s="1050"/>
      <c r="AF199" s="40">
        <f t="shared" si="642"/>
        <v>1004</v>
      </c>
      <c r="AG199" s="41"/>
      <c r="AH199" s="41">
        <v>1004</v>
      </c>
      <c r="AI199" s="41"/>
      <c r="AJ199" s="42"/>
      <c r="AK199" s="41">
        <f t="shared" si="645"/>
        <v>10662</v>
      </c>
      <c r="AL199" s="42">
        <f t="shared" si="646"/>
        <v>0.10797434160209658</v>
      </c>
      <c r="AM199" s="1058"/>
      <c r="AN199" s="220">
        <v>3.2</v>
      </c>
      <c r="AO199" s="67">
        <v>24</v>
      </c>
      <c r="AP199" s="68">
        <f t="shared" si="647"/>
        <v>38.173440000000006</v>
      </c>
      <c r="AQ199" s="68">
        <f t="shared" si="648"/>
        <v>9.8256509518465549</v>
      </c>
      <c r="AR199" s="258">
        <f t="shared" si="649"/>
        <v>9808.7847000000056</v>
      </c>
      <c r="AS199" s="68">
        <f t="shared" si="650"/>
        <v>8.7155248620890582</v>
      </c>
      <c r="AT199" s="1118"/>
      <c r="AU199" s="70">
        <v>1.8</v>
      </c>
      <c r="AV199" s="71">
        <v>12</v>
      </c>
      <c r="AW199" s="72">
        <f t="shared" si="667"/>
        <v>11.161368000000001</v>
      </c>
      <c r="AX199" s="72">
        <f t="shared" si="668"/>
        <v>2.872879837738219</v>
      </c>
      <c r="AY199" s="276">
        <f t="shared" si="669"/>
        <v>2960.5528620000009</v>
      </c>
      <c r="AZ199" s="72">
        <f t="shared" si="670"/>
        <v>2.6305778813036764</v>
      </c>
      <c r="BA199" s="1174"/>
      <c r="BB199" s="253">
        <f t="shared" si="651"/>
        <v>20019</v>
      </c>
      <c r="BC199" s="56"/>
      <c r="BD199" s="252">
        <v>20019</v>
      </c>
      <c r="BE199" s="56"/>
      <c r="BF199" s="56">
        <f t="shared" si="652"/>
        <v>89881</v>
      </c>
      <c r="BG199" s="58">
        <f t="shared" si="653"/>
        <v>79.863113942079522</v>
      </c>
      <c r="BH199" s="1140"/>
      <c r="BI199" s="63">
        <f t="shared" si="654"/>
        <v>840</v>
      </c>
      <c r="BJ199" s="64"/>
      <c r="BK199" s="64">
        <v>816</v>
      </c>
      <c r="BL199" s="64">
        <f t="shared" si="655"/>
        <v>24</v>
      </c>
      <c r="BM199" s="65">
        <f t="shared" si="656"/>
        <v>0.12627591286962012</v>
      </c>
      <c r="BN199" s="64">
        <f t="shared" si="657"/>
        <v>29016</v>
      </c>
      <c r="BO199" s="65">
        <f t="shared" si="658"/>
        <v>0.2938457602632184</v>
      </c>
      <c r="BP199" s="1071"/>
      <c r="BQ199" s="77">
        <f t="shared" si="659"/>
        <v>56886</v>
      </c>
      <c r="BR199" s="98"/>
      <c r="BS199" s="35">
        <f>45961+6000</f>
        <v>51961</v>
      </c>
      <c r="BT199" s="35">
        <f>BQ199-BS199+BR199</f>
        <v>4925</v>
      </c>
      <c r="BU199" s="35">
        <f t="shared" si="660"/>
        <v>499756</v>
      </c>
      <c r="BV199" s="74">
        <f t="shared" si="661"/>
        <v>444.05458741266671</v>
      </c>
      <c r="BW199" s="1143"/>
      <c r="BX199" s="295">
        <f t="shared" si="662"/>
        <v>1650</v>
      </c>
      <c r="BY199" s="296"/>
      <c r="BZ199" s="296">
        <v>1650</v>
      </c>
      <c r="CA199" s="296"/>
      <c r="CB199" s="297"/>
      <c r="CC199" s="296">
        <f t="shared" si="663"/>
        <v>10850</v>
      </c>
      <c r="CD199" s="297">
        <f t="shared" si="664"/>
        <v>0.10987822232064791</v>
      </c>
      <c r="CE199" s="1177"/>
      <c r="CF199" s="33"/>
    </row>
    <row r="200" spans="1:84">
      <c r="A200" s="30">
        <v>43782</v>
      </c>
      <c r="B200" s="32">
        <v>570282</v>
      </c>
      <c r="C200" s="1">
        <f t="shared" si="671"/>
        <v>99315964</v>
      </c>
      <c r="D200" s="91">
        <v>6376.38</v>
      </c>
      <c r="E200" s="93">
        <f t="shared" si="615"/>
        <v>1131814.5899999996</v>
      </c>
      <c r="F200" s="108">
        <f t="shared" si="672"/>
        <v>12000</v>
      </c>
      <c r="G200" s="340">
        <v>31080</v>
      </c>
      <c r="H200" s="108"/>
      <c r="I200" s="271">
        <f t="shared" si="629"/>
        <v>43080</v>
      </c>
      <c r="J200" s="280">
        <f t="shared" si="630"/>
        <v>75.541574168569241</v>
      </c>
      <c r="K200" s="240">
        <f t="shared" si="631"/>
        <v>2909950</v>
      </c>
      <c r="L200" s="280">
        <f t="shared" si="632"/>
        <v>29.299922014551456</v>
      </c>
      <c r="M200" s="280">
        <f t="shared" si="633"/>
        <v>3.5875991201850685</v>
      </c>
      <c r="N200" s="1089"/>
      <c r="O200" s="1084"/>
      <c r="P200" s="77">
        <f t="shared" si="634"/>
        <v>40649</v>
      </c>
      <c r="Q200" s="98"/>
      <c r="R200" s="35">
        <v>39335</v>
      </c>
      <c r="S200" s="35">
        <f t="shared" si="635"/>
        <v>1314</v>
      </c>
      <c r="T200" s="36">
        <f t="shared" si="636"/>
        <v>2.304123223247446</v>
      </c>
      <c r="U200" s="74">
        <f t="shared" si="637"/>
        <v>295273</v>
      </c>
      <c r="V200" s="36">
        <f t="shared" si="638"/>
        <v>2.9730668475412472</v>
      </c>
      <c r="W200" s="1179"/>
      <c r="X200" s="49">
        <f t="shared" si="639"/>
        <v>1163</v>
      </c>
      <c r="Y200" s="50"/>
      <c r="Z200" s="50">
        <f>1073+50</f>
        <v>1123</v>
      </c>
      <c r="AA200" s="50">
        <f t="shared" si="665"/>
        <v>40</v>
      </c>
      <c r="AB200" s="51">
        <f t="shared" si="666"/>
        <v>7.0140737389572175E-2</v>
      </c>
      <c r="AC200" s="50">
        <f t="shared" si="640"/>
        <v>19371</v>
      </c>
      <c r="AD200" s="51">
        <f t="shared" si="641"/>
        <v>0.19504417235480895</v>
      </c>
      <c r="AE200" s="1050"/>
      <c r="AF200" s="40">
        <f t="shared" si="642"/>
        <v>1004</v>
      </c>
      <c r="AG200" s="41"/>
      <c r="AH200" s="41">
        <v>1004</v>
      </c>
      <c r="AI200" s="41"/>
      <c r="AJ200" s="42"/>
      <c r="AK200" s="41">
        <f t="shared" si="645"/>
        <v>10662</v>
      </c>
      <c r="AL200" s="42">
        <f t="shared" si="646"/>
        <v>0.107354342349232</v>
      </c>
      <c r="AM200" s="1058"/>
      <c r="AN200" s="220">
        <v>8.9</v>
      </c>
      <c r="AO200" s="67">
        <v>24</v>
      </c>
      <c r="AP200" s="68">
        <f t="shared" si="647"/>
        <v>106.16988000000001</v>
      </c>
      <c r="AQ200" s="68">
        <f t="shared" si="648"/>
        <v>16.650494481194659</v>
      </c>
      <c r="AR200" s="258">
        <f t="shared" si="649"/>
        <v>9914.9545800000051</v>
      </c>
      <c r="AS200" s="68">
        <f t="shared" si="650"/>
        <v>8.7602286342677456</v>
      </c>
      <c r="AT200" s="1118"/>
      <c r="AU200" s="70">
        <v>3.4</v>
      </c>
      <c r="AV200" s="71">
        <v>12</v>
      </c>
      <c r="AW200" s="72">
        <f t="shared" si="667"/>
        <v>21.082584000000001</v>
      </c>
      <c r="AX200" s="72">
        <f t="shared" si="668"/>
        <v>3.3063562711130765</v>
      </c>
      <c r="AY200" s="276">
        <f t="shared" si="669"/>
        <v>2981.6354460000011</v>
      </c>
      <c r="AZ200" s="72">
        <f t="shared" si="670"/>
        <v>2.6343850594822267</v>
      </c>
      <c r="BA200" s="1174"/>
      <c r="BB200" s="253">
        <f t="shared" si="651"/>
        <v>20019</v>
      </c>
      <c r="BC200" s="56"/>
      <c r="BD200" s="252">
        <v>17375</v>
      </c>
      <c r="BE200" s="56">
        <f>BB200-BD200+BC200</f>
        <v>2644</v>
      </c>
      <c r="BF200" s="56">
        <f t="shared" si="652"/>
        <v>92525</v>
      </c>
      <c r="BG200" s="58">
        <f t="shared" si="653"/>
        <v>81.74925541470536</v>
      </c>
      <c r="BH200" s="1140"/>
      <c r="BI200" s="63">
        <f t="shared" si="654"/>
        <v>816</v>
      </c>
      <c r="BJ200" s="64"/>
      <c r="BK200" s="64">
        <v>720</v>
      </c>
      <c r="BL200" s="64">
        <f t="shared" si="655"/>
        <v>96</v>
      </c>
      <c r="BM200" s="65">
        <f t="shared" si="656"/>
        <v>0.16833776973497322</v>
      </c>
      <c r="BN200" s="64">
        <f t="shared" si="657"/>
        <v>29112</v>
      </c>
      <c r="BO200" s="65">
        <f t="shared" si="658"/>
        <v>0.29312508107961377</v>
      </c>
      <c r="BP200" s="1071"/>
      <c r="BQ200" s="77">
        <f t="shared" si="659"/>
        <v>51961</v>
      </c>
      <c r="BR200" s="98"/>
      <c r="BS200" s="35">
        <f>42264+6000</f>
        <v>48264</v>
      </c>
      <c r="BT200" s="35">
        <f>BQ200-BS200+BR200</f>
        <v>3697</v>
      </c>
      <c r="BU200" s="35">
        <f t="shared" si="660"/>
        <v>503453</v>
      </c>
      <c r="BV200" s="74">
        <f t="shared" si="661"/>
        <v>444.81932327802929</v>
      </c>
      <c r="BW200" s="1143"/>
      <c r="BX200" s="295">
        <f t="shared" si="662"/>
        <v>1650</v>
      </c>
      <c r="BY200" s="296"/>
      <c r="BZ200" s="296">
        <v>1650</v>
      </c>
      <c r="CA200" s="296"/>
      <c r="CB200" s="297"/>
      <c r="CC200" s="296">
        <f t="shared" si="663"/>
        <v>10850</v>
      </c>
      <c r="CD200" s="297">
        <f t="shared" si="664"/>
        <v>0.10924729079808358</v>
      </c>
      <c r="CE200" s="1177"/>
      <c r="CF200" s="33"/>
    </row>
    <row r="201" spans="1:84">
      <c r="A201" s="30">
        <v>43783</v>
      </c>
      <c r="B201" s="32"/>
      <c r="C201" s="1">
        <f t="shared" si="671"/>
        <v>99315964</v>
      </c>
      <c r="D201" s="91"/>
      <c r="E201" s="93">
        <f t="shared" si="615"/>
        <v>1131814.5899999996</v>
      </c>
      <c r="F201" s="108"/>
      <c r="G201" s="340">
        <v>31380</v>
      </c>
      <c r="H201" s="108">
        <v>31380</v>
      </c>
      <c r="I201" s="271"/>
      <c r="J201" s="280"/>
      <c r="K201" s="240">
        <f t="shared" si="631"/>
        <v>2909950</v>
      </c>
      <c r="L201" s="280">
        <f t="shared" si="632"/>
        <v>29.299922014551456</v>
      </c>
      <c r="M201" s="280">
        <f t="shared" si="633"/>
        <v>3.5875991201850685</v>
      </c>
      <c r="N201" s="1089"/>
      <c r="O201" s="1084"/>
      <c r="P201" s="77">
        <f t="shared" si="634"/>
        <v>39335</v>
      </c>
      <c r="Q201" s="98"/>
      <c r="R201" s="35">
        <v>39335</v>
      </c>
      <c r="S201" s="35"/>
      <c r="T201" s="36"/>
      <c r="U201" s="74">
        <f t="shared" si="637"/>
        <v>295273</v>
      </c>
      <c r="V201" s="36">
        <f t="shared" si="638"/>
        <v>2.9730668475412472</v>
      </c>
      <c r="W201" s="1179"/>
      <c r="X201" s="49">
        <f t="shared" si="639"/>
        <v>1123</v>
      </c>
      <c r="Y201" s="50"/>
      <c r="Z201" s="50">
        <f>1073+50</f>
        <v>1123</v>
      </c>
      <c r="AA201" s="50"/>
      <c r="AB201" s="51"/>
      <c r="AC201" s="50">
        <f t="shared" si="640"/>
        <v>19371</v>
      </c>
      <c r="AD201" s="51">
        <f t="shared" si="641"/>
        <v>0.19504417235480895</v>
      </c>
      <c r="AE201" s="1050"/>
      <c r="AF201" s="40">
        <f t="shared" si="642"/>
        <v>1004</v>
      </c>
      <c r="AG201" s="41"/>
      <c r="AH201" s="41">
        <v>964</v>
      </c>
      <c r="AI201" s="41">
        <f t="shared" si="643"/>
        <v>40</v>
      </c>
      <c r="AJ201" s="42"/>
      <c r="AK201" s="41">
        <f t="shared" si="645"/>
        <v>10702</v>
      </c>
      <c r="AL201" s="42">
        <f t="shared" si="646"/>
        <v>0.10775709733834934</v>
      </c>
      <c r="AM201" s="1058"/>
      <c r="AN201" s="220">
        <v>1.6</v>
      </c>
      <c r="AO201" s="67">
        <v>24</v>
      </c>
      <c r="AP201" s="68">
        <f t="shared" si="647"/>
        <v>19.086720000000003</v>
      </c>
      <c r="AQ201" s="68"/>
      <c r="AR201" s="258">
        <f t="shared" si="649"/>
        <v>9934.0413000000044</v>
      </c>
      <c r="AS201" s="68">
        <f t="shared" si="650"/>
        <v>8.7770924564596822</v>
      </c>
      <c r="AT201" s="1118"/>
      <c r="AU201" s="70">
        <v>0.1</v>
      </c>
      <c r="AV201" s="71">
        <v>12</v>
      </c>
      <c r="AW201" s="72">
        <f t="shared" si="667"/>
        <v>0.62007600000000007</v>
      </c>
      <c r="AX201" s="72"/>
      <c r="AY201" s="276">
        <f t="shared" si="669"/>
        <v>2982.2555220000013</v>
      </c>
      <c r="AZ201" s="72">
        <f t="shared" si="670"/>
        <v>2.6349329195341107</v>
      </c>
      <c r="BA201" s="1174"/>
      <c r="BB201" s="253">
        <f t="shared" si="651"/>
        <v>17375</v>
      </c>
      <c r="BC201" s="56"/>
      <c r="BD201" s="252">
        <v>17375</v>
      </c>
      <c r="BE201" s="56"/>
      <c r="BF201" s="56">
        <f t="shared" si="652"/>
        <v>92525</v>
      </c>
      <c r="BG201" s="58">
        <f t="shared" si="653"/>
        <v>81.74925541470536</v>
      </c>
      <c r="BH201" s="1140"/>
      <c r="BI201" s="63">
        <f t="shared" si="654"/>
        <v>720</v>
      </c>
      <c r="BJ201" s="64"/>
      <c r="BK201" s="64">
        <v>720</v>
      </c>
      <c r="BL201" s="64"/>
      <c r="BM201" s="65"/>
      <c r="BN201" s="64">
        <f t="shared" si="657"/>
        <v>29112</v>
      </c>
      <c r="BO201" s="65">
        <f t="shared" si="658"/>
        <v>0.29312508107961377</v>
      </c>
      <c r="BP201" s="1071"/>
      <c r="BQ201" s="77">
        <f t="shared" si="659"/>
        <v>48264</v>
      </c>
      <c r="BR201" s="98"/>
      <c r="BS201" s="35">
        <f>40416+6000</f>
        <v>46416</v>
      </c>
      <c r="BT201" s="35">
        <f>BQ201-BS201+BR201</f>
        <v>1848</v>
      </c>
      <c r="BU201" s="35">
        <f t="shared" si="660"/>
        <v>505301</v>
      </c>
      <c r="BV201" s="74">
        <f t="shared" si="661"/>
        <v>446.45209954397228</v>
      </c>
      <c r="BW201" s="1143"/>
      <c r="BX201" s="295">
        <f t="shared" si="662"/>
        <v>1650</v>
      </c>
      <c r="BY201" s="296"/>
      <c r="BZ201" s="296">
        <v>1650</v>
      </c>
      <c r="CA201" s="296"/>
      <c r="CB201" s="297"/>
      <c r="CC201" s="296">
        <f t="shared" si="663"/>
        <v>10850</v>
      </c>
      <c r="CD201" s="297">
        <f t="shared" si="664"/>
        <v>0.10924729079808358</v>
      </c>
      <c r="CE201" s="1177"/>
      <c r="CF201" s="33"/>
    </row>
    <row r="202" spans="1:84">
      <c r="A202" s="30">
        <v>43784</v>
      </c>
      <c r="B202" s="32"/>
      <c r="C202" s="1">
        <f t="shared" si="671"/>
        <v>99315964</v>
      </c>
      <c r="D202" s="91"/>
      <c r="E202" s="93">
        <f t="shared" si="615"/>
        <v>1131814.5899999996</v>
      </c>
      <c r="F202" s="108">
        <f t="shared" si="672"/>
        <v>31380</v>
      </c>
      <c r="G202" s="340"/>
      <c r="H202" s="108">
        <v>31380</v>
      </c>
      <c r="I202" s="271"/>
      <c r="J202" s="280"/>
      <c r="K202" s="240">
        <f t="shared" si="631"/>
        <v>2909950</v>
      </c>
      <c r="L202" s="280">
        <f t="shared" si="632"/>
        <v>29.299922014551456</v>
      </c>
      <c r="M202" s="280">
        <f t="shared" si="633"/>
        <v>3.5875991201850685</v>
      </c>
      <c r="N202" s="1089"/>
      <c r="O202" s="1084"/>
      <c r="P202" s="77">
        <f t="shared" si="634"/>
        <v>39335</v>
      </c>
      <c r="Q202" s="98"/>
      <c r="R202" s="35">
        <v>39335</v>
      </c>
      <c r="S202" s="35"/>
      <c r="T202" s="36"/>
      <c r="U202" s="74">
        <f t="shared" si="637"/>
        <v>295273</v>
      </c>
      <c r="V202" s="36">
        <f t="shared" si="638"/>
        <v>2.9730668475412472</v>
      </c>
      <c r="W202" s="1179"/>
      <c r="X202" s="49">
        <f t="shared" si="639"/>
        <v>1123</v>
      </c>
      <c r="Y202" s="50"/>
      <c r="Z202" s="50">
        <f>1073+50</f>
        <v>1123</v>
      </c>
      <c r="AA202" s="50"/>
      <c r="AB202" s="51"/>
      <c r="AC202" s="50">
        <f t="shared" si="640"/>
        <v>19371</v>
      </c>
      <c r="AD202" s="51">
        <f t="shared" si="641"/>
        <v>0.19504417235480895</v>
      </c>
      <c r="AE202" s="1050"/>
      <c r="AF202" s="40">
        <f t="shared" si="642"/>
        <v>964</v>
      </c>
      <c r="AG202" s="41"/>
      <c r="AH202" s="41">
        <v>964</v>
      </c>
      <c r="AI202" s="41"/>
      <c r="AJ202" s="42"/>
      <c r="AK202" s="41">
        <f t="shared" si="645"/>
        <v>10702</v>
      </c>
      <c r="AL202" s="42">
        <f t="shared" si="646"/>
        <v>0.10775709733834934</v>
      </c>
      <c r="AM202" s="1058"/>
      <c r="AN202" s="220"/>
      <c r="AO202" s="67">
        <v>24</v>
      </c>
      <c r="AP202" s="68"/>
      <c r="AQ202" s="68"/>
      <c r="AR202" s="258">
        <f t="shared" si="649"/>
        <v>9934.0413000000044</v>
      </c>
      <c r="AS202" s="68">
        <f t="shared" si="650"/>
        <v>8.7770924564596822</v>
      </c>
      <c r="AT202" s="1118"/>
      <c r="AU202" s="70"/>
      <c r="AV202" s="71">
        <v>12</v>
      </c>
      <c r="AW202" s="72"/>
      <c r="AX202" s="72"/>
      <c r="AY202" s="276">
        <f t="shared" si="669"/>
        <v>2982.2555220000013</v>
      </c>
      <c r="AZ202" s="72">
        <f t="shared" si="670"/>
        <v>2.6349329195341107</v>
      </c>
      <c r="BA202" s="1174"/>
      <c r="BB202" s="253">
        <f t="shared" si="651"/>
        <v>17375</v>
      </c>
      <c r="BC202" s="56"/>
      <c r="BD202" s="252">
        <v>17375</v>
      </c>
      <c r="BE202" s="56"/>
      <c r="BF202" s="56">
        <f t="shared" si="652"/>
        <v>92525</v>
      </c>
      <c r="BG202" s="58">
        <f t="shared" si="653"/>
        <v>81.74925541470536</v>
      </c>
      <c r="BH202" s="1140"/>
      <c r="BI202" s="63">
        <f t="shared" si="654"/>
        <v>720</v>
      </c>
      <c r="BJ202" s="64"/>
      <c r="BK202" s="64">
        <v>720</v>
      </c>
      <c r="BL202" s="64"/>
      <c r="BM202" s="65"/>
      <c r="BN202" s="64">
        <f t="shared" si="657"/>
        <v>29112</v>
      </c>
      <c r="BO202" s="65">
        <f t="shared" si="658"/>
        <v>0.29312508107961377</v>
      </c>
      <c r="BP202" s="1071"/>
      <c r="BQ202" s="77">
        <f t="shared" si="659"/>
        <v>46416</v>
      </c>
      <c r="BR202" s="98"/>
      <c r="BS202" s="35">
        <f>40416+6000</f>
        <v>46416</v>
      </c>
      <c r="BT202" s="35"/>
      <c r="BU202" s="35">
        <f t="shared" si="660"/>
        <v>505301</v>
      </c>
      <c r="BV202" s="74">
        <f t="shared" si="661"/>
        <v>446.45209954397228</v>
      </c>
      <c r="BW202" s="1143"/>
      <c r="BX202" s="295">
        <f t="shared" si="662"/>
        <v>1650</v>
      </c>
      <c r="BY202" s="296"/>
      <c r="BZ202" s="296">
        <v>1650</v>
      </c>
      <c r="CA202" s="296"/>
      <c r="CB202" s="297"/>
      <c r="CC202" s="296">
        <f t="shared" si="663"/>
        <v>10850</v>
      </c>
      <c r="CD202" s="297">
        <f t="shared" si="664"/>
        <v>0.10924729079808358</v>
      </c>
      <c r="CE202" s="1177"/>
      <c r="CF202" s="33"/>
    </row>
    <row r="203" spans="1:84">
      <c r="A203" s="30">
        <v>43785</v>
      </c>
      <c r="B203" s="32"/>
      <c r="C203" s="1">
        <f t="shared" si="671"/>
        <v>99315964</v>
      </c>
      <c r="D203" s="91"/>
      <c r="E203" s="93">
        <f t="shared" si="615"/>
        <v>1131814.5899999996</v>
      </c>
      <c r="F203" s="108">
        <f t="shared" si="672"/>
        <v>31380</v>
      </c>
      <c r="G203" s="340"/>
      <c r="H203" s="108">
        <v>31380</v>
      </c>
      <c r="I203" s="271"/>
      <c r="J203" s="280"/>
      <c r="K203" s="240">
        <f t="shared" si="631"/>
        <v>2909950</v>
      </c>
      <c r="L203" s="280">
        <f t="shared" si="632"/>
        <v>29.299922014551456</v>
      </c>
      <c r="M203" s="280">
        <f t="shared" si="633"/>
        <v>3.5875991201850685</v>
      </c>
      <c r="N203" s="1089"/>
      <c r="O203" s="1084"/>
      <c r="P203" s="77">
        <f t="shared" si="634"/>
        <v>39335</v>
      </c>
      <c r="Q203" s="98"/>
      <c r="R203" s="35">
        <v>39335</v>
      </c>
      <c r="S203" s="35"/>
      <c r="T203" s="36"/>
      <c r="U203" s="74">
        <f t="shared" si="637"/>
        <v>295273</v>
      </c>
      <c r="V203" s="36">
        <f t="shared" si="638"/>
        <v>2.9730668475412472</v>
      </c>
      <c r="W203" s="1179"/>
      <c r="X203" s="49">
        <f t="shared" si="639"/>
        <v>1123</v>
      </c>
      <c r="Y203" s="50"/>
      <c r="Z203" s="50">
        <f>1073+50</f>
        <v>1123</v>
      </c>
      <c r="AA203" s="50"/>
      <c r="AB203" s="51"/>
      <c r="AC203" s="50">
        <f t="shared" si="640"/>
        <v>19371</v>
      </c>
      <c r="AD203" s="51">
        <f t="shared" si="641"/>
        <v>0.19504417235480895</v>
      </c>
      <c r="AE203" s="1050"/>
      <c r="AF203" s="40">
        <f t="shared" si="642"/>
        <v>964</v>
      </c>
      <c r="AG203" s="41"/>
      <c r="AH203" s="41">
        <v>964</v>
      </c>
      <c r="AI203" s="41"/>
      <c r="AJ203" s="42"/>
      <c r="AK203" s="41">
        <f t="shared" si="645"/>
        <v>10702</v>
      </c>
      <c r="AL203" s="42">
        <f t="shared" si="646"/>
        <v>0.10775709733834934</v>
      </c>
      <c r="AM203" s="1058"/>
      <c r="AN203" s="220"/>
      <c r="AO203" s="67">
        <v>24</v>
      </c>
      <c r="AP203" s="68"/>
      <c r="AQ203" s="68"/>
      <c r="AR203" s="258">
        <f t="shared" si="649"/>
        <v>9934.0413000000044</v>
      </c>
      <c r="AS203" s="68">
        <f t="shared" si="650"/>
        <v>8.7770924564596822</v>
      </c>
      <c r="AT203" s="1118"/>
      <c r="AU203" s="70"/>
      <c r="AV203" s="71">
        <v>12</v>
      </c>
      <c r="AW203" s="72"/>
      <c r="AX203" s="72"/>
      <c r="AY203" s="276">
        <f t="shared" si="669"/>
        <v>2982.2555220000013</v>
      </c>
      <c r="AZ203" s="72">
        <f t="shared" si="670"/>
        <v>2.6349329195341107</v>
      </c>
      <c r="BA203" s="1174"/>
      <c r="BB203" s="253">
        <f t="shared" si="651"/>
        <v>17375</v>
      </c>
      <c r="BC203" s="56"/>
      <c r="BD203" s="252">
        <v>17375</v>
      </c>
      <c r="BE203" s="56"/>
      <c r="BF203" s="56">
        <f t="shared" si="652"/>
        <v>92525</v>
      </c>
      <c r="BG203" s="58">
        <f t="shared" si="653"/>
        <v>81.74925541470536</v>
      </c>
      <c r="BH203" s="1140"/>
      <c r="BI203" s="63">
        <f t="shared" si="654"/>
        <v>720</v>
      </c>
      <c r="BJ203" s="64"/>
      <c r="BK203" s="64">
        <v>720</v>
      </c>
      <c r="BL203" s="64"/>
      <c r="BM203" s="65"/>
      <c r="BN203" s="64">
        <f t="shared" si="657"/>
        <v>29112</v>
      </c>
      <c r="BO203" s="65">
        <f t="shared" si="658"/>
        <v>0.29312508107961377</v>
      </c>
      <c r="BP203" s="1071"/>
      <c r="BQ203" s="77">
        <f t="shared" si="659"/>
        <v>46416</v>
      </c>
      <c r="BR203" s="98"/>
      <c r="BS203" s="35">
        <f>40416+6000</f>
        <v>46416</v>
      </c>
      <c r="BT203" s="35"/>
      <c r="BU203" s="35">
        <f t="shared" si="660"/>
        <v>505301</v>
      </c>
      <c r="BV203" s="74">
        <f t="shared" si="661"/>
        <v>446.45209954397228</v>
      </c>
      <c r="BW203" s="1143"/>
      <c r="BX203" s="295">
        <f t="shared" si="662"/>
        <v>1650</v>
      </c>
      <c r="BY203" s="296"/>
      <c r="BZ203" s="296">
        <v>1650</v>
      </c>
      <c r="CA203" s="296"/>
      <c r="CB203" s="297"/>
      <c r="CC203" s="296">
        <f t="shared" si="663"/>
        <v>10850</v>
      </c>
      <c r="CD203" s="297">
        <f t="shared" si="664"/>
        <v>0.10924729079808358</v>
      </c>
      <c r="CE203" s="1177"/>
      <c r="CF203" s="33"/>
    </row>
    <row r="204" spans="1:84">
      <c r="A204" s="30">
        <v>43786</v>
      </c>
      <c r="B204" s="32">
        <v>81610</v>
      </c>
      <c r="C204" s="1">
        <f t="shared" si="671"/>
        <v>99397574</v>
      </c>
      <c r="D204" s="91">
        <v>3964.94</v>
      </c>
      <c r="E204" s="93">
        <f t="shared" si="615"/>
        <v>1135779.5299999996</v>
      </c>
      <c r="F204" s="108">
        <f t="shared" si="672"/>
        <v>31380</v>
      </c>
      <c r="G204" s="340"/>
      <c r="H204" s="108">
        <v>31380</v>
      </c>
      <c r="I204" s="271"/>
      <c r="J204" s="280"/>
      <c r="K204" s="240">
        <f t="shared" si="631"/>
        <v>2909950</v>
      </c>
      <c r="L204" s="280">
        <f t="shared" si="632"/>
        <v>29.275865425045485</v>
      </c>
      <c r="M204" s="280">
        <f t="shared" si="633"/>
        <v>3.584653535575546</v>
      </c>
      <c r="N204" s="1089"/>
      <c r="O204" s="1084"/>
      <c r="P204" s="77">
        <f t="shared" si="634"/>
        <v>39335</v>
      </c>
      <c r="Q204" s="98"/>
      <c r="R204" s="35">
        <v>38277</v>
      </c>
      <c r="S204" s="35">
        <f t="shared" si="635"/>
        <v>1058</v>
      </c>
      <c r="T204" s="36">
        <f t="shared" si="636"/>
        <v>12.964097537066536</v>
      </c>
      <c r="U204" s="74">
        <f t="shared" si="637"/>
        <v>296331</v>
      </c>
      <c r="V204" s="36">
        <f t="shared" si="638"/>
        <v>2.9812699452805558</v>
      </c>
      <c r="W204" s="1179"/>
      <c r="X204" s="49">
        <f t="shared" si="639"/>
        <v>1123</v>
      </c>
      <c r="Y204" s="50"/>
      <c r="Z204" s="50">
        <f>1024+45</f>
        <v>1069</v>
      </c>
      <c r="AA204" s="50">
        <f t="shared" si="665"/>
        <v>54</v>
      </c>
      <c r="AB204" s="51">
        <f t="shared" si="666"/>
        <v>0.661683617203774</v>
      </c>
      <c r="AC204" s="50">
        <f t="shared" si="640"/>
        <v>19425</v>
      </c>
      <c r="AD204" s="51">
        <f t="shared" si="641"/>
        <v>0.19542730489579152</v>
      </c>
      <c r="AE204" s="1050"/>
      <c r="AF204" s="40">
        <f t="shared" si="642"/>
        <v>964</v>
      </c>
      <c r="AG204" s="41"/>
      <c r="AH204" s="41">
        <v>945</v>
      </c>
      <c r="AI204" s="41">
        <f t="shared" si="643"/>
        <v>19</v>
      </c>
      <c r="AJ204" s="42">
        <f t="shared" si="644"/>
        <v>0.23281460605317975</v>
      </c>
      <c r="AK204" s="41">
        <f t="shared" si="645"/>
        <v>10721</v>
      </c>
      <c r="AL204" s="42">
        <f t="shared" si="646"/>
        <v>0.10785977533013029</v>
      </c>
      <c r="AM204" s="1058"/>
      <c r="AN204" s="220">
        <v>3.2</v>
      </c>
      <c r="AO204" s="67">
        <v>24</v>
      </c>
      <c r="AP204" s="68">
        <f t="shared" si="647"/>
        <v>38.173440000000006</v>
      </c>
      <c r="AQ204" s="68">
        <f t="shared" si="648"/>
        <v>9.6277472042452121</v>
      </c>
      <c r="AR204" s="258">
        <f t="shared" si="649"/>
        <v>9972.2147400000049</v>
      </c>
      <c r="AS204" s="68">
        <f t="shared" si="650"/>
        <v>8.780062042498697</v>
      </c>
      <c r="AT204" s="1118"/>
      <c r="AU204" s="70">
        <v>1.8</v>
      </c>
      <c r="AV204" s="71">
        <v>12</v>
      </c>
      <c r="AW204" s="72">
        <f t="shared" si="667"/>
        <v>11.161368000000001</v>
      </c>
      <c r="AX204" s="72">
        <f t="shared" si="668"/>
        <v>2.8150156118377581</v>
      </c>
      <c r="AY204" s="276">
        <f t="shared" si="669"/>
        <v>2993.4168900000013</v>
      </c>
      <c r="AZ204" s="72">
        <f t="shared" si="670"/>
        <v>2.6355615776945749</v>
      </c>
      <c r="BA204" s="1174"/>
      <c r="BB204" s="253">
        <f t="shared" si="651"/>
        <v>17375</v>
      </c>
      <c r="BC204" s="56"/>
      <c r="BD204" s="252">
        <v>17375</v>
      </c>
      <c r="BE204" s="56"/>
      <c r="BF204" s="56">
        <f t="shared" si="652"/>
        <v>92525</v>
      </c>
      <c r="BG204" s="58">
        <f t="shared" si="653"/>
        <v>81.463873538907706</v>
      </c>
      <c r="BH204" s="1140"/>
      <c r="BI204" s="63">
        <f t="shared" si="654"/>
        <v>720</v>
      </c>
      <c r="BJ204" s="64"/>
      <c r="BK204" s="64">
        <v>660</v>
      </c>
      <c r="BL204" s="64">
        <f t="shared" si="655"/>
        <v>60</v>
      </c>
      <c r="BM204" s="65">
        <f t="shared" si="656"/>
        <v>0.73520401911530453</v>
      </c>
      <c r="BN204" s="64">
        <f t="shared" si="657"/>
        <v>29172</v>
      </c>
      <c r="BO204" s="65">
        <f t="shared" si="658"/>
        <v>0.29348804830991149</v>
      </c>
      <c r="BP204" s="1071"/>
      <c r="BQ204" s="77">
        <f t="shared" si="659"/>
        <v>46416</v>
      </c>
      <c r="BR204" s="98"/>
      <c r="BS204" s="35">
        <f>40416+6000</f>
        <v>46416</v>
      </c>
      <c r="BT204" s="35"/>
      <c r="BU204" s="35">
        <f t="shared" si="660"/>
        <v>505301</v>
      </c>
      <c r="BV204" s="74">
        <f t="shared" si="661"/>
        <v>444.89356134108192</v>
      </c>
      <c r="BW204" s="1143"/>
      <c r="BX204" s="295">
        <f t="shared" si="662"/>
        <v>1650</v>
      </c>
      <c r="BY204" s="296"/>
      <c r="BZ204" s="296">
        <v>1650</v>
      </c>
      <c r="CA204" s="296"/>
      <c r="CB204" s="297"/>
      <c r="CC204" s="296">
        <f t="shared" si="663"/>
        <v>10850</v>
      </c>
      <c r="CD204" s="297">
        <f t="shared" si="664"/>
        <v>0.10915759372557725</v>
      </c>
      <c r="CE204" s="1177"/>
      <c r="CF204" s="33"/>
    </row>
    <row r="205" spans="1:84">
      <c r="A205" s="30">
        <v>43787</v>
      </c>
      <c r="B205" s="32">
        <v>498344</v>
      </c>
      <c r="C205" s="1">
        <f t="shared" si="671"/>
        <v>99895918</v>
      </c>
      <c r="D205" s="91">
        <v>6324.22</v>
      </c>
      <c r="E205" s="93">
        <f t="shared" si="615"/>
        <v>1142103.7499999995</v>
      </c>
      <c r="F205" s="108">
        <f t="shared" si="672"/>
        <v>31380</v>
      </c>
      <c r="G205" s="340"/>
      <c r="H205" s="108">
        <v>2000</v>
      </c>
      <c r="I205" s="271">
        <f t="shared" si="629"/>
        <v>29380</v>
      </c>
      <c r="J205" s="280">
        <f t="shared" si="630"/>
        <v>58.955259820525583</v>
      </c>
      <c r="K205" s="240">
        <f t="shared" si="631"/>
        <v>2939330</v>
      </c>
      <c r="L205" s="280">
        <f t="shared" si="632"/>
        <v>29.423925009628523</v>
      </c>
      <c r="M205" s="280">
        <f t="shared" si="633"/>
        <v>3.602782540667139</v>
      </c>
      <c r="N205" s="1089"/>
      <c r="O205" s="1084"/>
      <c r="P205" s="77">
        <f t="shared" si="634"/>
        <v>38277</v>
      </c>
      <c r="Q205" s="98"/>
      <c r="R205" s="35">
        <v>36147</v>
      </c>
      <c r="S205" s="35">
        <f t="shared" si="635"/>
        <v>2130</v>
      </c>
      <c r="T205" s="36">
        <f t="shared" si="636"/>
        <v>4.2741560046875247</v>
      </c>
      <c r="U205" s="74">
        <f t="shared" si="637"/>
        <v>298461</v>
      </c>
      <c r="V205" s="36">
        <f t="shared" si="638"/>
        <v>2.9877196783956679</v>
      </c>
      <c r="W205" s="1179"/>
      <c r="X205" s="49">
        <f t="shared" si="639"/>
        <v>1069</v>
      </c>
      <c r="Y205" s="50"/>
      <c r="Z205" s="50">
        <f>1007+50</f>
        <v>1057</v>
      </c>
      <c r="AA205" s="50">
        <f t="shared" si="665"/>
        <v>12</v>
      </c>
      <c r="AB205" s="51">
        <f t="shared" si="666"/>
        <v>2.4079752139084649E-2</v>
      </c>
      <c r="AC205" s="50">
        <f t="shared" si="640"/>
        <v>19437</v>
      </c>
      <c r="AD205" s="51">
        <f t="shared" si="641"/>
        <v>0.19457251496502589</v>
      </c>
      <c r="AE205" s="1050"/>
      <c r="AF205" s="40">
        <f t="shared" si="642"/>
        <v>945</v>
      </c>
      <c r="AG205" s="41"/>
      <c r="AH205" s="41">
        <v>905</v>
      </c>
      <c r="AI205" s="41">
        <f t="shared" si="643"/>
        <v>40</v>
      </c>
      <c r="AJ205" s="42">
        <f t="shared" si="644"/>
        <v>8.0265840463615498E-2</v>
      </c>
      <c r="AK205" s="41">
        <f t="shared" si="645"/>
        <v>10761</v>
      </c>
      <c r="AL205" s="42">
        <f t="shared" si="646"/>
        <v>0.10772211933624755</v>
      </c>
      <c r="AM205" s="1058"/>
      <c r="AN205" s="220">
        <v>6.7</v>
      </c>
      <c r="AO205" s="67">
        <v>24</v>
      </c>
      <c r="AP205" s="68">
        <f t="shared" si="647"/>
        <v>79.925640000000001</v>
      </c>
      <c r="AQ205" s="68">
        <f t="shared" si="648"/>
        <v>12.638023345171419</v>
      </c>
      <c r="AR205" s="258">
        <f t="shared" si="649"/>
        <v>10052.140380000004</v>
      </c>
      <c r="AS205" s="68">
        <f t="shared" si="650"/>
        <v>8.8014248968187072</v>
      </c>
      <c r="AT205" s="1118"/>
      <c r="AU205" s="70">
        <v>3.3</v>
      </c>
      <c r="AV205" s="71">
        <v>12</v>
      </c>
      <c r="AW205" s="72">
        <f t="shared" si="667"/>
        <v>20.462508</v>
      </c>
      <c r="AX205" s="72">
        <f t="shared" si="668"/>
        <v>3.2355781424428622</v>
      </c>
      <c r="AY205" s="276">
        <f t="shared" si="669"/>
        <v>3013.8793980000014</v>
      </c>
      <c r="AZ205" s="72">
        <f t="shared" si="670"/>
        <v>2.6388840751113922</v>
      </c>
      <c r="BA205" s="1174"/>
      <c r="BB205" s="253">
        <f t="shared" si="651"/>
        <v>17375</v>
      </c>
      <c r="BC205" s="56"/>
      <c r="BD205" s="252">
        <v>17375</v>
      </c>
      <c r="BE205" s="56"/>
      <c r="BF205" s="56">
        <f t="shared" si="652"/>
        <v>92525</v>
      </c>
      <c r="BG205" s="58">
        <f t="shared" si="653"/>
        <v>81.012780143660365</v>
      </c>
      <c r="BH205" s="1140"/>
      <c r="BI205" s="63">
        <f t="shared" si="654"/>
        <v>660</v>
      </c>
      <c r="BJ205" s="64"/>
      <c r="BK205" s="64">
        <v>504</v>
      </c>
      <c r="BL205" s="64">
        <f t="shared" si="655"/>
        <v>156</v>
      </c>
      <c r="BM205" s="65">
        <f t="shared" si="656"/>
        <v>0.31303677780810041</v>
      </c>
      <c r="BN205" s="64">
        <f t="shared" si="657"/>
        <v>29328</v>
      </c>
      <c r="BO205" s="65">
        <f t="shared" si="658"/>
        <v>0.29358556973268918</v>
      </c>
      <c r="BP205" s="1071"/>
      <c r="BQ205" s="77">
        <f t="shared" si="659"/>
        <v>46416</v>
      </c>
      <c r="BR205" s="98"/>
      <c r="BS205" s="35">
        <f>40416+6000</f>
        <v>46416</v>
      </c>
      <c r="BT205" s="35"/>
      <c r="BU205" s="35">
        <f t="shared" si="660"/>
        <v>505301</v>
      </c>
      <c r="BV205" s="74">
        <f t="shared" si="661"/>
        <v>442.43003317343124</v>
      </c>
      <c r="BW205" s="1143"/>
      <c r="BX205" s="295">
        <f t="shared" si="662"/>
        <v>1650</v>
      </c>
      <c r="BY205" s="296"/>
      <c r="BZ205" s="296">
        <v>1650</v>
      </c>
      <c r="CA205" s="296"/>
      <c r="CB205" s="297"/>
      <c r="CC205" s="296">
        <f t="shared" si="663"/>
        <v>10850</v>
      </c>
      <c r="CD205" s="297">
        <f t="shared" si="664"/>
        <v>0.10861304663119468</v>
      </c>
      <c r="CE205" s="1177"/>
      <c r="CF205" s="33"/>
    </row>
    <row r="206" spans="1:84">
      <c r="A206" s="30">
        <v>43788</v>
      </c>
      <c r="B206" s="32">
        <v>550915</v>
      </c>
      <c r="C206" s="1">
        <f t="shared" si="671"/>
        <v>100446833</v>
      </c>
      <c r="D206" s="91">
        <v>6359.6</v>
      </c>
      <c r="E206" s="93">
        <f t="shared" si="615"/>
        <v>1148463.3499999996</v>
      </c>
      <c r="F206" s="108">
        <f t="shared" si="672"/>
        <v>2000</v>
      </c>
      <c r="G206" s="340">
        <v>31760</v>
      </c>
      <c r="H206" s="108">
        <v>16000</v>
      </c>
      <c r="I206" s="271">
        <f t="shared" si="629"/>
        <v>17760</v>
      </c>
      <c r="J206" s="280">
        <f t="shared" si="630"/>
        <v>32.237277982991934</v>
      </c>
      <c r="K206" s="240">
        <f t="shared" si="631"/>
        <v>2957090</v>
      </c>
      <c r="L206" s="280">
        <f t="shared" si="632"/>
        <v>29.439355245774649</v>
      </c>
      <c r="M206" s="280">
        <f t="shared" si="633"/>
        <v>3.6046718802221931</v>
      </c>
      <c r="N206" s="1089"/>
      <c r="O206" s="1084"/>
      <c r="P206" s="77">
        <f t="shared" si="634"/>
        <v>36147</v>
      </c>
      <c r="Q206" s="98"/>
      <c r="R206" s="35">
        <v>34539</v>
      </c>
      <c r="S206" s="35">
        <f t="shared" si="635"/>
        <v>1608</v>
      </c>
      <c r="T206" s="36">
        <f t="shared" si="636"/>
        <v>2.9187805741357558</v>
      </c>
      <c r="U206" s="74">
        <f t="shared" si="637"/>
        <v>300069</v>
      </c>
      <c r="V206" s="36">
        <f t="shared" si="638"/>
        <v>2.987341572033436</v>
      </c>
      <c r="W206" s="1179"/>
      <c r="X206" s="49">
        <f t="shared" si="639"/>
        <v>1057</v>
      </c>
      <c r="Y206" s="50"/>
      <c r="Z206" s="50">
        <f>886+100</f>
        <v>986</v>
      </c>
      <c r="AA206" s="50">
        <f t="shared" si="665"/>
        <v>71</v>
      </c>
      <c r="AB206" s="51">
        <f t="shared" si="666"/>
        <v>0.12887650545002405</v>
      </c>
      <c r="AC206" s="50">
        <f t="shared" si="640"/>
        <v>19508</v>
      </c>
      <c r="AD206" s="51">
        <f t="shared" si="641"/>
        <v>0.19421219581905583</v>
      </c>
      <c r="AE206" s="1050"/>
      <c r="AF206" s="40">
        <f t="shared" si="642"/>
        <v>905</v>
      </c>
      <c r="AG206" s="41"/>
      <c r="AH206" s="41">
        <v>885</v>
      </c>
      <c r="AI206" s="41">
        <f t="shared" si="643"/>
        <v>20</v>
      </c>
      <c r="AJ206" s="42">
        <f t="shared" si="644"/>
        <v>3.6303240971837764E-2</v>
      </c>
      <c r="AK206" s="41">
        <f t="shared" si="645"/>
        <v>10781</v>
      </c>
      <c r="AL206" s="42">
        <f t="shared" si="646"/>
        <v>0.10733041229881285</v>
      </c>
      <c r="AM206" s="1058"/>
      <c r="AN206" s="220">
        <v>5.9</v>
      </c>
      <c r="AO206" s="67">
        <v>24</v>
      </c>
      <c r="AP206" s="68">
        <f t="shared" si="647"/>
        <v>70.382280000000009</v>
      </c>
      <c r="AQ206" s="68">
        <f t="shared" si="648"/>
        <v>11.067092269954086</v>
      </c>
      <c r="AR206" s="258">
        <f t="shared" si="649"/>
        <v>10122.522660000004</v>
      </c>
      <c r="AS206" s="68">
        <f t="shared" si="650"/>
        <v>8.8139709987262602</v>
      </c>
      <c r="AT206" s="1118"/>
      <c r="AU206" s="70">
        <v>3.2</v>
      </c>
      <c r="AV206" s="71">
        <v>12</v>
      </c>
      <c r="AW206" s="72">
        <f t="shared" si="667"/>
        <v>19.842432000000002</v>
      </c>
      <c r="AX206" s="72">
        <f t="shared" si="668"/>
        <v>3.1200754764450593</v>
      </c>
      <c r="AY206" s="276">
        <f t="shared" si="669"/>
        <v>3033.7218300000013</v>
      </c>
      <c r="AZ206" s="72">
        <f t="shared" si="670"/>
        <v>2.6415486658760181</v>
      </c>
      <c r="BA206" s="1174"/>
      <c r="BB206" s="253">
        <f t="shared" si="651"/>
        <v>17375</v>
      </c>
      <c r="BC206" s="56"/>
      <c r="BD206" s="252">
        <v>17375</v>
      </c>
      <c r="BE206" s="56"/>
      <c r="BF206" s="56">
        <f t="shared" si="652"/>
        <v>92525</v>
      </c>
      <c r="BG206" s="58">
        <f t="shared" si="653"/>
        <v>80.564172988193334</v>
      </c>
      <c r="BH206" s="1140"/>
      <c r="BI206" s="63">
        <f t="shared" si="654"/>
        <v>504</v>
      </c>
      <c r="BJ206" s="64"/>
      <c r="BK206" s="64">
        <v>360</v>
      </c>
      <c r="BL206" s="64">
        <f t="shared" si="655"/>
        <v>144</v>
      </c>
      <c r="BM206" s="65">
        <f t="shared" si="656"/>
        <v>0.26138333499723188</v>
      </c>
      <c r="BN206" s="64">
        <f t="shared" si="657"/>
        <v>29472</v>
      </c>
      <c r="BO206" s="65">
        <f t="shared" si="658"/>
        <v>0.29340895197760991</v>
      </c>
      <c r="BP206" s="1071"/>
      <c r="BQ206" s="77">
        <f t="shared" si="659"/>
        <v>46416</v>
      </c>
      <c r="BR206" s="98"/>
      <c r="BS206" s="35">
        <f>38568+6000</f>
        <v>44568</v>
      </c>
      <c r="BT206" s="35">
        <f>BQ206-BS206+BR206</f>
        <v>1848</v>
      </c>
      <c r="BU206" s="35">
        <f t="shared" si="660"/>
        <v>507149</v>
      </c>
      <c r="BV206" s="74">
        <f t="shared" si="661"/>
        <v>441.58918958972453</v>
      </c>
      <c r="BW206" s="1143"/>
      <c r="BX206" s="295">
        <f t="shared" si="662"/>
        <v>1650</v>
      </c>
      <c r="BY206" s="296"/>
      <c r="BZ206" s="296">
        <v>1450</v>
      </c>
      <c r="CA206" s="296">
        <f>BY206+BX206-BZ206</f>
        <v>200</v>
      </c>
      <c r="CB206" s="297">
        <f>CA206*1000/B206</f>
        <v>0.36303240971837764</v>
      </c>
      <c r="CC206" s="296">
        <f t="shared" si="663"/>
        <v>11050</v>
      </c>
      <c r="CD206" s="297">
        <f t="shared" si="664"/>
        <v>0.1100084459606606</v>
      </c>
      <c r="CE206" s="1177"/>
      <c r="CF206" s="33"/>
    </row>
    <row r="207" spans="1:84">
      <c r="A207" s="30">
        <v>43789</v>
      </c>
      <c r="B207" s="32">
        <v>642866</v>
      </c>
      <c r="C207" s="1">
        <f t="shared" si="671"/>
        <v>101089699</v>
      </c>
      <c r="D207" s="91">
        <v>6063.22</v>
      </c>
      <c r="E207" s="93">
        <f t="shared" si="615"/>
        <v>1154526.5699999996</v>
      </c>
      <c r="F207" s="108">
        <f t="shared" si="672"/>
        <v>16000</v>
      </c>
      <c r="G207" s="340">
        <v>31070</v>
      </c>
      <c r="H207" s="108">
        <v>16000</v>
      </c>
      <c r="I207" s="271">
        <f t="shared" si="629"/>
        <v>31070</v>
      </c>
      <c r="J207" s="280">
        <f t="shared" si="630"/>
        <v>48.330445224976899</v>
      </c>
      <c r="K207" s="240">
        <f t="shared" si="631"/>
        <v>2988160</v>
      </c>
      <c r="L207" s="280">
        <f t="shared" si="632"/>
        <v>29.559490527318712</v>
      </c>
      <c r="M207" s="280">
        <f t="shared" si="633"/>
        <v>3.6193817224585176</v>
      </c>
      <c r="N207" s="1089"/>
      <c r="O207" s="1084"/>
      <c r="P207" s="77">
        <f t="shared" si="634"/>
        <v>34539</v>
      </c>
      <c r="Q207" s="98"/>
      <c r="R207" s="35">
        <v>34539</v>
      </c>
      <c r="S207" s="35"/>
      <c r="T207" s="36"/>
      <c r="U207" s="74">
        <f t="shared" ref="U207:U217" si="673">U206+S207</f>
        <v>300069</v>
      </c>
      <c r="V207" s="36">
        <f t="shared" ref="V207:V217" si="674">1000*U207/C207</f>
        <v>2.9683439852758884</v>
      </c>
      <c r="W207" s="1179"/>
      <c r="X207" s="49">
        <f t="shared" si="639"/>
        <v>986</v>
      </c>
      <c r="Y207" s="50"/>
      <c r="Z207" s="50">
        <f>832+108</f>
        <v>940</v>
      </c>
      <c r="AA207" s="50">
        <f t="shared" si="665"/>
        <v>46</v>
      </c>
      <c r="AB207" s="51">
        <f t="shared" si="666"/>
        <v>7.1554569692595341E-2</v>
      </c>
      <c r="AC207" s="50">
        <f t="shared" si="640"/>
        <v>19554</v>
      </c>
      <c r="AD207" s="51">
        <f t="shared" si="641"/>
        <v>0.19343217156082343</v>
      </c>
      <c r="AE207" s="1050"/>
      <c r="AF207" s="40">
        <f t="shared" si="642"/>
        <v>885</v>
      </c>
      <c r="AG207" s="41"/>
      <c r="AH207" s="41">
        <v>845</v>
      </c>
      <c r="AI207" s="41">
        <f t="shared" si="643"/>
        <v>40</v>
      </c>
      <c r="AJ207" s="42">
        <f t="shared" si="644"/>
        <v>6.2221364950082909E-2</v>
      </c>
      <c r="AK207" s="41">
        <f t="shared" si="645"/>
        <v>10821</v>
      </c>
      <c r="AL207" s="42">
        <f t="shared" si="646"/>
        <v>0.10704354753296871</v>
      </c>
      <c r="AM207" s="1058"/>
      <c r="AN207" s="220">
        <v>7.1</v>
      </c>
      <c r="AO207" s="67">
        <v>24</v>
      </c>
      <c r="AP207" s="68">
        <f>AN207*AO207*0.49705</f>
        <v>84.697319999999991</v>
      </c>
      <c r="AQ207" s="68">
        <f t="shared" ref="AQ207:AQ214" si="675">AP207*1000/D207</f>
        <v>13.969032956086039</v>
      </c>
      <c r="AR207" s="258">
        <f t="shared" ref="AR207:AR225" si="676">AR206+AP207</f>
        <v>10207.219980000003</v>
      </c>
      <c r="AS207" s="68">
        <f t="shared" si="650"/>
        <v>8.8410438055141576</v>
      </c>
      <c r="AT207" s="1118"/>
      <c r="AU207" s="70">
        <v>3.2</v>
      </c>
      <c r="AV207" s="71">
        <v>12</v>
      </c>
      <c r="AW207" s="72">
        <f t="shared" ref="AW207:AW214" si="677">AU207*AV207*0.51673</f>
        <v>19.842432000000002</v>
      </c>
      <c r="AX207" s="72">
        <f t="shared" ref="AX207:AX214" si="678">AW207*1000/D207</f>
        <v>3.2725898120140782</v>
      </c>
      <c r="AY207" s="276">
        <f t="shared" ref="AY207:AY217" si="679">AY206+AW207</f>
        <v>3053.5642620000012</v>
      </c>
      <c r="AZ207" s="72">
        <f t="shared" ref="AZ207:AZ217" si="680">AY207*1000/E207</f>
        <v>2.6448627007345547</v>
      </c>
      <c r="BA207" s="1174"/>
      <c r="BB207" s="253">
        <f t="shared" si="651"/>
        <v>17375</v>
      </c>
      <c r="BC207" s="56"/>
      <c r="BD207" s="252">
        <v>17375</v>
      </c>
      <c r="BE207" s="56"/>
      <c r="BF207" s="56">
        <f t="shared" si="652"/>
        <v>92525</v>
      </c>
      <c r="BG207" s="58">
        <f t="shared" si="653"/>
        <v>80.141074622474932</v>
      </c>
      <c r="BH207" s="1140"/>
      <c r="BI207" s="63">
        <f t="shared" si="654"/>
        <v>360</v>
      </c>
      <c r="BJ207" s="64">
        <v>1100</v>
      </c>
      <c r="BK207" s="64">
        <v>1320</v>
      </c>
      <c r="BL207" s="64">
        <f t="shared" si="655"/>
        <v>140</v>
      </c>
      <c r="BM207" s="65">
        <f t="shared" si="656"/>
        <v>0.21777477732529019</v>
      </c>
      <c r="BN207" s="64">
        <f t="shared" si="657"/>
        <v>29612</v>
      </c>
      <c r="BO207" s="65">
        <f t="shared" si="658"/>
        <v>0.29292796687425093</v>
      </c>
      <c r="BP207" s="1071"/>
      <c r="BQ207" s="77">
        <f t="shared" si="659"/>
        <v>44568</v>
      </c>
      <c r="BR207" s="98"/>
      <c r="BS207" s="35">
        <f>36719+6000</f>
        <v>42719</v>
      </c>
      <c r="BT207" s="35">
        <f>BQ207-BS207+BR207</f>
        <v>1849</v>
      </c>
      <c r="BU207" s="35">
        <f t="shared" si="660"/>
        <v>508998</v>
      </c>
      <c r="BV207" s="74">
        <f t="shared" si="661"/>
        <v>440.87162065053224</v>
      </c>
      <c r="BW207" s="1143"/>
      <c r="BX207" s="295">
        <f t="shared" si="662"/>
        <v>1450</v>
      </c>
      <c r="BY207" s="296"/>
      <c r="BZ207" s="296">
        <v>1200</v>
      </c>
      <c r="CA207" s="296">
        <f>BY207+BX207-BZ207</f>
        <v>250</v>
      </c>
      <c r="CB207" s="297">
        <f>CA207*1000/B207</f>
        <v>0.3888835309380182</v>
      </c>
      <c r="CC207" s="296">
        <f t="shared" si="663"/>
        <v>11300</v>
      </c>
      <c r="CD207" s="297">
        <f t="shared" si="664"/>
        <v>0.11178191360526259</v>
      </c>
      <c r="CE207" s="1177"/>
      <c r="CF207" s="33"/>
    </row>
    <row r="208" spans="1:84">
      <c r="A208" s="30">
        <v>43790</v>
      </c>
      <c r="B208" s="32">
        <v>643321</v>
      </c>
      <c r="C208" s="1">
        <f t="shared" si="671"/>
        <v>101733020</v>
      </c>
      <c r="D208" s="91">
        <v>5895.74</v>
      </c>
      <c r="E208" s="93">
        <f t="shared" si="615"/>
        <v>1160422.3099999996</v>
      </c>
      <c r="F208" s="108">
        <f t="shared" si="672"/>
        <v>16000</v>
      </c>
      <c r="G208" s="340">
        <v>31680</v>
      </c>
      <c r="H208" s="108">
        <v>12000</v>
      </c>
      <c r="I208" s="271">
        <f t="shared" ref="I208:I213" si="681">F208-H208+G208</f>
        <v>35680</v>
      </c>
      <c r="J208" s="280">
        <f t="shared" ref="J208:J213" si="682">I208*1000/B208</f>
        <v>55.462203161407757</v>
      </c>
      <c r="K208" s="240">
        <f t="shared" ref="K208:K217" si="683">K207+I208</f>
        <v>3023840</v>
      </c>
      <c r="L208" s="280">
        <f t="shared" ref="L208:L217" si="684">K208*1000/C208</f>
        <v>29.723289449187689</v>
      </c>
      <c r="M208" s="280">
        <f t="shared" ref="M208:M217" si="685">L208/8.167</f>
        <v>3.6394379146795259</v>
      </c>
      <c r="N208" s="1089"/>
      <c r="O208" s="1084"/>
      <c r="P208" s="77">
        <f t="shared" si="634"/>
        <v>34539</v>
      </c>
      <c r="Q208" s="98"/>
      <c r="R208" s="35">
        <v>34539</v>
      </c>
      <c r="S208" s="35"/>
      <c r="T208" s="36"/>
      <c r="U208" s="74">
        <f t="shared" si="673"/>
        <v>300069</v>
      </c>
      <c r="V208" s="36">
        <f t="shared" si="674"/>
        <v>2.9495733047146344</v>
      </c>
      <c r="W208" s="1179"/>
      <c r="X208" s="49">
        <f t="shared" si="639"/>
        <v>940</v>
      </c>
      <c r="Y208" s="50"/>
      <c r="Z208" s="50">
        <f>743+125</f>
        <v>868</v>
      </c>
      <c r="AA208" s="50">
        <f t="shared" ref="AA208:AA213" si="686">X208-Z208+Y208</f>
        <v>72</v>
      </c>
      <c r="AB208" s="51">
        <f t="shared" ref="AB208:AB213" si="687">AA208*1000/B208</f>
        <v>0.11191924404768382</v>
      </c>
      <c r="AC208" s="50">
        <f t="shared" ref="AC208:AC213" si="688">AC207+AA208</f>
        <v>19626</v>
      </c>
      <c r="AD208" s="51">
        <f t="shared" ref="AD208:AD213" si="689">AC208*1000/C208</f>
        <v>0.19291671475003888</v>
      </c>
      <c r="AE208" s="1050"/>
      <c r="AF208" s="40">
        <f t="shared" si="642"/>
        <v>845</v>
      </c>
      <c r="AG208" s="41"/>
      <c r="AH208" s="41">
        <v>825</v>
      </c>
      <c r="AI208" s="41">
        <f t="shared" ref="AI208:AI213" si="690">AF208+AG208-AH208</f>
        <v>20</v>
      </c>
      <c r="AJ208" s="42">
        <f t="shared" ref="AJ208:AJ213" si="691">AI208*1000/B208</f>
        <v>3.1088678902134393E-2</v>
      </c>
      <c r="AK208" s="41">
        <f t="shared" ref="AK208:AK217" si="692">AK207+AI208</f>
        <v>10841</v>
      </c>
      <c r="AL208" s="42">
        <f t="shared" ref="AL208:AL217" si="693">AK208*1000/C208</f>
        <v>0.10656323777668254</v>
      </c>
      <c r="AM208" s="1058"/>
      <c r="AN208" s="220">
        <v>6.6</v>
      </c>
      <c r="AO208" s="67">
        <v>24</v>
      </c>
      <c r="AP208" s="68">
        <f t="shared" ref="AP208:AP213" si="694">AN208*AO208*0.49705</f>
        <v>78.732719999999986</v>
      </c>
      <c r="AQ208" s="68">
        <f t="shared" si="675"/>
        <v>13.354170977688973</v>
      </c>
      <c r="AR208" s="258">
        <f t="shared" si="676"/>
        <v>10285.952700000003</v>
      </c>
      <c r="AS208" s="68">
        <f t="shared" ref="AS208:AS225" si="695">AR208*1000/E208</f>
        <v>8.8639735821694146</v>
      </c>
      <c r="AT208" s="1118"/>
      <c r="AU208" s="70">
        <v>2.9</v>
      </c>
      <c r="AV208" s="71">
        <v>12</v>
      </c>
      <c r="AW208" s="72">
        <f t="shared" si="677"/>
        <v>17.982203999999999</v>
      </c>
      <c r="AX208" s="72">
        <f t="shared" si="678"/>
        <v>3.0500334139565175</v>
      </c>
      <c r="AY208" s="276">
        <f t="shared" si="679"/>
        <v>3071.5464660000011</v>
      </c>
      <c r="AZ208" s="72">
        <f t="shared" si="680"/>
        <v>2.6469212454214208</v>
      </c>
      <c r="BA208" s="1174"/>
      <c r="BB208" s="253">
        <f t="shared" si="651"/>
        <v>17375</v>
      </c>
      <c r="BC208" s="56"/>
      <c r="BD208" s="252">
        <v>17375</v>
      </c>
      <c r="BE208" s="56"/>
      <c r="BF208" s="56">
        <f t="shared" ref="BF208:BF217" si="696">BF207+BE208</f>
        <v>92525</v>
      </c>
      <c r="BG208" s="58">
        <f t="shared" ref="BG208:BG217" si="697">BF208*1000/E208</f>
        <v>79.733903082232217</v>
      </c>
      <c r="BH208" s="1140"/>
      <c r="BI208" s="63">
        <f t="shared" si="654"/>
        <v>1320</v>
      </c>
      <c r="BJ208" s="64"/>
      <c r="BK208" s="64">
        <v>1080</v>
      </c>
      <c r="BL208" s="64">
        <f t="shared" ref="BL208:BL213" si="698">BI208-BK208+BJ208</f>
        <v>240</v>
      </c>
      <c r="BM208" s="65">
        <f t="shared" ref="BM208:BM213" si="699">BL208*1000/B208</f>
        <v>0.37306414682561273</v>
      </c>
      <c r="BN208" s="64">
        <f t="shared" ref="BN208:BN217" si="700">BN207+BL208</f>
        <v>29852</v>
      </c>
      <c r="BO208" s="65">
        <f t="shared" ref="BO208:BO217" si="701">BN208*1000/C208</f>
        <v>0.29343471765607665</v>
      </c>
      <c r="BP208" s="1071"/>
      <c r="BQ208" s="77">
        <f t="shared" si="659"/>
        <v>42719</v>
      </c>
      <c r="BR208" s="98"/>
      <c r="BS208" s="35">
        <f>32099+6000</f>
        <v>38099</v>
      </c>
      <c r="BT208" s="35">
        <f t="shared" ref="BT208:BT214" si="702">BQ208-BS208+BR208</f>
        <v>4620</v>
      </c>
      <c r="BU208" s="35">
        <f t="shared" ref="BU208:BU217" si="703">BU207+BT208</f>
        <v>513618</v>
      </c>
      <c r="BV208" s="74">
        <f t="shared" ref="BV208:BV217" si="704">BU208*1000/E208</f>
        <v>442.61300008959682</v>
      </c>
      <c r="BW208" s="1143"/>
      <c r="BX208" s="295">
        <f t="shared" si="662"/>
        <v>1200</v>
      </c>
      <c r="BY208" s="296"/>
      <c r="BZ208" s="296">
        <v>1000</v>
      </c>
      <c r="CA208" s="296">
        <f>BY208+BX208-BZ208</f>
        <v>200</v>
      </c>
      <c r="CB208" s="297">
        <f>CA208*1000/B208</f>
        <v>0.31088678902134392</v>
      </c>
      <c r="CC208" s="296">
        <f t="shared" ref="CC208:CC217" si="705">CC207+CA208</f>
        <v>11500</v>
      </c>
      <c r="CD208" s="297">
        <f t="shared" ref="CD208:CD217" si="706">CC208*1000/C208</f>
        <v>0.11304097725595878</v>
      </c>
      <c r="CE208" s="1177"/>
      <c r="CF208" s="33"/>
    </row>
    <row r="209" spans="1:84">
      <c r="A209" s="30">
        <v>43791</v>
      </c>
      <c r="B209" s="32">
        <v>373879</v>
      </c>
      <c r="C209" s="1">
        <f t="shared" si="671"/>
        <v>102106899</v>
      </c>
      <c r="D209" s="91">
        <v>4698.26</v>
      </c>
      <c r="E209" s="93">
        <f t="shared" si="615"/>
        <v>1165120.5699999996</v>
      </c>
      <c r="F209" s="108">
        <f t="shared" si="672"/>
        <v>12000</v>
      </c>
      <c r="G209" s="340">
        <v>31600</v>
      </c>
      <c r="H209" s="108">
        <v>14000</v>
      </c>
      <c r="I209" s="271">
        <f t="shared" si="681"/>
        <v>29600</v>
      </c>
      <c r="J209" s="280">
        <f t="shared" si="682"/>
        <v>79.169998849895293</v>
      </c>
      <c r="K209" s="240">
        <f t="shared" si="683"/>
        <v>3053440</v>
      </c>
      <c r="L209" s="280">
        <f t="shared" si="684"/>
        <v>29.904345640738732</v>
      </c>
      <c r="M209" s="280">
        <f t="shared" si="685"/>
        <v>3.6616071557167542</v>
      </c>
      <c r="N209" s="1089"/>
      <c r="O209" s="1084"/>
      <c r="P209" s="77">
        <f t="shared" si="634"/>
        <v>34539</v>
      </c>
      <c r="Q209" s="98"/>
      <c r="R209" s="35">
        <v>34539</v>
      </c>
      <c r="S209" s="35"/>
      <c r="T209" s="36"/>
      <c r="U209" s="74">
        <f t="shared" si="673"/>
        <v>300069</v>
      </c>
      <c r="V209" s="36">
        <f t="shared" si="674"/>
        <v>2.938773020616364</v>
      </c>
      <c r="W209" s="1179"/>
      <c r="X209" s="49">
        <f t="shared" si="639"/>
        <v>868</v>
      </c>
      <c r="Y209" s="50"/>
      <c r="Z209" s="50">
        <f>743+68</f>
        <v>811</v>
      </c>
      <c r="AA209" s="50">
        <f t="shared" si="686"/>
        <v>57</v>
      </c>
      <c r="AB209" s="51">
        <f t="shared" si="687"/>
        <v>0.15245574102851459</v>
      </c>
      <c r="AC209" s="50">
        <f t="shared" si="688"/>
        <v>19683</v>
      </c>
      <c r="AD209" s="51">
        <f t="shared" si="689"/>
        <v>0.19276856111358351</v>
      </c>
      <c r="AE209" s="1050"/>
      <c r="AF209" s="40">
        <f t="shared" si="642"/>
        <v>825</v>
      </c>
      <c r="AG209" s="41"/>
      <c r="AH209" s="41">
        <v>785</v>
      </c>
      <c r="AI209" s="41">
        <f t="shared" si="690"/>
        <v>40</v>
      </c>
      <c r="AJ209" s="42">
        <f t="shared" si="691"/>
        <v>0.10698648493229093</v>
      </c>
      <c r="AK209" s="41">
        <f t="shared" si="692"/>
        <v>10881</v>
      </c>
      <c r="AL209" s="42">
        <f t="shared" si="693"/>
        <v>0.1065647875566175</v>
      </c>
      <c r="AM209" s="1058"/>
      <c r="AN209" s="220">
        <v>5.5</v>
      </c>
      <c r="AO209" s="67">
        <v>24</v>
      </c>
      <c r="AP209" s="68">
        <f t="shared" si="694"/>
        <v>65.610600000000005</v>
      </c>
      <c r="AQ209" s="68">
        <f t="shared" si="675"/>
        <v>13.964872101586545</v>
      </c>
      <c r="AR209" s="258">
        <f t="shared" si="676"/>
        <v>10351.563300000003</v>
      </c>
      <c r="AS209" s="68">
        <f t="shared" si="695"/>
        <v>8.8845425671267702</v>
      </c>
      <c r="AT209" s="1118"/>
      <c r="AU209" s="70">
        <v>2</v>
      </c>
      <c r="AV209" s="71">
        <v>12</v>
      </c>
      <c r="AW209" s="72">
        <f t="shared" si="677"/>
        <v>12.401520000000001</v>
      </c>
      <c r="AX209" s="72">
        <f t="shared" si="678"/>
        <v>2.6395984896536167</v>
      </c>
      <c r="AY209" s="276">
        <f t="shared" si="679"/>
        <v>3083.947986000001</v>
      </c>
      <c r="AZ209" s="72">
        <f t="shared" si="680"/>
        <v>2.6468917169662554</v>
      </c>
      <c r="BA209" s="1174"/>
      <c r="BB209" s="253">
        <f t="shared" si="651"/>
        <v>17375</v>
      </c>
      <c r="BC209" s="56"/>
      <c r="BD209" s="252">
        <v>17375</v>
      </c>
      <c r="BE209" s="56"/>
      <c r="BF209" s="56">
        <f t="shared" si="696"/>
        <v>92525</v>
      </c>
      <c r="BG209" s="58">
        <f t="shared" si="697"/>
        <v>79.412382188051168</v>
      </c>
      <c r="BH209" s="1140"/>
      <c r="BI209" s="63">
        <f t="shared" si="654"/>
        <v>1080</v>
      </c>
      <c r="BJ209" s="64"/>
      <c r="BK209" s="64">
        <v>960</v>
      </c>
      <c r="BL209" s="64">
        <f t="shared" si="698"/>
        <v>120</v>
      </c>
      <c r="BM209" s="65">
        <f t="shared" si="699"/>
        <v>0.32095945479687277</v>
      </c>
      <c r="BN209" s="64">
        <f t="shared" si="700"/>
        <v>29972</v>
      </c>
      <c r="BO209" s="65">
        <f t="shared" si="701"/>
        <v>0.29353550341392698</v>
      </c>
      <c r="BP209" s="1071"/>
      <c r="BQ209" s="77">
        <f t="shared" si="659"/>
        <v>38099</v>
      </c>
      <c r="BR209" s="98"/>
      <c r="BS209" s="35">
        <f>28402+6000</f>
        <v>34402</v>
      </c>
      <c r="BT209" s="35">
        <f t="shared" si="702"/>
        <v>3697</v>
      </c>
      <c r="BU209" s="35">
        <f t="shared" si="703"/>
        <v>517315</v>
      </c>
      <c r="BV209" s="74">
        <f t="shared" si="704"/>
        <v>444.00125902849709</v>
      </c>
      <c r="BW209" s="1143"/>
      <c r="BX209" s="295">
        <f t="shared" si="662"/>
        <v>1000</v>
      </c>
      <c r="BY209" s="296"/>
      <c r="BZ209" s="296">
        <v>1000</v>
      </c>
      <c r="CA209" s="296"/>
      <c r="CB209" s="297"/>
      <c r="CC209" s="296">
        <f t="shared" si="705"/>
        <v>11500</v>
      </c>
      <c r="CD209" s="297">
        <f t="shared" si="706"/>
        <v>0.11262706156613374</v>
      </c>
      <c r="CE209" s="1177"/>
      <c r="CF209" s="33"/>
    </row>
    <row r="210" spans="1:84">
      <c r="A210" s="30">
        <v>43792</v>
      </c>
      <c r="B210" s="32">
        <v>606344</v>
      </c>
      <c r="C210" s="1">
        <f t="shared" si="671"/>
        <v>102713243</v>
      </c>
      <c r="D210" s="91">
        <v>7245</v>
      </c>
      <c r="E210" s="93">
        <f t="shared" si="615"/>
        <v>1172365.5699999996</v>
      </c>
      <c r="F210" s="108">
        <f t="shared" si="672"/>
        <v>14000</v>
      </c>
      <c r="G210" s="340">
        <v>31340</v>
      </c>
      <c r="H210" s="108">
        <v>4000</v>
      </c>
      <c r="I210" s="271">
        <f t="shared" si="681"/>
        <v>41340</v>
      </c>
      <c r="J210" s="280">
        <f t="shared" si="682"/>
        <v>68.179119443748107</v>
      </c>
      <c r="K210" s="240">
        <f t="shared" si="683"/>
        <v>3094780</v>
      </c>
      <c r="L210" s="280">
        <f t="shared" si="684"/>
        <v>30.130291962449281</v>
      </c>
      <c r="M210" s="280">
        <f t="shared" si="685"/>
        <v>3.689272923037747</v>
      </c>
      <c r="N210" s="1089"/>
      <c r="O210" s="1084"/>
      <c r="P210" s="77">
        <f t="shared" si="634"/>
        <v>34539</v>
      </c>
      <c r="Q210" s="98"/>
      <c r="R210" s="35">
        <v>34539</v>
      </c>
      <c r="S210" s="35"/>
      <c r="T210" s="36"/>
      <c r="U210" s="74">
        <f t="shared" si="673"/>
        <v>300069</v>
      </c>
      <c r="V210" s="36">
        <f t="shared" si="674"/>
        <v>2.9214246501787504</v>
      </c>
      <c r="W210" s="1179"/>
      <c r="X210" s="49">
        <f t="shared" si="639"/>
        <v>811</v>
      </c>
      <c r="Y210" s="50"/>
      <c r="Z210" s="50">
        <f>635+25</f>
        <v>660</v>
      </c>
      <c r="AA210" s="50">
        <f t="shared" si="686"/>
        <v>151</v>
      </c>
      <c r="AB210" s="51">
        <f t="shared" si="687"/>
        <v>0.24903355191112636</v>
      </c>
      <c r="AC210" s="50">
        <f t="shared" si="688"/>
        <v>19834</v>
      </c>
      <c r="AD210" s="51">
        <f t="shared" si="689"/>
        <v>0.19310070854251968</v>
      </c>
      <c r="AE210" s="1050"/>
      <c r="AF210" s="40">
        <f t="shared" si="642"/>
        <v>785</v>
      </c>
      <c r="AG210" s="41"/>
      <c r="AH210" s="41">
        <v>745</v>
      </c>
      <c r="AI210" s="41">
        <f t="shared" si="690"/>
        <v>40</v>
      </c>
      <c r="AJ210" s="42">
        <f t="shared" si="691"/>
        <v>6.5969152824139426E-2</v>
      </c>
      <c r="AK210" s="41">
        <f t="shared" si="692"/>
        <v>10921</v>
      </c>
      <c r="AL210" s="42">
        <f t="shared" si="693"/>
        <v>0.10632514056634353</v>
      </c>
      <c r="AM210" s="1058"/>
      <c r="AN210" s="220">
        <v>6.7</v>
      </c>
      <c r="AO210" s="67">
        <v>24</v>
      </c>
      <c r="AP210" s="68">
        <f t="shared" si="694"/>
        <v>79.925640000000001</v>
      </c>
      <c r="AQ210" s="68">
        <f t="shared" si="675"/>
        <v>11.031834368530021</v>
      </c>
      <c r="AR210" s="258">
        <f t="shared" si="676"/>
        <v>10431.488940000003</v>
      </c>
      <c r="AS210" s="68">
        <f t="shared" si="695"/>
        <v>8.8978124289337561</v>
      </c>
      <c r="AT210" s="1118"/>
      <c r="AU210" s="70">
        <v>3.3</v>
      </c>
      <c r="AV210" s="71">
        <v>12</v>
      </c>
      <c r="AW210" s="72">
        <f t="shared" si="677"/>
        <v>20.462508</v>
      </c>
      <c r="AX210" s="72">
        <f t="shared" si="678"/>
        <v>2.8243627329192544</v>
      </c>
      <c r="AY210" s="276">
        <f t="shared" si="679"/>
        <v>3104.4104940000011</v>
      </c>
      <c r="AZ210" s="72">
        <f t="shared" si="680"/>
        <v>2.6479884546592425</v>
      </c>
      <c r="BA210" s="1174"/>
      <c r="BB210" s="253">
        <f t="shared" si="651"/>
        <v>17375</v>
      </c>
      <c r="BC210" s="56"/>
      <c r="BD210" s="252">
        <v>17375</v>
      </c>
      <c r="BE210" s="56"/>
      <c r="BF210" s="56">
        <f t="shared" si="696"/>
        <v>92525</v>
      </c>
      <c r="BG210" s="58">
        <f t="shared" si="697"/>
        <v>78.921628515583265</v>
      </c>
      <c r="BH210" s="1140"/>
      <c r="BI210" s="63">
        <f t="shared" si="654"/>
        <v>960</v>
      </c>
      <c r="BJ210" s="64"/>
      <c r="BK210" s="64">
        <v>900</v>
      </c>
      <c r="BL210" s="64">
        <f t="shared" si="698"/>
        <v>60</v>
      </c>
      <c r="BM210" s="65">
        <f t="shared" si="699"/>
        <v>9.8953729236209154E-2</v>
      </c>
      <c r="BN210" s="64">
        <f t="shared" si="700"/>
        <v>30032</v>
      </c>
      <c r="BO210" s="65">
        <f t="shared" si="701"/>
        <v>0.29238683467525217</v>
      </c>
      <c r="BP210" s="1071"/>
      <c r="BQ210" s="77">
        <f t="shared" si="659"/>
        <v>34402</v>
      </c>
      <c r="BR210" s="98"/>
      <c r="BS210" s="35">
        <f>26553+6000</f>
        <v>32553</v>
      </c>
      <c r="BT210" s="35">
        <f t="shared" si="702"/>
        <v>1849</v>
      </c>
      <c r="BU210" s="35">
        <f t="shared" si="703"/>
        <v>519164</v>
      </c>
      <c r="BV210" s="74">
        <f t="shared" si="704"/>
        <v>442.83456737816022</v>
      </c>
      <c r="BW210" s="1143"/>
      <c r="BX210" s="295">
        <f t="shared" si="662"/>
        <v>1000</v>
      </c>
      <c r="BY210" s="296"/>
      <c r="BZ210" s="296">
        <v>1000</v>
      </c>
      <c r="CA210" s="296"/>
      <c r="CB210" s="297"/>
      <c r="CC210" s="296">
        <f t="shared" si="705"/>
        <v>11500</v>
      </c>
      <c r="CD210" s="297">
        <f t="shared" si="706"/>
        <v>0.11196219361898641</v>
      </c>
      <c r="CE210" s="1177"/>
      <c r="CF210" s="33"/>
    </row>
    <row r="211" spans="1:84">
      <c r="A211" s="30">
        <v>43793</v>
      </c>
      <c r="B211" s="32">
        <v>572104</v>
      </c>
      <c r="C211" s="1">
        <f t="shared" si="671"/>
        <v>103285347</v>
      </c>
      <c r="D211" s="91">
        <v>6837.52</v>
      </c>
      <c r="E211" s="93">
        <f t="shared" si="615"/>
        <v>1179203.0899999996</v>
      </c>
      <c r="F211" s="108">
        <f t="shared" si="672"/>
        <v>4000</v>
      </c>
      <c r="G211" s="340">
        <v>32540</v>
      </c>
      <c r="H211" s="108">
        <v>6000</v>
      </c>
      <c r="I211" s="271">
        <f t="shared" si="681"/>
        <v>30540</v>
      </c>
      <c r="J211" s="280">
        <f t="shared" si="682"/>
        <v>53.381902591137276</v>
      </c>
      <c r="K211" s="240">
        <f t="shared" si="683"/>
        <v>3125320</v>
      </c>
      <c r="L211" s="280">
        <f t="shared" si="684"/>
        <v>30.259084088665549</v>
      </c>
      <c r="M211" s="280">
        <f t="shared" si="685"/>
        <v>3.7050427438062385</v>
      </c>
      <c r="N211" s="1089"/>
      <c r="O211" s="1084"/>
      <c r="P211" s="77">
        <f t="shared" si="634"/>
        <v>34539</v>
      </c>
      <c r="Q211" s="98"/>
      <c r="R211" s="35">
        <v>33464</v>
      </c>
      <c r="S211" s="35">
        <f>P211+Q211-R211</f>
        <v>1075</v>
      </c>
      <c r="T211" s="36">
        <f>1000*S211/B211</f>
        <v>1.8790289877364954</v>
      </c>
      <c r="U211" s="74">
        <f t="shared" si="673"/>
        <v>301144</v>
      </c>
      <c r="V211" s="36">
        <f t="shared" si="674"/>
        <v>2.9156507553777207</v>
      </c>
      <c r="W211" s="1179"/>
      <c r="X211" s="49">
        <f t="shared" si="639"/>
        <v>660</v>
      </c>
      <c r="Y211" s="50"/>
      <c r="Z211" s="50">
        <f>510+80</f>
        <v>590</v>
      </c>
      <c r="AA211" s="50">
        <f t="shared" si="686"/>
        <v>70</v>
      </c>
      <c r="AB211" s="51">
        <f t="shared" si="687"/>
        <v>0.12235537594563227</v>
      </c>
      <c r="AC211" s="50">
        <f t="shared" si="688"/>
        <v>19904</v>
      </c>
      <c r="AD211" s="51">
        <f t="shared" si="689"/>
        <v>0.19270884571845415</v>
      </c>
      <c r="AE211" s="1050"/>
      <c r="AF211" s="40">
        <f t="shared" si="642"/>
        <v>745</v>
      </c>
      <c r="AG211" s="41"/>
      <c r="AH211" s="41">
        <v>705</v>
      </c>
      <c r="AI211" s="41">
        <f t="shared" si="690"/>
        <v>40</v>
      </c>
      <c r="AJ211" s="42">
        <f t="shared" si="691"/>
        <v>6.991735768321844E-2</v>
      </c>
      <c r="AK211" s="41">
        <f t="shared" si="692"/>
        <v>10961</v>
      </c>
      <c r="AL211" s="42">
        <f t="shared" si="693"/>
        <v>0.10612347557877692</v>
      </c>
      <c r="AM211" s="1058"/>
      <c r="AN211" s="220">
        <v>7.3</v>
      </c>
      <c r="AO211" s="67">
        <v>24</v>
      </c>
      <c r="AP211" s="68">
        <f t="shared" si="694"/>
        <v>87.083159999999992</v>
      </c>
      <c r="AQ211" s="68">
        <f t="shared" si="675"/>
        <v>12.736073898138503</v>
      </c>
      <c r="AR211" s="258">
        <f t="shared" si="676"/>
        <v>10518.572100000003</v>
      </c>
      <c r="AS211" s="68">
        <f t="shared" si="695"/>
        <v>8.9200682979892854</v>
      </c>
      <c r="AT211" s="1118"/>
      <c r="AU211" s="70">
        <v>3.1</v>
      </c>
      <c r="AV211" s="71">
        <v>12</v>
      </c>
      <c r="AW211" s="72">
        <f t="shared" si="677"/>
        <v>19.222356000000001</v>
      </c>
      <c r="AX211" s="72">
        <f t="shared" si="678"/>
        <v>2.8113052685769109</v>
      </c>
      <c r="AY211" s="276">
        <f t="shared" si="679"/>
        <v>3123.6328500000013</v>
      </c>
      <c r="AZ211" s="72">
        <f t="shared" si="680"/>
        <v>2.6489354348622021</v>
      </c>
      <c r="BA211" s="1174"/>
      <c r="BB211" s="253">
        <f t="shared" si="651"/>
        <v>17375</v>
      </c>
      <c r="BC211" s="56"/>
      <c r="BD211" s="252">
        <v>17375</v>
      </c>
      <c r="BE211" s="56"/>
      <c r="BF211" s="56">
        <f t="shared" si="696"/>
        <v>92525</v>
      </c>
      <c r="BG211" s="58">
        <f t="shared" si="697"/>
        <v>78.464007417076928</v>
      </c>
      <c r="BH211" s="1140"/>
      <c r="BI211" s="63">
        <f t="shared" si="654"/>
        <v>900</v>
      </c>
      <c r="BJ211" s="64"/>
      <c r="BK211" s="64">
        <v>720</v>
      </c>
      <c r="BL211" s="64">
        <f t="shared" si="698"/>
        <v>180</v>
      </c>
      <c r="BM211" s="65">
        <f t="shared" si="699"/>
        <v>0.31462810957448295</v>
      </c>
      <c r="BN211" s="64">
        <f t="shared" si="700"/>
        <v>30212</v>
      </c>
      <c r="BO211" s="65">
        <f t="shared" si="701"/>
        <v>0.29251003048864233</v>
      </c>
      <c r="BP211" s="1071"/>
      <c r="BQ211" s="77">
        <f t="shared" si="659"/>
        <v>32553</v>
      </c>
      <c r="BR211" s="98"/>
      <c r="BS211" s="35">
        <f>24705+6000</f>
        <v>30705</v>
      </c>
      <c r="BT211" s="35">
        <f t="shared" si="702"/>
        <v>1848</v>
      </c>
      <c r="BU211" s="35">
        <f t="shared" si="703"/>
        <v>521012</v>
      </c>
      <c r="BV211" s="74">
        <f t="shared" si="704"/>
        <v>441.83398467858507</v>
      </c>
      <c r="BW211" s="1143"/>
      <c r="BX211" s="295">
        <f t="shared" si="662"/>
        <v>1000</v>
      </c>
      <c r="BY211" s="296"/>
      <c r="BZ211" s="296">
        <v>1000</v>
      </c>
      <c r="CA211" s="296"/>
      <c r="CB211" s="297"/>
      <c r="CC211" s="296">
        <f t="shared" si="705"/>
        <v>11500</v>
      </c>
      <c r="CD211" s="297">
        <f t="shared" si="706"/>
        <v>0.11134202802261971</v>
      </c>
      <c r="CE211" s="1177"/>
      <c r="CF211" s="33"/>
    </row>
    <row r="212" spans="1:84">
      <c r="A212" s="30">
        <v>43794</v>
      </c>
      <c r="B212" s="32">
        <v>659054</v>
      </c>
      <c r="C212" s="1">
        <f t="shared" si="671"/>
        <v>103944401</v>
      </c>
      <c r="D212" s="91">
        <v>7710.24</v>
      </c>
      <c r="E212" s="93">
        <f t="shared" si="615"/>
        <v>1186913.3299999996</v>
      </c>
      <c r="F212" s="108">
        <f t="shared" si="672"/>
        <v>6000</v>
      </c>
      <c r="G212" s="340">
        <v>32280</v>
      </c>
      <c r="H212" s="108">
        <v>4000</v>
      </c>
      <c r="I212" s="271">
        <f t="shared" si="681"/>
        <v>34280</v>
      </c>
      <c r="J212" s="280">
        <f t="shared" si="682"/>
        <v>52.013947263805392</v>
      </c>
      <c r="K212" s="240">
        <f t="shared" si="683"/>
        <v>3159600</v>
      </c>
      <c r="L212" s="280">
        <f t="shared" si="684"/>
        <v>30.397019652843063</v>
      </c>
      <c r="M212" s="280">
        <f t="shared" si="685"/>
        <v>3.7219321235267619</v>
      </c>
      <c r="N212" s="1089"/>
      <c r="O212" s="1084"/>
      <c r="P212" s="77">
        <f t="shared" si="634"/>
        <v>33464</v>
      </c>
      <c r="Q212" s="98"/>
      <c r="R212" s="35">
        <v>32657</v>
      </c>
      <c r="S212" s="35">
        <f>P212+Q212-R212</f>
        <v>807</v>
      </c>
      <c r="T212" s="36">
        <f>1000*S212/B212</f>
        <v>1.2244823641158387</v>
      </c>
      <c r="U212" s="74">
        <f t="shared" si="673"/>
        <v>301951</v>
      </c>
      <c r="V212" s="36">
        <f t="shared" si="674"/>
        <v>2.9049279912633295</v>
      </c>
      <c r="W212" s="1179"/>
      <c r="X212" s="49">
        <f t="shared" si="639"/>
        <v>590</v>
      </c>
      <c r="Y212" s="50"/>
      <c r="Z212" s="50">
        <f>424+100</f>
        <v>524</v>
      </c>
      <c r="AA212" s="50">
        <f t="shared" si="686"/>
        <v>66</v>
      </c>
      <c r="AB212" s="51">
        <f t="shared" si="687"/>
        <v>0.10014353907267083</v>
      </c>
      <c r="AC212" s="50">
        <f t="shared" si="688"/>
        <v>19970</v>
      </c>
      <c r="AD212" s="51">
        <f t="shared" si="689"/>
        <v>0.19212194026689325</v>
      </c>
      <c r="AE212" s="1050"/>
      <c r="AF212" s="40">
        <f t="shared" si="642"/>
        <v>705</v>
      </c>
      <c r="AG212" s="41"/>
      <c r="AH212" s="41">
        <v>666</v>
      </c>
      <c r="AI212" s="41">
        <f t="shared" si="690"/>
        <v>39</v>
      </c>
      <c r="AJ212" s="42">
        <f t="shared" si="691"/>
        <v>5.9175727633850941E-2</v>
      </c>
      <c r="AK212" s="41">
        <f t="shared" si="692"/>
        <v>11000</v>
      </c>
      <c r="AL212" s="42">
        <f t="shared" si="693"/>
        <v>0.10582580585557466</v>
      </c>
      <c r="AM212" s="1058"/>
      <c r="AN212" s="220">
        <v>7.3</v>
      </c>
      <c r="AO212" s="67">
        <v>24</v>
      </c>
      <c r="AP212" s="68">
        <f t="shared" si="694"/>
        <v>87.083159999999992</v>
      </c>
      <c r="AQ212" s="68">
        <f t="shared" si="675"/>
        <v>11.294481105646515</v>
      </c>
      <c r="AR212" s="258">
        <f t="shared" si="676"/>
        <v>10605.655260000003</v>
      </c>
      <c r="AS212" s="68">
        <f t="shared" si="695"/>
        <v>8.9354925856296568</v>
      </c>
      <c r="AT212" s="1118"/>
      <c r="AU212" s="70">
        <v>3.7</v>
      </c>
      <c r="AV212" s="71">
        <v>12</v>
      </c>
      <c r="AW212" s="72">
        <f t="shared" si="677"/>
        <v>22.942812000000004</v>
      </c>
      <c r="AX212" s="72">
        <f t="shared" si="678"/>
        <v>2.9756287742015819</v>
      </c>
      <c r="AY212" s="276">
        <f t="shared" si="679"/>
        <v>3146.5756620000011</v>
      </c>
      <c r="AZ212" s="72">
        <f t="shared" si="680"/>
        <v>2.6510576488343949</v>
      </c>
      <c r="BA212" s="1174"/>
      <c r="BB212" s="253">
        <f t="shared" si="651"/>
        <v>17375</v>
      </c>
      <c r="BC212" s="56"/>
      <c r="BD212" s="252">
        <v>17375</v>
      </c>
      <c r="BE212" s="56"/>
      <c r="BF212" s="56">
        <f t="shared" si="696"/>
        <v>92525</v>
      </c>
      <c r="BG212" s="58">
        <f t="shared" si="697"/>
        <v>77.954301852857299</v>
      </c>
      <c r="BH212" s="1140"/>
      <c r="BI212" s="63">
        <f t="shared" si="654"/>
        <v>720</v>
      </c>
      <c r="BJ212" s="64"/>
      <c r="BK212" s="64">
        <v>600</v>
      </c>
      <c r="BL212" s="64">
        <f t="shared" si="698"/>
        <v>120</v>
      </c>
      <c r="BM212" s="65">
        <f t="shared" si="699"/>
        <v>0.1820791619503106</v>
      </c>
      <c r="BN212" s="64">
        <f t="shared" si="700"/>
        <v>30332</v>
      </c>
      <c r="BO212" s="65">
        <f t="shared" si="701"/>
        <v>0.2918098493828446</v>
      </c>
      <c r="BP212" s="1071"/>
      <c r="BQ212" s="77">
        <f t="shared" si="659"/>
        <v>30705</v>
      </c>
      <c r="BR212" s="98"/>
      <c r="BS212" s="35">
        <f>21933+6000</f>
        <v>27933</v>
      </c>
      <c r="BT212" s="35">
        <f t="shared" si="702"/>
        <v>2772</v>
      </c>
      <c r="BU212" s="35">
        <f t="shared" si="703"/>
        <v>523784</v>
      </c>
      <c r="BV212" s="74">
        <f t="shared" si="704"/>
        <v>441.29928172598767</v>
      </c>
      <c r="BW212" s="1143"/>
      <c r="BX212" s="295">
        <f t="shared" si="662"/>
        <v>1000</v>
      </c>
      <c r="BY212" s="296"/>
      <c r="BZ212" s="296">
        <v>1000</v>
      </c>
      <c r="CA212" s="296"/>
      <c r="CB212" s="297"/>
      <c r="CC212" s="296">
        <f t="shared" si="705"/>
        <v>11500</v>
      </c>
      <c r="CD212" s="297">
        <f t="shared" si="706"/>
        <v>0.11063606975810078</v>
      </c>
      <c r="CE212" s="1177"/>
      <c r="CF212" s="33"/>
    </row>
    <row r="213" spans="1:84">
      <c r="A213" s="30">
        <v>43795</v>
      </c>
      <c r="B213" s="32">
        <v>604171</v>
      </c>
      <c r="C213" s="1">
        <f t="shared" si="671"/>
        <v>104548572</v>
      </c>
      <c r="D213" s="1">
        <v>6622.62</v>
      </c>
      <c r="E213" s="93">
        <f t="shared" si="615"/>
        <v>1193535.9499999997</v>
      </c>
      <c r="F213" s="108">
        <f t="shared" si="672"/>
        <v>4000</v>
      </c>
      <c r="G213" s="340">
        <v>31900</v>
      </c>
      <c r="H213" s="108">
        <v>18000</v>
      </c>
      <c r="I213" s="271">
        <f t="shared" si="681"/>
        <v>17900</v>
      </c>
      <c r="J213" s="280">
        <f t="shared" si="682"/>
        <v>29.627373707112721</v>
      </c>
      <c r="K213" s="240">
        <f t="shared" si="683"/>
        <v>3177500</v>
      </c>
      <c r="L213" s="280">
        <f t="shared" si="684"/>
        <v>30.392571980801421</v>
      </c>
      <c r="M213" s="280">
        <f t="shared" si="685"/>
        <v>3.7213875328518942</v>
      </c>
      <c r="N213" s="1089"/>
      <c r="O213" s="1084"/>
      <c r="P213" s="77">
        <f t="shared" si="634"/>
        <v>32657</v>
      </c>
      <c r="Q213" s="98"/>
      <c r="R213" s="35">
        <v>31579</v>
      </c>
      <c r="S213" s="35">
        <f>P213+Q213-R213</f>
        <v>1078</v>
      </c>
      <c r="T213" s="36"/>
      <c r="U213" s="74">
        <f t="shared" si="673"/>
        <v>303029</v>
      </c>
      <c r="V213" s="36">
        <f t="shared" si="674"/>
        <v>2.8984518315563412</v>
      </c>
      <c r="W213" s="1179"/>
      <c r="X213" s="49">
        <f t="shared" si="639"/>
        <v>524</v>
      </c>
      <c r="Y213" s="50"/>
      <c r="Z213" s="50">
        <f>357+135</f>
        <v>492</v>
      </c>
      <c r="AA213" s="50">
        <f t="shared" si="686"/>
        <v>32</v>
      </c>
      <c r="AB213" s="51">
        <f t="shared" si="687"/>
        <v>5.2965137353497602E-2</v>
      </c>
      <c r="AC213" s="50">
        <f t="shared" si="688"/>
        <v>20002</v>
      </c>
      <c r="AD213" s="51">
        <f t="shared" si="689"/>
        <v>0.19131777333123212</v>
      </c>
      <c r="AE213" s="1050"/>
      <c r="AF213" s="40">
        <f t="shared" si="642"/>
        <v>666</v>
      </c>
      <c r="AG213" s="41"/>
      <c r="AH213" s="41">
        <v>626</v>
      </c>
      <c r="AI213" s="41">
        <f t="shared" si="690"/>
        <v>40</v>
      </c>
      <c r="AJ213" s="42">
        <f t="shared" si="691"/>
        <v>6.6206421691872006E-2</v>
      </c>
      <c r="AK213" s="41">
        <f t="shared" si="692"/>
        <v>11040</v>
      </c>
      <c r="AL213" s="42">
        <f t="shared" si="693"/>
        <v>0.10559685119372075</v>
      </c>
      <c r="AM213" s="1058"/>
      <c r="AN213" s="220">
        <v>7.1</v>
      </c>
      <c r="AO213" s="67">
        <v>24</v>
      </c>
      <c r="AP213" s="68">
        <f t="shared" si="694"/>
        <v>84.697319999999991</v>
      </c>
      <c r="AQ213" s="68">
        <f t="shared" si="675"/>
        <v>12.78909555432744</v>
      </c>
      <c r="AR213" s="258">
        <f t="shared" si="676"/>
        <v>10690.352580000002</v>
      </c>
      <c r="AS213" s="68">
        <f t="shared" si="695"/>
        <v>8.95687522441197</v>
      </c>
      <c r="AT213" s="1118"/>
      <c r="AU213" s="70">
        <v>3.3</v>
      </c>
      <c r="AV213" s="71">
        <v>12</v>
      </c>
      <c r="AW213" s="72">
        <f t="shared" si="677"/>
        <v>20.462508</v>
      </c>
      <c r="AX213" s="72">
        <f t="shared" si="678"/>
        <v>3.0897904454732417</v>
      </c>
      <c r="AY213" s="276">
        <f t="shared" si="679"/>
        <v>3167.0381700000012</v>
      </c>
      <c r="AZ213" s="72">
        <f t="shared" si="680"/>
        <v>2.653492062807159</v>
      </c>
      <c r="BA213" s="1174"/>
      <c r="BB213" s="253">
        <f t="shared" si="651"/>
        <v>17375</v>
      </c>
      <c r="BC213" s="56"/>
      <c r="BD213" s="252">
        <v>17375</v>
      </c>
      <c r="BE213" s="56"/>
      <c r="BF213" s="56">
        <f t="shared" si="696"/>
        <v>92525</v>
      </c>
      <c r="BG213" s="58">
        <f t="shared" si="697"/>
        <v>77.521753743571793</v>
      </c>
      <c r="BH213" s="1140"/>
      <c r="BI213" s="63">
        <f t="shared" si="654"/>
        <v>600</v>
      </c>
      <c r="BJ213" s="64"/>
      <c r="BK213" s="64">
        <v>456</v>
      </c>
      <c r="BL213" s="64">
        <f t="shared" si="698"/>
        <v>144</v>
      </c>
      <c r="BM213" s="65">
        <f t="shared" si="699"/>
        <v>0.23834311809073921</v>
      </c>
      <c r="BN213" s="64">
        <f t="shared" si="700"/>
        <v>30476</v>
      </c>
      <c r="BO213" s="65">
        <f t="shared" si="701"/>
        <v>0.29150087291484</v>
      </c>
      <c r="BP213" s="1071"/>
      <c r="BQ213" s="77">
        <f t="shared" si="659"/>
        <v>27933</v>
      </c>
      <c r="BR213" s="98"/>
      <c r="BS213" s="35">
        <f>20084+6000</f>
        <v>26084</v>
      </c>
      <c r="BT213" s="35">
        <f t="shared" si="702"/>
        <v>1849</v>
      </c>
      <c r="BU213" s="35">
        <f t="shared" si="703"/>
        <v>525633</v>
      </c>
      <c r="BV213" s="74">
        <f t="shared" si="704"/>
        <v>440.39980530121454</v>
      </c>
      <c r="BW213" s="1143"/>
      <c r="BX213" s="295">
        <f t="shared" si="662"/>
        <v>1000</v>
      </c>
      <c r="BY213" s="296"/>
      <c r="BZ213" s="296">
        <v>1000</v>
      </c>
      <c r="CA213" s="296"/>
      <c r="CB213" s="297"/>
      <c r="CC213" s="296">
        <f t="shared" si="705"/>
        <v>11500</v>
      </c>
      <c r="CD213" s="297">
        <f t="shared" si="706"/>
        <v>0.10999671999345911</v>
      </c>
      <c r="CE213" s="1177"/>
      <c r="CF213" s="33"/>
    </row>
    <row r="214" spans="1:84">
      <c r="A214" s="30">
        <v>43796</v>
      </c>
      <c r="B214" s="32">
        <v>265647</v>
      </c>
      <c r="C214" s="1">
        <f t="shared" si="671"/>
        <v>104814219</v>
      </c>
      <c r="D214" s="1">
        <v>314.72000000000003</v>
      </c>
      <c r="E214" s="93">
        <f t="shared" si="615"/>
        <v>1193850.6699999997</v>
      </c>
      <c r="F214" s="108">
        <f t="shared" si="672"/>
        <v>18000</v>
      </c>
      <c r="G214" s="340">
        <v>17910</v>
      </c>
      <c r="H214" s="108">
        <v>35910</v>
      </c>
      <c r="I214" s="271"/>
      <c r="J214" s="280"/>
      <c r="K214" s="240">
        <f t="shared" si="683"/>
        <v>3177500</v>
      </c>
      <c r="L214" s="280">
        <f t="shared" si="684"/>
        <v>30.315543351995018</v>
      </c>
      <c r="M214" s="280">
        <f t="shared" si="685"/>
        <v>3.7119558408222137</v>
      </c>
      <c r="N214" s="1089"/>
      <c r="O214" s="1084"/>
      <c r="P214" s="77">
        <f t="shared" si="634"/>
        <v>31579</v>
      </c>
      <c r="Q214" s="98"/>
      <c r="R214" s="35">
        <v>31579</v>
      </c>
      <c r="S214" s="35"/>
      <c r="T214" s="36"/>
      <c r="U214" s="74">
        <f t="shared" si="673"/>
        <v>303029</v>
      </c>
      <c r="V214" s="36">
        <f t="shared" si="674"/>
        <v>2.8911058336464825</v>
      </c>
      <c r="W214" s="1179"/>
      <c r="X214" s="49">
        <f t="shared" si="639"/>
        <v>492</v>
      </c>
      <c r="Y214" s="50"/>
      <c r="Z214" s="50">
        <f>357+135</f>
        <v>492</v>
      </c>
      <c r="AA214" s="50"/>
      <c r="AB214" s="51"/>
      <c r="AC214" s="50">
        <f t="shared" ref="AC214:AC225" si="707">AC213+AA214</f>
        <v>20002</v>
      </c>
      <c r="AD214" s="51">
        <f t="shared" ref="AD214:AD225" si="708">AC214*1000/C214</f>
        <v>0.19083288690058359</v>
      </c>
      <c r="AE214" s="1050"/>
      <c r="AF214" s="40">
        <f t="shared" si="642"/>
        <v>626</v>
      </c>
      <c r="AG214" s="41"/>
      <c r="AH214" s="41">
        <v>626</v>
      </c>
      <c r="AI214" s="41"/>
      <c r="AJ214" s="42"/>
      <c r="AK214" s="41">
        <f t="shared" si="692"/>
        <v>11040</v>
      </c>
      <c r="AL214" s="42">
        <f t="shared" si="693"/>
        <v>0.10532922064705744</v>
      </c>
      <c r="AM214" s="1058"/>
      <c r="AN214" s="220">
        <v>1.7</v>
      </c>
      <c r="AO214" s="67">
        <v>24</v>
      </c>
      <c r="AP214" s="68">
        <f>AN214*AO214*0.49705</f>
        <v>20.279639999999997</v>
      </c>
      <c r="AQ214" s="68">
        <f t="shared" si="675"/>
        <v>64.437086934417877</v>
      </c>
      <c r="AR214" s="258">
        <f t="shared" si="676"/>
        <v>10710.632220000003</v>
      </c>
      <c r="AS214" s="68">
        <f t="shared" si="695"/>
        <v>8.9715007824219803</v>
      </c>
      <c r="AT214" s="1118"/>
      <c r="AU214" s="70">
        <v>0.3</v>
      </c>
      <c r="AV214" s="71">
        <v>12</v>
      </c>
      <c r="AW214" s="72">
        <f t="shared" si="677"/>
        <v>1.860228</v>
      </c>
      <c r="AX214" s="72">
        <f t="shared" si="678"/>
        <v>5.9107397051347226</v>
      </c>
      <c r="AY214" s="276">
        <f t="shared" si="679"/>
        <v>3168.8983980000012</v>
      </c>
      <c r="AZ214" s="72">
        <f t="shared" si="680"/>
        <v>2.6543507304812266</v>
      </c>
      <c r="BA214" s="1174"/>
      <c r="BB214" s="253">
        <f t="shared" si="651"/>
        <v>17375</v>
      </c>
      <c r="BC214" s="56"/>
      <c r="BD214" s="252">
        <v>17375</v>
      </c>
      <c r="BE214" s="56"/>
      <c r="BF214" s="56">
        <f t="shared" si="696"/>
        <v>92525</v>
      </c>
      <c r="BG214" s="58">
        <f t="shared" si="697"/>
        <v>77.501317648043894</v>
      </c>
      <c r="BH214" s="1140"/>
      <c r="BI214" s="63">
        <f t="shared" si="654"/>
        <v>456</v>
      </c>
      <c r="BJ214" s="64"/>
      <c r="BK214" s="64">
        <v>456</v>
      </c>
      <c r="BL214" s="64"/>
      <c r="BM214" s="65"/>
      <c r="BN214" s="64">
        <f t="shared" si="700"/>
        <v>30476</v>
      </c>
      <c r="BO214" s="65">
        <f t="shared" si="701"/>
        <v>0.29076207685142413</v>
      </c>
      <c r="BP214" s="1071"/>
      <c r="BQ214" s="77">
        <f t="shared" si="659"/>
        <v>26084</v>
      </c>
      <c r="BR214" s="98"/>
      <c r="BS214" s="35">
        <f>18236+6000</f>
        <v>24236</v>
      </c>
      <c r="BT214" s="35">
        <f t="shared" si="702"/>
        <v>1848</v>
      </c>
      <c r="BU214" s="35">
        <f t="shared" si="703"/>
        <v>527481</v>
      </c>
      <c r="BV214" s="74">
        <f t="shared" si="704"/>
        <v>441.83164046806638</v>
      </c>
      <c r="BW214" s="1143"/>
      <c r="BX214" s="295">
        <f t="shared" si="662"/>
        <v>1000</v>
      </c>
      <c r="BY214" s="296"/>
      <c r="BZ214" s="296">
        <v>1000</v>
      </c>
      <c r="CA214" s="296"/>
      <c r="CB214" s="297"/>
      <c r="CC214" s="296">
        <f t="shared" si="705"/>
        <v>11500</v>
      </c>
      <c r="CD214" s="297">
        <f t="shared" si="706"/>
        <v>0.10971793817401816</v>
      </c>
      <c r="CE214" s="1177"/>
      <c r="CF214" s="33"/>
    </row>
    <row r="215" spans="1:84">
      <c r="A215" s="30">
        <v>43797</v>
      </c>
      <c r="B215" s="32"/>
      <c r="C215" s="1">
        <f t="shared" si="671"/>
        <v>104814219</v>
      </c>
      <c r="D215" s="1"/>
      <c r="E215" s="93">
        <f t="shared" si="615"/>
        <v>1193850.6699999997</v>
      </c>
      <c r="F215" s="108">
        <f t="shared" si="672"/>
        <v>35910</v>
      </c>
      <c r="G215" s="271"/>
      <c r="H215" s="108">
        <v>35910</v>
      </c>
      <c r="I215" s="271"/>
      <c r="J215" s="280"/>
      <c r="K215" s="240">
        <f t="shared" si="683"/>
        <v>3177500</v>
      </c>
      <c r="L215" s="280">
        <f t="shared" si="684"/>
        <v>30.315543351995018</v>
      </c>
      <c r="M215" s="280">
        <f t="shared" si="685"/>
        <v>3.7119558408222137</v>
      </c>
      <c r="N215" s="1089"/>
      <c r="O215" s="1084"/>
      <c r="P215" s="77">
        <f t="shared" si="634"/>
        <v>31579</v>
      </c>
      <c r="Q215" s="98"/>
      <c r="R215" s="35">
        <v>31579</v>
      </c>
      <c r="S215" s="35"/>
      <c r="T215" s="36"/>
      <c r="U215" s="74">
        <f t="shared" si="673"/>
        <v>303029</v>
      </c>
      <c r="V215" s="36">
        <f t="shared" si="674"/>
        <v>2.8911058336464825</v>
      </c>
      <c r="W215" s="1179"/>
      <c r="X215" s="49">
        <f t="shared" si="639"/>
        <v>492</v>
      </c>
      <c r="Y215" s="50"/>
      <c r="Z215" s="50">
        <f>357+135</f>
        <v>492</v>
      </c>
      <c r="AA215" s="50"/>
      <c r="AB215" s="51"/>
      <c r="AC215" s="50">
        <f t="shared" si="707"/>
        <v>20002</v>
      </c>
      <c r="AD215" s="51">
        <f t="shared" si="708"/>
        <v>0.19083288690058359</v>
      </c>
      <c r="AE215" s="1050"/>
      <c r="AF215" s="40">
        <f t="shared" si="642"/>
        <v>626</v>
      </c>
      <c r="AG215" s="41"/>
      <c r="AH215" s="41">
        <v>626</v>
      </c>
      <c r="AI215" s="41"/>
      <c r="AJ215" s="42"/>
      <c r="AK215" s="41">
        <f t="shared" si="692"/>
        <v>11040</v>
      </c>
      <c r="AL215" s="42">
        <f t="shared" si="693"/>
        <v>0.10532922064705744</v>
      </c>
      <c r="AM215" s="1058"/>
      <c r="AN215" s="220"/>
      <c r="AO215" s="67">
        <v>24</v>
      </c>
      <c r="AP215" s="68"/>
      <c r="AQ215" s="68"/>
      <c r="AR215" s="258">
        <f t="shared" si="676"/>
        <v>10710.632220000003</v>
      </c>
      <c r="AS215" s="68">
        <f t="shared" si="695"/>
        <v>8.9715007824219803</v>
      </c>
      <c r="AT215" s="1118"/>
      <c r="AU215" s="70"/>
      <c r="AV215" s="71">
        <v>12</v>
      </c>
      <c r="AW215" s="72"/>
      <c r="AX215" s="72"/>
      <c r="AY215" s="276">
        <f t="shared" si="679"/>
        <v>3168.8983980000012</v>
      </c>
      <c r="AZ215" s="72">
        <f t="shared" si="680"/>
        <v>2.6543507304812266</v>
      </c>
      <c r="BA215" s="1174"/>
      <c r="BB215" s="253">
        <f t="shared" si="651"/>
        <v>17375</v>
      </c>
      <c r="BC215" s="56"/>
      <c r="BD215" s="252">
        <v>17375</v>
      </c>
      <c r="BE215" s="56"/>
      <c r="BF215" s="56">
        <f t="shared" si="696"/>
        <v>92525</v>
      </c>
      <c r="BG215" s="58">
        <f t="shared" si="697"/>
        <v>77.501317648043894</v>
      </c>
      <c r="BH215" s="1140"/>
      <c r="BI215" s="63">
        <f t="shared" si="654"/>
        <v>456</v>
      </c>
      <c r="BJ215" s="64"/>
      <c r="BK215" s="64">
        <v>456</v>
      </c>
      <c r="BL215" s="64"/>
      <c r="BM215" s="65"/>
      <c r="BN215" s="64">
        <f t="shared" si="700"/>
        <v>30476</v>
      </c>
      <c r="BO215" s="65">
        <f t="shared" si="701"/>
        <v>0.29076207685142413</v>
      </c>
      <c r="BP215" s="1071"/>
      <c r="BQ215" s="77">
        <f t="shared" si="659"/>
        <v>24236</v>
      </c>
      <c r="BR215" s="98"/>
      <c r="BS215" s="35">
        <f>18236+6000</f>
        <v>24236</v>
      </c>
      <c r="BT215" s="35"/>
      <c r="BU215" s="35">
        <f t="shared" si="703"/>
        <v>527481</v>
      </c>
      <c r="BV215" s="74">
        <f t="shared" si="704"/>
        <v>441.83164046806638</v>
      </c>
      <c r="BW215" s="1143"/>
      <c r="BX215" s="295">
        <f t="shared" si="662"/>
        <v>1000</v>
      </c>
      <c r="BY215" s="296"/>
      <c r="BZ215" s="296">
        <v>1000</v>
      </c>
      <c r="CA215" s="296"/>
      <c r="CB215" s="297"/>
      <c r="CC215" s="296">
        <f t="shared" si="705"/>
        <v>11500</v>
      </c>
      <c r="CD215" s="297">
        <f t="shared" si="706"/>
        <v>0.10971793817401816</v>
      </c>
      <c r="CE215" s="1177"/>
      <c r="CF215" s="33"/>
    </row>
    <row r="216" spans="1:84">
      <c r="A216" s="30">
        <v>43798</v>
      </c>
      <c r="B216" s="32"/>
      <c r="C216" s="1">
        <f t="shared" si="671"/>
        <v>104814219</v>
      </c>
      <c r="D216" s="1"/>
      <c r="E216" s="93">
        <f t="shared" si="615"/>
        <v>1193850.6699999997</v>
      </c>
      <c r="F216" s="108">
        <f t="shared" si="672"/>
        <v>35910</v>
      </c>
      <c r="G216" s="271"/>
      <c r="H216" s="108">
        <v>35910</v>
      </c>
      <c r="I216" s="271"/>
      <c r="J216" s="280"/>
      <c r="K216" s="240">
        <f t="shared" si="683"/>
        <v>3177500</v>
      </c>
      <c r="L216" s="280">
        <f t="shared" si="684"/>
        <v>30.315543351995018</v>
      </c>
      <c r="M216" s="280">
        <f t="shared" si="685"/>
        <v>3.7119558408222137</v>
      </c>
      <c r="N216" s="1089"/>
      <c r="O216" s="1084"/>
      <c r="P216" s="77">
        <f t="shared" si="634"/>
        <v>31579</v>
      </c>
      <c r="Q216" s="98"/>
      <c r="R216" s="35">
        <v>31579</v>
      </c>
      <c r="S216" s="35"/>
      <c r="T216" s="36"/>
      <c r="U216" s="74">
        <f t="shared" si="673"/>
        <v>303029</v>
      </c>
      <c r="V216" s="36">
        <f t="shared" si="674"/>
        <v>2.8911058336464825</v>
      </c>
      <c r="W216" s="1179"/>
      <c r="X216" s="49">
        <f t="shared" si="639"/>
        <v>492</v>
      </c>
      <c r="Y216" s="50"/>
      <c r="Z216" s="50">
        <f>357+135</f>
        <v>492</v>
      </c>
      <c r="AA216" s="50"/>
      <c r="AB216" s="51"/>
      <c r="AC216" s="50">
        <f t="shared" si="707"/>
        <v>20002</v>
      </c>
      <c r="AD216" s="51">
        <f t="shared" si="708"/>
        <v>0.19083288690058359</v>
      </c>
      <c r="AE216" s="1050"/>
      <c r="AF216" s="40">
        <f t="shared" si="642"/>
        <v>626</v>
      </c>
      <c r="AG216" s="41"/>
      <c r="AH216" s="41">
        <v>626</v>
      </c>
      <c r="AI216" s="41"/>
      <c r="AJ216" s="42"/>
      <c r="AK216" s="41">
        <f t="shared" si="692"/>
        <v>11040</v>
      </c>
      <c r="AL216" s="42">
        <f t="shared" si="693"/>
        <v>0.10532922064705744</v>
      </c>
      <c r="AM216" s="1058"/>
      <c r="AN216" s="220"/>
      <c r="AO216" s="67">
        <v>24</v>
      </c>
      <c r="AP216" s="68"/>
      <c r="AQ216" s="68"/>
      <c r="AR216" s="258">
        <f t="shared" si="676"/>
        <v>10710.632220000003</v>
      </c>
      <c r="AS216" s="68">
        <f t="shared" si="695"/>
        <v>8.9715007824219803</v>
      </c>
      <c r="AT216" s="1118"/>
      <c r="AU216" s="70"/>
      <c r="AV216" s="71">
        <v>12</v>
      </c>
      <c r="AW216" s="72"/>
      <c r="AX216" s="72"/>
      <c r="AY216" s="276">
        <f t="shared" si="679"/>
        <v>3168.8983980000012</v>
      </c>
      <c r="AZ216" s="72">
        <f t="shared" si="680"/>
        <v>2.6543507304812266</v>
      </c>
      <c r="BA216" s="1174"/>
      <c r="BB216" s="253">
        <f t="shared" si="651"/>
        <v>17375</v>
      </c>
      <c r="BC216" s="56"/>
      <c r="BD216" s="252">
        <v>17375</v>
      </c>
      <c r="BE216" s="56"/>
      <c r="BF216" s="56">
        <f t="shared" si="696"/>
        <v>92525</v>
      </c>
      <c r="BG216" s="58">
        <f t="shared" si="697"/>
        <v>77.501317648043894</v>
      </c>
      <c r="BH216" s="1140"/>
      <c r="BI216" s="63">
        <f t="shared" si="654"/>
        <v>456</v>
      </c>
      <c r="BJ216" s="64"/>
      <c r="BK216" s="64">
        <v>456</v>
      </c>
      <c r="BL216" s="64"/>
      <c r="BM216" s="65"/>
      <c r="BN216" s="64">
        <f t="shared" si="700"/>
        <v>30476</v>
      </c>
      <c r="BO216" s="65">
        <f t="shared" si="701"/>
        <v>0.29076207685142413</v>
      </c>
      <c r="BP216" s="1071"/>
      <c r="BQ216" s="77">
        <f t="shared" si="659"/>
        <v>24236</v>
      </c>
      <c r="BR216" s="98"/>
      <c r="BS216" s="35">
        <f>18236+6000</f>
        <v>24236</v>
      </c>
      <c r="BT216" s="35"/>
      <c r="BU216" s="35">
        <f t="shared" si="703"/>
        <v>527481</v>
      </c>
      <c r="BV216" s="74">
        <f t="shared" si="704"/>
        <v>441.83164046806638</v>
      </c>
      <c r="BW216" s="1143"/>
      <c r="BX216" s="295">
        <f t="shared" si="662"/>
        <v>1000</v>
      </c>
      <c r="BY216" s="296"/>
      <c r="BZ216" s="296">
        <v>1000</v>
      </c>
      <c r="CA216" s="296"/>
      <c r="CB216" s="297"/>
      <c r="CC216" s="296">
        <f t="shared" si="705"/>
        <v>11500</v>
      </c>
      <c r="CD216" s="297">
        <f t="shared" si="706"/>
        <v>0.10971793817401816</v>
      </c>
      <c r="CE216" s="1177"/>
      <c r="CF216" s="33"/>
    </row>
    <row r="217" spans="1:84" ht="15.75" thickBot="1">
      <c r="A217" s="30">
        <v>43799</v>
      </c>
      <c r="B217" s="32"/>
      <c r="C217" s="1">
        <f t="shared" si="671"/>
        <v>104814219</v>
      </c>
      <c r="D217" s="1"/>
      <c r="E217" s="93">
        <f t="shared" si="615"/>
        <v>1193850.6699999997</v>
      </c>
      <c r="F217" s="108">
        <f t="shared" si="672"/>
        <v>35910</v>
      </c>
      <c r="G217" s="271"/>
      <c r="H217" s="108">
        <v>35910</v>
      </c>
      <c r="I217" s="271"/>
      <c r="J217" s="280"/>
      <c r="K217" s="240">
        <f t="shared" si="683"/>
        <v>3177500</v>
      </c>
      <c r="L217" s="280">
        <f t="shared" si="684"/>
        <v>30.315543351995018</v>
      </c>
      <c r="M217" s="280">
        <f t="shared" si="685"/>
        <v>3.7119558408222137</v>
      </c>
      <c r="N217" s="1089"/>
      <c r="O217" s="1084"/>
      <c r="P217" s="77">
        <f t="shared" si="634"/>
        <v>31579</v>
      </c>
      <c r="Q217" s="98"/>
      <c r="R217" s="35">
        <v>31579</v>
      </c>
      <c r="S217" s="35"/>
      <c r="T217" s="36"/>
      <c r="U217" s="74">
        <f t="shared" si="673"/>
        <v>303029</v>
      </c>
      <c r="V217" s="36">
        <f t="shared" si="674"/>
        <v>2.8911058336464825</v>
      </c>
      <c r="W217" s="1179"/>
      <c r="X217" s="49">
        <f t="shared" si="639"/>
        <v>492</v>
      </c>
      <c r="Y217" s="50"/>
      <c r="Z217" s="50">
        <f>357+135</f>
        <v>492</v>
      </c>
      <c r="AA217" s="50"/>
      <c r="AB217" s="51"/>
      <c r="AC217" s="50">
        <f t="shared" si="707"/>
        <v>20002</v>
      </c>
      <c r="AD217" s="51">
        <f t="shared" si="708"/>
        <v>0.19083288690058359</v>
      </c>
      <c r="AE217" s="1050"/>
      <c r="AF217" s="40">
        <f t="shared" si="642"/>
        <v>626</v>
      </c>
      <c r="AG217" s="41"/>
      <c r="AH217" s="41">
        <v>626</v>
      </c>
      <c r="AI217" s="41"/>
      <c r="AJ217" s="42"/>
      <c r="AK217" s="41">
        <f t="shared" si="692"/>
        <v>11040</v>
      </c>
      <c r="AL217" s="42">
        <f t="shared" si="693"/>
        <v>0.10532922064705744</v>
      </c>
      <c r="AM217" s="1058"/>
      <c r="AN217" s="220"/>
      <c r="AO217" s="67">
        <v>24</v>
      </c>
      <c r="AP217" s="68"/>
      <c r="AQ217" s="68"/>
      <c r="AR217" s="258">
        <f t="shared" si="676"/>
        <v>10710.632220000003</v>
      </c>
      <c r="AS217" s="68">
        <f t="shared" si="695"/>
        <v>8.9715007824219803</v>
      </c>
      <c r="AT217" s="1118"/>
      <c r="AU217" s="70"/>
      <c r="AV217" s="71">
        <v>12</v>
      </c>
      <c r="AW217" s="72"/>
      <c r="AX217" s="72"/>
      <c r="AY217" s="276">
        <f t="shared" si="679"/>
        <v>3168.8983980000012</v>
      </c>
      <c r="AZ217" s="72">
        <f t="shared" si="680"/>
        <v>2.6543507304812266</v>
      </c>
      <c r="BA217" s="1174"/>
      <c r="BB217" s="253">
        <f t="shared" si="651"/>
        <v>17375</v>
      </c>
      <c r="BC217" s="56"/>
      <c r="BD217" s="252">
        <v>17375</v>
      </c>
      <c r="BE217" s="56"/>
      <c r="BF217" s="56">
        <f t="shared" si="696"/>
        <v>92525</v>
      </c>
      <c r="BG217" s="58">
        <f t="shared" si="697"/>
        <v>77.501317648043894</v>
      </c>
      <c r="BH217" s="1140"/>
      <c r="BI217" s="63">
        <f t="shared" si="654"/>
        <v>456</v>
      </c>
      <c r="BJ217" s="64"/>
      <c r="BK217" s="64">
        <v>456</v>
      </c>
      <c r="BL217" s="64"/>
      <c r="BM217" s="65"/>
      <c r="BN217" s="64">
        <f t="shared" si="700"/>
        <v>30476</v>
      </c>
      <c r="BO217" s="65">
        <f t="shared" si="701"/>
        <v>0.29076207685142413</v>
      </c>
      <c r="BP217" s="1071"/>
      <c r="BQ217" s="77">
        <f t="shared" si="659"/>
        <v>24236</v>
      </c>
      <c r="BR217" s="98"/>
      <c r="BS217" s="35">
        <f>18236+6000</f>
        <v>24236</v>
      </c>
      <c r="BT217" s="35"/>
      <c r="BU217" s="35">
        <f t="shared" si="703"/>
        <v>527481</v>
      </c>
      <c r="BV217" s="74">
        <f t="shared" si="704"/>
        <v>441.83164046806638</v>
      </c>
      <c r="BW217" s="1143"/>
      <c r="BX217" s="295">
        <f t="shared" si="662"/>
        <v>1000</v>
      </c>
      <c r="BY217" s="296"/>
      <c r="BZ217" s="296">
        <v>1000</v>
      </c>
      <c r="CA217" s="296"/>
      <c r="CB217" s="297"/>
      <c r="CC217" s="296">
        <f t="shared" si="705"/>
        <v>11500</v>
      </c>
      <c r="CD217" s="297">
        <f t="shared" si="706"/>
        <v>0.10971793817401816</v>
      </c>
      <c r="CE217" s="1177"/>
      <c r="CF217" s="33"/>
    </row>
    <row r="218" spans="1:84">
      <c r="A218" s="30">
        <v>43800</v>
      </c>
      <c r="B218" s="264"/>
      <c r="C218" s="206">
        <f t="shared" si="671"/>
        <v>104814219</v>
      </c>
      <c r="D218" s="332"/>
      <c r="E218" s="205">
        <f t="shared" si="615"/>
        <v>1193850.6699999997</v>
      </c>
      <c r="F218" s="346">
        <f>H217</f>
        <v>35910</v>
      </c>
      <c r="G218" s="343"/>
      <c r="H218" s="341">
        <v>35910</v>
      </c>
      <c r="I218" s="343"/>
      <c r="J218" s="313"/>
      <c r="K218" s="241">
        <f t="shared" ref="K218:K225" si="709">K217+I218</f>
        <v>3177500</v>
      </c>
      <c r="L218" s="313">
        <f t="shared" ref="L218:L225" si="710">K218*1000/C218</f>
        <v>30.315543351995018</v>
      </c>
      <c r="M218" s="313">
        <f t="shared" ref="M218:M225" si="711">L218/8.167</f>
        <v>3.7119558408222137</v>
      </c>
      <c r="N218" s="1052">
        <f>1000*SUM(I218:I225)/SUM(B218:B225)</f>
        <v>19.703476667758562</v>
      </c>
      <c r="O218" s="1083">
        <f>N218/8.167</f>
        <v>2.4125721400463527</v>
      </c>
      <c r="P218" s="117">
        <f>R217</f>
        <v>31579</v>
      </c>
      <c r="Q218" s="118"/>
      <c r="R218" s="118">
        <v>31579</v>
      </c>
      <c r="S218" s="118"/>
      <c r="T218" s="119"/>
      <c r="U218" s="120">
        <f>U217+S218</f>
        <v>303029</v>
      </c>
      <c r="V218" s="119">
        <f>1000*U218/C218</f>
        <v>2.8911058336464825</v>
      </c>
      <c r="W218" s="1135">
        <f>1000*SUM(S218:S225)/SUM(B218:B225)</f>
        <v>5.7014432206816821</v>
      </c>
      <c r="X218" s="121">
        <f t="shared" ref="X218:X225" si="712">Z217</f>
        <v>492</v>
      </c>
      <c r="Y218" s="122"/>
      <c r="Z218" s="122">
        <v>492</v>
      </c>
      <c r="AA218" s="122"/>
      <c r="AB218" s="123"/>
      <c r="AC218" s="122">
        <f t="shared" si="707"/>
        <v>20002</v>
      </c>
      <c r="AD218" s="123">
        <f t="shared" si="708"/>
        <v>0.19083288690058359</v>
      </c>
      <c r="AE218" s="1046">
        <f>1000*SUM(AA218:AA225)/SUM(B218:B225)</f>
        <v>5.4320361740687759E-2</v>
      </c>
      <c r="AF218" s="124">
        <f t="shared" ref="AF218:AF225" si="713">AH217</f>
        <v>626</v>
      </c>
      <c r="AG218" s="125"/>
      <c r="AH218" s="125">
        <v>626</v>
      </c>
      <c r="AI218" s="125"/>
      <c r="AJ218" s="126"/>
      <c r="AK218" s="125">
        <f t="shared" ref="AK218:AK225" si="714">AK217+AI218</f>
        <v>11040</v>
      </c>
      <c r="AL218" s="126">
        <f t="shared" ref="AL218:AL225" si="715">AK218*1000/C218</f>
        <v>0.10532922064705744</v>
      </c>
      <c r="AM218" s="1057">
        <f>1000*SUM(AI218:AI225)/SUM(B218:B225)</f>
        <v>0.10589727086820948</v>
      </c>
      <c r="AN218" s="219"/>
      <c r="AO218" s="135">
        <v>24</v>
      </c>
      <c r="AP218" s="102"/>
      <c r="AQ218" s="102"/>
      <c r="AR218" s="257">
        <f t="shared" si="676"/>
        <v>10710.632220000003</v>
      </c>
      <c r="AS218" s="102">
        <f t="shared" si="695"/>
        <v>8.9715007824219803</v>
      </c>
      <c r="AT218" s="1117">
        <f>1000*SUM(AP218:AP225)/SUM(D218:D225)</f>
        <v>13.50300983779645</v>
      </c>
      <c r="AU218" s="277"/>
      <c r="AV218" s="137">
        <v>12</v>
      </c>
      <c r="AW218" s="138"/>
      <c r="AX218" s="138"/>
      <c r="AY218" s="278">
        <f t="shared" ref="AY218:AY225" si="716">AY217+AW218</f>
        <v>3168.8983980000012</v>
      </c>
      <c r="AZ218" s="138">
        <f t="shared" ref="AZ218:AZ225" si="717">AY218*1000/E218</f>
        <v>2.6543507304812266</v>
      </c>
      <c r="BA218" s="1120">
        <f>1000*SUM(AW218:AW225)/SUM(D218:D225)</f>
        <v>3.0080662796863886</v>
      </c>
      <c r="BB218" s="344">
        <f t="shared" ref="BB218:BB225" si="718">BD217</f>
        <v>17375</v>
      </c>
      <c r="BC218" s="129"/>
      <c r="BD218" s="251">
        <v>17375</v>
      </c>
      <c r="BE218" s="129"/>
      <c r="BF218" s="129">
        <f t="shared" ref="BF218:BF225" si="719">BF217+BE218</f>
        <v>92525</v>
      </c>
      <c r="BG218" s="130">
        <f t="shared" ref="BG218:BG225" si="720">BF218*1000/E218</f>
        <v>77.501317648043894</v>
      </c>
      <c r="BH218" s="1123">
        <f>1000*SUM(BE218:BE225)/SUM(D218:D225)</f>
        <v>0</v>
      </c>
      <c r="BI218" s="131">
        <f>BK217</f>
        <v>456</v>
      </c>
      <c r="BJ218" s="132"/>
      <c r="BK218" s="132">
        <v>420</v>
      </c>
      <c r="BL218" s="132">
        <f>BI218-BK218+BJ218</f>
        <v>36</v>
      </c>
      <c r="BM218" s="134"/>
      <c r="BN218" s="132">
        <f>BN217+BL218</f>
        <v>30512</v>
      </c>
      <c r="BO218" s="134">
        <f>BN218*1000/C218</f>
        <v>0.29110554170136022</v>
      </c>
      <c r="BP218" s="1067">
        <f>1000*SUM(BL218:BL225)/SUM(B218:B225)</f>
        <v>0.25020287832074362</v>
      </c>
      <c r="BQ218" s="117">
        <f t="shared" ref="BQ218:BQ225" si="721">BS217</f>
        <v>24236</v>
      </c>
      <c r="BR218" s="350"/>
      <c r="BS218" s="118">
        <f t="shared" ref="BS218:BS225" si="722">18236+6000</f>
        <v>24236</v>
      </c>
      <c r="BT218" s="118"/>
      <c r="BU218" s="118">
        <f t="shared" ref="BU218:BU225" si="723">BU217+BT218</f>
        <v>527481</v>
      </c>
      <c r="BV218" s="120">
        <f t="shared" ref="BV218:BV225" si="724">BU218*1000/E218</f>
        <v>441.83164046806638</v>
      </c>
      <c r="BW218" s="1126">
        <f>1000*SUM(BT218:BT225)/SUM(D218:D225)</f>
        <v>0</v>
      </c>
      <c r="BX218" s="301">
        <f t="shared" ref="BX218:BX225" si="725">BZ217</f>
        <v>1000</v>
      </c>
      <c r="BY218" s="302"/>
      <c r="BZ218" s="302">
        <v>1001</v>
      </c>
      <c r="CA218" s="302"/>
      <c r="CB218" s="304"/>
      <c r="CC218" s="302">
        <f t="shared" ref="CC218:CC225" si="726">CC217+CA218</f>
        <v>11500</v>
      </c>
      <c r="CD218" s="304">
        <f t="shared" ref="CD218:CD225" si="727">CC218*1000/C218</f>
        <v>0.10971793817401816</v>
      </c>
      <c r="CE218" s="1129">
        <f>1000*SUM(CA218:CA225)/SUM(B188:B225)</f>
        <v>0</v>
      </c>
    </row>
    <row r="219" spans="1:84">
      <c r="A219" s="30">
        <v>43801</v>
      </c>
      <c r="B219" s="32"/>
      <c r="C219" s="1">
        <f t="shared" si="671"/>
        <v>104814219</v>
      </c>
      <c r="E219" s="93">
        <f t="shared" si="615"/>
        <v>1193850.6699999997</v>
      </c>
      <c r="F219" s="347">
        <f>H218</f>
        <v>35910</v>
      </c>
      <c r="G219" s="271"/>
      <c r="H219" s="108">
        <v>35910</v>
      </c>
      <c r="I219" s="271"/>
      <c r="J219" s="280"/>
      <c r="K219" s="240">
        <f t="shared" si="709"/>
        <v>3177500</v>
      </c>
      <c r="L219" s="280">
        <f t="shared" si="710"/>
        <v>30.315543351995018</v>
      </c>
      <c r="M219" s="280">
        <f t="shared" si="711"/>
        <v>3.7119558408222137</v>
      </c>
      <c r="N219" s="1089"/>
      <c r="O219" s="1084"/>
      <c r="P219" s="77">
        <f>R218</f>
        <v>31579</v>
      </c>
      <c r="Q219" s="98"/>
      <c r="R219" s="35">
        <v>31579</v>
      </c>
      <c r="S219" s="35"/>
      <c r="T219" s="36"/>
      <c r="U219" s="74">
        <f>U218+S219</f>
        <v>303029</v>
      </c>
      <c r="V219" s="36">
        <f>1000*U219/C219</f>
        <v>2.8911058336464825</v>
      </c>
      <c r="W219" s="1136"/>
      <c r="X219" s="49">
        <f t="shared" si="712"/>
        <v>492</v>
      </c>
      <c r="Y219" s="50"/>
      <c r="Z219" s="50">
        <v>492</v>
      </c>
      <c r="AA219" s="50"/>
      <c r="AB219" s="51"/>
      <c r="AC219" s="50">
        <f t="shared" si="707"/>
        <v>20002</v>
      </c>
      <c r="AD219" s="51">
        <f t="shared" si="708"/>
        <v>0.19083288690058359</v>
      </c>
      <c r="AE219" s="1047"/>
      <c r="AF219" s="40">
        <f t="shared" si="713"/>
        <v>626</v>
      </c>
      <c r="AG219" s="41"/>
      <c r="AH219" s="41">
        <v>626</v>
      </c>
      <c r="AI219" s="41"/>
      <c r="AJ219" s="42"/>
      <c r="AK219" s="41">
        <f t="shared" si="714"/>
        <v>11040</v>
      </c>
      <c r="AL219" s="42">
        <f t="shared" si="715"/>
        <v>0.10532922064705744</v>
      </c>
      <c r="AM219" s="1058"/>
      <c r="AN219" s="220"/>
      <c r="AO219" s="67">
        <v>24</v>
      </c>
      <c r="AP219" s="68"/>
      <c r="AQ219" s="68"/>
      <c r="AR219" s="258">
        <f t="shared" si="676"/>
        <v>10710.632220000003</v>
      </c>
      <c r="AS219" s="68">
        <f t="shared" si="695"/>
        <v>8.9715007824219803</v>
      </c>
      <c r="AT219" s="1118"/>
      <c r="AU219" s="70"/>
      <c r="AV219" s="71">
        <v>12</v>
      </c>
      <c r="AW219" s="72"/>
      <c r="AX219" s="72"/>
      <c r="AY219" s="276">
        <f t="shared" si="716"/>
        <v>3168.8983980000012</v>
      </c>
      <c r="AZ219" s="72">
        <f t="shared" si="717"/>
        <v>2.6543507304812266</v>
      </c>
      <c r="BA219" s="1121"/>
      <c r="BB219" s="253">
        <f t="shared" si="718"/>
        <v>17375</v>
      </c>
      <c r="BC219" s="56"/>
      <c r="BD219" s="252">
        <v>17375</v>
      </c>
      <c r="BE219" s="56"/>
      <c r="BF219" s="56">
        <f t="shared" si="719"/>
        <v>92525</v>
      </c>
      <c r="BG219" s="58">
        <f t="shared" si="720"/>
        <v>77.501317648043894</v>
      </c>
      <c r="BH219" s="1124"/>
      <c r="BI219" s="63">
        <f>BK218</f>
        <v>420</v>
      </c>
      <c r="BJ219" s="64"/>
      <c r="BK219" s="64">
        <v>420</v>
      </c>
      <c r="BL219" s="64"/>
      <c r="BM219" s="65"/>
      <c r="BN219" s="64">
        <f>BN218+BL219</f>
        <v>30512</v>
      </c>
      <c r="BO219" s="65">
        <f>BN219*1000/C219</f>
        <v>0.29110554170136022</v>
      </c>
      <c r="BP219" s="1071"/>
      <c r="BQ219" s="77">
        <f t="shared" si="721"/>
        <v>24236</v>
      </c>
      <c r="BR219" s="98"/>
      <c r="BS219" s="35">
        <f t="shared" si="722"/>
        <v>24236</v>
      </c>
      <c r="BT219" s="35"/>
      <c r="BU219" s="35">
        <f t="shared" si="723"/>
        <v>527481</v>
      </c>
      <c r="BV219" s="74">
        <f t="shared" si="724"/>
        <v>441.83164046806638</v>
      </c>
      <c r="BW219" s="1127"/>
      <c r="BX219" s="295">
        <f t="shared" si="725"/>
        <v>1001</v>
      </c>
      <c r="BY219" s="296"/>
      <c r="BZ219" s="296">
        <v>1002</v>
      </c>
      <c r="CA219" s="296"/>
      <c r="CB219" s="297"/>
      <c r="CC219" s="296">
        <f t="shared" si="726"/>
        <v>11500</v>
      </c>
      <c r="CD219" s="297">
        <f t="shared" si="727"/>
        <v>0.10971793817401816</v>
      </c>
      <c r="CE219" s="1130"/>
    </row>
    <row r="220" spans="1:84">
      <c r="A220" s="30">
        <v>43802</v>
      </c>
      <c r="B220" s="32">
        <v>190507</v>
      </c>
      <c r="C220" s="1">
        <f t="shared" si="671"/>
        <v>105004726</v>
      </c>
      <c r="D220" s="1">
        <v>6310.07</v>
      </c>
      <c r="E220" s="93">
        <f t="shared" si="615"/>
        <v>1200160.7399999998</v>
      </c>
      <c r="F220" s="347">
        <f>H219</f>
        <v>35910</v>
      </c>
      <c r="G220" s="271"/>
      <c r="H220" s="108">
        <v>35910</v>
      </c>
      <c r="I220" s="271"/>
      <c r="J220" s="280"/>
      <c r="K220" s="240">
        <f t="shared" si="709"/>
        <v>3177500</v>
      </c>
      <c r="L220" s="280">
        <f t="shared" si="710"/>
        <v>30.260542749285399</v>
      </c>
      <c r="M220" s="280">
        <f t="shared" si="711"/>
        <v>3.7052213480207419</v>
      </c>
      <c r="N220" s="1089"/>
      <c r="O220" s="1084"/>
      <c r="P220" s="77">
        <f t="shared" ref="P220:P225" si="728">R219</f>
        <v>31579</v>
      </c>
      <c r="Q220" s="98"/>
      <c r="R220" s="35">
        <v>31310</v>
      </c>
      <c r="S220" s="35">
        <f>P220+Q220-R220</f>
        <v>269</v>
      </c>
      <c r="T220" s="36">
        <f>1000*S220/B220</f>
        <v>1.4120216055053094</v>
      </c>
      <c r="U220" s="74">
        <f t="shared" ref="U220:U225" si="729">U219+S220</f>
        <v>303298</v>
      </c>
      <c r="V220" s="36">
        <f t="shared" ref="V220:V225" si="730">1000*U220/C220</f>
        <v>2.8884223744367468</v>
      </c>
      <c r="W220" s="1136"/>
      <c r="X220" s="49">
        <f t="shared" si="712"/>
        <v>492</v>
      </c>
      <c r="Y220" s="50"/>
      <c r="Z220" s="50">
        <v>492</v>
      </c>
      <c r="AA220" s="50"/>
      <c r="AB220" s="51"/>
      <c r="AC220" s="50">
        <f t="shared" si="707"/>
        <v>20002</v>
      </c>
      <c r="AD220" s="51">
        <f t="shared" si="708"/>
        <v>0.19048666438118222</v>
      </c>
      <c r="AE220" s="1047"/>
      <c r="AF220" s="40">
        <f t="shared" si="713"/>
        <v>626</v>
      </c>
      <c r="AG220" s="41"/>
      <c r="AH220" s="41">
        <v>626</v>
      </c>
      <c r="AI220" s="41"/>
      <c r="AJ220" s="42"/>
      <c r="AK220" s="41">
        <f t="shared" si="714"/>
        <v>11040</v>
      </c>
      <c r="AL220" s="42">
        <f t="shared" si="715"/>
        <v>0.10513812492592001</v>
      </c>
      <c r="AM220" s="1058"/>
      <c r="AN220" s="260">
        <v>6</v>
      </c>
      <c r="AO220" s="67">
        <v>24</v>
      </c>
      <c r="AP220" s="68">
        <f>AN220*AO220*0.49705</f>
        <v>71.575199999999995</v>
      </c>
      <c r="AQ220" s="68">
        <f>AP220*1000/D220</f>
        <v>11.343012042655628</v>
      </c>
      <c r="AR220" s="258">
        <f t="shared" si="676"/>
        <v>10782.207420000002</v>
      </c>
      <c r="AS220" s="68">
        <f t="shared" si="695"/>
        <v>8.9839694472925391</v>
      </c>
      <c r="AT220" s="1118"/>
      <c r="AU220" s="319">
        <v>3</v>
      </c>
      <c r="AV220" s="71">
        <v>12</v>
      </c>
      <c r="AW220" s="72">
        <f>AU220*AV220*0.51673</f>
        <v>18.60228</v>
      </c>
      <c r="AX220" s="72">
        <f>AW220*1000/D220</f>
        <v>2.9480306874567161</v>
      </c>
      <c r="AY220" s="276">
        <f t="shared" si="716"/>
        <v>3187.5006780000012</v>
      </c>
      <c r="AZ220" s="72">
        <f t="shared" si="717"/>
        <v>2.6558948078904847</v>
      </c>
      <c r="BA220" s="1121"/>
      <c r="BB220" s="253">
        <f t="shared" si="718"/>
        <v>17375</v>
      </c>
      <c r="BC220" s="56"/>
      <c r="BD220" s="252">
        <v>17375</v>
      </c>
      <c r="BE220" s="56"/>
      <c r="BF220" s="56">
        <f t="shared" si="719"/>
        <v>92525</v>
      </c>
      <c r="BG220" s="58">
        <f t="shared" si="720"/>
        <v>77.093839946805801</v>
      </c>
      <c r="BH220" s="1124"/>
      <c r="BI220" s="63">
        <f>BK219</f>
        <v>420</v>
      </c>
      <c r="BJ220" s="64"/>
      <c r="BK220" s="64">
        <v>336</v>
      </c>
      <c r="BL220" s="64">
        <f>BI220-BK220+BJ220</f>
        <v>84</v>
      </c>
      <c r="BM220" s="65">
        <f>BL220*1000/B220</f>
        <v>0.44092867978604461</v>
      </c>
      <c r="BN220" s="64">
        <f t="shared" ref="BN220:BN225" si="731">BN219+BL220</f>
        <v>30596</v>
      </c>
      <c r="BO220" s="65">
        <f t="shared" ref="BO220:BO225" si="732">BN220*1000/C220</f>
        <v>0.29137736143418919</v>
      </c>
      <c r="BP220" s="1071"/>
      <c r="BQ220" s="77">
        <f t="shared" si="721"/>
        <v>24236</v>
      </c>
      <c r="BR220" s="98"/>
      <c r="BS220" s="35">
        <f t="shared" si="722"/>
        <v>24236</v>
      </c>
      <c r="BT220" s="35"/>
      <c r="BU220" s="35">
        <f t="shared" si="723"/>
        <v>527481</v>
      </c>
      <c r="BV220" s="74">
        <f t="shared" si="724"/>
        <v>439.50862781930368</v>
      </c>
      <c r="BW220" s="1127"/>
      <c r="BX220" s="295">
        <f t="shared" si="725"/>
        <v>1002</v>
      </c>
      <c r="BY220" s="296"/>
      <c r="BZ220" s="296">
        <v>1003</v>
      </c>
      <c r="CA220" s="296"/>
      <c r="CB220" s="297"/>
      <c r="CC220" s="296">
        <f t="shared" si="726"/>
        <v>11500</v>
      </c>
      <c r="CD220" s="297">
        <f t="shared" si="727"/>
        <v>0.10951888013116667</v>
      </c>
      <c r="CE220" s="1130"/>
    </row>
    <row r="221" spans="1:84">
      <c r="A221" s="30">
        <v>43803</v>
      </c>
      <c r="B221" s="32">
        <v>552689</v>
      </c>
      <c r="C221" s="1">
        <f t="shared" si="671"/>
        <v>105557415</v>
      </c>
      <c r="D221" s="1">
        <v>6577.26</v>
      </c>
      <c r="E221" s="93">
        <f t="shared" si="615"/>
        <v>1206737.9999999998</v>
      </c>
      <c r="F221" s="347">
        <f>H220</f>
        <v>35910</v>
      </c>
      <c r="G221" s="271"/>
      <c r="H221" s="108">
        <v>6000</v>
      </c>
      <c r="I221" s="271">
        <f>F221-H221+G221</f>
        <v>29910</v>
      </c>
      <c r="J221" s="280">
        <f>I221*1000/B221</f>
        <v>54.117234104532564</v>
      </c>
      <c r="K221" s="240">
        <f t="shared" si="709"/>
        <v>3207410</v>
      </c>
      <c r="L221" s="280">
        <f t="shared" si="710"/>
        <v>30.385454209919786</v>
      </c>
      <c r="M221" s="280">
        <f t="shared" si="711"/>
        <v>3.7205160046430494</v>
      </c>
      <c r="N221" s="1089"/>
      <c r="O221" s="1084"/>
      <c r="P221" s="77">
        <f t="shared" si="728"/>
        <v>31310</v>
      </c>
      <c r="Q221" s="98"/>
      <c r="R221" s="35">
        <v>26474</v>
      </c>
      <c r="S221" s="35">
        <f>P221+Q221-R221</f>
        <v>4836</v>
      </c>
      <c r="T221" s="36">
        <f>1000*S221/B221</f>
        <v>8.7499479815954366</v>
      </c>
      <c r="U221" s="74">
        <f t="shared" si="729"/>
        <v>308134</v>
      </c>
      <c r="V221" s="36">
        <f t="shared" si="730"/>
        <v>2.9191127880499916</v>
      </c>
      <c r="W221" s="1136"/>
      <c r="X221" s="49">
        <f t="shared" si="712"/>
        <v>492</v>
      </c>
      <c r="Y221" s="50"/>
      <c r="Z221" s="50">
        <v>492</v>
      </c>
      <c r="AA221" s="50"/>
      <c r="AB221" s="51"/>
      <c r="AC221" s="50">
        <f t="shared" si="707"/>
        <v>20002</v>
      </c>
      <c r="AD221" s="51">
        <f t="shared" si="708"/>
        <v>0.18948929357544422</v>
      </c>
      <c r="AE221" s="1047"/>
      <c r="AF221" s="40">
        <f t="shared" si="713"/>
        <v>626</v>
      </c>
      <c r="AG221" s="41"/>
      <c r="AH221" s="41">
        <v>626</v>
      </c>
      <c r="AI221" s="41"/>
      <c r="AJ221" s="42"/>
      <c r="AK221" s="41">
        <f t="shared" si="714"/>
        <v>11040</v>
      </c>
      <c r="AL221" s="42">
        <f t="shared" si="715"/>
        <v>0.10458763129051617</v>
      </c>
      <c r="AM221" s="1058"/>
      <c r="AN221" s="260">
        <v>7.2</v>
      </c>
      <c r="AO221" s="67">
        <v>24</v>
      </c>
      <c r="AP221" s="68">
        <f>AN221*AO221*0.49705</f>
        <v>85.890240000000006</v>
      </c>
      <c r="AQ221" s="68">
        <f>AP221*1000/D221</f>
        <v>13.058665766595817</v>
      </c>
      <c r="AR221" s="258">
        <f t="shared" si="676"/>
        <v>10868.097660000003</v>
      </c>
      <c r="AS221" s="68">
        <f t="shared" si="695"/>
        <v>9.0061783585169319</v>
      </c>
      <c r="AT221" s="1118"/>
      <c r="AU221" s="70">
        <v>3.3</v>
      </c>
      <c r="AV221" s="71">
        <v>12</v>
      </c>
      <c r="AW221" s="72">
        <f>AU221*AV221*0.51673</f>
        <v>20.462508</v>
      </c>
      <c r="AX221" s="72">
        <f>AW221*1000/D221</f>
        <v>3.111099150710174</v>
      </c>
      <c r="AY221" s="276">
        <f t="shared" si="716"/>
        <v>3207.9631860000013</v>
      </c>
      <c r="AZ221" s="72">
        <f t="shared" si="717"/>
        <v>2.6583758744648813</v>
      </c>
      <c r="BA221" s="1121"/>
      <c r="BB221" s="253">
        <f t="shared" si="718"/>
        <v>17375</v>
      </c>
      <c r="BC221" s="56"/>
      <c r="BD221" s="252">
        <v>17375</v>
      </c>
      <c r="BE221" s="56"/>
      <c r="BF221" s="56">
        <f t="shared" si="719"/>
        <v>92525</v>
      </c>
      <c r="BG221" s="58">
        <f t="shared" si="720"/>
        <v>76.673644154737829</v>
      </c>
      <c r="BH221" s="1124"/>
      <c r="BI221" s="63">
        <f>BK220</f>
        <v>336</v>
      </c>
      <c r="BJ221" s="64"/>
      <c r="BK221" s="64">
        <v>288</v>
      </c>
      <c r="BL221" s="64">
        <f>BI221-BK221+BJ221</f>
        <v>48</v>
      </c>
      <c r="BM221" s="65">
        <f>BL221*1000/B221</f>
        <v>8.6848118924024179E-2</v>
      </c>
      <c r="BN221" s="64">
        <f t="shared" si="731"/>
        <v>30644</v>
      </c>
      <c r="BO221" s="65">
        <f t="shared" si="732"/>
        <v>0.29030646496979867</v>
      </c>
      <c r="BP221" s="1071"/>
      <c r="BQ221" s="77">
        <f t="shared" si="721"/>
        <v>24236</v>
      </c>
      <c r="BR221" s="98"/>
      <c r="BS221" s="35">
        <f t="shared" si="722"/>
        <v>24236</v>
      </c>
      <c r="BT221" s="35"/>
      <c r="BU221" s="35">
        <f t="shared" si="723"/>
        <v>527481</v>
      </c>
      <c r="BV221" s="74">
        <f t="shared" si="724"/>
        <v>437.11310988797908</v>
      </c>
      <c r="BW221" s="1127"/>
      <c r="BX221" s="295">
        <f t="shared" si="725"/>
        <v>1003</v>
      </c>
      <c r="BY221" s="296"/>
      <c r="BZ221" s="296">
        <v>1004</v>
      </c>
      <c r="CA221" s="296"/>
      <c r="CB221" s="297"/>
      <c r="CC221" s="296">
        <f t="shared" si="726"/>
        <v>11500</v>
      </c>
      <c r="CD221" s="297">
        <f t="shared" si="727"/>
        <v>0.10894544926095434</v>
      </c>
      <c r="CE221" s="1130"/>
    </row>
    <row r="222" spans="1:84">
      <c r="A222" s="30">
        <v>43804</v>
      </c>
      <c r="B222" s="32">
        <v>478855</v>
      </c>
      <c r="C222" s="1">
        <f t="shared" si="671"/>
        <v>106036270</v>
      </c>
      <c r="D222" s="1">
        <v>2875.26</v>
      </c>
      <c r="E222" s="93">
        <f t="shared" si="615"/>
        <v>1209613.2599999998</v>
      </c>
      <c r="F222" s="347">
        <f>H221</f>
        <v>6000</v>
      </c>
      <c r="G222" s="271"/>
      <c r="H222" s="108"/>
      <c r="I222" s="271">
        <f>F222-H222+G222</f>
        <v>6000</v>
      </c>
      <c r="J222" s="280">
        <f>I222*1000/B222</f>
        <v>12.529889006066554</v>
      </c>
      <c r="K222" s="240">
        <f t="shared" si="709"/>
        <v>3213410</v>
      </c>
      <c r="L222" s="280">
        <f t="shared" si="710"/>
        <v>30.304819284948444</v>
      </c>
      <c r="M222" s="280">
        <f t="shared" si="711"/>
        <v>3.7106427433511011</v>
      </c>
      <c r="N222" s="1089"/>
      <c r="O222" s="1084"/>
      <c r="P222" s="77">
        <f t="shared" si="728"/>
        <v>26474</v>
      </c>
      <c r="Q222" s="98"/>
      <c r="R222" s="35">
        <v>22758</v>
      </c>
      <c r="S222" s="35">
        <f>P222+Q222-R222</f>
        <v>3716</v>
      </c>
      <c r="T222" s="36">
        <f>1000*S222/B222</f>
        <v>7.7601779244238864</v>
      </c>
      <c r="U222" s="74">
        <f t="shared" si="729"/>
        <v>311850</v>
      </c>
      <c r="V222" s="36">
        <f t="shared" si="730"/>
        <v>2.9409748192764607</v>
      </c>
      <c r="W222" s="1136"/>
      <c r="X222" s="49">
        <f t="shared" si="712"/>
        <v>492</v>
      </c>
      <c r="Y222" s="50"/>
      <c r="Z222" s="50">
        <v>492</v>
      </c>
      <c r="AA222" s="50"/>
      <c r="AB222" s="51"/>
      <c r="AC222" s="50">
        <f t="shared" si="707"/>
        <v>20002</v>
      </c>
      <c r="AD222" s="51">
        <f t="shared" si="708"/>
        <v>0.18863356849500648</v>
      </c>
      <c r="AE222" s="1047"/>
      <c r="AF222" s="40">
        <f t="shared" si="713"/>
        <v>626</v>
      </c>
      <c r="AG222" s="41"/>
      <c r="AH222" s="41">
        <v>626</v>
      </c>
      <c r="AI222" s="41"/>
      <c r="AJ222" s="42"/>
      <c r="AK222" s="41">
        <f t="shared" si="714"/>
        <v>11040</v>
      </c>
      <c r="AL222" s="42">
        <f t="shared" si="715"/>
        <v>0.10411531827741582</v>
      </c>
      <c r="AM222" s="1058"/>
      <c r="AN222" s="260">
        <v>4.5</v>
      </c>
      <c r="AO222" s="67">
        <v>24</v>
      </c>
      <c r="AP222" s="68">
        <f>AN222*AO222*0.49705</f>
        <v>53.681399999999996</v>
      </c>
      <c r="AQ222" s="68">
        <f>AP222*1000/D222</f>
        <v>18.670102877652798</v>
      </c>
      <c r="AR222" s="258">
        <f t="shared" si="676"/>
        <v>10921.779060000003</v>
      </c>
      <c r="AS222" s="68">
        <f t="shared" si="695"/>
        <v>9.0291495812471538</v>
      </c>
      <c r="AT222" s="1118"/>
      <c r="AU222" s="70">
        <v>1.5</v>
      </c>
      <c r="AV222" s="71">
        <v>12</v>
      </c>
      <c r="AW222" s="72">
        <f>AU222*AV222*0.51673</f>
        <v>9.3011400000000002</v>
      </c>
      <c r="AX222" s="72">
        <f>AW222*1000/D222</f>
        <v>3.2348865841697791</v>
      </c>
      <c r="AY222" s="276">
        <f t="shared" si="716"/>
        <v>3217.2643260000013</v>
      </c>
      <c r="AZ222" s="72">
        <f t="shared" si="717"/>
        <v>2.659746244845234</v>
      </c>
      <c r="BA222" s="1121"/>
      <c r="BB222" s="253">
        <f t="shared" si="718"/>
        <v>17375</v>
      </c>
      <c r="BC222" s="56"/>
      <c r="BD222" s="252">
        <v>17375</v>
      </c>
      <c r="BE222" s="56"/>
      <c r="BF222" s="56">
        <f t="shared" si="719"/>
        <v>92525</v>
      </c>
      <c r="BG222" s="58">
        <f t="shared" si="720"/>
        <v>76.49139031428939</v>
      </c>
      <c r="BH222" s="1124"/>
      <c r="BI222" s="63">
        <f>BK221</f>
        <v>288</v>
      </c>
      <c r="BJ222" s="64"/>
      <c r="BK222" s="64"/>
      <c r="BL222" s="64">
        <f>BI222-BK222+BJ222</f>
        <v>288</v>
      </c>
      <c r="BM222" s="65">
        <f>BL222*1000/B222</f>
        <v>0.60143467229119463</v>
      </c>
      <c r="BN222" s="64">
        <f t="shared" si="731"/>
        <v>30932</v>
      </c>
      <c r="BO222" s="65">
        <f t="shared" si="732"/>
        <v>0.29171150588378864</v>
      </c>
      <c r="BP222" s="1071"/>
      <c r="BQ222" s="77">
        <f t="shared" si="721"/>
        <v>24236</v>
      </c>
      <c r="BR222" s="98"/>
      <c r="BS222" s="35">
        <f t="shared" si="722"/>
        <v>24236</v>
      </c>
      <c r="BT222" s="35"/>
      <c r="BU222" s="35">
        <f t="shared" si="723"/>
        <v>527481</v>
      </c>
      <c r="BV222" s="74">
        <f t="shared" si="724"/>
        <v>436.07408867194471</v>
      </c>
      <c r="BW222" s="1127"/>
      <c r="BX222" s="295">
        <f t="shared" si="725"/>
        <v>1004</v>
      </c>
      <c r="BY222" s="296"/>
      <c r="BZ222" s="296">
        <v>1005</v>
      </c>
      <c r="CA222" s="296"/>
      <c r="CB222" s="297"/>
      <c r="CC222" s="296">
        <f t="shared" si="726"/>
        <v>11500</v>
      </c>
      <c r="CD222" s="297">
        <f t="shared" si="727"/>
        <v>0.10845345653897483</v>
      </c>
      <c r="CE222" s="1130"/>
    </row>
    <row r="223" spans="1:84">
      <c r="A223" s="30">
        <v>43805</v>
      </c>
      <c r="B223" s="32">
        <v>60271</v>
      </c>
      <c r="C223" s="1">
        <f t="shared" si="671"/>
        <v>106096541</v>
      </c>
      <c r="D223" s="1"/>
      <c r="E223" s="93">
        <f t="shared" si="615"/>
        <v>1209613.2599999998</v>
      </c>
      <c r="F223" s="347"/>
      <c r="G223" s="271"/>
      <c r="H223" s="108"/>
      <c r="I223" s="271"/>
      <c r="J223" s="280"/>
      <c r="K223" s="240">
        <f t="shared" si="709"/>
        <v>3213410</v>
      </c>
      <c r="L223" s="280">
        <f t="shared" si="710"/>
        <v>30.287603815472174</v>
      </c>
      <c r="M223" s="280">
        <f t="shared" si="711"/>
        <v>3.7085348127185225</v>
      </c>
      <c r="N223" s="1089"/>
      <c r="O223" s="1084"/>
      <c r="P223" s="77">
        <f t="shared" si="728"/>
        <v>22758</v>
      </c>
      <c r="Q223" s="98"/>
      <c r="R223" s="35">
        <v>22758</v>
      </c>
      <c r="S223" s="35"/>
      <c r="T223" s="36"/>
      <c r="U223" s="74">
        <f t="shared" si="729"/>
        <v>311850</v>
      </c>
      <c r="V223" s="36">
        <f t="shared" si="730"/>
        <v>2.9393041192549338</v>
      </c>
      <c r="W223" s="1136"/>
      <c r="X223" s="49">
        <f t="shared" si="712"/>
        <v>492</v>
      </c>
      <c r="Y223" s="50"/>
      <c r="Z223" s="50">
        <v>492</v>
      </c>
      <c r="AA223" s="50"/>
      <c r="AB223" s="51"/>
      <c r="AC223" s="50">
        <f t="shared" si="707"/>
        <v>20002</v>
      </c>
      <c r="AD223" s="51">
        <f t="shared" si="708"/>
        <v>0.18852641011171137</v>
      </c>
      <c r="AE223" s="1047"/>
      <c r="AF223" s="40">
        <f t="shared" si="713"/>
        <v>626</v>
      </c>
      <c r="AG223" s="41"/>
      <c r="AH223" s="41">
        <v>626</v>
      </c>
      <c r="AI223" s="41"/>
      <c r="AJ223" s="42"/>
      <c r="AK223" s="41">
        <f t="shared" si="714"/>
        <v>11040</v>
      </c>
      <c r="AL223" s="42">
        <f t="shared" si="715"/>
        <v>0.10405617276438824</v>
      </c>
      <c r="AM223" s="1058"/>
      <c r="AN223" s="260"/>
      <c r="AO223" s="67">
        <v>24</v>
      </c>
      <c r="AP223" s="68"/>
      <c r="AQ223" s="68"/>
      <c r="AR223" s="258">
        <f t="shared" si="676"/>
        <v>10921.779060000003</v>
      </c>
      <c r="AS223" s="68">
        <f t="shared" si="695"/>
        <v>9.0291495812471538</v>
      </c>
      <c r="AT223" s="1118"/>
      <c r="AU223" s="70"/>
      <c r="AV223" s="71">
        <v>12</v>
      </c>
      <c r="AW223" s="72"/>
      <c r="AX223" s="72"/>
      <c r="AY223" s="276">
        <f t="shared" si="716"/>
        <v>3217.2643260000013</v>
      </c>
      <c r="AZ223" s="72">
        <f t="shared" si="717"/>
        <v>2.659746244845234</v>
      </c>
      <c r="BA223" s="1121"/>
      <c r="BB223" s="253">
        <f t="shared" si="718"/>
        <v>17375</v>
      </c>
      <c r="BC223" s="56"/>
      <c r="BD223" s="252">
        <v>17375</v>
      </c>
      <c r="BE223" s="56"/>
      <c r="BF223" s="56">
        <f t="shared" si="719"/>
        <v>92525</v>
      </c>
      <c r="BG223" s="58">
        <f t="shared" si="720"/>
        <v>76.49139031428939</v>
      </c>
      <c r="BH223" s="1124"/>
      <c r="BI223" s="63"/>
      <c r="BJ223" s="64"/>
      <c r="BK223" s="64"/>
      <c r="BL223" s="64"/>
      <c r="BM223" s="65"/>
      <c r="BN223" s="64">
        <f t="shared" si="731"/>
        <v>30932</v>
      </c>
      <c r="BO223" s="65">
        <f t="shared" si="732"/>
        <v>0.29154579129964286</v>
      </c>
      <c r="BP223" s="1071"/>
      <c r="BQ223" s="77">
        <f t="shared" si="721"/>
        <v>24236</v>
      </c>
      <c r="BR223" s="98"/>
      <c r="BS223" s="35">
        <f t="shared" si="722"/>
        <v>24236</v>
      </c>
      <c r="BT223" s="35"/>
      <c r="BU223" s="35">
        <f t="shared" si="723"/>
        <v>527481</v>
      </c>
      <c r="BV223" s="74">
        <f t="shared" si="724"/>
        <v>436.07408867194471</v>
      </c>
      <c r="BW223" s="1127"/>
      <c r="BX223" s="295">
        <f t="shared" si="725"/>
        <v>1005</v>
      </c>
      <c r="BY223" s="296"/>
      <c r="BZ223" s="296">
        <v>1006</v>
      </c>
      <c r="CA223" s="296"/>
      <c r="CB223" s="297"/>
      <c r="CC223" s="296">
        <f t="shared" si="726"/>
        <v>11500</v>
      </c>
      <c r="CD223" s="297">
        <f t="shared" si="727"/>
        <v>0.10839184662957108</v>
      </c>
      <c r="CE223" s="1130"/>
    </row>
    <row r="224" spans="1:84">
      <c r="A224" s="30">
        <v>43806</v>
      </c>
      <c r="B224" s="32">
        <v>111786</v>
      </c>
      <c r="C224" s="1">
        <f t="shared" si="671"/>
        <v>106208327</v>
      </c>
      <c r="D224" s="1">
        <v>5178.34</v>
      </c>
      <c r="E224" s="93">
        <f t="shared" si="615"/>
        <v>1214791.5999999999</v>
      </c>
      <c r="F224" s="347"/>
      <c r="G224" s="271"/>
      <c r="H224" s="108"/>
      <c r="I224" s="271"/>
      <c r="J224" s="280"/>
      <c r="K224" s="240">
        <f t="shared" si="709"/>
        <v>3213410</v>
      </c>
      <c r="L224" s="280">
        <f t="shared" si="710"/>
        <v>30.255725617446174</v>
      </c>
      <c r="M224" s="280">
        <f t="shared" si="711"/>
        <v>3.7046315192171146</v>
      </c>
      <c r="N224" s="1089"/>
      <c r="O224" s="1084"/>
      <c r="P224" s="77">
        <f t="shared" si="728"/>
        <v>22758</v>
      </c>
      <c r="Q224" s="98"/>
      <c r="R224" s="35">
        <v>21188</v>
      </c>
      <c r="S224" s="35">
        <f>P224+Q224-R224</f>
        <v>1570</v>
      </c>
      <c r="T224" s="36">
        <f>1000*S224/B224</f>
        <v>14.044692537527061</v>
      </c>
      <c r="U224" s="74">
        <f t="shared" si="729"/>
        <v>313420</v>
      </c>
      <c r="V224" s="36">
        <f t="shared" si="730"/>
        <v>2.950992722067828</v>
      </c>
      <c r="W224" s="1136"/>
      <c r="X224" s="49">
        <f t="shared" si="712"/>
        <v>492</v>
      </c>
      <c r="Y224" s="50"/>
      <c r="Z224" s="50">
        <v>492</v>
      </c>
      <c r="AA224" s="50"/>
      <c r="AB224" s="51"/>
      <c r="AC224" s="50">
        <f t="shared" si="707"/>
        <v>20002</v>
      </c>
      <c r="AD224" s="51">
        <f t="shared" si="708"/>
        <v>0.18832798298385775</v>
      </c>
      <c r="AE224" s="1047"/>
      <c r="AF224" s="40">
        <f t="shared" si="713"/>
        <v>626</v>
      </c>
      <c r="AG224" s="41"/>
      <c r="AH224" s="41">
        <v>626</v>
      </c>
      <c r="AI224" s="41"/>
      <c r="AJ224" s="42"/>
      <c r="AK224" s="41">
        <f t="shared" si="714"/>
        <v>11040</v>
      </c>
      <c r="AL224" s="42">
        <f t="shared" si="715"/>
        <v>0.10394665194189529</v>
      </c>
      <c r="AM224" s="1058"/>
      <c r="AN224" s="260">
        <v>4.7</v>
      </c>
      <c r="AO224" s="67">
        <v>24</v>
      </c>
      <c r="AP224" s="68">
        <f>AN224*AO224*0.49705</f>
        <v>56.067240000000005</v>
      </c>
      <c r="AQ224" s="68">
        <f>AP224*1000/D224</f>
        <v>10.827261245881886</v>
      </c>
      <c r="AR224" s="258">
        <f t="shared" si="676"/>
        <v>10977.846300000003</v>
      </c>
      <c r="AS224" s="68">
        <f t="shared" si="695"/>
        <v>9.0368144626617468</v>
      </c>
      <c r="AT224" s="1118"/>
      <c r="AU224" s="70">
        <v>2.2999999999999998</v>
      </c>
      <c r="AV224" s="71">
        <v>12</v>
      </c>
      <c r="AW224" s="72">
        <f>AU224*AV224*0.51673</f>
        <v>14.261747999999999</v>
      </c>
      <c r="AX224" s="72">
        <f>AW224*1000/D224</f>
        <v>2.7541157977266844</v>
      </c>
      <c r="AY224" s="276">
        <f t="shared" si="716"/>
        <v>3231.5260740000012</v>
      </c>
      <c r="AZ224" s="72">
        <f t="shared" si="717"/>
        <v>2.6601485176552107</v>
      </c>
      <c r="BA224" s="1121"/>
      <c r="BB224" s="253">
        <f t="shared" si="718"/>
        <v>17375</v>
      </c>
      <c r="BC224" s="56"/>
      <c r="BD224" s="252">
        <v>17375</v>
      </c>
      <c r="BE224" s="56"/>
      <c r="BF224" s="56">
        <f t="shared" si="719"/>
        <v>92525</v>
      </c>
      <c r="BG224" s="58">
        <f t="shared" si="720"/>
        <v>76.165327452050221</v>
      </c>
      <c r="BH224" s="1124"/>
      <c r="BI224" s="63"/>
      <c r="BJ224" s="64"/>
      <c r="BK224" s="64"/>
      <c r="BL224" s="64"/>
      <c r="BM224" s="65"/>
      <c r="BN224" s="64">
        <f t="shared" si="731"/>
        <v>30932</v>
      </c>
      <c r="BO224" s="65">
        <f t="shared" si="732"/>
        <v>0.29123893458937544</v>
      </c>
      <c r="BP224" s="1071"/>
      <c r="BQ224" s="77">
        <f t="shared" si="721"/>
        <v>24236</v>
      </c>
      <c r="BR224" s="98"/>
      <c r="BS224" s="35">
        <f t="shared" si="722"/>
        <v>24236</v>
      </c>
      <c r="BT224" s="35"/>
      <c r="BU224" s="35">
        <f t="shared" si="723"/>
        <v>527481</v>
      </c>
      <c r="BV224" s="74">
        <f t="shared" si="724"/>
        <v>434.21521847862635</v>
      </c>
      <c r="BW224" s="1127"/>
      <c r="BX224" s="295">
        <f t="shared" si="725"/>
        <v>1006</v>
      </c>
      <c r="BY224" s="296"/>
      <c r="BZ224" s="296">
        <v>1007</v>
      </c>
      <c r="CA224" s="296"/>
      <c r="CB224" s="297"/>
      <c r="CC224" s="296">
        <f t="shared" si="726"/>
        <v>11500</v>
      </c>
      <c r="CD224" s="297">
        <f t="shared" si="727"/>
        <v>0.10827776243947426</v>
      </c>
      <c r="CE224" s="1130"/>
    </row>
    <row r="225" spans="1:83" ht="15.75" thickBot="1">
      <c r="A225" s="170">
        <v>43807</v>
      </c>
      <c r="B225" s="109">
        <v>428413</v>
      </c>
      <c r="C225" s="78">
        <f t="shared" si="671"/>
        <v>106636740</v>
      </c>
      <c r="D225" s="78">
        <v>85.12</v>
      </c>
      <c r="E225" s="94">
        <f t="shared" si="615"/>
        <v>1214876.72</v>
      </c>
      <c r="F225" s="348"/>
      <c r="G225" s="273"/>
      <c r="H225" s="342"/>
      <c r="I225" s="273"/>
      <c r="J225" s="230"/>
      <c r="K225" s="231">
        <f t="shared" si="709"/>
        <v>3213410</v>
      </c>
      <c r="L225" s="230">
        <f t="shared" si="710"/>
        <v>30.13417326898778</v>
      </c>
      <c r="M225" s="230">
        <f t="shared" si="711"/>
        <v>3.6897481656652111</v>
      </c>
      <c r="N225" s="1090"/>
      <c r="O225" s="1085"/>
      <c r="P225" s="79">
        <f t="shared" si="728"/>
        <v>21188</v>
      </c>
      <c r="Q225" s="247"/>
      <c r="R225" s="76">
        <v>21188</v>
      </c>
      <c r="S225" s="76"/>
      <c r="T225" s="80"/>
      <c r="U225" s="81">
        <f t="shared" si="729"/>
        <v>313420</v>
      </c>
      <c r="V225" s="80">
        <f t="shared" si="730"/>
        <v>2.9391371116558891</v>
      </c>
      <c r="W225" s="1137"/>
      <c r="X225" s="83">
        <f t="shared" si="712"/>
        <v>492</v>
      </c>
      <c r="Y225" s="82"/>
      <c r="Z225" s="82">
        <f>308+85</f>
        <v>393</v>
      </c>
      <c r="AA225" s="82">
        <f>X225-Z225+Y225</f>
        <v>99</v>
      </c>
      <c r="AB225" s="84">
        <f>AA225*1000/B225</f>
        <v>0.23108542457861922</v>
      </c>
      <c r="AC225" s="82">
        <f t="shared" si="707"/>
        <v>20101</v>
      </c>
      <c r="AD225" s="84">
        <f t="shared" si="708"/>
        <v>0.18849976096418553</v>
      </c>
      <c r="AE225" s="1048"/>
      <c r="AF225" s="95">
        <f t="shared" si="713"/>
        <v>626</v>
      </c>
      <c r="AG225" s="96"/>
      <c r="AH225" s="96">
        <v>433</v>
      </c>
      <c r="AI225" s="96">
        <f>AF225+AG225-AH225</f>
        <v>193</v>
      </c>
      <c r="AJ225" s="97">
        <f>AI225*1000/B225</f>
        <v>0.45049986811791426</v>
      </c>
      <c r="AK225" s="96">
        <f t="shared" si="714"/>
        <v>11233</v>
      </c>
      <c r="AL225" s="97">
        <f t="shared" si="715"/>
        <v>0.10533892915331057</v>
      </c>
      <c r="AM225" s="1059"/>
      <c r="AN225" s="266">
        <v>1.4</v>
      </c>
      <c r="AO225" s="101">
        <v>24</v>
      </c>
      <c r="AP225" s="111">
        <f>AN225*AO225*0.49705</f>
        <v>16.700879999999998</v>
      </c>
      <c r="AQ225" s="111">
        <f>AP225*1000/D225</f>
        <v>196.20394736842101</v>
      </c>
      <c r="AR225" s="259">
        <f t="shared" si="676"/>
        <v>10994.547180000003</v>
      </c>
      <c r="AS225" s="111">
        <f t="shared" si="695"/>
        <v>9.0499282758500819</v>
      </c>
      <c r="AT225" s="1119"/>
      <c r="AU225" s="113">
        <v>0.1</v>
      </c>
      <c r="AV225" s="104">
        <v>12</v>
      </c>
      <c r="AW225" s="105">
        <f>AU225*AV225*0.51673</f>
        <v>0.62007600000000007</v>
      </c>
      <c r="AX225" s="105">
        <f>AW225*1000/D225</f>
        <v>7.2847274436090226</v>
      </c>
      <c r="AY225" s="279">
        <f t="shared" si="716"/>
        <v>3232.1461500000014</v>
      </c>
      <c r="AZ225" s="105">
        <f t="shared" si="717"/>
        <v>2.6604725374933529</v>
      </c>
      <c r="BA225" s="1122"/>
      <c r="BB225" s="345">
        <f t="shared" si="718"/>
        <v>17375</v>
      </c>
      <c r="BC225" s="88"/>
      <c r="BD225" s="274">
        <v>17375</v>
      </c>
      <c r="BE225" s="88"/>
      <c r="BF225" s="88">
        <f t="shared" si="719"/>
        <v>92525</v>
      </c>
      <c r="BG225" s="89">
        <f t="shared" si="720"/>
        <v>76.159990949534375</v>
      </c>
      <c r="BH225" s="1125"/>
      <c r="BI225" s="207"/>
      <c r="BJ225" s="85"/>
      <c r="BK225" s="85"/>
      <c r="BL225" s="85"/>
      <c r="BM225" s="86"/>
      <c r="BN225" s="85">
        <f t="shared" si="731"/>
        <v>30932</v>
      </c>
      <c r="BO225" s="86">
        <f t="shared" si="732"/>
        <v>0.29006888245083262</v>
      </c>
      <c r="BP225" s="1072"/>
      <c r="BQ225" s="79">
        <f t="shared" si="721"/>
        <v>24236</v>
      </c>
      <c r="BR225" s="247"/>
      <c r="BS225" s="76">
        <f t="shared" si="722"/>
        <v>24236</v>
      </c>
      <c r="BT225" s="76"/>
      <c r="BU225" s="76">
        <f t="shared" si="723"/>
        <v>527481</v>
      </c>
      <c r="BV225" s="81">
        <f t="shared" si="724"/>
        <v>434.18479530993073</v>
      </c>
      <c r="BW225" s="1128"/>
      <c r="BX225" s="305">
        <f t="shared" si="725"/>
        <v>1007</v>
      </c>
      <c r="BY225" s="299"/>
      <c r="BZ225" s="299">
        <v>1008</v>
      </c>
      <c r="CA225" s="299"/>
      <c r="CB225" s="300"/>
      <c r="CC225" s="299">
        <f t="shared" si="726"/>
        <v>11500</v>
      </c>
      <c r="CD225" s="300">
        <f t="shared" si="727"/>
        <v>0.10784275663340796</v>
      </c>
      <c r="CE225" s="1131"/>
    </row>
  </sheetData>
  <mergeCells count="100">
    <mergeCell ref="N4:N34"/>
    <mergeCell ref="O4:O34"/>
    <mergeCell ref="BH157:BH187"/>
    <mergeCell ref="N65:N95"/>
    <mergeCell ref="O65:O95"/>
    <mergeCell ref="N35:N64"/>
    <mergeCell ref="O35:O64"/>
    <mergeCell ref="N127:N156"/>
    <mergeCell ref="O127:O156"/>
    <mergeCell ref="W127:W156"/>
    <mergeCell ref="AE127:AE156"/>
    <mergeCell ref="AM157:AM187"/>
    <mergeCell ref="AT96:AT126"/>
    <mergeCell ref="BA96:BA126"/>
    <mergeCell ref="N96:N126"/>
    <mergeCell ref="O96:O126"/>
    <mergeCell ref="CE127:CE156"/>
    <mergeCell ref="CE157:CE187"/>
    <mergeCell ref="BW157:BW187"/>
    <mergeCell ref="BW127:BW156"/>
    <mergeCell ref="BP127:BP156"/>
    <mergeCell ref="AM127:AM156"/>
    <mergeCell ref="AE96:AE126"/>
    <mergeCell ref="AM96:AM126"/>
    <mergeCell ref="BP157:BP187"/>
    <mergeCell ref="AT157:AT187"/>
    <mergeCell ref="BA157:BA187"/>
    <mergeCell ref="BH127:BH156"/>
    <mergeCell ref="BH96:BH126"/>
    <mergeCell ref="AE157:AE187"/>
    <mergeCell ref="N157:N187"/>
    <mergeCell ref="O157:O187"/>
    <mergeCell ref="W96:W126"/>
    <mergeCell ref="W157:W187"/>
    <mergeCell ref="BW65:BW95"/>
    <mergeCell ref="BW96:BW126"/>
    <mergeCell ref="W65:W95"/>
    <mergeCell ref="AE65:AE95"/>
    <mergeCell ref="AM65:AM95"/>
    <mergeCell ref="AT65:AT95"/>
    <mergeCell ref="BA65:BA95"/>
    <mergeCell ref="BH65:BH95"/>
    <mergeCell ref="BP65:BP95"/>
    <mergeCell ref="BP96:BP126"/>
    <mergeCell ref="AT127:AT156"/>
    <mergeCell ref="BA127:BA156"/>
    <mergeCell ref="BX1:CE1"/>
    <mergeCell ref="CE4:CE34"/>
    <mergeCell ref="CE35:CE64"/>
    <mergeCell ref="CE65:CE95"/>
    <mergeCell ref="CE96:CE126"/>
    <mergeCell ref="BP4:BP34"/>
    <mergeCell ref="BH4:BH34"/>
    <mergeCell ref="BW4:BW34"/>
    <mergeCell ref="W35:W64"/>
    <mergeCell ref="AE35:AE64"/>
    <mergeCell ref="AM35:AM64"/>
    <mergeCell ref="AT35:AT64"/>
    <mergeCell ref="BA35:BA64"/>
    <mergeCell ref="BH35:BH64"/>
    <mergeCell ref="BP35:BP64"/>
    <mergeCell ref="W4:W34"/>
    <mergeCell ref="AE4:AE34"/>
    <mergeCell ref="AM4:AM34"/>
    <mergeCell ref="AT4:AT34"/>
    <mergeCell ref="BA4:BA34"/>
    <mergeCell ref="BW35:BW64"/>
    <mergeCell ref="AN1:AT1"/>
    <mergeCell ref="AU1:BA1"/>
    <mergeCell ref="BB1:BH1"/>
    <mergeCell ref="BI1:BP1"/>
    <mergeCell ref="BQ1:BW1"/>
    <mergeCell ref="AF1:AM1"/>
    <mergeCell ref="B1:C1"/>
    <mergeCell ref="D1:E1"/>
    <mergeCell ref="F1:O1"/>
    <mergeCell ref="P1:W1"/>
    <mergeCell ref="X1:AE1"/>
    <mergeCell ref="N188:N217"/>
    <mergeCell ref="O188:O217"/>
    <mergeCell ref="AT188:AT217"/>
    <mergeCell ref="BW188:BW217"/>
    <mergeCell ref="CE188:CE217"/>
    <mergeCell ref="BP188:BP217"/>
    <mergeCell ref="W188:W217"/>
    <mergeCell ref="AE188:AE217"/>
    <mergeCell ref="AM188:AM217"/>
    <mergeCell ref="BA188:BA217"/>
    <mergeCell ref="BH188:BH217"/>
    <mergeCell ref="BP218:BP225"/>
    <mergeCell ref="BH218:BH225"/>
    <mergeCell ref="CE218:CE225"/>
    <mergeCell ref="AE218:AE225"/>
    <mergeCell ref="AM218:AM225"/>
    <mergeCell ref="BW218:BW225"/>
    <mergeCell ref="W218:W225"/>
    <mergeCell ref="N218:N225"/>
    <mergeCell ref="O218:O225"/>
    <mergeCell ref="AT218:AT225"/>
    <mergeCell ref="BA218:BA225"/>
  </mergeCells>
  <pageMargins left="0.511811024" right="0.511811024" top="0.78740157499999996" bottom="0.78740157499999996" header="0.31496062000000002" footer="0.31496062000000002"/>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X217"/>
  <sheetViews>
    <sheetView zoomScale="80" zoomScaleNormal="80" workbookViewId="0">
      <pane xSplit="1" topLeftCell="S1" activePane="topRight" state="frozen"/>
      <selection pane="topRight" activeCell="A2" sqref="A2"/>
    </sheetView>
  </sheetViews>
  <sheetFormatPr defaultRowHeight="15"/>
  <cols>
    <col min="1" max="1" width="14.5703125" bestFit="1" customWidth="1"/>
    <col min="2" max="4" width="10.7109375" customWidth="1"/>
    <col min="5" max="5" width="11.42578125" bestFit="1" customWidth="1"/>
    <col min="6" max="12" width="9.7109375" customWidth="1"/>
    <col min="13" max="13" width="12.42578125" bestFit="1" customWidth="1"/>
    <col min="14" max="19" width="9.7109375" customWidth="1"/>
    <col min="20" max="23" width="9.7109375" style="31" customWidth="1"/>
    <col min="24" max="53" width="9.7109375" customWidth="1"/>
    <col min="59" max="59" width="9.140625" style="239"/>
    <col min="75" max="75" width="12.42578125" bestFit="1" customWidth="1"/>
  </cols>
  <sheetData>
    <row r="1" spans="1:76">
      <c r="B1" s="1161" t="s">
        <v>49</v>
      </c>
      <c r="C1" s="1162"/>
      <c r="D1" s="1162" t="s">
        <v>50</v>
      </c>
      <c r="E1" s="1163"/>
      <c r="F1" s="1164" t="s">
        <v>64</v>
      </c>
      <c r="G1" s="1165"/>
      <c r="H1" s="1165"/>
      <c r="I1" s="1165"/>
      <c r="J1" s="1165"/>
      <c r="K1" s="1165"/>
      <c r="L1" s="1165"/>
      <c r="M1" s="1165"/>
      <c r="N1" s="1165"/>
      <c r="O1" s="1166"/>
      <c r="P1" s="1155" t="s">
        <v>41</v>
      </c>
      <c r="Q1" s="1156"/>
      <c r="R1" s="1156"/>
      <c r="S1" s="1156"/>
      <c r="T1" s="1156"/>
      <c r="U1" s="1156"/>
      <c r="V1" s="1156"/>
      <c r="W1" s="1157"/>
      <c r="X1" s="1167" t="s">
        <v>44</v>
      </c>
      <c r="Y1" s="1168"/>
      <c r="Z1" s="1168"/>
      <c r="AA1" s="1168"/>
      <c r="AB1" s="1168"/>
      <c r="AC1" s="1168"/>
      <c r="AD1" s="1168"/>
      <c r="AE1" s="1169"/>
      <c r="AF1" s="1170" t="s">
        <v>56</v>
      </c>
      <c r="AG1" s="1171"/>
      <c r="AH1" s="1171"/>
      <c r="AI1" s="1171"/>
      <c r="AJ1" s="1171"/>
      <c r="AK1" s="1171"/>
      <c r="AL1" s="1171"/>
      <c r="AM1" s="1172"/>
      <c r="AN1" s="1144" t="s">
        <v>55</v>
      </c>
      <c r="AO1" s="1145"/>
      <c r="AP1" s="1145"/>
      <c r="AQ1" s="1145"/>
      <c r="AR1" s="1145"/>
      <c r="AS1" s="1145"/>
      <c r="AT1" s="1146"/>
      <c r="AU1" s="1147" t="s">
        <v>60</v>
      </c>
      <c r="AV1" s="1148"/>
      <c r="AW1" s="1148"/>
      <c r="AX1" s="1148"/>
      <c r="AY1" s="1148"/>
      <c r="AZ1" s="1148"/>
      <c r="BA1" s="1148"/>
      <c r="BB1" s="1149" t="s">
        <v>58</v>
      </c>
      <c r="BC1" s="1150"/>
      <c r="BD1" s="1150"/>
      <c r="BE1" s="1150"/>
      <c r="BF1" s="1150"/>
      <c r="BG1" s="1150"/>
      <c r="BH1" s="1151"/>
      <c r="BI1" s="1152" t="s">
        <v>57</v>
      </c>
      <c r="BJ1" s="1153"/>
      <c r="BK1" s="1153"/>
      <c r="BL1" s="1153"/>
      <c r="BM1" s="1153"/>
      <c r="BN1" s="1153"/>
      <c r="BO1" s="1153"/>
      <c r="BP1" s="1154"/>
      <c r="BQ1" s="1155" t="s">
        <v>59</v>
      </c>
      <c r="BR1" s="1156"/>
      <c r="BS1" s="1156"/>
      <c r="BT1" s="1156"/>
      <c r="BU1" s="1156"/>
      <c r="BV1" s="1156"/>
      <c r="BW1" s="1156"/>
      <c r="BX1" s="1157"/>
    </row>
    <row r="2" spans="1:76" ht="99" customHeight="1" thickBot="1">
      <c r="A2" s="872">
        <v>2018</v>
      </c>
      <c r="B2" s="173" t="s">
        <v>45</v>
      </c>
      <c r="C2" s="174" t="s">
        <v>46</v>
      </c>
      <c r="D2" s="174" t="s">
        <v>47</v>
      </c>
      <c r="E2" s="175" t="s">
        <v>48</v>
      </c>
      <c r="F2" s="221" t="s">
        <v>36</v>
      </c>
      <c r="G2" s="222" t="s">
        <v>37</v>
      </c>
      <c r="H2" s="223" t="s">
        <v>38</v>
      </c>
      <c r="I2" s="223" t="s">
        <v>39</v>
      </c>
      <c r="J2" s="224" t="s">
        <v>40</v>
      </c>
      <c r="K2" s="223" t="s">
        <v>43</v>
      </c>
      <c r="L2" s="225" t="s">
        <v>42</v>
      </c>
      <c r="M2" s="225" t="s">
        <v>66</v>
      </c>
      <c r="N2" s="224" t="s">
        <v>62</v>
      </c>
      <c r="O2" s="224" t="s">
        <v>65</v>
      </c>
      <c r="P2" s="150" t="s">
        <v>36</v>
      </c>
      <c r="Q2" s="151" t="s">
        <v>37</v>
      </c>
      <c r="R2" s="152" t="s">
        <v>38</v>
      </c>
      <c r="S2" s="152" t="s">
        <v>39</v>
      </c>
      <c r="T2" s="153" t="s">
        <v>40</v>
      </c>
      <c r="U2" s="152" t="s">
        <v>43</v>
      </c>
      <c r="V2" s="154" t="s">
        <v>42</v>
      </c>
      <c r="W2" s="153" t="s">
        <v>62</v>
      </c>
      <c r="X2" s="46" t="s">
        <v>36</v>
      </c>
      <c r="Y2" s="47" t="s">
        <v>37</v>
      </c>
      <c r="Z2" s="48" t="s">
        <v>38</v>
      </c>
      <c r="AA2" s="48" t="s">
        <v>39</v>
      </c>
      <c r="AB2" s="143" t="s">
        <v>40</v>
      </c>
      <c r="AC2" s="48" t="s">
        <v>43</v>
      </c>
      <c r="AD2" s="143" t="s">
        <v>42</v>
      </c>
      <c r="AE2" s="144" t="s">
        <v>62</v>
      </c>
      <c r="AF2" s="75" t="s">
        <v>36</v>
      </c>
      <c r="AG2" s="38" t="s">
        <v>37</v>
      </c>
      <c r="AH2" s="39" t="s">
        <v>38</v>
      </c>
      <c r="AI2" s="39" t="s">
        <v>39</v>
      </c>
      <c r="AJ2" s="163" t="s">
        <v>40</v>
      </c>
      <c r="AK2" s="39" t="s">
        <v>43</v>
      </c>
      <c r="AL2" s="164" t="s">
        <v>42</v>
      </c>
      <c r="AM2" s="165" t="s">
        <v>62</v>
      </c>
      <c r="AN2" s="183" t="s">
        <v>51</v>
      </c>
      <c r="AO2" s="184" t="s">
        <v>52</v>
      </c>
      <c r="AP2" s="185" t="s">
        <v>39</v>
      </c>
      <c r="AQ2" s="184" t="s">
        <v>53</v>
      </c>
      <c r="AR2" s="184" t="s">
        <v>43</v>
      </c>
      <c r="AS2" s="190" t="s">
        <v>54</v>
      </c>
      <c r="AT2" s="191" t="s">
        <v>63</v>
      </c>
      <c r="AU2" s="195" t="s">
        <v>51</v>
      </c>
      <c r="AV2" s="196" t="s">
        <v>52</v>
      </c>
      <c r="AW2" s="197" t="s">
        <v>39</v>
      </c>
      <c r="AX2" s="196" t="s">
        <v>53</v>
      </c>
      <c r="AY2" s="196" t="s">
        <v>43</v>
      </c>
      <c r="AZ2" s="203" t="s">
        <v>54</v>
      </c>
      <c r="BA2" s="204"/>
      <c r="BB2" s="53" t="s">
        <v>36</v>
      </c>
      <c r="BC2" s="54" t="s">
        <v>37</v>
      </c>
      <c r="BD2" s="55" t="s">
        <v>38</v>
      </c>
      <c r="BE2" s="55" t="s">
        <v>39</v>
      </c>
      <c r="BF2" s="55" t="s">
        <v>43</v>
      </c>
      <c r="BG2" s="275" t="s">
        <v>42</v>
      </c>
      <c r="BH2" s="236" t="s">
        <v>63</v>
      </c>
      <c r="BI2" s="60" t="s">
        <v>36</v>
      </c>
      <c r="BJ2" s="61" t="s">
        <v>37</v>
      </c>
      <c r="BK2" s="62" t="s">
        <v>38</v>
      </c>
      <c r="BL2" s="62" t="s">
        <v>39</v>
      </c>
      <c r="BM2" s="208" t="s">
        <v>40</v>
      </c>
      <c r="BN2" s="62" t="s">
        <v>43</v>
      </c>
      <c r="BO2" s="214" t="s">
        <v>42</v>
      </c>
      <c r="BP2" s="213" t="s">
        <v>63</v>
      </c>
      <c r="BQ2" s="150" t="s">
        <v>36</v>
      </c>
      <c r="BR2" s="151" t="s">
        <v>37</v>
      </c>
      <c r="BS2" s="152" t="s">
        <v>38</v>
      </c>
      <c r="BT2" s="152" t="s">
        <v>39</v>
      </c>
      <c r="BU2" s="153" t="s">
        <v>40</v>
      </c>
      <c r="BV2" s="152" t="s">
        <v>43</v>
      </c>
      <c r="BW2" s="154" t="s">
        <v>42</v>
      </c>
      <c r="BX2" s="155" t="s">
        <v>62</v>
      </c>
    </row>
    <row r="3" spans="1:76" ht="15.75" thickBot="1">
      <c r="A3" s="176" t="s">
        <v>61</v>
      </c>
      <c r="B3" s="177">
        <v>1279394</v>
      </c>
      <c r="C3" s="178">
        <f>B3</f>
        <v>1279394</v>
      </c>
      <c r="D3" s="179">
        <v>39518.160000000003</v>
      </c>
      <c r="E3" s="180">
        <v>39518.160000000003</v>
      </c>
      <c r="F3" s="226"/>
      <c r="G3" s="226"/>
      <c r="H3" s="226"/>
      <c r="I3" s="226"/>
      <c r="J3" s="226"/>
      <c r="K3" s="226"/>
      <c r="L3" s="226"/>
      <c r="M3" s="226"/>
      <c r="N3" s="226"/>
      <c r="O3" s="226"/>
      <c r="P3" s="156">
        <v>42609</v>
      </c>
      <c r="Q3" s="157"/>
      <c r="R3" s="157">
        <v>41692</v>
      </c>
      <c r="S3" s="158">
        <f>P3+Q3-R3</f>
        <v>917</v>
      </c>
      <c r="T3" s="161">
        <f t="shared" ref="T3:T15" si="0">S3*1000/B3</f>
        <v>0.71674558423753743</v>
      </c>
      <c r="U3" s="159">
        <f>S3</f>
        <v>917</v>
      </c>
      <c r="V3" s="161">
        <f t="shared" ref="V3:V15" si="1">U3*1000/C3</f>
        <v>0.71674558423753743</v>
      </c>
      <c r="W3" s="162"/>
      <c r="X3" s="145">
        <v>2946</v>
      </c>
      <c r="Y3" s="146"/>
      <c r="Z3" s="146">
        <v>2756</v>
      </c>
      <c r="AA3" s="146">
        <f>X3+Y3-Z3</f>
        <v>190</v>
      </c>
      <c r="AB3" s="147">
        <f>AA3*1000/B3</f>
        <v>0.14850780916590198</v>
      </c>
      <c r="AC3" s="146">
        <f>AA3</f>
        <v>190</v>
      </c>
      <c r="AD3" s="147">
        <f>AC3*1000/C3</f>
        <v>0.14850780916590198</v>
      </c>
      <c r="AE3" s="148"/>
      <c r="AF3" s="166">
        <v>1360</v>
      </c>
      <c r="AG3" s="167"/>
      <c r="AH3" s="167">
        <v>1193</v>
      </c>
      <c r="AI3" s="167">
        <f>AF3+AG3-AH3</f>
        <v>167</v>
      </c>
      <c r="AJ3" s="168">
        <f>AI3*1000/B3</f>
        <v>0.13053054805634542</v>
      </c>
      <c r="AK3" s="167">
        <f>AI3</f>
        <v>167</v>
      </c>
      <c r="AL3" s="168">
        <f>AK3*1000/C3</f>
        <v>0.13053054805634542</v>
      </c>
      <c r="AM3" s="169"/>
      <c r="AN3" s="186"/>
      <c r="AO3" s="187"/>
      <c r="AP3" s="187"/>
      <c r="AQ3" s="187"/>
      <c r="AR3" s="188">
        <v>525</v>
      </c>
      <c r="AS3" s="189">
        <f t="shared" ref="AS3:AS34" si="2">AR3*1000/E3</f>
        <v>13.285031489320351</v>
      </c>
      <c r="AT3" s="189"/>
      <c r="AU3" s="201"/>
      <c r="AV3" s="198"/>
      <c r="AW3" s="198"/>
      <c r="AX3" s="198"/>
      <c r="AY3" s="199">
        <v>75</v>
      </c>
      <c r="AZ3" s="202">
        <f t="shared" ref="AZ3:AZ34" si="3">AY3*1000/E3</f>
        <v>1.8978616413314788</v>
      </c>
      <c r="BA3" s="200"/>
      <c r="BB3" s="232">
        <v>26095</v>
      </c>
      <c r="BC3" s="233"/>
      <c r="BD3" s="233">
        <v>7279</v>
      </c>
      <c r="BE3" s="234">
        <f>BB3+BC3-BD3</f>
        <v>18816</v>
      </c>
      <c r="BF3" s="235">
        <f>BE3</f>
        <v>18816</v>
      </c>
      <c r="BG3" s="235">
        <f t="shared" ref="BG3:BG34" si="4">BF3*1000/E3</f>
        <v>476.13552857724142</v>
      </c>
      <c r="BH3" s="237"/>
      <c r="BI3" s="209">
        <v>1200</v>
      </c>
      <c r="BJ3" s="210"/>
      <c r="BK3" s="210">
        <v>1152</v>
      </c>
      <c r="BL3" s="210">
        <f>BI3+BJ3-BK3</f>
        <v>48</v>
      </c>
      <c r="BM3" s="211">
        <f t="shared" ref="BM3:BM19" si="5">BL3*1000/B3</f>
        <v>3.7517762315596288E-2</v>
      </c>
      <c r="BN3" s="210">
        <f>BL3</f>
        <v>48</v>
      </c>
      <c r="BO3" s="211">
        <f t="shared" ref="BO3:BO19" si="6">BN3*1000/C3</f>
        <v>3.7517762315596288E-2</v>
      </c>
      <c r="BP3" s="212"/>
      <c r="BQ3" s="156">
        <v>56704</v>
      </c>
      <c r="BR3" s="157"/>
      <c r="BS3" s="157">
        <v>24944</v>
      </c>
      <c r="BT3" s="158">
        <f>BQ3+BR3-BS3</f>
        <v>31760</v>
      </c>
      <c r="BU3" s="159">
        <f>BT3*1000/D3</f>
        <v>803.68114304917026</v>
      </c>
      <c r="BV3" s="159">
        <v>31760</v>
      </c>
      <c r="BW3" s="159">
        <f>BV3*1000/E3</f>
        <v>803.68114304917026</v>
      </c>
      <c r="BX3" s="160">
        <f>1000*BT3/D3</f>
        <v>803.68114304917026</v>
      </c>
    </row>
    <row r="4" spans="1:76">
      <c r="A4" s="30">
        <v>43221</v>
      </c>
      <c r="B4" s="32">
        <v>342089</v>
      </c>
      <c r="C4" s="1">
        <f>C3+B4</f>
        <v>1621483</v>
      </c>
      <c r="D4" s="91">
        <v>6546.46</v>
      </c>
      <c r="E4" s="93">
        <f>E3+D4</f>
        <v>46064.62</v>
      </c>
      <c r="F4" s="227"/>
      <c r="G4" s="227"/>
      <c r="H4" s="227"/>
      <c r="I4" s="227"/>
      <c r="J4" s="227"/>
      <c r="K4" s="227"/>
      <c r="L4" s="227"/>
      <c r="M4" s="227"/>
      <c r="N4" s="227"/>
      <c r="O4" s="227"/>
      <c r="P4" s="35">
        <v>41692</v>
      </c>
      <c r="Q4" s="35"/>
      <c r="R4" s="35">
        <v>39730</v>
      </c>
      <c r="S4" s="37">
        <f t="shared" ref="S4:S24" si="7">P4-R4+Q4</f>
        <v>1962</v>
      </c>
      <c r="T4" s="36">
        <f t="shared" si="0"/>
        <v>5.7353495727719981</v>
      </c>
      <c r="U4" s="74">
        <f>U3+S4</f>
        <v>2879</v>
      </c>
      <c r="V4" s="36">
        <f t="shared" si="1"/>
        <v>1.7755351119931568</v>
      </c>
      <c r="W4" s="1136">
        <f>1000*SUM(S3:S34)/SUM(B4:B34)</f>
        <v>2.9929708114569555</v>
      </c>
      <c r="X4" s="121">
        <v>2756</v>
      </c>
      <c r="Y4" s="122"/>
      <c r="Z4" s="122">
        <v>2561</v>
      </c>
      <c r="AA4" s="122">
        <f>X4+Y4-Z4</f>
        <v>195</v>
      </c>
      <c r="AB4" s="123">
        <f>AA4*1000/B4</f>
        <v>0.57002709821128417</v>
      </c>
      <c r="AC4" s="122">
        <f>AC3+AA4</f>
        <v>385</v>
      </c>
      <c r="AD4" s="123">
        <f>AC4*1000/C4</f>
        <v>0.23743696356976915</v>
      </c>
      <c r="AE4" s="1046">
        <f>1000*SUM(AA3:AA34)/SUM(B4:B34)</f>
        <v>0.27600839102536112</v>
      </c>
      <c r="AF4" s="40">
        <v>1193</v>
      </c>
      <c r="AG4" s="41"/>
      <c r="AH4" s="41">
        <v>1156</v>
      </c>
      <c r="AI4" s="41">
        <f>AF4+AG4-AH4</f>
        <v>37</v>
      </c>
      <c r="AJ4" s="42">
        <f>AI4*1000/B4</f>
        <v>0.10815898786573085</v>
      </c>
      <c r="AK4" s="41">
        <f>AK3+AI4</f>
        <v>204</v>
      </c>
      <c r="AL4" s="42">
        <f>AK4*1000/C4</f>
        <v>0.12581075472268288</v>
      </c>
      <c r="AM4" s="1057">
        <f>1000*SUM(AI4:AI34)/SUM(B4:B34)</f>
        <v>0.15775214076211949</v>
      </c>
      <c r="AN4" s="67">
        <v>4</v>
      </c>
      <c r="AO4" s="67">
        <v>24</v>
      </c>
      <c r="AP4" s="68">
        <f>AN4*AO4*0.53</f>
        <v>50.88</v>
      </c>
      <c r="AQ4" s="68">
        <f t="shared" ref="AQ4:AQ22" si="8">AP4*1000/D4</f>
        <v>7.7721394463572677</v>
      </c>
      <c r="AR4" s="69">
        <f>AR3+AP4</f>
        <v>575.88</v>
      </c>
      <c r="AS4" s="140">
        <f t="shared" si="2"/>
        <v>12.501568448844253</v>
      </c>
      <c r="AT4" s="1064">
        <f>1000*SUM(AP4:AP34)/SUM(D4:D34)</f>
        <v>7.1032832731635676</v>
      </c>
      <c r="AU4" s="71">
        <v>4.5</v>
      </c>
      <c r="AV4" s="71">
        <v>10</v>
      </c>
      <c r="AW4" s="72">
        <f>AU4*AV4*0.467</f>
        <v>21.015000000000001</v>
      </c>
      <c r="AX4" s="72">
        <f t="shared" ref="AX4:AX22" si="9">AW4*1000/D4</f>
        <v>3.2101318880738599</v>
      </c>
      <c r="AY4" s="73">
        <f>AY3+AW4</f>
        <v>96.015000000000001</v>
      </c>
      <c r="AZ4" s="192">
        <f t="shared" si="3"/>
        <v>2.0843545436823314</v>
      </c>
      <c r="BA4" s="1075">
        <f>1000*SUM(AW4:AW34)/SUM(D4:D34)</f>
        <v>3.0448651781113822</v>
      </c>
      <c r="BB4" s="56">
        <v>7279</v>
      </c>
      <c r="BC4" s="56"/>
      <c r="BD4" s="56">
        <v>7279</v>
      </c>
      <c r="BE4" s="57"/>
      <c r="BF4" s="58">
        <f>BF3+BE4</f>
        <v>18816</v>
      </c>
      <c r="BG4" s="58">
        <f t="shared" si="4"/>
        <v>408.46966717624065</v>
      </c>
      <c r="BH4" s="1132">
        <f>1000*SUM(BE4:BE34)/SUM(D4:D34)</f>
        <v>66.965687231395151</v>
      </c>
      <c r="BI4" s="63">
        <f>BK3</f>
        <v>1152</v>
      </c>
      <c r="BJ4" s="64"/>
      <c r="BK4" s="64">
        <v>1116</v>
      </c>
      <c r="BL4" s="64">
        <f>BI4+BJ4-BK4</f>
        <v>36</v>
      </c>
      <c r="BM4" s="65">
        <f t="shared" si="5"/>
        <v>0.10523577197746785</v>
      </c>
      <c r="BN4" s="64">
        <f>BL4</f>
        <v>36</v>
      </c>
      <c r="BO4" s="65">
        <f t="shared" si="6"/>
        <v>2.2201897892238153E-2</v>
      </c>
      <c r="BP4" s="1071">
        <f>1000*SUM(BL4:BL34)/SUM(B4:B34)</f>
        <v>0.14810958937079188</v>
      </c>
      <c r="BQ4" s="117">
        <f>BS3</f>
        <v>24944</v>
      </c>
      <c r="BR4" s="118"/>
      <c r="BS4" s="118">
        <v>24944</v>
      </c>
      <c r="BT4" s="149"/>
      <c r="BU4" s="120"/>
      <c r="BV4" s="120">
        <f>BV3+BT4</f>
        <v>31760</v>
      </c>
      <c r="BW4" s="120"/>
      <c r="BX4" s="1063">
        <f>1000*SUM(BT4:BT34)/SUM(D4:D34)</f>
        <v>687.49769431348682</v>
      </c>
    </row>
    <row r="5" spans="1:76">
      <c r="A5" s="30">
        <v>43222</v>
      </c>
      <c r="B5" s="32">
        <v>456393</v>
      </c>
      <c r="C5" s="1">
        <f t="shared" ref="C5:C68" si="10">C4+B5</f>
        <v>2077876</v>
      </c>
      <c r="D5" s="91">
        <v>6106.2</v>
      </c>
      <c r="E5" s="93">
        <f>E4+D5</f>
        <v>52170.82</v>
      </c>
      <c r="F5" s="227"/>
      <c r="G5" s="227"/>
      <c r="H5" s="227"/>
      <c r="I5" s="227"/>
      <c r="J5" s="227"/>
      <c r="K5" s="227"/>
      <c r="L5" s="227"/>
      <c r="M5" s="227"/>
      <c r="N5" s="227"/>
      <c r="O5" s="227"/>
      <c r="P5" s="35">
        <f t="shared" ref="P5:P44" si="11">R4</f>
        <v>39730</v>
      </c>
      <c r="Q5" s="35"/>
      <c r="R5" s="35">
        <v>38542</v>
      </c>
      <c r="S5" s="37">
        <f t="shared" si="7"/>
        <v>1188</v>
      </c>
      <c r="T5" s="36">
        <f t="shared" si="0"/>
        <v>2.6030197658596865</v>
      </c>
      <c r="U5" s="74">
        <f>U4+S5</f>
        <v>4067</v>
      </c>
      <c r="V5" s="36">
        <f t="shared" si="1"/>
        <v>1.9572871528426143</v>
      </c>
      <c r="W5" s="1136"/>
      <c r="X5" s="49">
        <f>Z4</f>
        <v>2561</v>
      </c>
      <c r="Y5" s="50"/>
      <c r="Z5" s="50">
        <v>2258</v>
      </c>
      <c r="AA5" s="50">
        <f t="shared" ref="AA5:AA14" si="12">X5+Y5-Z5</f>
        <v>303</v>
      </c>
      <c r="AB5" s="51">
        <f>AA5*1000/B5</f>
        <v>0.66390150593896047</v>
      </c>
      <c r="AC5" s="50">
        <f>AC4+AA5</f>
        <v>688</v>
      </c>
      <c r="AD5" s="51">
        <f>AC5*1000/C5</f>
        <v>0.33110734230531563</v>
      </c>
      <c r="AE5" s="1047"/>
      <c r="AF5" s="40">
        <f>AH4</f>
        <v>1156</v>
      </c>
      <c r="AG5" s="41"/>
      <c r="AH5" s="41">
        <v>1119</v>
      </c>
      <c r="AI5" s="41">
        <f t="shared" ref="AI5:AI13" si="13">AF5+AG5-AH5</f>
        <v>37</v>
      </c>
      <c r="AJ5" s="42">
        <f>AI5*1000/B5</f>
        <v>8.1070480923239402E-2</v>
      </c>
      <c r="AK5" s="41">
        <f>AK4+AI5</f>
        <v>241</v>
      </c>
      <c r="AL5" s="42">
        <f>AK5*1000/C5</f>
        <v>0.11598382194125155</v>
      </c>
      <c r="AM5" s="1058"/>
      <c r="AN5" s="67">
        <v>3.8</v>
      </c>
      <c r="AO5" s="67">
        <v>24</v>
      </c>
      <c r="AP5" s="68">
        <f t="shared" ref="AP5:AP68" si="14">AN5*AO5*0.53</f>
        <v>48.335999999999999</v>
      </c>
      <c r="AQ5" s="68">
        <f t="shared" si="8"/>
        <v>7.9158887687923754</v>
      </c>
      <c r="AR5" s="69">
        <f>AR4+AP5</f>
        <v>624.21600000000001</v>
      </c>
      <c r="AS5" s="140">
        <f t="shared" si="2"/>
        <v>11.964849316150293</v>
      </c>
      <c r="AT5" s="1073"/>
      <c r="AU5" s="71">
        <v>4.5</v>
      </c>
      <c r="AV5" s="71">
        <v>10</v>
      </c>
      <c r="AW5" s="72">
        <f t="shared" ref="AW5:AW12" si="15">AU5*AV5*0.467</f>
        <v>21.015000000000001</v>
      </c>
      <c r="AX5" s="72">
        <f t="shared" si="9"/>
        <v>3.4415839638400314</v>
      </c>
      <c r="AY5" s="73">
        <f>AY4+AW5</f>
        <v>117.03</v>
      </c>
      <c r="AZ5" s="192">
        <f t="shared" si="3"/>
        <v>2.2432079848467015</v>
      </c>
      <c r="BA5" s="1075"/>
      <c r="BB5" s="56">
        <f t="shared" ref="BB5:BB37" si="16">BD4</f>
        <v>7279</v>
      </c>
      <c r="BC5" s="56"/>
      <c r="BD5" s="56">
        <v>6569</v>
      </c>
      <c r="BE5" s="57">
        <f>BB5-BD5+BC5</f>
        <v>710</v>
      </c>
      <c r="BF5" s="58">
        <f t="shared" ref="BF5:BF36" si="17">BF4+BE5</f>
        <v>19526</v>
      </c>
      <c r="BG5" s="58">
        <f t="shared" si="4"/>
        <v>374.27052133740665</v>
      </c>
      <c r="BH5" s="1133"/>
      <c r="BI5" s="63">
        <f>BK4</f>
        <v>1116</v>
      </c>
      <c r="BJ5" s="64"/>
      <c r="BK5" s="64">
        <v>1068</v>
      </c>
      <c r="BL5" s="64">
        <f t="shared" ref="BL5:BL19" si="18">BI5+BJ5-BK5</f>
        <v>48</v>
      </c>
      <c r="BM5" s="65">
        <f t="shared" si="5"/>
        <v>0.10517251579231057</v>
      </c>
      <c r="BN5" s="64">
        <f>BN4+BL5</f>
        <v>84</v>
      </c>
      <c r="BO5" s="65">
        <f t="shared" si="6"/>
        <v>4.0425896444253651E-2</v>
      </c>
      <c r="BP5" s="1071"/>
      <c r="BQ5" s="77">
        <f t="shared" ref="BQ5:BQ44" si="19">BS4</f>
        <v>24944</v>
      </c>
      <c r="BR5" s="35"/>
      <c r="BS5" s="35">
        <v>24944</v>
      </c>
      <c r="BT5" s="37"/>
      <c r="BU5" s="74"/>
      <c r="BV5" s="74">
        <f t="shared" ref="BV5:BV19" si="20">BV4+BT5</f>
        <v>31760</v>
      </c>
      <c r="BW5" s="74"/>
      <c r="BX5" s="1098"/>
    </row>
    <row r="6" spans="1:76">
      <c r="A6" s="30">
        <v>43223</v>
      </c>
      <c r="B6" s="32">
        <v>500580</v>
      </c>
      <c r="C6" s="1">
        <f t="shared" si="10"/>
        <v>2578456</v>
      </c>
      <c r="D6" s="91">
        <v>7173.54</v>
      </c>
      <c r="E6" s="93">
        <f t="shared" ref="E6:E69" si="21">E5+D6</f>
        <v>59344.36</v>
      </c>
      <c r="F6" s="227"/>
      <c r="G6" s="227"/>
      <c r="H6" s="227"/>
      <c r="I6" s="227"/>
      <c r="J6" s="227"/>
      <c r="K6" s="227"/>
      <c r="L6" s="227"/>
      <c r="M6" s="227"/>
      <c r="N6" s="227"/>
      <c r="O6" s="227"/>
      <c r="P6" s="35">
        <f t="shared" si="11"/>
        <v>38542</v>
      </c>
      <c r="Q6" s="35"/>
      <c r="R6" s="35">
        <v>36681</v>
      </c>
      <c r="S6" s="37">
        <f t="shared" si="7"/>
        <v>1861</v>
      </c>
      <c r="T6" s="36">
        <f t="shared" si="0"/>
        <v>3.7176874825202764</v>
      </c>
      <c r="U6" s="74">
        <f t="shared" ref="U6:U13" si="22">U5+S6</f>
        <v>5928</v>
      </c>
      <c r="V6" s="36">
        <f t="shared" si="1"/>
        <v>2.2990502843562193</v>
      </c>
      <c r="W6" s="1136"/>
      <c r="X6" s="49">
        <f t="shared" ref="X6:X14" si="23">Z5</f>
        <v>2258</v>
      </c>
      <c r="Y6" s="50"/>
      <c r="Z6" s="50">
        <v>1821</v>
      </c>
      <c r="AA6" s="50">
        <f t="shared" si="12"/>
        <v>437</v>
      </c>
      <c r="AB6" s="51">
        <f>AA6*1000/B6</f>
        <v>0.8729873346917576</v>
      </c>
      <c r="AC6" s="50">
        <f t="shared" ref="AC6:AC13" si="24">AC5+AA6</f>
        <v>1125</v>
      </c>
      <c r="AD6" s="51">
        <f>AC6*1000/C6</f>
        <v>0.43630761975383719</v>
      </c>
      <c r="AE6" s="1047"/>
      <c r="AF6" s="40">
        <f t="shared" ref="AF6:AF46" si="25">AH5</f>
        <v>1119</v>
      </c>
      <c r="AG6" s="41"/>
      <c r="AH6" s="41">
        <v>1062</v>
      </c>
      <c r="AI6" s="41">
        <f t="shared" si="13"/>
        <v>57</v>
      </c>
      <c r="AJ6" s="42">
        <f>AI6*1000/B6</f>
        <v>0.11386791322066403</v>
      </c>
      <c r="AK6" s="41">
        <f t="shared" ref="AK6:AK13" si="26">AK5+AI6</f>
        <v>298</v>
      </c>
      <c r="AL6" s="42">
        <f>AK6*1000/C6</f>
        <v>0.11557304061034976</v>
      </c>
      <c r="AM6" s="1058"/>
      <c r="AN6" s="67">
        <v>3.6</v>
      </c>
      <c r="AO6" s="67">
        <v>24</v>
      </c>
      <c r="AP6" s="68">
        <f t="shared" si="14"/>
        <v>45.792000000000009</v>
      </c>
      <c r="AQ6" s="68">
        <f t="shared" si="8"/>
        <v>6.3834592126063292</v>
      </c>
      <c r="AR6" s="69">
        <f t="shared" ref="AR6:AR12" si="27">AR5+AP6</f>
        <v>670.00800000000004</v>
      </c>
      <c r="AS6" s="140">
        <f t="shared" si="2"/>
        <v>11.290171467010513</v>
      </c>
      <c r="AT6" s="1073"/>
      <c r="AU6" s="71">
        <v>4.8</v>
      </c>
      <c r="AV6" s="71">
        <v>10</v>
      </c>
      <c r="AW6" s="72">
        <f t="shared" si="15"/>
        <v>22.416</v>
      </c>
      <c r="AX6" s="72">
        <f t="shared" si="9"/>
        <v>3.1248170359404144</v>
      </c>
      <c r="AY6" s="73">
        <f t="shared" ref="AY6:AY12" si="28">AY5+AW6</f>
        <v>139.446</v>
      </c>
      <c r="AZ6" s="192">
        <f t="shared" si="3"/>
        <v>2.3497767942901397</v>
      </c>
      <c r="BA6" s="1075"/>
      <c r="BB6" s="56">
        <f t="shared" si="16"/>
        <v>6569</v>
      </c>
      <c r="BC6" s="56"/>
      <c r="BD6" s="56">
        <v>5795</v>
      </c>
      <c r="BE6" s="57">
        <f>BB6-BD6+BC6</f>
        <v>774</v>
      </c>
      <c r="BF6" s="58">
        <f t="shared" si="17"/>
        <v>20300</v>
      </c>
      <c r="BG6" s="58">
        <f t="shared" si="4"/>
        <v>342.07126001527354</v>
      </c>
      <c r="BH6" s="1133"/>
      <c r="BI6" s="63">
        <f t="shared" ref="BI6:BI37" si="29">BK5</f>
        <v>1068</v>
      </c>
      <c r="BJ6" s="64"/>
      <c r="BK6" s="64">
        <v>972</v>
      </c>
      <c r="BL6" s="64">
        <f t="shared" si="18"/>
        <v>96</v>
      </c>
      <c r="BM6" s="65">
        <f t="shared" si="5"/>
        <v>0.19177753805585521</v>
      </c>
      <c r="BN6" s="64">
        <f t="shared" ref="BN6:BN14" si="30">BN5+BL6</f>
        <v>180</v>
      </c>
      <c r="BO6" s="65">
        <f t="shared" si="6"/>
        <v>6.9809219160613944E-2</v>
      </c>
      <c r="BP6" s="1071"/>
      <c r="BQ6" s="77">
        <f t="shared" si="19"/>
        <v>24944</v>
      </c>
      <c r="BR6" s="35"/>
      <c r="BS6" s="35">
        <v>24944</v>
      </c>
      <c r="BT6" s="37"/>
      <c r="BU6" s="74"/>
      <c r="BV6" s="74">
        <f t="shared" si="20"/>
        <v>31760</v>
      </c>
      <c r="BW6" s="74"/>
      <c r="BX6" s="1098"/>
    </row>
    <row r="7" spans="1:76">
      <c r="A7" s="30">
        <v>43224</v>
      </c>
      <c r="B7" s="32">
        <v>466016</v>
      </c>
      <c r="C7" s="1">
        <f t="shared" si="10"/>
        <v>3044472</v>
      </c>
      <c r="D7" s="91">
        <v>7011</v>
      </c>
      <c r="E7" s="93">
        <f t="shared" si="21"/>
        <v>66355.360000000001</v>
      </c>
      <c r="F7" s="227"/>
      <c r="G7" s="227"/>
      <c r="H7" s="227"/>
      <c r="I7" s="227"/>
      <c r="J7" s="227"/>
      <c r="K7" s="227"/>
      <c r="L7" s="227"/>
      <c r="M7" s="227"/>
      <c r="N7" s="227"/>
      <c r="O7" s="227"/>
      <c r="P7" s="35">
        <f t="shared" si="11"/>
        <v>36681</v>
      </c>
      <c r="Q7" s="35"/>
      <c r="R7" s="35">
        <v>34270</v>
      </c>
      <c r="S7" s="37">
        <f t="shared" si="7"/>
        <v>2411</v>
      </c>
      <c r="T7" s="36">
        <f t="shared" si="0"/>
        <v>5.1736421067087823</v>
      </c>
      <c r="U7" s="74">
        <f t="shared" si="22"/>
        <v>8339</v>
      </c>
      <c r="V7" s="36">
        <f t="shared" si="1"/>
        <v>2.7390627997235644</v>
      </c>
      <c r="W7" s="1136"/>
      <c r="X7" s="49">
        <f t="shared" si="23"/>
        <v>1821</v>
      </c>
      <c r="Y7" s="50"/>
      <c r="Z7" s="50">
        <v>1821</v>
      </c>
      <c r="AA7" s="50"/>
      <c r="AB7" s="51"/>
      <c r="AC7" s="50">
        <f t="shared" si="24"/>
        <v>1125</v>
      </c>
      <c r="AD7" s="51"/>
      <c r="AE7" s="1047"/>
      <c r="AF7" s="40">
        <f t="shared" si="25"/>
        <v>1062</v>
      </c>
      <c r="AG7" s="41"/>
      <c r="AH7" s="41">
        <v>1062</v>
      </c>
      <c r="AI7" s="41"/>
      <c r="AJ7" s="42"/>
      <c r="AK7" s="41">
        <f t="shared" si="26"/>
        <v>298</v>
      </c>
      <c r="AL7" s="42"/>
      <c r="AM7" s="1058"/>
      <c r="AN7" s="67">
        <v>3.45</v>
      </c>
      <c r="AO7" s="67">
        <v>24</v>
      </c>
      <c r="AP7" s="68">
        <f t="shared" si="14"/>
        <v>43.884000000000007</v>
      </c>
      <c r="AQ7" s="68">
        <f t="shared" si="8"/>
        <v>6.2593068035943524</v>
      </c>
      <c r="AR7" s="69">
        <f t="shared" si="27"/>
        <v>713.89200000000005</v>
      </c>
      <c r="AS7" s="140">
        <f t="shared" si="2"/>
        <v>10.758618444689322</v>
      </c>
      <c r="AT7" s="1073"/>
      <c r="AU7" s="71">
        <v>4.5</v>
      </c>
      <c r="AV7" s="71">
        <v>10</v>
      </c>
      <c r="AW7" s="72">
        <f t="shared" si="15"/>
        <v>21.015000000000001</v>
      </c>
      <c r="AX7" s="72">
        <f t="shared" si="9"/>
        <v>2.9974326059050065</v>
      </c>
      <c r="AY7" s="73">
        <f t="shared" si="28"/>
        <v>160.46100000000001</v>
      </c>
      <c r="AZ7" s="192">
        <f t="shared" si="3"/>
        <v>2.4182070596859093</v>
      </c>
      <c r="BA7" s="1075"/>
      <c r="BB7" s="56">
        <f t="shared" si="16"/>
        <v>5795</v>
      </c>
      <c r="BC7" s="56"/>
      <c r="BD7" s="56">
        <v>5619</v>
      </c>
      <c r="BE7" s="57">
        <f>BB7-BD7+BC7</f>
        <v>176</v>
      </c>
      <c r="BF7" s="58">
        <f t="shared" si="17"/>
        <v>20476</v>
      </c>
      <c r="BG7" s="58">
        <f t="shared" si="4"/>
        <v>308.58094960226271</v>
      </c>
      <c r="BH7" s="1133"/>
      <c r="BI7" s="63">
        <f t="shared" si="29"/>
        <v>972</v>
      </c>
      <c r="BJ7" s="64"/>
      <c r="BK7" s="64">
        <v>882</v>
      </c>
      <c r="BL7" s="64">
        <f t="shared" si="18"/>
        <v>90</v>
      </c>
      <c r="BM7" s="65">
        <f t="shared" si="5"/>
        <v>0.1931264162603859</v>
      </c>
      <c r="BN7" s="64">
        <f t="shared" si="30"/>
        <v>270</v>
      </c>
      <c r="BO7" s="65">
        <f t="shared" si="6"/>
        <v>8.8685328687535966E-2</v>
      </c>
      <c r="BP7" s="1071"/>
      <c r="BQ7" s="77">
        <f t="shared" si="19"/>
        <v>24944</v>
      </c>
      <c r="BR7" s="35"/>
      <c r="BS7" s="35">
        <v>24944</v>
      </c>
      <c r="BT7" s="37"/>
      <c r="BU7" s="74"/>
      <c r="BV7" s="74">
        <f t="shared" si="20"/>
        <v>31760</v>
      </c>
      <c r="BW7" s="74"/>
      <c r="BX7" s="1098"/>
    </row>
    <row r="8" spans="1:76">
      <c r="A8" s="30">
        <v>43225</v>
      </c>
      <c r="B8" s="32">
        <v>592827</v>
      </c>
      <c r="C8" s="1">
        <f t="shared" si="10"/>
        <v>3637299</v>
      </c>
      <c r="D8" s="91">
        <v>7630.74</v>
      </c>
      <c r="E8" s="93">
        <f t="shared" si="21"/>
        <v>73986.100000000006</v>
      </c>
      <c r="F8" s="227"/>
      <c r="G8" s="227"/>
      <c r="H8" s="227"/>
      <c r="I8" s="227"/>
      <c r="J8" s="227"/>
      <c r="K8" s="227"/>
      <c r="L8" s="227"/>
      <c r="M8" s="227"/>
      <c r="N8" s="227"/>
      <c r="O8" s="227"/>
      <c r="P8" s="35">
        <f t="shared" si="11"/>
        <v>34270</v>
      </c>
      <c r="Q8" s="35"/>
      <c r="R8" s="35">
        <v>31849</v>
      </c>
      <c r="S8" s="37">
        <f t="shared" si="7"/>
        <v>2421</v>
      </c>
      <c r="T8" s="36">
        <f t="shared" si="0"/>
        <v>4.0838220931232891</v>
      </c>
      <c r="U8" s="74">
        <f t="shared" si="22"/>
        <v>10760</v>
      </c>
      <c r="V8" s="36">
        <f t="shared" si="1"/>
        <v>2.9582390669560024</v>
      </c>
      <c r="W8" s="1136"/>
      <c r="X8" s="49">
        <f t="shared" si="23"/>
        <v>1821</v>
      </c>
      <c r="Y8" s="50"/>
      <c r="Z8" s="50">
        <v>1463</v>
      </c>
      <c r="AA8" s="50">
        <f t="shared" si="12"/>
        <v>358</v>
      </c>
      <c r="AB8" s="51">
        <f>AA8*1000/B8</f>
        <v>0.6038861252945632</v>
      </c>
      <c r="AC8" s="50">
        <f t="shared" si="24"/>
        <v>1483</v>
      </c>
      <c r="AD8" s="51">
        <f>AC8*1000/C8</f>
        <v>0.40772012419105497</v>
      </c>
      <c r="AE8" s="1047"/>
      <c r="AF8" s="40">
        <f t="shared" si="25"/>
        <v>1062</v>
      </c>
      <c r="AG8" s="41"/>
      <c r="AH8" s="41">
        <v>925</v>
      </c>
      <c r="AI8" s="41">
        <f t="shared" si="13"/>
        <v>137</v>
      </c>
      <c r="AJ8" s="42">
        <f t="shared" ref="AJ8:AJ20" si="31">AI8*1000/B8</f>
        <v>0.23109608705406467</v>
      </c>
      <c r="AK8" s="41">
        <f t="shared" si="26"/>
        <v>435</v>
      </c>
      <c r="AL8" s="42">
        <f t="shared" ref="AL8:AL20" si="32">AK8*1000/C8</f>
        <v>0.11959423737229191</v>
      </c>
      <c r="AM8" s="1058"/>
      <c r="AN8" s="67">
        <v>3.44</v>
      </c>
      <c r="AO8" s="67">
        <v>24</v>
      </c>
      <c r="AP8" s="68">
        <f t="shared" si="14"/>
        <v>43.756800000000005</v>
      </c>
      <c r="AQ8" s="68">
        <f t="shared" si="8"/>
        <v>5.7342800305081818</v>
      </c>
      <c r="AR8" s="69">
        <f t="shared" si="27"/>
        <v>757.64880000000005</v>
      </c>
      <c r="AS8" s="140">
        <f t="shared" si="2"/>
        <v>10.240420835805644</v>
      </c>
      <c r="AT8" s="1073"/>
      <c r="AU8" s="71">
        <v>5.2</v>
      </c>
      <c r="AV8" s="71">
        <v>10</v>
      </c>
      <c r="AW8" s="72">
        <f t="shared" si="15"/>
        <v>24.284000000000002</v>
      </c>
      <c r="AX8" s="72">
        <f t="shared" si="9"/>
        <v>3.1823912228696045</v>
      </c>
      <c r="AY8" s="73">
        <f t="shared" si="28"/>
        <v>184.745</v>
      </c>
      <c r="AZ8" s="192">
        <f t="shared" si="3"/>
        <v>2.4970230894722114</v>
      </c>
      <c r="BA8" s="1075"/>
      <c r="BB8" s="56">
        <f t="shared" si="16"/>
        <v>5619</v>
      </c>
      <c r="BC8" s="56"/>
      <c r="BD8" s="56">
        <v>5619</v>
      </c>
      <c r="BE8" s="57"/>
      <c r="BF8" s="58">
        <f t="shared" si="17"/>
        <v>20476</v>
      </c>
      <c r="BG8" s="58">
        <f t="shared" si="4"/>
        <v>276.75468770485264</v>
      </c>
      <c r="BH8" s="1133"/>
      <c r="BI8" s="63">
        <f t="shared" si="29"/>
        <v>882</v>
      </c>
      <c r="BJ8" s="64"/>
      <c r="BK8" s="64">
        <v>792</v>
      </c>
      <c r="BL8" s="64">
        <f t="shared" si="18"/>
        <v>90</v>
      </c>
      <c r="BM8" s="65">
        <f t="shared" si="5"/>
        <v>0.15181494769975051</v>
      </c>
      <c r="BN8" s="64">
        <f t="shared" si="30"/>
        <v>360</v>
      </c>
      <c r="BO8" s="65">
        <f t="shared" si="6"/>
        <v>9.8974541273620889E-2</v>
      </c>
      <c r="BP8" s="1071"/>
      <c r="BQ8" s="77">
        <f t="shared" si="19"/>
        <v>24944</v>
      </c>
      <c r="BR8" s="35"/>
      <c r="BS8" s="35">
        <v>24944</v>
      </c>
      <c r="BT8" s="37"/>
      <c r="BU8" s="74"/>
      <c r="BV8" s="74">
        <f t="shared" si="20"/>
        <v>31760</v>
      </c>
      <c r="BW8" s="74"/>
      <c r="BX8" s="1098"/>
    </row>
    <row r="9" spans="1:76">
      <c r="A9" s="30">
        <v>43226</v>
      </c>
      <c r="B9" s="32">
        <v>605349</v>
      </c>
      <c r="C9" s="1">
        <f t="shared" si="10"/>
        <v>4242648</v>
      </c>
      <c r="D9" s="91">
        <v>6675.8600000000006</v>
      </c>
      <c r="E9" s="93">
        <f t="shared" si="21"/>
        <v>80661.960000000006</v>
      </c>
      <c r="F9" s="227"/>
      <c r="G9" s="227"/>
      <c r="H9" s="227"/>
      <c r="I9" s="227"/>
      <c r="J9" s="227"/>
      <c r="K9" s="227"/>
      <c r="L9" s="227"/>
      <c r="M9" s="227"/>
      <c r="N9" s="227"/>
      <c r="O9" s="227"/>
      <c r="P9" s="35">
        <f t="shared" si="11"/>
        <v>31849</v>
      </c>
      <c r="Q9" s="35"/>
      <c r="R9" s="35">
        <v>31445</v>
      </c>
      <c r="S9" s="37">
        <f t="shared" si="7"/>
        <v>404</v>
      </c>
      <c r="T9" s="36">
        <f t="shared" si="0"/>
        <v>0.6673836084638779</v>
      </c>
      <c r="U9" s="74">
        <f t="shared" si="22"/>
        <v>11164</v>
      </c>
      <c r="V9" s="36">
        <f t="shared" si="1"/>
        <v>2.6313754994522287</v>
      </c>
      <c r="W9" s="1136"/>
      <c r="X9" s="49">
        <f t="shared" si="23"/>
        <v>1463</v>
      </c>
      <c r="Y9" s="52"/>
      <c r="Z9" s="50">
        <v>1358</v>
      </c>
      <c r="AA9" s="50">
        <f t="shared" si="12"/>
        <v>105</v>
      </c>
      <c r="AB9" s="51">
        <f>AA9*1000/B9</f>
        <v>0.17345366061561182</v>
      </c>
      <c r="AC9" s="50">
        <f t="shared" si="24"/>
        <v>1588</v>
      </c>
      <c r="AD9" s="51">
        <f>AC9*1000/C9</f>
        <v>0.37429454435060366</v>
      </c>
      <c r="AE9" s="1047"/>
      <c r="AF9" s="40">
        <f t="shared" si="25"/>
        <v>925</v>
      </c>
      <c r="AG9" s="43"/>
      <c r="AH9" s="41">
        <v>865</v>
      </c>
      <c r="AI9" s="41">
        <f t="shared" si="13"/>
        <v>60</v>
      </c>
      <c r="AJ9" s="42">
        <f t="shared" si="31"/>
        <v>9.9116377494635324E-2</v>
      </c>
      <c r="AK9" s="41">
        <f t="shared" si="26"/>
        <v>495</v>
      </c>
      <c r="AL9" s="42">
        <f t="shared" si="32"/>
        <v>0.11667241779190732</v>
      </c>
      <c r="AM9" s="1058"/>
      <c r="AN9" s="67">
        <v>3.56</v>
      </c>
      <c r="AO9" s="67">
        <v>24</v>
      </c>
      <c r="AP9" s="68">
        <f t="shared" si="14"/>
        <v>45.283200000000001</v>
      </c>
      <c r="AQ9" s="68">
        <f t="shared" si="8"/>
        <v>6.783126069150641</v>
      </c>
      <c r="AR9" s="69">
        <f t="shared" si="27"/>
        <v>802.93200000000002</v>
      </c>
      <c r="AS9" s="140">
        <f t="shared" si="2"/>
        <v>9.9542832829750232</v>
      </c>
      <c r="AT9" s="1073"/>
      <c r="AU9" s="71">
        <v>4.7</v>
      </c>
      <c r="AV9" s="71">
        <v>10</v>
      </c>
      <c r="AW9" s="72">
        <f t="shared" si="15"/>
        <v>21.949000000000002</v>
      </c>
      <c r="AX9" s="72">
        <f t="shared" si="9"/>
        <v>3.2878161015958991</v>
      </c>
      <c r="AY9" s="73">
        <f t="shared" si="28"/>
        <v>206.69400000000002</v>
      </c>
      <c r="AZ9" s="192">
        <f t="shared" si="3"/>
        <v>2.5624718268685762</v>
      </c>
      <c r="BA9" s="1075"/>
      <c r="BB9" s="56">
        <f t="shared" si="16"/>
        <v>5619</v>
      </c>
      <c r="BC9" s="56"/>
      <c r="BD9" s="56">
        <v>5619</v>
      </c>
      <c r="BE9" s="57"/>
      <c r="BF9" s="58">
        <f t="shared" si="17"/>
        <v>20476</v>
      </c>
      <c r="BG9" s="58">
        <f t="shared" si="4"/>
        <v>253.8495221291424</v>
      </c>
      <c r="BH9" s="1133"/>
      <c r="BI9" s="63">
        <f t="shared" si="29"/>
        <v>792</v>
      </c>
      <c r="BJ9" s="66"/>
      <c r="BK9" s="64">
        <v>720</v>
      </c>
      <c r="BL9" s="64">
        <f t="shared" si="18"/>
        <v>72</v>
      </c>
      <c r="BM9" s="65">
        <f t="shared" si="5"/>
        <v>0.11893965299356239</v>
      </c>
      <c r="BN9" s="64">
        <f t="shared" si="30"/>
        <v>432</v>
      </c>
      <c r="BO9" s="65">
        <f t="shared" si="6"/>
        <v>0.10182320098202821</v>
      </c>
      <c r="BP9" s="1071"/>
      <c r="BQ9" s="77">
        <f t="shared" si="19"/>
        <v>24944</v>
      </c>
      <c r="BR9" s="35"/>
      <c r="BS9" s="35">
        <v>24944</v>
      </c>
      <c r="BT9" s="37"/>
      <c r="BU9" s="74"/>
      <c r="BV9" s="74">
        <f t="shared" si="20"/>
        <v>31760</v>
      </c>
      <c r="BW9" s="74"/>
      <c r="BX9" s="1098"/>
    </row>
    <row r="10" spans="1:76">
      <c r="A10" s="30">
        <v>43227</v>
      </c>
      <c r="B10" s="32">
        <v>539826</v>
      </c>
      <c r="C10" s="1">
        <f t="shared" si="10"/>
        <v>4782474</v>
      </c>
      <c r="D10" s="91">
        <v>6737.74</v>
      </c>
      <c r="E10" s="93">
        <f t="shared" si="21"/>
        <v>87399.700000000012</v>
      </c>
      <c r="F10" s="227"/>
      <c r="G10" s="227"/>
      <c r="H10" s="227"/>
      <c r="I10" s="227"/>
      <c r="J10" s="227"/>
      <c r="K10" s="227"/>
      <c r="L10" s="227"/>
      <c r="M10" s="227"/>
      <c r="N10" s="227"/>
      <c r="O10" s="227"/>
      <c r="P10" s="35">
        <f t="shared" si="11"/>
        <v>31445</v>
      </c>
      <c r="Q10" s="35"/>
      <c r="R10" s="35">
        <v>29964</v>
      </c>
      <c r="S10" s="37">
        <f t="shared" si="7"/>
        <v>1481</v>
      </c>
      <c r="T10" s="36">
        <f t="shared" si="0"/>
        <v>2.7434766017198133</v>
      </c>
      <c r="U10" s="74">
        <f t="shared" si="22"/>
        <v>12645</v>
      </c>
      <c r="V10" s="36">
        <f t="shared" si="1"/>
        <v>2.6440290109261442</v>
      </c>
      <c r="W10" s="1136"/>
      <c r="X10" s="49">
        <f t="shared" si="23"/>
        <v>1358</v>
      </c>
      <c r="Y10" s="52"/>
      <c r="Z10" s="52">
        <v>973</v>
      </c>
      <c r="AA10" s="50">
        <f t="shared" si="12"/>
        <v>385</v>
      </c>
      <c r="AB10" s="51">
        <f>AA10*1000/B10</f>
        <v>0.71319276952203114</v>
      </c>
      <c r="AC10" s="50">
        <f t="shared" si="24"/>
        <v>1973</v>
      </c>
      <c r="AD10" s="51">
        <f>AC10*1000/C10</f>
        <v>0.41254798248772495</v>
      </c>
      <c r="AE10" s="1047"/>
      <c r="AF10" s="40">
        <f t="shared" si="25"/>
        <v>865</v>
      </c>
      <c r="AG10" s="43"/>
      <c r="AH10" s="43">
        <v>805</v>
      </c>
      <c r="AI10" s="41">
        <f t="shared" si="13"/>
        <v>60</v>
      </c>
      <c r="AJ10" s="42">
        <f t="shared" si="31"/>
        <v>0.11114692512031654</v>
      </c>
      <c r="AK10" s="41">
        <f t="shared" si="26"/>
        <v>555</v>
      </c>
      <c r="AL10" s="42">
        <f t="shared" si="32"/>
        <v>0.11604872289948676</v>
      </c>
      <c r="AM10" s="1058"/>
      <c r="AN10" s="141">
        <v>3.13</v>
      </c>
      <c r="AO10" s="67">
        <v>24</v>
      </c>
      <c r="AP10" s="68">
        <f t="shared" si="14"/>
        <v>39.813600000000001</v>
      </c>
      <c r="AQ10" s="68">
        <f t="shared" si="8"/>
        <v>5.9090436852713228</v>
      </c>
      <c r="AR10" s="69">
        <f t="shared" si="27"/>
        <v>842.74559999999997</v>
      </c>
      <c r="AS10" s="140">
        <f t="shared" si="2"/>
        <v>9.6424312669265433</v>
      </c>
      <c r="AT10" s="1073"/>
      <c r="AU10" s="182">
        <v>4.5999999999999996</v>
      </c>
      <c r="AV10" s="71">
        <v>10</v>
      </c>
      <c r="AW10" s="72">
        <f t="shared" si="15"/>
        <v>21.482000000000003</v>
      </c>
      <c r="AX10" s="72">
        <f t="shared" si="9"/>
        <v>3.1883094331333659</v>
      </c>
      <c r="AY10" s="73">
        <f t="shared" si="28"/>
        <v>228.17600000000002</v>
      </c>
      <c r="AZ10" s="192">
        <f t="shared" si="3"/>
        <v>2.6107183434268082</v>
      </c>
      <c r="BA10" s="1075"/>
      <c r="BB10" s="56">
        <f t="shared" si="16"/>
        <v>5619</v>
      </c>
      <c r="BC10" s="56"/>
      <c r="BD10" s="56">
        <v>5619</v>
      </c>
      <c r="BE10" s="57"/>
      <c r="BF10" s="58">
        <f t="shared" si="17"/>
        <v>20476</v>
      </c>
      <c r="BG10" s="58">
        <f t="shared" si="4"/>
        <v>234.2799803660653</v>
      </c>
      <c r="BH10" s="1133"/>
      <c r="BI10" s="63">
        <f t="shared" si="29"/>
        <v>720</v>
      </c>
      <c r="BJ10" s="66"/>
      <c r="BK10" s="66">
        <v>600</v>
      </c>
      <c r="BL10" s="64">
        <f t="shared" si="18"/>
        <v>120</v>
      </c>
      <c r="BM10" s="65">
        <f t="shared" si="5"/>
        <v>0.22229385024063308</v>
      </c>
      <c r="BN10" s="64">
        <f t="shared" si="30"/>
        <v>552</v>
      </c>
      <c r="BO10" s="65">
        <f t="shared" si="6"/>
        <v>0.11542143250543548</v>
      </c>
      <c r="BP10" s="1071"/>
      <c r="BQ10" s="77">
        <f t="shared" si="19"/>
        <v>24944</v>
      </c>
      <c r="BR10" s="35"/>
      <c r="BS10" s="35">
        <v>24944</v>
      </c>
      <c r="BT10" s="37"/>
      <c r="BU10" s="74"/>
      <c r="BV10" s="74">
        <f t="shared" si="20"/>
        <v>31760</v>
      </c>
      <c r="BW10" s="74"/>
      <c r="BX10" s="1098"/>
    </row>
    <row r="11" spans="1:76">
      <c r="A11" s="30">
        <v>43228</v>
      </c>
      <c r="B11" s="32">
        <v>592198</v>
      </c>
      <c r="C11" s="1">
        <f t="shared" si="10"/>
        <v>5374672</v>
      </c>
      <c r="D11" s="91">
        <v>6969.9400000000005</v>
      </c>
      <c r="E11" s="93">
        <f t="shared" si="21"/>
        <v>94369.640000000014</v>
      </c>
      <c r="F11" s="227"/>
      <c r="G11" s="227"/>
      <c r="H11" s="227"/>
      <c r="I11" s="227"/>
      <c r="J11" s="227"/>
      <c r="K11" s="227"/>
      <c r="L11" s="227"/>
      <c r="M11" s="227"/>
      <c r="N11" s="227"/>
      <c r="O11" s="227"/>
      <c r="P11" s="35">
        <f t="shared" si="11"/>
        <v>29964</v>
      </c>
      <c r="Q11" s="35"/>
      <c r="R11" s="35">
        <v>28216</v>
      </c>
      <c r="S11" s="37">
        <f t="shared" si="7"/>
        <v>1748</v>
      </c>
      <c r="T11" s="36">
        <f t="shared" si="0"/>
        <v>2.9517154735409439</v>
      </c>
      <c r="U11" s="74">
        <f t="shared" si="22"/>
        <v>14393</v>
      </c>
      <c r="V11" s="36">
        <f t="shared" si="1"/>
        <v>2.6779308579202601</v>
      </c>
      <c r="W11" s="1136"/>
      <c r="X11" s="49">
        <f t="shared" si="23"/>
        <v>973</v>
      </c>
      <c r="Y11" s="52"/>
      <c r="Z11" s="52">
        <v>973</v>
      </c>
      <c r="AA11" s="50"/>
      <c r="AB11" s="51"/>
      <c r="AC11" s="50">
        <f t="shared" si="24"/>
        <v>1973</v>
      </c>
      <c r="AD11" s="51"/>
      <c r="AE11" s="1047"/>
      <c r="AF11" s="40">
        <f t="shared" si="25"/>
        <v>805</v>
      </c>
      <c r="AG11" s="43"/>
      <c r="AH11" s="43">
        <v>725</v>
      </c>
      <c r="AI11" s="41">
        <f t="shared" si="13"/>
        <v>80</v>
      </c>
      <c r="AJ11" s="42">
        <f t="shared" si="31"/>
        <v>0.13508995302246884</v>
      </c>
      <c r="AK11" s="41">
        <f t="shared" si="26"/>
        <v>635</v>
      </c>
      <c r="AL11" s="42">
        <f t="shared" si="32"/>
        <v>0.11814674458273919</v>
      </c>
      <c r="AM11" s="1058"/>
      <c r="AN11" s="141">
        <v>3.2</v>
      </c>
      <c r="AO11" s="67">
        <v>24</v>
      </c>
      <c r="AP11" s="68">
        <f t="shared" si="14"/>
        <v>40.704000000000008</v>
      </c>
      <c r="AQ11" s="68">
        <f t="shared" si="8"/>
        <v>5.8399354944231954</v>
      </c>
      <c r="AR11" s="69">
        <f t="shared" si="27"/>
        <v>883.44959999999992</v>
      </c>
      <c r="AS11" s="140">
        <f t="shared" si="2"/>
        <v>9.3615870527851932</v>
      </c>
      <c r="AT11" s="1073"/>
      <c r="AU11" s="182">
        <v>4.7</v>
      </c>
      <c r="AV11" s="71">
        <v>10</v>
      </c>
      <c r="AW11" s="72">
        <f t="shared" si="15"/>
        <v>21.949000000000002</v>
      </c>
      <c r="AX11" s="72">
        <f t="shared" si="9"/>
        <v>3.149094540268639</v>
      </c>
      <c r="AY11" s="73">
        <f t="shared" si="28"/>
        <v>250.12500000000003</v>
      </c>
      <c r="AZ11" s="192">
        <f t="shared" si="3"/>
        <v>2.6504816591437668</v>
      </c>
      <c r="BA11" s="1075"/>
      <c r="BB11" s="56">
        <f t="shared" si="16"/>
        <v>5619</v>
      </c>
      <c r="BC11" s="56"/>
      <c r="BD11" s="56">
        <v>5619</v>
      </c>
      <c r="BE11" s="57"/>
      <c r="BF11" s="58">
        <f t="shared" si="17"/>
        <v>20476</v>
      </c>
      <c r="BG11" s="58">
        <f t="shared" si="4"/>
        <v>216.97656152974619</v>
      </c>
      <c r="BH11" s="1133"/>
      <c r="BI11" s="63">
        <f t="shared" si="29"/>
        <v>600</v>
      </c>
      <c r="BJ11" s="66"/>
      <c r="BK11" s="66">
        <v>504</v>
      </c>
      <c r="BL11" s="64">
        <f t="shared" si="18"/>
        <v>96</v>
      </c>
      <c r="BM11" s="65">
        <f t="shared" si="5"/>
        <v>0.1621079436269626</v>
      </c>
      <c r="BN11" s="64">
        <f t="shared" si="30"/>
        <v>648</v>
      </c>
      <c r="BO11" s="65">
        <f t="shared" si="6"/>
        <v>0.12056549683403936</v>
      </c>
      <c r="BP11" s="1071"/>
      <c r="BQ11" s="77">
        <f t="shared" si="19"/>
        <v>24944</v>
      </c>
      <c r="BR11" s="35"/>
      <c r="BS11" s="35">
        <v>24944</v>
      </c>
      <c r="BT11" s="37"/>
      <c r="BU11" s="74"/>
      <c r="BV11" s="74">
        <f t="shared" si="20"/>
        <v>31760</v>
      </c>
      <c r="BW11" s="74"/>
      <c r="BX11" s="1098"/>
    </row>
    <row r="12" spans="1:76">
      <c r="A12" s="30">
        <v>43229</v>
      </c>
      <c r="B12" s="32">
        <v>467386</v>
      </c>
      <c r="C12" s="1">
        <f t="shared" si="10"/>
        <v>5842058</v>
      </c>
      <c r="D12" s="91">
        <v>6101.26</v>
      </c>
      <c r="E12" s="93">
        <f t="shared" si="21"/>
        <v>100470.90000000001</v>
      </c>
      <c r="F12" s="227"/>
      <c r="G12" s="227"/>
      <c r="H12" s="227"/>
      <c r="I12" s="227"/>
      <c r="J12" s="227"/>
      <c r="K12" s="227"/>
      <c r="L12" s="227"/>
      <c r="M12" s="227"/>
      <c r="N12" s="227"/>
      <c r="O12" s="227"/>
      <c r="P12" s="35">
        <f t="shared" si="11"/>
        <v>28216</v>
      </c>
      <c r="Q12" s="35"/>
      <c r="R12" s="35">
        <v>26206</v>
      </c>
      <c r="S12" s="37">
        <f t="shared" si="7"/>
        <v>2010</v>
      </c>
      <c r="T12" s="36">
        <f t="shared" si="0"/>
        <v>4.3005139221114881</v>
      </c>
      <c r="U12" s="74">
        <f t="shared" si="22"/>
        <v>16403</v>
      </c>
      <c r="V12" s="36">
        <f t="shared" si="1"/>
        <v>2.8077434356180646</v>
      </c>
      <c r="W12" s="1136"/>
      <c r="X12" s="49">
        <f t="shared" si="23"/>
        <v>973</v>
      </c>
      <c r="Y12" s="52"/>
      <c r="Z12" s="52">
        <v>779</v>
      </c>
      <c r="AA12" s="50">
        <f t="shared" si="12"/>
        <v>194</v>
      </c>
      <c r="AB12" s="51">
        <f t="shared" ref="AB12:AB20" si="33">AA12*1000/B12</f>
        <v>0.41507447805454162</v>
      </c>
      <c r="AC12" s="50">
        <f t="shared" si="24"/>
        <v>2167</v>
      </c>
      <c r="AD12" s="51">
        <f t="shared" ref="AD12:AD20" si="34">AC12*1000/C12</f>
        <v>0.37093092879255907</v>
      </c>
      <c r="AE12" s="1047"/>
      <c r="AF12" s="40">
        <f t="shared" si="25"/>
        <v>725</v>
      </c>
      <c r="AG12" s="43"/>
      <c r="AH12" s="43">
        <v>666</v>
      </c>
      <c r="AI12" s="41">
        <f t="shared" si="13"/>
        <v>59</v>
      </c>
      <c r="AJ12" s="42">
        <f t="shared" si="31"/>
        <v>0.12623399074854616</v>
      </c>
      <c r="AK12" s="41">
        <f t="shared" si="26"/>
        <v>694</v>
      </c>
      <c r="AL12" s="42">
        <f t="shared" si="32"/>
        <v>0.11879375384496353</v>
      </c>
      <c r="AM12" s="1058"/>
      <c r="AN12" s="141">
        <v>3.35</v>
      </c>
      <c r="AO12" s="67">
        <v>24</v>
      </c>
      <c r="AP12" s="68">
        <f t="shared" si="14"/>
        <v>42.612000000000002</v>
      </c>
      <c r="AQ12" s="68">
        <f t="shared" si="8"/>
        <v>6.9841311466811771</v>
      </c>
      <c r="AR12" s="69">
        <f t="shared" si="27"/>
        <v>926.06159999999988</v>
      </c>
      <c r="AS12" s="140">
        <f t="shared" si="2"/>
        <v>9.2172121479950881</v>
      </c>
      <c r="AT12" s="1073"/>
      <c r="AU12" s="182">
        <v>4.2</v>
      </c>
      <c r="AV12" s="71">
        <v>10</v>
      </c>
      <c r="AW12" s="72">
        <f t="shared" si="15"/>
        <v>19.614000000000001</v>
      </c>
      <c r="AX12" s="72">
        <f t="shared" si="9"/>
        <v>3.2147458066038817</v>
      </c>
      <c r="AY12" s="73">
        <f t="shared" si="28"/>
        <v>269.73900000000003</v>
      </c>
      <c r="AZ12" s="192">
        <f t="shared" si="3"/>
        <v>2.6847475239099086</v>
      </c>
      <c r="BA12" s="1075"/>
      <c r="BB12" s="56">
        <f t="shared" si="16"/>
        <v>5619</v>
      </c>
      <c r="BC12" s="56"/>
      <c r="BD12" s="56">
        <v>5619</v>
      </c>
      <c r="BE12" s="57"/>
      <c r="BF12" s="58">
        <f t="shared" si="17"/>
        <v>20476</v>
      </c>
      <c r="BG12" s="58">
        <f t="shared" si="4"/>
        <v>203.80030436673701</v>
      </c>
      <c r="BH12" s="1133"/>
      <c r="BI12" s="63">
        <f t="shared" si="29"/>
        <v>504</v>
      </c>
      <c r="BJ12" s="66"/>
      <c r="BK12" s="66">
        <v>396</v>
      </c>
      <c r="BL12" s="64">
        <f t="shared" si="18"/>
        <v>108</v>
      </c>
      <c r="BM12" s="65">
        <f t="shared" si="5"/>
        <v>0.23107238984479639</v>
      </c>
      <c r="BN12" s="64">
        <f t="shared" si="30"/>
        <v>756</v>
      </c>
      <c r="BO12" s="65">
        <f t="shared" si="6"/>
        <v>0.12940645231526288</v>
      </c>
      <c r="BP12" s="1071"/>
      <c r="BQ12" s="77">
        <f t="shared" si="19"/>
        <v>24944</v>
      </c>
      <c r="BR12" s="35"/>
      <c r="BS12" s="35">
        <v>24944</v>
      </c>
      <c r="BT12" s="37"/>
      <c r="BU12" s="74"/>
      <c r="BV12" s="74">
        <f t="shared" si="20"/>
        <v>31760</v>
      </c>
      <c r="BW12" s="74"/>
      <c r="BX12" s="1098"/>
    </row>
    <row r="13" spans="1:76">
      <c r="A13" s="30">
        <v>43230</v>
      </c>
      <c r="B13" s="32">
        <v>523955</v>
      </c>
      <c r="C13" s="1">
        <f t="shared" si="10"/>
        <v>6366013</v>
      </c>
      <c r="D13" s="91">
        <v>6383.16</v>
      </c>
      <c r="E13" s="93">
        <f t="shared" si="21"/>
        <v>106854.06000000001</v>
      </c>
      <c r="F13" s="227"/>
      <c r="G13" s="227"/>
      <c r="H13" s="227"/>
      <c r="I13" s="227"/>
      <c r="J13" s="227"/>
      <c r="K13" s="227"/>
      <c r="L13" s="227"/>
      <c r="M13" s="227"/>
      <c r="N13" s="227"/>
      <c r="O13" s="227"/>
      <c r="P13" s="35">
        <f t="shared" si="11"/>
        <v>26206</v>
      </c>
      <c r="Q13" s="35"/>
      <c r="R13" s="35">
        <v>24078</v>
      </c>
      <c r="S13" s="35">
        <f t="shared" si="7"/>
        <v>2128</v>
      </c>
      <c r="T13" s="36">
        <f t="shared" si="0"/>
        <v>4.061417488143066</v>
      </c>
      <c r="U13" s="74">
        <f t="shared" si="22"/>
        <v>18531</v>
      </c>
      <c r="V13" s="36">
        <f t="shared" si="1"/>
        <v>2.9109271375977399</v>
      </c>
      <c r="W13" s="1136"/>
      <c r="X13" s="49">
        <f t="shared" si="23"/>
        <v>779</v>
      </c>
      <c r="Y13" s="50"/>
      <c r="Z13" s="50">
        <v>653</v>
      </c>
      <c r="AA13" s="50">
        <f t="shared" si="12"/>
        <v>126</v>
      </c>
      <c r="AB13" s="51">
        <f t="shared" si="33"/>
        <v>0.24047866706110257</v>
      </c>
      <c r="AC13" s="50">
        <f t="shared" si="24"/>
        <v>2293</v>
      </c>
      <c r="AD13" s="51">
        <f t="shared" si="34"/>
        <v>0.36019404924243792</v>
      </c>
      <c r="AE13" s="1047"/>
      <c r="AF13" s="40">
        <f t="shared" si="25"/>
        <v>666</v>
      </c>
      <c r="AG13" s="41"/>
      <c r="AH13" s="41">
        <v>606</v>
      </c>
      <c r="AI13" s="41">
        <f t="shared" si="13"/>
        <v>60</v>
      </c>
      <c r="AJ13" s="42">
        <f t="shared" si="31"/>
        <v>0.11451365098147742</v>
      </c>
      <c r="AK13" s="41">
        <f t="shared" si="26"/>
        <v>754</v>
      </c>
      <c r="AL13" s="42">
        <f t="shared" si="32"/>
        <v>0.11844147977705984</v>
      </c>
      <c r="AM13" s="1058"/>
      <c r="AN13" s="67">
        <v>3.25</v>
      </c>
      <c r="AO13" s="67">
        <v>24</v>
      </c>
      <c r="AP13" s="68">
        <f t="shared" si="14"/>
        <v>41.34</v>
      </c>
      <c r="AQ13" s="68">
        <f t="shared" si="8"/>
        <v>6.4764160697836184</v>
      </c>
      <c r="AR13" s="69">
        <f t="shared" ref="AR13:AR20" si="35">AR12+AP13</f>
        <v>967.40159999999992</v>
      </c>
      <c r="AS13" s="140">
        <f t="shared" si="2"/>
        <v>9.0534847248667933</v>
      </c>
      <c r="AT13" s="1073"/>
      <c r="AU13" s="71">
        <v>4.1500000000000004</v>
      </c>
      <c r="AV13" s="71">
        <v>10</v>
      </c>
      <c r="AW13" s="72">
        <f t="shared" ref="AW13:AW20" si="36">AU13*AV13*0.467</f>
        <v>19.380500000000001</v>
      </c>
      <c r="AX13" s="72">
        <f t="shared" si="9"/>
        <v>3.036192105477538</v>
      </c>
      <c r="AY13" s="73">
        <f t="shared" ref="AY13:AY20" si="37">AY12+AW13</f>
        <v>289.11950000000002</v>
      </c>
      <c r="AZ13" s="192">
        <f t="shared" si="3"/>
        <v>2.7057418314287727</v>
      </c>
      <c r="BA13" s="1075"/>
      <c r="BB13" s="56">
        <f t="shared" si="16"/>
        <v>5619</v>
      </c>
      <c r="BC13" s="56"/>
      <c r="BD13" s="56">
        <v>5619</v>
      </c>
      <c r="BE13" s="56"/>
      <c r="BF13" s="58">
        <f t="shared" si="17"/>
        <v>20476</v>
      </c>
      <c r="BG13" s="58">
        <f t="shared" si="4"/>
        <v>191.62584931260449</v>
      </c>
      <c r="BH13" s="1133"/>
      <c r="BI13" s="63">
        <f t="shared" si="29"/>
        <v>396</v>
      </c>
      <c r="BJ13" s="64"/>
      <c r="BK13" s="64">
        <v>300</v>
      </c>
      <c r="BL13" s="64">
        <f t="shared" si="18"/>
        <v>96</v>
      </c>
      <c r="BM13" s="65">
        <f t="shared" si="5"/>
        <v>0.18322184157036386</v>
      </c>
      <c r="BN13" s="64">
        <f t="shared" si="30"/>
        <v>852</v>
      </c>
      <c r="BO13" s="65">
        <f t="shared" si="6"/>
        <v>0.13383573046426389</v>
      </c>
      <c r="BP13" s="1071"/>
      <c r="BQ13" s="77">
        <f t="shared" si="19"/>
        <v>24944</v>
      </c>
      <c r="BR13" s="35"/>
      <c r="BS13" s="35">
        <v>24944</v>
      </c>
      <c r="BT13" s="35"/>
      <c r="BU13" s="74"/>
      <c r="BV13" s="74">
        <f t="shared" si="20"/>
        <v>31760</v>
      </c>
      <c r="BW13" s="74"/>
      <c r="BX13" s="1098"/>
    </row>
    <row r="14" spans="1:76">
      <c r="A14" s="30">
        <v>43231</v>
      </c>
      <c r="B14" s="32">
        <v>537923</v>
      </c>
      <c r="C14" s="1">
        <f t="shared" si="10"/>
        <v>6903936</v>
      </c>
      <c r="D14" s="91">
        <v>6702.8600000000006</v>
      </c>
      <c r="E14" s="93">
        <f t="shared" si="21"/>
        <v>113556.92000000001</v>
      </c>
      <c r="F14" s="227"/>
      <c r="G14" s="227"/>
      <c r="H14" s="227"/>
      <c r="I14" s="227"/>
      <c r="J14" s="227"/>
      <c r="K14" s="227"/>
      <c r="L14" s="227"/>
      <c r="M14" s="227"/>
      <c r="N14" s="227"/>
      <c r="O14" s="227"/>
      <c r="P14" s="35">
        <f t="shared" si="11"/>
        <v>24078</v>
      </c>
      <c r="Q14" s="35"/>
      <c r="R14" s="35">
        <v>21188</v>
      </c>
      <c r="S14" s="35">
        <f t="shared" si="7"/>
        <v>2890</v>
      </c>
      <c r="T14" s="36">
        <f t="shared" si="0"/>
        <v>5.3725161407859492</v>
      </c>
      <c r="U14" s="74">
        <f t="shared" ref="U14:U30" si="38">U13+S14</f>
        <v>21421</v>
      </c>
      <c r="V14" s="36">
        <f t="shared" si="1"/>
        <v>3.1027228525872776</v>
      </c>
      <c r="W14" s="1136"/>
      <c r="X14" s="49">
        <f t="shared" si="23"/>
        <v>653</v>
      </c>
      <c r="Y14" s="50"/>
      <c r="Z14" s="50">
        <v>563</v>
      </c>
      <c r="AA14" s="50">
        <f t="shared" si="12"/>
        <v>90</v>
      </c>
      <c r="AB14" s="51">
        <f t="shared" si="33"/>
        <v>0.16731019123554858</v>
      </c>
      <c r="AC14" s="50">
        <f t="shared" ref="AC14:AC30" si="39">AC13+AA14</f>
        <v>2383</v>
      </c>
      <c r="AD14" s="51">
        <f t="shared" si="34"/>
        <v>0.34516542447670429</v>
      </c>
      <c r="AE14" s="1047"/>
      <c r="AF14" s="40">
        <f t="shared" si="25"/>
        <v>606</v>
      </c>
      <c r="AG14" s="41"/>
      <c r="AH14" s="41">
        <v>509</v>
      </c>
      <c r="AI14" s="41">
        <f t="shared" ref="AI14:AI27" si="40">AF14+AG14-AH14</f>
        <v>97</v>
      </c>
      <c r="AJ14" s="42">
        <f t="shared" si="31"/>
        <v>0.18032320610942459</v>
      </c>
      <c r="AK14" s="41">
        <f t="shared" ref="AK14:AK30" si="41">AK13+AI14</f>
        <v>851</v>
      </c>
      <c r="AL14" s="42">
        <f t="shared" si="32"/>
        <v>0.12326301981941895</v>
      </c>
      <c r="AM14" s="1058"/>
      <c r="AN14" s="67">
        <v>2.95</v>
      </c>
      <c r="AO14" s="67">
        <v>24</v>
      </c>
      <c r="AP14" s="68">
        <f t="shared" si="14"/>
        <v>37.524000000000008</v>
      </c>
      <c r="AQ14" s="68">
        <f t="shared" si="8"/>
        <v>5.5982073323924419</v>
      </c>
      <c r="AR14" s="69">
        <f t="shared" si="35"/>
        <v>1004.9255999999999</v>
      </c>
      <c r="AS14" s="140">
        <f t="shared" si="2"/>
        <v>8.8495320232355699</v>
      </c>
      <c r="AT14" s="1073"/>
      <c r="AU14" s="71">
        <v>4.45</v>
      </c>
      <c r="AV14" s="71">
        <v>10</v>
      </c>
      <c r="AW14" s="72">
        <f t="shared" si="36"/>
        <v>20.781500000000001</v>
      </c>
      <c r="AX14" s="72">
        <f t="shared" si="9"/>
        <v>3.1003929665844128</v>
      </c>
      <c r="AY14" s="73">
        <f t="shared" si="37"/>
        <v>309.90100000000001</v>
      </c>
      <c r="AZ14" s="192">
        <f t="shared" si="3"/>
        <v>2.7290366804594557</v>
      </c>
      <c r="BA14" s="1075"/>
      <c r="BB14" s="56">
        <f t="shared" si="16"/>
        <v>5619</v>
      </c>
      <c r="BC14" s="56"/>
      <c r="BD14" s="56">
        <v>5619</v>
      </c>
      <c r="BE14" s="56"/>
      <c r="BF14" s="58">
        <f t="shared" si="17"/>
        <v>20476</v>
      </c>
      <c r="BG14" s="58">
        <f t="shared" si="4"/>
        <v>180.31485883907382</v>
      </c>
      <c r="BH14" s="1133"/>
      <c r="BI14" s="63">
        <f t="shared" si="29"/>
        <v>300</v>
      </c>
      <c r="BJ14" s="64"/>
      <c r="BK14" s="64">
        <v>228</v>
      </c>
      <c r="BL14" s="64">
        <f t="shared" si="18"/>
        <v>72</v>
      </c>
      <c r="BM14" s="65">
        <f t="shared" si="5"/>
        <v>0.13384815298843886</v>
      </c>
      <c r="BN14" s="64">
        <f t="shared" si="30"/>
        <v>924</v>
      </c>
      <c r="BO14" s="65">
        <f t="shared" si="6"/>
        <v>0.13383669837032092</v>
      </c>
      <c r="BP14" s="1071"/>
      <c r="BQ14" s="77">
        <f t="shared" si="19"/>
        <v>24944</v>
      </c>
      <c r="BR14" s="35"/>
      <c r="BS14" s="35">
        <v>24944</v>
      </c>
      <c r="BT14" s="35"/>
      <c r="BU14" s="74"/>
      <c r="BV14" s="74">
        <f t="shared" si="20"/>
        <v>31760</v>
      </c>
      <c r="BW14" s="74"/>
      <c r="BX14" s="1098"/>
    </row>
    <row r="15" spans="1:76">
      <c r="A15" s="30">
        <v>43232</v>
      </c>
      <c r="B15" s="32">
        <v>372321</v>
      </c>
      <c r="C15" s="1">
        <f t="shared" si="10"/>
        <v>7276257</v>
      </c>
      <c r="D15" s="91">
        <v>6312.46</v>
      </c>
      <c r="E15" s="93">
        <f t="shared" si="21"/>
        <v>119869.38000000002</v>
      </c>
      <c r="F15" s="227"/>
      <c r="G15" s="227"/>
      <c r="H15" s="227"/>
      <c r="I15" s="227"/>
      <c r="J15" s="227"/>
      <c r="K15" s="227"/>
      <c r="L15" s="227"/>
      <c r="M15" s="227"/>
      <c r="N15" s="227"/>
      <c r="O15" s="227"/>
      <c r="P15" s="35">
        <f t="shared" si="11"/>
        <v>21188</v>
      </c>
      <c r="Q15" s="35"/>
      <c r="R15" s="35">
        <v>19893</v>
      </c>
      <c r="S15" s="35">
        <f t="shared" si="7"/>
        <v>1295</v>
      </c>
      <c r="T15" s="36">
        <f t="shared" si="0"/>
        <v>3.4781814616956872</v>
      </c>
      <c r="U15" s="74">
        <f t="shared" si="38"/>
        <v>22716</v>
      </c>
      <c r="V15" s="36">
        <f t="shared" si="1"/>
        <v>3.1219348079651392</v>
      </c>
      <c r="W15" s="1136"/>
      <c r="X15" s="49">
        <f>Z14</f>
        <v>563</v>
      </c>
      <c r="Y15" s="50"/>
      <c r="Z15" s="50">
        <v>510</v>
      </c>
      <c r="AA15" s="50">
        <f>X15+Y15-Z15</f>
        <v>53</v>
      </c>
      <c r="AB15" s="51">
        <f t="shared" si="33"/>
        <v>0.14235028376051848</v>
      </c>
      <c r="AC15" s="50">
        <f t="shared" si="39"/>
        <v>2436</v>
      </c>
      <c r="AD15" s="51">
        <f t="shared" si="34"/>
        <v>0.3347875150644074</v>
      </c>
      <c r="AE15" s="1047"/>
      <c r="AF15" s="40">
        <f t="shared" si="25"/>
        <v>509</v>
      </c>
      <c r="AG15" s="41">
        <v>1000</v>
      </c>
      <c r="AH15" s="41">
        <v>1396</v>
      </c>
      <c r="AI15" s="41">
        <f t="shared" si="40"/>
        <v>113</v>
      </c>
      <c r="AJ15" s="42">
        <f t="shared" si="31"/>
        <v>0.30350154839506771</v>
      </c>
      <c r="AK15" s="41">
        <f t="shared" si="41"/>
        <v>964</v>
      </c>
      <c r="AL15" s="42">
        <f t="shared" si="32"/>
        <v>0.13248569972171131</v>
      </c>
      <c r="AM15" s="1058"/>
      <c r="AN15" s="67">
        <v>3.2</v>
      </c>
      <c r="AO15" s="67">
        <v>24</v>
      </c>
      <c r="AP15" s="68">
        <f t="shared" si="14"/>
        <v>40.704000000000008</v>
      </c>
      <c r="AQ15" s="68">
        <f t="shared" si="8"/>
        <v>6.4481992757181841</v>
      </c>
      <c r="AR15" s="69">
        <f t="shared" si="35"/>
        <v>1045.6296</v>
      </c>
      <c r="AS15" s="140">
        <f t="shared" si="2"/>
        <v>8.7230750672106581</v>
      </c>
      <c r="AT15" s="1073"/>
      <c r="AU15" s="71">
        <v>4</v>
      </c>
      <c r="AV15" s="71">
        <v>10</v>
      </c>
      <c r="AW15" s="72">
        <f t="shared" si="36"/>
        <v>18.68</v>
      </c>
      <c r="AX15" s="72">
        <f t="shared" si="9"/>
        <v>2.9592266723274285</v>
      </c>
      <c r="AY15" s="73">
        <f t="shared" si="37"/>
        <v>328.58100000000002</v>
      </c>
      <c r="AZ15" s="192">
        <f t="shared" si="3"/>
        <v>2.7411587513007905</v>
      </c>
      <c r="BA15" s="1075"/>
      <c r="BB15" s="56">
        <f t="shared" si="16"/>
        <v>5619</v>
      </c>
      <c r="BC15" s="56"/>
      <c r="BD15" s="56">
        <v>5619</v>
      </c>
      <c r="BE15" s="56"/>
      <c r="BF15" s="58">
        <f t="shared" si="17"/>
        <v>20476</v>
      </c>
      <c r="BG15" s="58">
        <f t="shared" si="4"/>
        <v>170.81927010884678</v>
      </c>
      <c r="BH15" s="1133"/>
      <c r="BI15" s="63">
        <f t="shared" si="29"/>
        <v>228</v>
      </c>
      <c r="BJ15" s="64">
        <v>1200</v>
      </c>
      <c r="BK15" s="64">
        <v>1284</v>
      </c>
      <c r="BL15" s="64">
        <f t="shared" si="18"/>
        <v>144</v>
      </c>
      <c r="BM15" s="65">
        <f t="shared" si="5"/>
        <v>0.38676303512291815</v>
      </c>
      <c r="BN15" s="64">
        <f t="shared" ref="BN15:BN30" si="42">BN14+BL15</f>
        <v>1068</v>
      </c>
      <c r="BO15" s="65">
        <f t="shared" si="6"/>
        <v>0.1467787627622279</v>
      </c>
      <c r="BP15" s="1071"/>
      <c r="BQ15" s="77">
        <f t="shared" si="19"/>
        <v>24944</v>
      </c>
      <c r="BR15" s="35"/>
      <c r="BS15" s="35">
        <v>24944</v>
      </c>
      <c r="BT15" s="35"/>
      <c r="BU15" s="74"/>
      <c r="BV15" s="74">
        <f t="shared" si="20"/>
        <v>31760</v>
      </c>
      <c r="BW15" s="74"/>
      <c r="BX15" s="1098"/>
    </row>
    <row r="16" spans="1:76">
      <c r="A16" s="30">
        <v>43233</v>
      </c>
      <c r="B16" s="32">
        <v>583608</v>
      </c>
      <c r="C16" s="1">
        <f t="shared" si="10"/>
        <v>7859865</v>
      </c>
      <c r="D16" s="91">
        <v>7386.28</v>
      </c>
      <c r="E16" s="93">
        <f t="shared" si="21"/>
        <v>127255.66000000002</v>
      </c>
      <c r="F16" s="227"/>
      <c r="G16" s="227"/>
      <c r="H16" s="227"/>
      <c r="I16" s="227"/>
      <c r="J16" s="227"/>
      <c r="K16" s="227"/>
      <c r="L16" s="227"/>
      <c r="M16" s="227"/>
      <c r="N16" s="227"/>
      <c r="O16" s="227"/>
      <c r="P16" s="35">
        <f t="shared" si="11"/>
        <v>19893</v>
      </c>
      <c r="Q16" s="35"/>
      <c r="R16" s="35">
        <v>19893</v>
      </c>
      <c r="S16" s="35"/>
      <c r="T16" s="36"/>
      <c r="U16" s="74">
        <f t="shared" si="38"/>
        <v>22716</v>
      </c>
      <c r="V16" s="36"/>
      <c r="W16" s="1136"/>
      <c r="X16" s="49">
        <f>Z15</f>
        <v>510</v>
      </c>
      <c r="Y16" s="50"/>
      <c r="Z16" s="50">
        <v>373</v>
      </c>
      <c r="AA16" s="50">
        <f>X16+Y16-Z16</f>
        <v>137</v>
      </c>
      <c r="AB16" s="51">
        <f t="shared" si="33"/>
        <v>0.23474661073871503</v>
      </c>
      <c r="AC16" s="50">
        <f t="shared" si="39"/>
        <v>2573</v>
      </c>
      <c r="AD16" s="51">
        <f t="shared" si="34"/>
        <v>0.3273593121510357</v>
      </c>
      <c r="AE16" s="1047"/>
      <c r="AF16" s="40">
        <f t="shared" si="25"/>
        <v>1396</v>
      </c>
      <c r="AG16" s="41"/>
      <c r="AH16" s="41">
        <v>1273</v>
      </c>
      <c r="AI16" s="41">
        <f t="shared" si="40"/>
        <v>123</v>
      </c>
      <c r="AJ16" s="42">
        <f t="shared" si="31"/>
        <v>0.21075790599169306</v>
      </c>
      <c r="AK16" s="41">
        <f t="shared" si="41"/>
        <v>1087</v>
      </c>
      <c r="AL16" s="42">
        <f t="shared" si="32"/>
        <v>0.13829754073384212</v>
      </c>
      <c r="AM16" s="1058"/>
      <c r="AN16" s="67">
        <v>3.7</v>
      </c>
      <c r="AO16" s="67">
        <v>24</v>
      </c>
      <c r="AP16" s="68">
        <f t="shared" si="14"/>
        <v>47.064000000000007</v>
      </c>
      <c r="AQ16" s="68">
        <f t="shared" si="8"/>
        <v>6.3718136869980571</v>
      </c>
      <c r="AR16" s="69">
        <f t="shared" si="35"/>
        <v>1092.6936000000001</v>
      </c>
      <c r="AS16" s="140">
        <f t="shared" si="2"/>
        <v>8.5866011775036171</v>
      </c>
      <c r="AT16" s="1073"/>
      <c r="AU16" s="71">
        <v>4.75</v>
      </c>
      <c r="AV16" s="71">
        <v>10</v>
      </c>
      <c r="AW16" s="72">
        <f t="shared" si="36"/>
        <v>22.182500000000001</v>
      </c>
      <c r="AX16" s="72">
        <f t="shared" si="9"/>
        <v>3.0032032362704908</v>
      </c>
      <c r="AY16" s="73">
        <f t="shared" si="37"/>
        <v>350.76350000000002</v>
      </c>
      <c r="AZ16" s="192">
        <f t="shared" si="3"/>
        <v>2.7563685575950019</v>
      </c>
      <c r="BA16" s="1075"/>
      <c r="BB16" s="56">
        <f t="shared" si="16"/>
        <v>5619</v>
      </c>
      <c r="BC16" s="56"/>
      <c r="BD16" s="56">
        <v>5619</v>
      </c>
      <c r="BE16" s="56"/>
      <c r="BF16" s="58">
        <f t="shared" si="17"/>
        <v>20476</v>
      </c>
      <c r="BG16" s="58">
        <f t="shared" si="4"/>
        <v>160.90443442751385</v>
      </c>
      <c r="BH16" s="1133"/>
      <c r="BI16" s="63">
        <f t="shared" si="29"/>
        <v>1284</v>
      </c>
      <c r="BJ16" s="64"/>
      <c r="BK16" s="64">
        <v>1200</v>
      </c>
      <c r="BL16" s="64">
        <f t="shared" si="18"/>
        <v>84</v>
      </c>
      <c r="BM16" s="65">
        <f t="shared" si="5"/>
        <v>0.14393222848213183</v>
      </c>
      <c r="BN16" s="64">
        <f t="shared" si="42"/>
        <v>1152</v>
      </c>
      <c r="BO16" s="65">
        <f t="shared" si="6"/>
        <v>0.14656740287524023</v>
      </c>
      <c r="BP16" s="1071"/>
      <c r="BQ16" s="77">
        <f t="shared" si="19"/>
        <v>24944</v>
      </c>
      <c r="BR16" s="35"/>
      <c r="BS16" s="35">
        <v>24944</v>
      </c>
      <c r="BT16" s="35"/>
      <c r="BU16" s="74"/>
      <c r="BV16" s="74">
        <f t="shared" si="20"/>
        <v>31760</v>
      </c>
      <c r="BW16" s="74"/>
      <c r="BX16" s="1098"/>
    </row>
    <row r="17" spans="1:76">
      <c r="A17" s="30">
        <v>43234</v>
      </c>
      <c r="B17" s="32">
        <v>533750</v>
      </c>
      <c r="C17" s="1">
        <f t="shared" si="10"/>
        <v>8393615</v>
      </c>
      <c r="D17" s="91">
        <v>7753.34</v>
      </c>
      <c r="E17" s="93">
        <f t="shared" si="21"/>
        <v>135009.00000000003</v>
      </c>
      <c r="F17" s="227"/>
      <c r="G17" s="227"/>
      <c r="H17" s="227"/>
      <c r="I17" s="227"/>
      <c r="J17" s="227"/>
      <c r="K17" s="227"/>
      <c r="L17" s="227"/>
      <c r="M17" s="227"/>
      <c r="N17" s="227"/>
      <c r="O17" s="227"/>
      <c r="P17" s="35">
        <f t="shared" si="11"/>
        <v>19893</v>
      </c>
      <c r="Q17" s="35">
        <v>35920</v>
      </c>
      <c r="R17" s="35">
        <v>52876</v>
      </c>
      <c r="S17" s="35">
        <f t="shared" si="7"/>
        <v>2937</v>
      </c>
      <c r="T17" s="36">
        <f>S17*1000/B17</f>
        <v>5.5025761124121777</v>
      </c>
      <c r="U17" s="74">
        <f t="shared" si="38"/>
        <v>25653</v>
      </c>
      <c r="V17" s="36">
        <f>U17*1000/C17</f>
        <v>3.0562516865498357</v>
      </c>
      <c r="W17" s="1136"/>
      <c r="X17" s="49">
        <f t="shared" ref="X17:X44" si="43">Z16</f>
        <v>373</v>
      </c>
      <c r="Y17" s="50"/>
      <c r="Z17" s="50">
        <v>357</v>
      </c>
      <c r="AA17" s="50">
        <f t="shared" ref="AA17:AA27" si="44">X17+Y17-Z17</f>
        <v>16</v>
      </c>
      <c r="AB17" s="51">
        <f t="shared" si="33"/>
        <v>2.9976580796252927E-2</v>
      </c>
      <c r="AC17" s="50">
        <f t="shared" si="39"/>
        <v>2589</v>
      </c>
      <c r="AD17" s="51">
        <f t="shared" si="34"/>
        <v>0.30844874347941859</v>
      </c>
      <c r="AE17" s="1047"/>
      <c r="AF17" s="40">
        <f t="shared" si="25"/>
        <v>1273</v>
      </c>
      <c r="AG17" s="41"/>
      <c r="AH17" s="41">
        <v>885</v>
      </c>
      <c r="AI17" s="41">
        <f t="shared" si="40"/>
        <v>388</v>
      </c>
      <c r="AJ17" s="42">
        <f t="shared" si="31"/>
        <v>0.72693208430913347</v>
      </c>
      <c r="AK17" s="41">
        <f t="shared" si="41"/>
        <v>1475</v>
      </c>
      <c r="AL17" s="42">
        <f t="shared" si="32"/>
        <v>0.17572881291314887</v>
      </c>
      <c r="AM17" s="1058"/>
      <c r="AN17" s="67">
        <v>3.6</v>
      </c>
      <c r="AO17" s="67">
        <v>24</v>
      </c>
      <c r="AP17" s="68">
        <f t="shared" si="14"/>
        <v>45.792000000000009</v>
      </c>
      <c r="AQ17" s="68">
        <f t="shared" si="8"/>
        <v>5.9060998227860519</v>
      </c>
      <c r="AR17" s="69">
        <f t="shared" si="35"/>
        <v>1138.4856</v>
      </c>
      <c r="AS17" s="140">
        <f t="shared" si="2"/>
        <v>8.4326644890340638</v>
      </c>
      <c r="AT17" s="1073"/>
      <c r="AU17" s="71">
        <v>5</v>
      </c>
      <c r="AV17" s="71">
        <v>10</v>
      </c>
      <c r="AW17" s="72">
        <f t="shared" si="36"/>
        <v>23.35</v>
      </c>
      <c r="AX17" s="72">
        <f t="shared" si="9"/>
        <v>3.0116053210616327</v>
      </c>
      <c r="AY17" s="73">
        <f t="shared" si="37"/>
        <v>374.11350000000004</v>
      </c>
      <c r="AZ17" s="192">
        <f t="shared" si="3"/>
        <v>2.7710263760193765</v>
      </c>
      <c r="BA17" s="1075"/>
      <c r="BB17" s="56">
        <f t="shared" si="16"/>
        <v>5619</v>
      </c>
      <c r="BC17" s="56"/>
      <c r="BD17" s="56">
        <v>5619</v>
      </c>
      <c r="BE17" s="56"/>
      <c r="BF17" s="58">
        <f t="shared" si="17"/>
        <v>20476</v>
      </c>
      <c r="BG17" s="58">
        <f t="shared" si="4"/>
        <v>151.66396314319783</v>
      </c>
      <c r="BH17" s="1133"/>
      <c r="BI17" s="63">
        <f t="shared" si="29"/>
        <v>1200</v>
      </c>
      <c r="BJ17" s="64"/>
      <c r="BK17" s="64">
        <v>1140</v>
      </c>
      <c r="BL17" s="64">
        <f t="shared" si="18"/>
        <v>60</v>
      </c>
      <c r="BM17" s="65">
        <f t="shared" si="5"/>
        <v>0.11241217798594848</v>
      </c>
      <c r="BN17" s="64">
        <f t="shared" si="42"/>
        <v>1212</v>
      </c>
      <c r="BO17" s="65">
        <f t="shared" si="6"/>
        <v>0.14439547203439757</v>
      </c>
      <c r="BP17" s="1071"/>
      <c r="BQ17" s="77">
        <f t="shared" si="19"/>
        <v>24944</v>
      </c>
      <c r="BR17" s="35"/>
      <c r="BS17" s="35">
        <v>24944</v>
      </c>
      <c r="BT17" s="35"/>
      <c r="BU17" s="74"/>
      <c r="BV17" s="74">
        <f t="shared" si="20"/>
        <v>31760</v>
      </c>
      <c r="BW17" s="74"/>
      <c r="BX17" s="1098"/>
    </row>
    <row r="18" spans="1:76">
      <c r="A18" s="30">
        <v>43235</v>
      </c>
      <c r="B18" s="32">
        <v>349172</v>
      </c>
      <c r="C18" s="1">
        <f t="shared" si="10"/>
        <v>8742787</v>
      </c>
      <c r="D18" s="91">
        <v>5193.88</v>
      </c>
      <c r="E18" s="93">
        <f t="shared" si="21"/>
        <v>140202.88000000003</v>
      </c>
      <c r="F18" s="227"/>
      <c r="G18" s="227"/>
      <c r="H18" s="227"/>
      <c r="I18" s="227"/>
      <c r="J18" s="227"/>
      <c r="K18" s="227"/>
      <c r="L18" s="227"/>
      <c r="M18" s="227"/>
      <c r="N18" s="227"/>
      <c r="O18" s="227"/>
      <c r="P18" s="35">
        <f t="shared" si="11"/>
        <v>52876</v>
      </c>
      <c r="Q18" s="35"/>
      <c r="R18" s="35">
        <v>51531</v>
      </c>
      <c r="S18" s="35">
        <f t="shared" si="7"/>
        <v>1345</v>
      </c>
      <c r="T18" s="36">
        <f>S18*1000/B18</f>
        <v>3.8519698028478802</v>
      </c>
      <c r="U18" s="74">
        <f t="shared" si="38"/>
        <v>26998</v>
      </c>
      <c r="V18" s="36">
        <f>U18*1000/C18</f>
        <v>3.0880313108394382</v>
      </c>
      <c r="W18" s="1136"/>
      <c r="X18" s="49">
        <f t="shared" si="43"/>
        <v>357</v>
      </c>
      <c r="Y18" s="50"/>
      <c r="Z18" s="50">
        <v>340</v>
      </c>
      <c r="AA18" s="50">
        <f t="shared" si="44"/>
        <v>17</v>
      </c>
      <c r="AB18" s="51">
        <f t="shared" si="33"/>
        <v>4.8686607173541979E-2</v>
      </c>
      <c r="AC18" s="50">
        <f t="shared" si="39"/>
        <v>2606</v>
      </c>
      <c r="AD18" s="51">
        <f t="shared" si="34"/>
        <v>0.29807428683782417</v>
      </c>
      <c r="AE18" s="1047"/>
      <c r="AF18" s="40">
        <f t="shared" si="25"/>
        <v>885</v>
      </c>
      <c r="AG18" s="41"/>
      <c r="AH18" s="41">
        <v>745</v>
      </c>
      <c r="AI18" s="41">
        <f t="shared" si="40"/>
        <v>140</v>
      </c>
      <c r="AJ18" s="42">
        <f t="shared" si="31"/>
        <v>0.40094852966446337</v>
      </c>
      <c r="AK18" s="41">
        <f t="shared" si="41"/>
        <v>1615</v>
      </c>
      <c r="AL18" s="42">
        <f t="shared" si="32"/>
        <v>0.18472370423756176</v>
      </c>
      <c r="AM18" s="1058"/>
      <c r="AN18" s="67">
        <v>3.15</v>
      </c>
      <c r="AO18" s="67">
        <v>24</v>
      </c>
      <c r="AP18" s="68">
        <f t="shared" si="14"/>
        <v>40.067999999999998</v>
      </c>
      <c r="AQ18" s="68">
        <f t="shared" si="8"/>
        <v>7.7144639460287872</v>
      </c>
      <c r="AR18" s="69">
        <f t="shared" si="35"/>
        <v>1178.5536</v>
      </c>
      <c r="AS18" s="140">
        <f t="shared" si="2"/>
        <v>8.4060584204832285</v>
      </c>
      <c r="AT18" s="1073"/>
      <c r="AU18" s="71">
        <v>3.05</v>
      </c>
      <c r="AV18" s="71">
        <v>10</v>
      </c>
      <c r="AW18" s="72">
        <f t="shared" si="36"/>
        <v>14.243500000000001</v>
      </c>
      <c r="AX18" s="72">
        <f t="shared" si="9"/>
        <v>2.7423621647015337</v>
      </c>
      <c r="AY18" s="73">
        <f t="shared" si="37"/>
        <v>388.35700000000003</v>
      </c>
      <c r="AZ18" s="192">
        <f t="shared" si="3"/>
        <v>2.7699644971629676</v>
      </c>
      <c r="BA18" s="1075"/>
      <c r="BB18" s="56">
        <f t="shared" si="16"/>
        <v>5619</v>
      </c>
      <c r="BC18" s="56"/>
      <c r="BD18" s="56">
        <v>5619</v>
      </c>
      <c r="BE18" s="56"/>
      <c r="BF18" s="58">
        <f t="shared" si="17"/>
        <v>20476</v>
      </c>
      <c r="BG18" s="58">
        <f t="shared" si="4"/>
        <v>146.04550206101325</v>
      </c>
      <c r="BH18" s="1133"/>
      <c r="BI18" s="63">
        <f t="shared" si="29"/>
        <v>1140</v>
      </c>
      <c r="BJ18" s="64"/>
      <c r="BK18" s="64">
        <v>1080</v>
      </c>
      <c r="BL18" s="64">
        <f t="shared" si="18"/>
        <v>60</v>
      </c>
      <c r="BM18" s="65">
        <f t="shared" si="5"/>
        <v>0.17183508414191287</v>
      </c>
      <c r="BN18" s="64">
        <f t="shared" si="42"/>
        <v>1272</v>
      </c>
      <c r="BO18" s="65">
        <f t="shared" si="6"/>
        <v>0.14549136333757187</v>
      </c>
      <c r="BP18" s="1071"/>
      <c r="BQ18" s="77">
        <f t="shared" si="19"/>
        <v>24944</v>
      </c>
      <c r="BR18" s="35"/>
      <c r="BS18" s="35">
        <v>24944</v>
      </c>
      <c r="BT18" s="35"/>
      <c r="BU18" s="74"/>
      <c r="BV18" s="74">
        <f t="shared" si="20"/>
        <v>31760</v>
      </c>
      <c r="BW18" s="74"/>
      <c r="BX18" s="1098"/>
    </row>
    <row r="19" spans="1:76">
      <c r="A19" s="30">
        <v>43236</v>
      </c>
      <c r="B19" s="32">
        <v>349625</v>
      </c>
      <c r="C19" s="1">
        <f t="shared" si="10"/>
        <v>9092412</v>
      </c>
      <c r="D19" s="91">
        <v>1226.94</v>
      </c>
      <c r="E19" s="93">
        <f t="shared" si="21"/>
        <v>141429.82000000004</v>
      </c>
      <c r="F19" s="227"/>
      <c r="G19" s="227"/>
      <c r="H19" s="227"/>
      <c r="I19" s="227"/>
      <c r="J19" s="227"/>
      <c r="K19" s="227"/>
      <c r="L19" s="227"/>
      <c r="M19" s="227"/>
      <c r="N19" s="227"/>
      <c r="O19" s="227"/>
      <c r="P19" s="35">
        <f t="shared" si="11"/>
        <v>51531</v>
      </c>
      <c r="Q19" s="35"/>
      <c r="R19" s="35">
        <v>50611</v>
      </c>
      <c r="S19" s="35">
        <f t="shared" si="7"/>
        <v>920</v>
      </c>
      <c r="T19" s="36">
        <f>S19*1000/B19</f>
        <v>2.6313907758312478</v>
      </c>
      <c r="U19" s="74">
        <f t="shared" si="38"/>
        <v>27918</v>
      </c>
      <c r="V19" s="36">
        <f>U19*1000/C19</f>
        <v>3.0704723895045669</v>
      </c>
      <c r="W19" s="1136"/>
      <c r="X19" s="49">
        <f t="shared" si="43"/>
        <v>340</v>
      </c>
      <c r="Y19" s="50">
        <v>900</v>
      </c>
      <c r="Z19" s="50">
        <v>1137</v>
      </c>
      <c r="AA19" s="50">
        <f t="shared" si="44"/>
        <v>103</v>
      </c>
      <c r="AB19" s="51">
        <f t="shared" si="33"/>
        <v>0.2946013585984984</v>
      </c>
      <c r="AC19" s="50">
        <f t="shared" si="39"/>
        <v>2709</v>
      </c>
      <c r="AD19" s="51">
        <f t="shared" si="34"/>
        <v>0.29794074443612983</v>
      </c>
      <c r="AE19" s="1047"/>
      <c r="AF19" s="40">
        <f t="shared" si="25"/>
        <v>745</v>
      </c>
      <c r="AG19" s="41"/>
      <c r="AH19" s="41">
        <v>705</v>
      </c>
      <c r="AI19" s="41">
        <f t="shared" si="40"/>
        <v>40</v>
      </c>
      <c r="AJ19" s="42">
        <f t="shared" si="31"/>
        <v>0.1144082946013586</v>
      </c>
      <c r="AK19" s="41">
        <f t="shared" si="41"/>
        <v>1655</v>
      </c>
      <c r="AL19" s="42">
        <f t="shared" si="32"/>
        <v>0.18201990846873195</v>
      </c>
      <c r="AM19" s="1058"/>
      <c r="AN19" s="67">
        <v>1.7</v>
      </c>
      <c r="AO19" s="67">
        <v>24</v>
      </c>
      <c r="AP19" s="68">
        <f t="shared" si="14"/>
        <v>21.623999999999999</v>
      </c>
      <c r="AQ19" s="68">
        <f t="shared" si="8"/>
        <v>17.624333708249793</v>
      </c>
      <c r="AR19" s="69">
        <f t="shared" si="35"/>
        <v>1200.1776</v>
      </c>
      <c r="AS19" s="140">
        <f t="shared" si="2"/>
        <v>8.4860293253572667</v>
      </c>
      <c r="AT19" s="1073"/>
      <c r="AU19" s="71">
        <v>0.85</v>
      </c>
      <c r="AV19" s="71">
        <v>10</v>
      </c>
      <c r="AW19" s="72">
        <f t="shared" si="36"/>
        <v>3.9695</v>
      </c>
      <c r="AX19" s="72">
        <f t="shared" si="9"/>
        <v>3.2352845289908227</v>
      </c>
      <c r="AY19" s="73">
        <f t="shared" si="37"/>
        <v>392.32650000000001</v>
      </c>
      <c r="AZ19" s="192">
        <f t="shared" si="3"/>
        <v>2.7740012679079977</v>
      </c>
      <c r="BA19" s="1075"/>
      <c r="BB19" s="56">
        <f t="shared" si="16"/>
        <v>5619</v>
      </c>
      <c r="BC19" s="56">
        <v>35640</v>
      </c>
      <c r="BD19" s="56">
        <v>41259</v>
      </c>
      <c r="BE19" s="56"/>
      <c r="BF19" s="58">
        <f t="shared" si="17"/>
        <v>20476</v>
      </c>
      <c r="BG19" s="58">
        <f t="shared" si="4"/>
        <v>144.7785198340774</v>
      </c>
      <c r="BH19" s="1133"/>
      <c r="BI19" s="63">
        <f t="shared" si="29"/>
        <v>1080</v>
      </c>
      <c r="BJ19" s="64"/>
      <c r="BK19" s="64">
        <v>1044</v>
      </c>
      <c r="BL19" s="64">
        <f t="shared" si="18"/>
        <v>36</v>
      </c>
      <c r="BM19" s="65">
        <f t="shared" si="5"/>
        <v>0.10296746514122274</v>
      </c>
      <c r="BN19" s="64">
        <f t="shared" si="42"/>
        <v>1308</v>
      </c>
      <c r="BO19" s="65">
        <f t="shared" si="6"/>
        <v>0.14385621769009146</v>
      </c>
      <c r="BP19" s="1071"/>
      <c r="BQ19" s="77">
        <f t="shared" si="19"/>
        <v>24944</v>
      </c>
      <c r="BR19" s="35"/>
      <c r="BS19" s="35">
        <v>24944</v>
      </c>
      <c r="BT19" s="35"/>
      <c r="BU19" s="74"/>
      <c r="BV19" s="74">
        <f t="shared" si="20"/>
        <v>31760</v>
      </c>
      <c r="BW19" s="74"/>
      <c r="BX19" s="1098"/>
    </row>
    <row r="20" spans="1:76">
      <c r="A20" s="30">
        <v>43237</v>
      </c>
      <c r="B20" s="32">
        <v>147500</v>
      </c>
      <c r="C20" s="1">
        <f t="shared" si="10"/>
        <v>9239912</v>
      </c>
      <c r="D20" s="91">
        <v>5570.2</v>
      </c>
      <c r="E20" s="93">
        <f t="shared" si="21"/>
        <v>147000.02000000005</v>
      </c>
      <c r="F20" s="227"/>
      <c r="G20" s="227"/>
      <c r="H20" s="227"/>
      <c r="I20" s="227"/>
      <c r="J20" s="227"/>
      <c r="K20" s="227"/>
      <c r="L20" s="227"/>
      <c r="M20" s="227"/>
      <c r="N20" s="227"/>
      <c r="O20" s="227"/>
      <c r="P20" s="35">
        <f t="shared" si="11"/>
        <v>50611</v>
      </c>
      <c r="Q20" s="35"/>
      <c r="R20" s="35">
        <v>49437</v>
      </c>
      <c r="S20" s="35">
        <f t="shared" si="7"/>
        <v>1174</v>
      </c>
      <c r="T20" s="36">
        <f>S20*1000/B20</f>
        <v>7.9593220338983048</v>
      </c>
      <c r="U20" s="74">
        <f t="shared" si="38"/>
        <v>29092</v>
      </c>
      <c r="V20" s="36">
        <f>U20*1000/C20</f>
        <v>3.1485148343404137</v>
      </c>
      <c r="W20" s="1136"/>
      <c r="X20" s="49">
        <f t="shared" si="43"/>
        <v>1137</v>
      </c>
      <c r="Y20" s="50"/>
      <c r="Z20" s="50">
        <v>886</v>
      </c>
      <c r="AA20" s="50">
        <f t="shared" si="44"/>
        <v>251</v>
      </c>
      <c r="AB20" s="51">
        <f t="shared" si="33"/>
        <v>1.7016949152542373</v>
      </c>
      <c r="AC20" s="50">
        <f t="shared" si="39"/>
        <v>2960</v>
      </c>
      <c r="AD20" s="51">
        <f t="shared" si="34"/>
        <v>0.32034937129271362</v>
      </c>
      <c r="AE20" s="1047"/>
      <c r="AF20" s="40">
        <f t="shared" si="25"/>
        <v>705</v>
      </c>
      <c r="AG20" s="41"/>
      <c r="AH20" s="41">
        <v>646</v>
      </c>
      <c r="AI20" s="41">
        <f t="shared" si="40"/>
        <v>59</v>
      </c>
      <c r="AJ20" s="42">
        <f t="shared" si="31"/>
        <v>0.4</v>
      </c>
      <c r="AK20" s="41">
        <f t="shared" si="41"/>
        <v>1714</v>
      </c>
      <c r="AL20" s="42">
        <f t="shared" si="32"/>
        <v>0.18549960216071321</v>
      </c>
      <c r="AM20" s="1058"/>
      <c r="AN20" s="67">
        <v>2.65</v>
      </c>
      <c r="AO20" s="67">
        <v>24</v>
      </c>
      <c r="AP20" s="68">
        <f t="shared" si="14"/>
        <v>33.707999999999998</v>
      </c>
      <c r="AQ20" s="68">
        <f t="shared" si="8"/>
        <v>6.0514882769020861</v>
      </c>
      <c r="AR20" s="69">
        <f t="shared" si="35"/>
        <v>1233.8856000000001</v>
      </c>
      <c r="AS20" s="140">
        <f t="shared" si="2"/>
        <v>8.3937784498260584</v>
      </c>
      <c r="AT20" s="1073"/>
      <c r="AU20" s="71">
        <v>3.15</v>
      </c>
      <c r="AV20" s="71">
        <v>10</v>
      </c>
      <c r="AW20" s="72">
        <f t="shared" si="36"/>
        <v>14.710500000000001</v>
      </c>
      <c r="AX20" s="72">
        <f t="shared" si="9"/>
        <v>2.6409285124412052</v>
      </c>
      <c r="AY20" s="73">
        <f t="shared" si="37"/>
        <v>407.03700000000003</v>
      </c>
      <c r="AZ20" s="192">
        <f t="shared" si="3"/>
        <v>2.7689588069443793</v>
      </c>
      <c r="BA20" s="1075"/>
      <c r="BB20" s="56">
        <f t="shared" si="16"/>
        <v>41259</v>
      </c>
      <c r="BC20" s="56"/>
      <c r="BD20" s="56">
        <v>33068</v>
      </c>
      <c r="BE20" s="56">
        <f>BB20-BD20+BC20</f>
        <v>8191</v>
      </c>
      <c r="BF20" s="58">
        <f t="shared" si="17"/>
        <v>28667</v>
      </c>
      <c r="BG20" s="58">
        <f t="shared" si="4"/>
        <v>195.0135789097171</v>
      </c>
      <c r="BH20" s="1133"/>
      <c r="BI20" s="63">
        <f t="shared" si="29"/>
        <v>1044</v>
      </c>
      <c r="BJ20" s="64"/>
      <c r="BK20" s="64">
        <v>1044</v>
      </c>
      <c r="BL20" s="64"/>
      <c r="BM20" s="65"/>
      <c r="BN20" s="64">
        <f t="shared" si="42"/>
        <v>1308</v>
      </c>
      <c r="BO20" s="65"/>
      <c r="BP20" s="1071"/>
      <c r="BQ20" s="77">
        <f t="shared" si="19"/>
        <v>24944</v>
      </c>
      <c r="BR20" s="35">
        <v>114780</v>
      </c>
      <c r="BS20" s="35">
        <v>49639</v>
      </c>
      <c r="BT20" s="35">
        <f t="shared" ref="BT20:BT37" si="45">BQ20-BS20+BR20</f>
        <v>90085</v>
      </c>
      <c r="BU20" s="74">
        <f>BT20*1000/D20</f>
        <v>16172.668844924779</v>
      </c>
      <c r="BV20" s="74">
        <f t="shared" ref="BV20:BV30" si="46">BV19+BT20</f>
        <v>121845</v>
      </c>
      <c r="BW20" s="74">
        <f>BV20*1000/E20</f>
        <v>828.87743824796735</v>
      </c>
      <c r="BX20" s="1098"/>
    </row>
    <row r="21" spans="1:76">
      <c r="A21" s="30">
        <v>43238</v>
      </c>
      <c r="B21" s="32">
        <v>651519</v>
      </c>
      <c r="C21" s="1">
        <f t="shared" si="10"/>
        <v>9891431</v>
      </c>
      <c r="D21" s="91">
        <v>6849.66</v>
      </c>
      <c r="E21" s="93">
        <f t="shared" si="21"/>
        <v>153849.68000000005</v>
      </c>
      <c r="F21" s="227"/>
      <c r="G21" s="227"/>
      <c r="H21" s="227"/>
      <c r="I21" s="227"/>
      <c r="J21" s="227"/>
      <c r="K21" s="227"/>
      <c r="L21" s="227"/>
      <c r="M21" s="227"/>
      <c r="N21" s="227"/>
      <c r="O21" s="227"/>
      <c r="P21" s="35">
        <f t="shared" si="11"/>
        <v>49437</v>
      </c>
      <c r="Q21" s="35"/>
      <c r="R21" s="35">
        <v>49437</v>
      </c>
      <c r="S21" s="35"/>
      <c r="T21" s="36"/>
      <c r="U21" s="74">
        <f t="shared" si="38"/>
        <v>29092</v>
      </c>
      <c r="V21" s="36"/>
      <c r="W21" s="1136"/>
      <c r="X21" s="49">
        <f t="shared" si="43"/>
        <v>886</v>
      </c>
      <c r="Y21" s="50"/>
      <c r="Z21" s="50">
        <v>886</v>
      </c>
      <c r="AA21" s="50"/>
      <c r="AB21" s="50"/>
      <c r="AC21" s="50">
        <f t="shared" si="39"/>
        <v>2960</v>
      </c>
      <c r="AD21" s="51"/>
      <c r="AE21" s="1047"/>
      <c r="AF21" s="40">
        <f t="shared" si="25"/>
        <v>646</v>
      </c>
      <c r="AG21" s="41"/>
      <c r="AH21" s="41">
        <v>646</v>
      </c>
      <c r="AI21" s="41"/>
      <c r="AJ21" s="41"/>
      <c r="AK21" s="41">
        <f t="shared" si="41"/>
        <v>1714</v>
      </c>
      <c r="AL21" s="42"/>
      <c r="AM21" s="1058"/>
      <c r="AN21" s="67">
        <v>4.7</v>
      </c>
      <c r="AO21" s="67">
        <v>24</v>
      </c>
      <c r="AP21" s="68">
        <f t="shared" si="14"/>
        <v>59.784000000000006</v>
      </c>
      <c r="AQ21" s="68">
        <f t="shared" si="8"/>
        <v>8.7280244566883631</v>
      </c>
      <c r="AR21" s="69">
        <f>AR20+AP21</f>
        <v>1293.6696000000002</v>
      </c>
      <c r="AS21" s="140">
        <f t="shared" si="2"/>
        <v>8.4086596735202814</v>
      </c>
      <c r="AT21" s="1073"/>
      <c r="AU21" s="71">
        <v>4.75</v>
      </c>
      <c r="AV21" s="71">
        <v>10</v>
      </c>
      <c r="AW21" s="72">
        <f>AU21*AV21*0.467</f>
        <v>22.182500000000001</v>
      </c>
      <c r="AX21" s="72">
        <f t="shared" si="9"/>
        <v>3.2384819100510098</v>
      </c>
      <c r="AY21" s="73">
        <f>AY20+AW21</f>
        <v>429.21950000000004</v>
      </c>
      <c r="AZ21" s="192">
        <f t="shared" si="3"/>
        <v>2.7898628063444781</v>
      </c>
      <c r="BA21" s="1075"/>
      <c r="BB21" s="56">
        <f t="shared" si="16"/>
        <v>33068</v>
      </c>
      <c r="BC21" s="56"/>
      <c r="BD21" s="56">
        <v>33068</v>
      </c>
      <c r="BE21" s="56"/>
      <c r="BF21" s="58">
        <f t="shared" si="17"/>
        <v>28667</v>
      </c>
      <c r="BG21" s="58">
        <f t="shared" si="4"/>
        <v>186.33122928822465</v>
      </c>
      <c r="BH21" s="1133"/>
      <c r="BI21" s="63">
        <f t="shared" si="29"/>
        <v>1044</v>
      </c>
      <c r="BJ21" s="64"/>
      <c r="BK21" s="64">
        <v>1044</v>
      </c>
      <c r="BL21" s="64"/>
      <c r="BM21" s="65"/>
      <c r="BN21" s="64">
        <f t="shared" si="42"/>
        <v>1308</v>
      </c>
      <c r="BO21" s="65"/>
      <c r="BP21" s="1071"/>
      <c r="BQ21" s="77">
        <f t="shared" si="19"/>
        <v>49639</v>
      </c>
      <c r="BR21" s="35"/>
      <c r="BS21" s="35">
        <v>49639</v>
      </c>
      <c r="BT21" s="35"/>
      <c r="BU21" s="74"/>
      <c r="BV21" s="74">
        <f t="shared" si="46"/>
        <v>121845</v>
      </c>
      <c r="BW21" s="74"/>
      <c r="BX21" s="1098"/>
    </row>
    <row r="22" spans="1:76">
      <c r="A22" s="30">
        <v>43239</v>
      </c>
      <c r="B22" s="32">
        <v>270375</v>
      </c>
      <c r="C22" s="1">
        <f t="shared" si="10"/>
        <v>10161806</v>
      </c>
      <c r="D22" s="91">
        <v>773.84</v>
      </c>
      <c r="E22" s="93">
        <f t="shared" si="21"/>
        <v>154623.52000000005</v>
      </c>
      <c r="F22" s="227"/>
      <c r="G22" s="227"/>
      <c r="H22" s="227"/>
      <c r="I22" s="227"/>
      <c r="J22" s="227"/>
      <c r="K22" s="227"/>
      <c r="L22" s="227"/>
      <c r="M22" s="227"/>
      <c r="N22" s="227"/>
      <c r="O22" s="227"/>
      <c r="P22" s="35">
        <f t="shared" si="11"/>
        <v>49437</v>
      </c>
      <c r="Q22" s="35"/>
      <c r="R22" s="35">
        <v>49199</v>
      </c>
      <c r="S22" s="35">
        <f t="shared" si="7"/>
        <v>238</v>
      </c>
      <c r="T22" s="36">
        <f>S22*1000/B22</f>
        <v>0.88025889967637538</v>
      </c>
      <c r="U22" s="74">
        <f t="shared" si="38"/>
        <v>29330</v>
      </c>
      <c r="V22" s="36">
        <f>U22*1000/C22</f>
        <v>2.8862979671133262</v>
      </c>
      <c r="W22" s="1136"/>
      <c r="X22" s="49">
        <f t="shared" si="43"/>
        <v>886</v>
      </c>
      <c r="Y22" s="50"/>
      <c r="Z22" s="50">
        <v>886</v>
      </c>
      <c r="AA22" s="50"/>
      <c r="AB22" s="50"/>
      <c r="AC22" s="50">
        <f t="shared" si="39"/>
        <v>2960</v>
      </c>
      <c r="AD22" s="51"/>
      <c r="AE22" s="1047"/>
      <c r="AF22" s="40">
        <f t="shared" si="25"/>
        <v>646</v>
      </c>
      <c r="AG22" s="41"/>
      <c r="AH22" s="41">
        <v>567</v>
      </c>
      <c r="AI22" s="41">
        <f t="shared" si="40"/>
        <v>79</v>
      </c>
      <c r="AJ22" s="42">
        <f>AI22*1000/B22</f>
        <v>0.29218677762367085</v>
      </c>
      <c r="AK22" s="41">
        <f t="shared" si="41"/>
        <v>1793</v>
      </c>
      <c r="AL22" s="42">
        <f>AK22*1000/C22</f>
        <v>0.17644501380955313</v>
      </c>
      <c r="AM22" s="1058"/>
      <c r="AN22" s="67">
        <v>1</v>
      </c>
      <c r="AO22" s="67">
        <v>24</v>
      </c>
      <c r="AP22" s="68">
        <f t="shared" si="14"/>
        <v>12.72</v>
      </c>
      <c r="AQ22" s="68">
        <f t="shared" si="8"/>
        <v>16.437506461283984</v>
      </c>
      <c r="AR22" s="69">
        <f t="shared" ref="AR22:AR30" si="47">AR21+AP22</f>
        <v>1306.3896000000002</v>
      </c>
      <c r="AS22" s="140">
        <f t="shared" si="2"/>
        <v>8.448841418174931</v>
      </c>
      <c r="AT22" s="1073"/>
      <c r="AU22" s="71">
        <v>0.4</v>
      </c>
      <c r="AV22" s="71">
        <v>10</v>
      </c>
      <c r="AW22" s="72">
        <f t="shared" ref="AW22:AW30" si="48">AU22*AV22*0.467</f>
        <v>1.8680000000000001</v>
      </c>
      <c r="AX22" s="72">
        <f t="shared" si="9"/>
        <v>2.4139356973017678</v>
      </c>
      <c r="AY22" s="73">
        <f t="shared" ref="AY22:AY30" si="49">AY21+AW22</f>
        <v>431.08750000000003</v>
      </c>
      <c r="AZ22" s="192">
        <f t="shared" si="3"/>
        <v>2.7879814144704502</v>
      </c>
      <c r="BA22" s="1075"/>
      <c r="BB22" s="56">
        <f t="shared" si="16"/>
        <v>33068</v>
      </c>
      <c r="BC22" s="56"/>
      <c r="BD22" s="56">
        <v>33068</v>
      </c>
      <c r="BE22" s="56"/>
      <c r="BF22" s="58">
        <f t="shared" si="17"/>
        <v>28667</v>
      </c>
      <c r="BG22" s="58">
        <f t="shared" si="4"/>
        <v>185.39870260358833</v>
      </c>
      <c r="BH22" s="1133"/>
      <c r="BI22" s="63">
        <f t="shared" si="29"/>
        <v>1044</v>
      </c>
      <c r="BJ22" s="64"/>
      <c r="BK22" s="64">
        <v>996</v>
      </c>
      <c r="BL22" s="64">
        <f t="shared" ref="BL22:BL27" si="50">BI22+BJ22-BK22</f>
        <v>48</v>
      </c>
      <c r="BM22" s="65">
        <f>BL22*1000/B22</f>
        <v>0.17753120665742025</v>
      </c>
      <c r="BN22" s="64">
        <f t="shared" si="42"/>
        <v>1356</v>
      </c>
      <c r="BO22" s="65">
        <f>BN22*1000/C22</f>
        <v>0.13344084703053768</v>
      </c>
      <c r="BP22" s="1071"/>
      <c r="BQ22" s="77">
        <f t="shared" si="19"/>
        <v>49639</v>
      </c>
      <c r="BR22" s="35"/>
      <c r="BS22" s="35">
        <v>49639</v>
      </c>
      <c r="BT22" s="35"/>
      <c r="BU22" s="74"/>
      <c r="BV22" s="74">
        <f t="shared" si="46"/>
        <v>121845</v>
      </c>
      <c r="BW22" s="74"/>
      <c r="BX22" s="1098"/>
    </row>
    <row r="23" spans="1:76">
      <c r="A23" s="30">
        <v>43240</v>
      </c>
      <c r="B23" s="32"/>
      <c r="C23" s="1">
        <f t="shared" si="10"/>
        <v>10161806</v>
      </c>
      <c r="D23" s="91"/>
      <c r="E23" s="93">
        <f t="shared" si="21"/>
        <v>154623.52000000005</v>
      </c>
      <c r="F23" s="227"/>
      <c r="G23" s="227"/>
      <c r="H23" s="227"/>
      <c r="I23" s="227"/>
      <c r="J23" s="227"/>
      <c r="K23" s="227"/>
      <c r="L23" s="227"/>
      <c r="M23" s="227"/>
      <c r="N23" s="227"/>
      <c r="O23" s="227"/>
      <c r="P23" s="35">
        <f t="shared" si="11"/>
        <v>49199</v>
      </c>
      <c r="Q23" s="35"/>
      <c r="R23" s="35">
        <v>49199</v>
      </c>
      <c r="S23" s="35"/>
      <c r="T23" s="36"/>
      <c r="U23" s="74">
        <f t="shared" si="38"/>
        <v>29330</v>
      </c>
      <c r="V23" s="36"/>
      <c r="W23" s="1136"/>
      <c r="X23" s="49">
        <f t="shared" si="43"/>
        <v>886</v>
      </c>
      <c r="Y23" s="50"/>
      <c r="Z23" s="50">
        <v>886</v>
      </c>
      <c r="AA23" s="50"/>
      <c r="AB23" s="51"/>
      <c r="AC23" s="50">
        <f t="shared" si="39"/>
        <v>2960</v>
      </c>
      <c r="AD23" s="51"/>
      <c r="AE23" s="1047"/>
      <c r="AF23" s="40">
        <f t="shared" si="25"/>
        <v>567</v>
      </c>
      <c r="AG23" s="41"/>
      <c r="AH23" s="41">
        <v>567</v>
      </c>
      <c r="AI23" s="41"/>
      <c r="AJ23" s="42"/>
      <c r="AK23" s="41">
        <f t="shared" si="41"/>
        <v>1793</v>
      </c>
      <c r="AL23" s="42"/>
      <c r="AM23" s="1058"/>
      <c r="AN23" s="67"/>
      <c r="AO23" s="67"/>
      <c r="AP23" s="68">
        <f t="shared" si="14"/>
        <v>0</v>
      </c>
      <c r="AQ23" s="68"/>
      <c r="AR23" s="69">
        <f t="shared" si="47"/>
        <v>1306.3896000000002</v>
      </c>
      <c r="AS23" s="140">
        <f t="shared" si="2"/>
        <v>8.448841418174931</v>
      </c>
      <c r="AT23" s="1073"/>
      <c r="AU23" s="71"/>
      <c r="AV23" s="71"/>
      <c r="AW23" s="72"/>
      <c r="AX23" s="72"/>
      <c r="AY23" s="73">
        <f t="shared" si="49"/>
        <v>431.08750000000003</v>
      </c>
      <c r="AZ23" s="192">
        <f t="shared" si="3"/>
        <v>2.7879814144704502</v>
      </c>
      <c r="BA23" s="1075"/>
      <c r="BB23" s="56">
        <f t="shared" si="16"/>
        <v>33068</v>
      </c>
      <c r="BC23" s="56"/>
      <c r="BD23" s="56">
        <v>33068</v>
      </c>
      <c r="BE23" s="56"/>
      <c r="BF23" s="58">
        <f t="shared" si="17"/>
        <v>28667</v>
      </c>
      <c r="BG23" s="58">
        <f t="shared" si="4"/>
        <v>185.39870260358833</v>
      </c>
      <c r="BH23" s="1133"/>
      <c r="BI23" s="63">
        <f t="shared" si="29"/>
        <v>996</v>
      </c>
      <c r="BJ23" s="64"/>
      <c r="BK23" s="64">
        <v>996</v>
      </c>
      <c r="BL23" s="64"/>
      <c r="BM23" s="65"/>
      <c r="BN23" s="64">
        <f t="shared" si="42"/>
        <v>1356</v>
      </c>
      <c r="BO23" s="65"/>
      <c r="BP23" s="1071"/>
      <c r="BQ23" s="77">
        <f t="shared" si="19"/>
        <v>49639</v>
      </c>
      <c r="BR23" s="35"/>
      <c r="BS23" s="35">
        <v>49639</v>
      </c>
      <c r="BT23" s="35"/>
      <c r="BU23" s="74"/>
      <c r="BV23" s="74">
        <f t="shared" si="46"/>
        <v>121845</v>
      </c>
      <c r="BW23" s="74"/>
      <c r="BX23" s="1098"/>
    </row>
    <row r="24" spans="1:76">
      <c r="A24" s="30">
        <v>43241</v>
      </c>
      <c r="B24" s="32">
        <v>302846</v>
      </c>
      <c r="C24" s="1">
        <f t="shared" si="10"/>
        <v>10464652</v>
      </c>
      <c r="D24" s="91">
        <v>6288.14</v>
      </c>
      <c r="E24" s="93">
        <f t="shared" si="21"/>
        <v>160911.66000000006</v>
      </c>
      <c r="F24" s="227"/>
      <c r="G24" s="227"/>
      <c r="H24" s="227"/>
      <c r="I24" s="227"/>
      <c r="J24" s="227"/>
      <c r="K24" s="227"/>
      <c r="L24" s="227"/>
      <c r="M24" s="227"/>
      <c r="N24" s="227"/>
      <c r="O24" s="227"/>
      <c r="P24" s="35">
        <f t="shared" si="11"/>
        <v>49199</v>
      </c>
      <c r="Q24" s="35"/>
      <c r="R24" s="35">
        <v>47996</v>
      </c>
      <c r="S24" s="35">
        <f t="shared" si="7"/>
        <v>1203</v>
      </c>
      <c r="T24" s="36">
        <f>S24*1000/B24</f>
        <v>3.9723159625684343</v>
      </c>
      <c r="U24" s="74">
        <f t="shared" si="38"/>
        <v>30533</v>
      </c>
      <c r="V24" s="36">
        <f>U24*1000/C24</f>
        <v>2.9177272211249834</v>
      </c>
      <c r="W24" s="1136"/>
      <c r="X24" s="49">
        <f t="shared" si="43"/>
        <v>886</v>
      </c>
      <c r="Y24" s="50"/>
      <c r="Z24" s="50">
        <v>797</v>
      </c>
      <c r="AA24" s="50">
        <f t="shared" si="44"/>
        <v>89</v>
      </c>
      <c r="AB24" s="51">
        <f>AA24*1000/B24</f>
        <v>0.29387873704787254</v>
      </c>
      <c r="AC24" s="50">
        <f t="shared" si="39"/>
        <v>3049</v>
      </c>
      <c r="AD24" s="51">
        <f>AC24*1000/C24</f>
        <v>0.29136181499394342</v>
      </c>
      <c r="AE24" s="1047"/>
      <c r="AF24" s="40">
        <f t="shared" si="25"/>
        <v>567</v>
      </c>
      <c r="AG24" s="41"/>
      <c r="AH24" s="41">
        <v>509</v>
      </c>
      <c r="AI24" s="41">
        <f t="shared" si="40"/>
        <v>58</v>
      </c>
      <c r="AJ24" s="42">
        <f>AI24*1000/B24</f>
        <v>0.19151648032333266</v>
      </c>
      <c r="AK24" s="41">
        <f t="shared" si="41"/>
        <v>1851</v>
      </c>
      <c r="AL24" s="42">
        <f>AK24*1000/C24</f>
        <v>0.17688118056864194</v>
      </c>
      <c r="AM24" s="1058"/>
      <c r="AN24" s="67">
        <v>3</v>
      </c>
      <c r="AO24" s="67">
        <v>24</v>
      </c>
      <c r="AP24" s="68">
        <f t="shared" si="14"/>
        <v>38.160000000000004</v>
      </c>
      <c r="AQ24" s="68">
        <f t="shared" ref="AQ24:AQ31" si="51">AP24*1000/D24</f>
        <v>6.0685671756672095</v>
      </c>
      <c r="AR24" s="69">
        <f t="shared" si="47"/>
        <v>1344.5496000000003</v>
      </c>
      <c r="AS24" s="140">
        <f t="shared" si="2"/>
        <v>8.355824556157085</v>
      </c>
      <c r="AT24" s="1073"/>
      <c r="AU24" s="71">
        <v>3.2</v>
      </c>
      <c r="AV24" s="71">
        <v>10</v>
      </c>
      <c r="AW24" s="72">
        <f t="shared" si="48"/>
        <v>14.944000000000001</v>
      </c>
      <c r="AX24" s="72">
        <f t="shared" ref="AX24:AX31" si="52">AW24*1000/D24</f>
        <v>2.3765374180600305</v>
      </c>
      <c r="AY24" s="73">
        <f t="shared" si="49"/>
        <v>446.03150000000005</v>
      </c>
      <c r="AZ24" s="192">
        <f t="shared" si="3"/>
        <v>2.7719029186573545</v>
      </c>
      <c r="BA24" s="1075"/>
      <c r="BB24" s="56">
        <f t="shared" si="16"/>
        <v>33068</v>
      </c>
      <c r="BC24" s="56"/>
      <c r="BD24" s="56">
        <v>33068</v>
      </c>
      <c r="BE24" s="56"/>
      <c r="BF24" s="58">
        <f t="shared" si="17"/>
        <v>28667</v>
      </c>
      <c r="BG24" s="58">
        <f t="shared" si="4"/>
        <v>178.15365275580396</v>
      </c>
      <c r="BH24" s="1133"/>
      <c r="BI24" s="63">
        <f t="shared" si="29"/>
        <v>996</v>
      </c>
      <c r="BJ24" s="64"/>
      <c r="BK24" s="64">
        <v>972</v>
      </c>
      <c r="BL24" s="64">
        <f t="shared" si="50"/>
        <v>24</v>
      </c>
      <c r="BM24" s="65">
        <f>BL24*1000/B24</f>
        <v>7.9248198754482482E-2</v>
      </c>
      <c r="BN24" s="64">
        <f t="shared" si="42"/>
        <v>1380</v>
      </c>
      <c r="BO24" s="65">
        <f>BN24*1000/C24</f>
        <v>0.13187251711762607</v>
      </c>
      <c r="BP24" s="1071"/>
      <c r="BQ24" s="77">
        <f t="shared" si="19"/>
        <v>49639</v>
      </c>
      <c r="BR24" s="35"/>
      <c r="BS24" s="35">
        <f>14539+35100</f>
        <v>49639</v>
      </c>
      <c r="BT24" s="35"/>
      <c r="BU24" s="74"/>
      <c r="BV24" s="74">
        <f t="shared" si="46"/>
        <v>121845</v>
      </c>
      <c r="BW24" s="74"/>
      <c r="BX24" s="1098"/>
    </row>
    <row r="25" spans="1:76">
      <c r="A25" s="30">
        <v>43242</v>
      </c>
      <c r="B25" s="32">
        <v>508226</v>
      </c>
      <c r="C25" s="1">
        <f t="shared" si="10"/>
        <v>10972878</v>
      </c>
      <c r="D25" s="91">
        <v>6986.56</v>
      </c>
      <c r="E25" s="93">
        <f t="shared" si="21"/>
        <v>167898.22000000006</v>
      </c>
      <c r="F25" s="227"/>
      <c r="G25" s="227"/>
      <c r="H25" s="227"/>
      <c r="I25" s="227"/>
      <c r="J25" s="227"/>
      <c r="K25" s="227"/>
      <c r="L25" s="227"/>
      <c r="M25" s="227"/>
      <c r="N25" s="227"/>
      <c r="O25" s="227"/>
      <c r="P25" s="35">
        <f t="shared" si="11"/>
        <v>47996</v>
      </c>
      <c r="Q25" s="35"/>
      <c r="R25" s="35">
        <v>46771</v>
      </c>
      <c r="S25" s="35">
        <f>P25-R25+Q25</f>
        <v>1225</v>
      </c>
      <c r="T25" s="36">
        <f>S25*1000/B25</f>
        <v>2.4103450039942862</v>
      </c>
      <c r="U25" s="74">
        <f t="shared" si="38"/>
        <v>31758</v>
      </c>
      <c r="V25" s="36">
        <f>U25*1000/C25</f>
        <v>2.8942270204772167</v>
      </c>
      <c r="W25" s="1136"/>
      <c r="X25" s="49">
        <f t="shared" si="43"/>
        <v>797</v>
      </c>
      <c r="Y25" s="50"/>
      <c r="Z25" s="50">
        <v>725</v>
      </c>
      <c r="AA25" s="50">
        <f t="shared" si="44"/>
        <v>72</v>
      </c>
      <c r="AB25" s="51">
        <f>AA25*1000/B25</f>
        <v>0.14166925737762334</v>
      </c>
      <c r="AC25" s="50">
        <f t="shared" si="39"/>
        <v>3121</v>
      </c>
      <c r="AD25" s="51">
        <f>AC25*1000/C25</f>
        <v>0.28442857015269829</v>
      </c>
      <c r="AE25" s="1047"/>
      <c r="AF25" s="40">
        <f t="shared" si="25"/>
        <v>509</v>
      </c>
      <c r="AG25" s="41"/>
      <c r="AH25" s="41">
        <v>452</v>
      </c>
      <c r="AI25" s="41">
        <f t="shared" si="40"/>
        <v>57</v>
      </c>
      <c r="AJ25" s="42">
        <f>AI25*1000/B25</f>
        <v>0.11215482875728515</v>
      </c>
      <c r="AK25" s="41">
        <f t="shared" si="41"/>
        <v>1908</v>
      </c>
      <c r="AL25" s="42">
        <f>AK25*1000/C25</f>
        <v>0.1738832783887691</v>
      </c>
      <c r="AM25" s="1058"/>
      <c r="AN25" s="67">
        <v>3.8</v>
      </c>
      <c r="AO25" s="67">
        <v>24</v>
      </c>
      <c r="AP25" s="68">
        <f t="shared" si="14"/>
        <v>48.335999999999999</v>
      </c>
      <c r="AQ25" s="68">
        <f t="shared" si="51"/>
        <v>6.9184262355150459</v>
      </c>
      <c r="AR25" s="69">
        <f t="shared" si="47"/>
        <v>1392.8856000000003</v>
      </c>
      <c r="AS25" s="140">
        <f t="shared" si="2"/>
        <v>8.2960117147162116</v>
      </c>
      <c r="AT25" s="1073"/>
      <c r="AU25" s="71">
        <v>4.5</v>
      </c>
      <c r="AV25" s="71">
        <v>10</v>
      </c>
      <c r="AW25" s="72">
        <f t="shared" si="48"/>
        <v>21.015000000000001</v>
      </c>
      <c r="AX25" s="72">
        <f t="shared" si="52"/>
        <v>3.0079180598177069</v>
      </c>
      <c r="AY25" s="73">
        <f t="shared" si="49"/>
        <v>467.04650000000004</v>
      </c>
      <c r="AZ25" s="192">
        <f t="shared" si="3"/>
        <v>2.7817239515701826</v>
      </c>
      <c r="BA25" s="1075"/>
      <c r="BB25" s="56">
        <f t="shared" si="16"/>
        <v>33068</v>
      </c>
      <c r="BC25" s="56"/>
      <c r="BD25" s="56">
        <v>33068</v>
      </c>
      <c r="BE25" s="56"/>
      <c r="BF25" s="58">
        <f t="shared" si="17"/>
        <v>28667</v>
      </c>
      <c r="BG25" s="58">
        <f t="shared" si="4"/>
        <v>170.74034495422279</v>
      </c>
      <c r="BH25" s="1133"/>
      <c r="BI25" s="63">
        <f t="shared" si="29"/>
        <v>972</v>
      </c>
      <c r="BJ25" s="64"/>
      <c r="BK25" s="64">
        <v>948</v>
      </c>
      <c r="BL25" s="64">
        <f t="shared" si="50"/>
        <v>24</v>
      </c>
      <c r="BM25" s="65">
        <f>BL25*1000/B25</f>
        <v>4.7223085792541114E-2</v>
      </c>
      <c r="BN25" s="64">
        <f t="shared" si="42"/>
        <v>1404</v>
      </c>
      <c r="BO25" s="65">
        <f>BN25*1000/C25</f>
        <v>0.12795184636154708</v>
      </c>
      <c r="BP25" s="1071"/>
      <c r="BQ25" s="77">
        <f t="shared" si="19"/>
        <v>49639</v>
      </c>
      <c r="BR25" s="35"/>
      <c r="BS25" s="35">
        <f>14539+35100</f>
        <v>49639</v>
      </c>
      <c r="BT25" s="35"/>
      <c r="BU25" s="74"/>
      <c r="BV25" s="74">
        <f t="shared" si="46"/>
        <v>121845</v>
      </c>
      <c r="BW25" s="74"/>
      <c r="BX25" s="1098"/>
    </row>
    <row r="26" spans="1:76">
      <c r="A26" s="30">
        <v>43243</v>
      </c>
      <c r="B26" s="32">
        <v>580128</v>
      </c>
      <c r="C26" s="1">
        <f t="shared" si="10"/>
        <v>11553006</v>
      </c>
      <c r="D26" s="91">
        <v>8141.96</v>
      </c>
      <c r="E26" s="93">
        <f t="shared" si="21"/>
        <v>176040.18000000005</v>
      </c>
      <c r="F26" s="227"/>
      <c r="G26" s="227"/>
      <c r="H26" s="227"/>
      <c r="I26" s="227"/>
      <c r="J26" s="227"/>
      <c r="K26" s="227"/>
      <c r="L26" s="227"/>
      <c r="M26" s="227"/>
      <c r="N26" s="227"/>
      <c r="O26" s="227"/>
      <c r="P26" s="35">
        <f t="shared" si="11"/>
        <v>46771</v>
      </c>
      <c r="Q26" s="35"/>
      <c r="R26" s="35">
        <v>45023</v>
      </c>
      <c r="S26" s="35">
        <f>P26-R26+Q26</f>
        <v>1748</v>
      </c>
      <c r="T26" s="36">
        <f>S26*1000/B26</f>
        <v>3.0131281372386782</v>
      </c>
      <c r="U26" s="74">
        <f t="shared" si="38"/>
        <v>33506</v>
      </c>
      <c r="V26" s="36">
        <f>U26*1000/C26</f>
        <v>2.9001975762844752</v>
      </c>
      <c r="W26" s="1136"/>
      <c r="X26" s="49">
        <f t="shared" si="43"/>
        <v>725</v>
      </c>
      <c r="Y26" s="50"/>
      <c r="Z26" s="50">
        <v>599</v>
      </c>
      <c r="AA26" s="50">
        <f t="shared" si="44"/>
        <v>126</v>
      </c>
      <c r="AB26" s="51">
        <f>AA26*1000/B26</f>
        <v>0.21719344696342877</v>
      </c>
      <c r="AC26" s="50">
        <f t="shared" si="39"/>
        <v>3247</v>
      </c>
      <c r="AD26" s="51">
        <f>AC26*1000/C26</f>
        <v>0.28105239450234859</v>
      </c>
      <c r="AE26" s="1047"/>
      <c r="AF26" s="40">
        <f t="shared" si="25"/>
        <v>452</v>
      </c>
      <c r="AG26" s="41"/>
      <c r="AH26" s="41">
        <v>378</v>
      </c>
      <c r="AI26" s="41">
        <f t="shared" si="40"/>
        <v>74</v>
      </c>
      <c r="AJ26" s="42">
        <f>AI26*1000/B26</f>
        <v>0.12755805615312482</v>
      </c>
      <c r="AK26" s="41">
        <f t="shared" si="41"/>
        <v>1982</v>
      </c>
      <c r="AL26" s="42">
        <f>AK26*1000/C26</f>
        <v>0.17155708220007848</v>
      </c>
      <c r="AM26" s="1058"/>
      <c r="AN26" s="67">
        <v>3.8</v>
      </c>
      <c r="AO26" s="67">
        <v>24</v>
      </c>
      <c r="AP26" s="68">
        <f t="shared" si="14"/>
        <v>48.335999999999999</v>
      </c>
      <c r="AQ26" s="68">
        <f t="shared" si="51"/>
        <v>5.9366540734663396</v>
      </c>
      <c r="AR26" s="69">
        <f t="shared" si="47"/>
        <v>1441.2216000000003</v>
      </c>
      <c r="AS26" s="140">
        <f t="shared" si="2"/>
        <v>8.1868900611212734</v>
      </c>
      <c r="AT26" s="1073"/>
      <c r="AU26" s="71">
        <v>5.5</v>
      </c>
      <c r="AV26" s="71">
        <v>10</v>
      </c>
      <c r="AW26" s="72">
        <f t="shared" si="48"/>
        <v>25.685000000000002</v>
      </c>
      <c r="AX26" s="72">
        <f t="shared" si="52"/>
        <v>3.1546458100997801</v>
      </c>
      <c r="AY26" s="73">
        <f t="shared" si="49"/>
        <v>492.73150000000004</v>
      </c>
      <c r="AZ26" s="192">
        <f t="shared" si="3"/>
        <v>2.7989718029145387</v>
      </c>
      <c r="BA26" s="1075"/>
      <c r="BB26" s="56">
        <f t="shared" si="16"/>
        <v>33068</v>
      </c>
      <c r="BC26" s="56"/>
      <c r="BD26" s="56">
        <v>33068</v>
      </c>
      <c r="BE26" s="56"/>
      <c r="BF26" s="58">
        <f t="shared" si="17"/>
        <v>28667</v>
      </c>
      <c r="BG26" s="58">
        <f t="shared" si="4"/>
        <v>162.84350538609988</v>
      </c>
      <c r="BH26" s="1133"/>
      <c r="BI26" s="63">
        <f t="shared" si="29"/>
        <v>948</v>
      </c>
      <c r="BJ26" s="64"/>
      <c r="BK26" s="64">
        <v>936</v>
      </c>
      <c r="BL26" s="64">
        <f t="shared" si="50"/>
        <v>12</v>
      </c>
      <c r="BM26" s="65">
        <f>BL26*1000/B26</f>
        <v>2.0685090186993216E-2</v>
      </c>
      <c r="BN26" s="64">
        <f t="shared" si="42"/>
        <v>1416</v>
      </c>
      <c r="BO26" s="65">
        <f>BN26*1000/C26</f>
        <v>0.1225655037312367</v>
      </c>
      <c r="BP26" s="1071"/>
      <c r="BQ26" s="77">
        <f t="shared" si="19"/>
        <v>49639</v>
      </c>
      <c r="BR26" s="35"/>
      <c r="BS26" s="35">
        <f>8540+35100</f>
        <v>43640</v>
      </c>
      <c r="BT26" s="35">
        <f t="shared" si="45"/>
        <v>5999</v>
      </c>
      <c r="BU26" s="74">
        <f t="shared" ref="BU26:BU31" si="53">BT26*1000/D26</f>
        <v>736.8004755611671</v>
      </c>
      <c r="BV26" s="74">
        <f t="shared" si="46"/>
        <v>127844</v>
      </c>
      <c r="BW26" s="74">
        <f t="shared" ref="BW26:BW31" si="54">BV26*1000/E26</f>
        <v>726.22057078105672</v>
      </c>
      <c r="BX26" s="1098"/>
    </row>
    <row r="27" spans="1:76">
      <c r="A27" s="30">
        <v>43244</v>
      </c>
      <c r="B27" s="32">
        <v>597126</v>
      </c>
      <c r="C27" s="1">
        <f t="shared" si="10"/>
        <v>12150132</v>
      </c>
      <c r="D27" s="91">
        <v>7069.02</v>
      </c>
      <c r="E27" s="93">
        <f t="shared" si="21"/>
        <v>183109.20000000004</v>
      </c>
      <c r="F27" s="227"/>
      <c r="G27" s="227"/>
      <c r="H27" s="227"/>
      <c r="I27" s="227"/>
      <c r="J27" s="227"/>
      <c r="K27" s="227"/>
      <c r="L27" s="227"/>
      <c r="M27" s="227"/>
      <c r="N27" s="227"/>
      <c r="O27" s="227"/>
      <c r="P27" s="35">
        <f t="shared" si="11"/>
        <v>45023</v>
      </c>
      <c r="Q27" s="35"/>
      <c r="R27" s="35">
        <v>44517</v>
      </c>
      <c r="S27" s="35">
        <f>P27-R27+Q27</f>
        <v>506</v>
      </c>
      <c r="T27" s="36">
        <f>S27*1000/B27</f>
        <v>0.84739234265464913</v>
      </c>
      <c r="U27" s="74">
        <f t="shared" si="38"/>
        <v>34012</v>
      </c>
      <c r="V27" s="36">
        <f>U27*1000/C27</f>
        <v>2.799311151516708</v>
      </c>
      <c r="W27" s="1136"/>
      <c r="X27" s="49">
        <f t="shared" si="43"/>
        <v>599</v>
      </c>
      <c r="Y27" s="50"/>
      <c r="Z27" s="50">
        <v>476</v>
      </c>
      <c r="AA27" s="50">
        <f t="shared" si="44"/>
        <v>123</v>
      </c>
      <c r="AB27" s="51">
        <f>AA27*1000/B27</f>
        <v>0.2059866761788969</v>
      </c>
      <c r="AC27" s="50">
        <f t="shared" si="39"/>
        <v>3370</v>
      </c>
      <c r="AD27" s="51">
        <f>AC27*1000/C27</f>
        <v>0.27736324181498606</v>
      </c>
      <c r="AE27" s="1047"/>
      <c r="AF27" s="40">
        <f t="shared" si="25"/>
        <v>378</v>
      </c>
      <c r="AG27" s="41"/>
      <c r="AH27" s="41">
        <v>325</v>
      </c>
      <c r="AI27" s="41">
        <f t="shared" si="40"/>
        <v>53</v>
      </c>
      <c r="AJ27" s="42">
        <f>AI27*1000/B27</f>
        <v>8.8758486483589721E-2</v>
      </c>
      <c r="AK27" s="41">
        <f t="shared" si="41"/>
        <v>2035</v>
      </c>
      <c r="AL27" s="42">
        <f>AK27*1000/C27</f>
        <v>0.16748789231261027</v>
      </c>
      <c r="AM27" s="1058"/>
      <c r="AN27" s="67">
        <v>3.9</v>
      </c>
      <c r="AO27" s="67">
        <v>24</v>
      </c>
      <c r="AP27" s="68">
        <f t="shared" si="14"/>
        <v>49.607999999999997</v>
      </c>
      <c r="AQ27" s="68">
        <f t="shared" si="51"/>
        <v>7.0176629858169868</v>
      </c>
      <c r="AR27" s="69">
        <f t="shared" si="47"/>
        <v>1490.8296000000003</v>
      </c>
      <c r="AS27" s="140">
        <f t="shared" si="2"/>
        <v>8.1417514794450518</v>
      </c>
      <c r="AT27" s="1073"/>
      <c r="AU27" s="71">
        <v>4.7</v>
      </c>
      <c r="AV27" s="71">
        <v>10</v>
      </c>
      <c r="AW27" s="72">
        <f t="shared" si="48"/>
        <v>21.949000000000002</v>
      </c>
      <c r="AX27" s="72">
        <f t="shared" si="52"/>
        <v>3.1049565569201953</v>
      </c>
      <c r="AY27" s="73">
        <f t="shared" si="49"/>
        <v>514.68050000000005</v>
      </c>
      <c r="AZ27" s="192">
        <f t="shared" si="3"/>
        <v>2.8107844936245692</v>
      </c>
      <c r="BA27" s="1075"/>
      <c r="BB27" s="56">
        <f t="shared" si="16"/>
        <v>33068</v>
      </c>
      <c r="BC27" s="56"/>
      <c r="BD27" s="56">
        <v>33068</v>
      </c>
      <c r="BE27" s="56"/>
      <c r="BF27" s="58">
        <f t="shared" si="17"/>
        <v>28667</v>
      </c>
      <c r="BG27" s="58">
        <f t="shared" si="4"/>
        <v>156.55685241375087</v>
      </c>
      <c r="BH27" s="1133"/>
      <c r="BI27" s="63">
        <f t="shared" si="29"/>
        <v>936</v>
      </c>
      <c r="BJ27" s="64"/>
      <c r="BK27" s="64">
        <v>828</v>
      </c>
      <c r="BL27" s="64">
        <f t="shared" si="50"/>
        <v>108</v>
      </c>
      <c r="BM27" s="65">
        <f>BL27*1000/B27</f>
        <v>0.18086634981561681</v>
      </c>
      <c r="BN27" s="64">
        <f t="shared" si="42"/>
        <v>1524</v>
      </c>
      <c r="BO27" s="65">
        <f>BN27*1000/C27</f>
        <v>0.12543073606113908</v>
      </c>
      <c r="BP27" s="1071"/>
      <c r="BQ27" s="77">
        <f t="shared" si="19"/>
        <v>43640</v>
      </c>
      <c r="BR27" s="35"/>
      <c r="BS27" s="35">
        <f>7099+33800</f>
        <v>40899</v>
      </c>
      <c r="BT27" s="35">
        <f t="shared" si="45"/>
        <v>2741</v>
      </c>
      <c r="BU27" s="74">
        <f t="shared" si="53"/>
        <v>387.7482310136341</v>
      </c>
      <c r="BV27" s="74">
        <f t="shared" si="46"/>
        <v>130585</v>
      </c>
      <c r="BW27" s="74">
        <f t="shared" si="54"/>
        <v>713.15368097288376</v>
      </c>
      <c r="BX27" s="1098"/>
    </row>
    <row r="28" spans="1:76">
      <c r="A28" s="30">
        <v>43245</v>
      </c>
      <c r="B28" s="32">
        <v>570456</v>
      </c>
      <c r="C28" s="1">
        <f t="shared" si="10"/>
        <v>12720588</v>
      </c>
      <c r="D28" s="91">
        <v>6499.18</v>
      </c>
      <c r="E28" s="93">
        <f t="shared" si="21"/>
        <v>189608.38000000003</v>
      </c>
      <c r="F28" s="227"/>
      <c r="G28" s="227"/>
      <c r="H28" s="227"/>
      <c r="I28" s="227"/>
      <c r="J28" s="227"/>
      <c r="K28" s="227"/>
      <c r="L28" s="227"/>
      <c r="M28" s="227"/>
      <c r="N28" s="227"/>
      <c r="O28" s="227"/>
      <c r="P28" s="35">
        <f t="shared" si="11"/>
        <v>44517</v>
      </c>
      <c r="Q28" s="35"/>
      <c r="R28" s="35">
        <v>44517</v>
      </c>
      <c r="S28" s="35"/>
      <c r="T28" s="36"/>
      <c r="U28" s="74">
        <f t="shared" si="38"/>
        <v>34012</v>
      </c>
      <c r="V28" s="36"/>
      <c r="W28" s="1136"/>
      <c r="X28" s="49">
        <f t="shared" si="43"/>
        <v>476</v>
      </c>
      <c r="Y28" s="50"/>
      <c r="Z28" s="50">
        <v>476</v>
      </c>
      <c r="AA28" s="50"/>
      <c r="AB28" s="51"/>
      <c r="AC28" s="50">
        <f t="shared" si="39"/>
        <v>3370</v>
      </c>
      <c r="AD28" s="51"/>
      <c r="AE28" s="1047"/>
      <c r="AF28" s="40">
        <f t="shared" si="25"/>
        <v>325</v>
      </c>
      <c r="AG28" s="41"/>
      <c r="AH28" s="41">
        <v>325</v>
      </c>
      <c r="AI28" s="41"/>
      <c r="AJ28" s="42"/>
      <c r="AK28" s="41">
        <f t="shared" si="41"/>
        <v>2035</v>
      </c>
      <c r="AL28" s="42"/>
      <c r="AM28" s="1058"/>
      <c r="AN28" s="67">
        <v>3.8</v>
      </c>
      <c r="AO28" s="67">
        <v>24</v>
      </c>
      <c r="AP28" s="68">
        <f t="shared" si="14"/>
        <v>48.335999999999999</v>
      </c>
      <c r="AQ28" s="68">
        <f t="shared" si="51"/>
        <v>7.4372459294864885</v>
      </c>
      <c r="AR28" s="69">
        <f t="shared" si="47"/>
        <v>1539.1656000000003</v>
      </c>
      <c r="AS28" s="140">
        <f t="shared" si="2"/>
        <v>8.1176032409538017</v>
      </c>
      <c r="AT28" s="1073"/>
      <c r="AU28" s="71">
        <v>4.2</v>
      </c>
      <c r="AV28" s="71">
        <v>10</v>
      </c>
      <c r="AW28" s="72">
        <f t="shared" si="48"/>
        <v>19.614000000000001</v>
      </c>
      <c r="AX28" s="72">
        <f t="shared" si="52"/>
        <v>3.0179191836508603</v>
      </c>
      <c r="AY28" s="73">
        <f t="shared" si="49"/>
        <v>534.29450000000008</v>
      </c>
      <c r="AZ28" s="192">
        <f t="shared" si="3"/>
        <v>2.8178844205092624</v>
      </c>
      <c r="BA28" s="1075"/>
      <c r="BB28" s="56">
        <f t="shared" si="16"/>
        <v>33068</v>
      </c>
      <c r="BC28" s="56"/>
      <c r="BD28" s="56">
        <v>33068</v>
      </c>
      <c r="BE28" s="56"/>
      <c r="BF28" s="58">
        <f t="shared" si="17"/>
        <v>28667</v>
      </c>
      <c r="BG28" s="58">
        <f t="shared" si="4"/>
        <v>151.19057501572448</v>
      </c>
      <c r="BH28" s="1133"/>
      <c r="BI28" s="63">
        <f t="shared" si="29"/>
        <v>828</v>
      </c>
      <c r="BJ28" s="64"/>
      <c r="BK28" s="64">
        <v>828</v>
      </c>
      <c r="BL28" s="64"/>
      <c r="BM28" s="65"/>
      <c r="BN28" s="64">
        <f t="shared" si="42"/>
        <v>1524</v>
      </c>
      <c r="BO28" s="65"/>
      <c r="BP28" s="1071"/>
      <c r="BQ28" s="77">
        <f t="shared" si="19"/>
        <v>40899</v>
      </c>
      <c r="BR28" s="35"/>
      <c r="BS28" s="35">
        <f>14539+24700</f>
        <v>39239</v>
      </c>
      <c r="BT28" s="35">
        <f t="shared" si="45"/>
        <v>1660</v>
      </c>
      <c r="BU28" s="74">
        <f t="shared" si="53"/>
        <v>255.41683720100073</v>
      </c>
      <c r="BV28" s="74">
        <f t="shared" si="46"/>
        <v>132245</v>
      </c>
      <c r="BW28" s="74">
        <f t="shared" si="54"/>
        <v>697.46389901121449</v>
      </c>
      <c r="BX28" s="1098"/>
    </row>
    <row r="29" spans="1:76">
      <c r="A29" s="30">
        <v>43246</v>
      </c>
      <c r="B29" s="32">
        <v>601384</v>
      </c>
      <c r="C29" s="1">
        <f t="shared" si="10"/>
        <v>13321972</v>
      </c>
      <c r="D29" s="91">
        <v>6949.84</v>
      </c>
      <c r="E29" s="93">
        <f t="shared" si="21"/>
        <v>196558.22000000003</v>
      </c>
      <c r="F29" s="227"/>
      <c r="G29" s="227"/>
      <c r="H29" s="227"/>
      <c r="I29" s="227"/>
      <c r="J29" s="227"/>
      <c r="K29" s="227"/>
      <c r="L29" s="227"/>
      <c r="M29" s="227"/>
      <c r="N29" s="227"/>
      <c r="O29" s="227"/>
      <c r="P29" s="35">
        <f t="shared" si="11"/>
        <v>44517</v>
      </c>
      <c r="Q29" s="35"/>
      <c r="R29" s="35">
        <v>40649</v>
      </c>
      <c r="S29" s="35">
        <f>P29-R29+Q29</f>
        <v>3868</v>
      </c>
      <c r="T29" s="36">
        <f>S29*1000/B29</f>
        <v>6.4318305774679736</v>
      </c>
      <c r="U29" s="74">
        <f t="shared" si="38"/>
        <v>37880</v>
      </c>
      <c r="V29" s="36">
        <f>U29*1000/C29</f>
        <v>2.8434228806365907</v>
      </c>
      <c r="W29" s="1136"/>
      <c r="X29" s="49">
        <f t="shared" si="43"/>
        <v>476</v>
      </c>
      <c r="Y29" s="50">
        <v>900</v>
      </c>
      <c r="Z29" s="50">
        <v>1274</v>
      </c>
      <c r="AA29" s="50">
        <f>X29+Y29-Z29</f>
        <v>102</v>
      </c>
      <c r="AB29" s="51">
        <f>AA29*1000/B29</f>
        <v>0.16960876910592898</v>
      </c>
      <c r="AC29" s="50">
        <f t="shared" si="39"/>
        <v>3472</v>
      </c>
      <c r="AD29" s="51">
        <f>AC29*1000/C29</f>
        <v>0.26062207607102011</v>
      </c>
      <c r="AE29" s="1047"/>
      <c r="AF29" s="40">
        <f t="shared" si="25"/>
        <v>325</v>
      </c>
      <c r="AG29" s="41">
        <v>200</v>
      </c>
      <c r="AH29" s="41">
        <v>392</v>
      </c>
      <c r="AI29" s="41">
        <f>AF29+AG29-AH29</f>
        <v>133</v>
      </c>
      <c r="AJ29" s="42">
        <f>AI29*1000/B29</f>
        <v>0.22115653226557408</v>
      </c>
      <c r="AK29" s="41">
        <f t="shared" si="41"/>
        <v>2168</v>
      </c>
      <c r="AL29" s="42">
        <f>AK29*1000/C29</f>
        <v>0.16273866962038352</v>
      </c>
      <c r="AM29" s="1058"/>
      <c r="AN29" s="67">
        <v>3.7</v>
      </c>
      <c r="AO29" s="67">
        <v>24</v>
      </c>
      <c r="AP29" s="68">
        <f t="shared" si="14"/>
        <v>47.064000000000007</v>
      </c>
      <c r="AQ29" s="68">
        <f t="shared" si="51"/>
        <v>6.7719544622610028</v>
      </c>
      <c r="AR29" s="69">
        <f t="shared" si="47"/>
        <v>1586.2296000000003</v>
      </c>
      <c r="AS29" s="140">
        <f t="shared" si="2"/>
        <v>8.0700242401462532</v>
      </c>
      <c r="AT29" s="1073"/>
      <c r="AU29" s="71">
        <v>4.5999999999999996</v>
      </c>
      <c r="AV29" s="71">
        <v>10</v>
      </c>
      <c r="AW29" s="72">
        <f t="shared" si="48"/>
        <v>21.482000000000003</v>
      </c>
      <c r="AX29" s="72">
        <f t="shared" si="52"/>
        <v>3.0910064116583982</v>
      </c>
      <c r="AY29" s="73">
        <f t="shared" si="49"/>
        <v>555.77650000000006</v>
      </c>
      <c r="AZ29" s="192">
        <f t="shared" si="3"/>
        <v>2.8275413767991995</v>
      </c>
      <c r="BA29" s="1075"/>
      <c r="BB29" s="56">
        <f t="shared" si="16"/>
        <v>33068</v>
      </c>
      <c r="BC29" s="56"/>
      <c r="BD29" s="56">
        <v>32178</v>
      </c>
      <c r="BE29" s="56">
        <f>BB29-BD29+BC29</f>
        <v>890</v>
      </c>
      <c r="BF29" s="58">
        <f t="shared" si="17"/>
        <v>29557</v>
      </c>
      <c r="BG29" s="58">
        <f t="shared" si="4"/>
        <v>150.37274961077688</v>
      </c>
      <c r="BH29" s="1133"/>
      <c r="BI29" s="63">
        <f t="shared" si="29"/>
        <v>828</v>
      </c>
      <c r="BJ29" s="64"/>
      <c r="BK29" s="64">
        <v>552</v>
      </c>
      <c r="BL29" s="64">
        <f>BI29+BJ29-BK29</f>
        <v>276</v>
      </c>
      <c r="BM29" s="65">
        <f>BL29*1000/B29</f>
        <v>0.45894137522780787</v>
      </c>
      <c r="BN29" s="64">
        <f t="shared" si="42"/>
        <v>1800</v>
      </c>
      <c r="BO29" s="65">
        <f>BN29*1000/C29</f>
        <v>0.13511513160363947</v>
      </c>
      <c r="BP29" s="1071"/>
      <c r="BQ29" s="77">
        <f t="shared" si="19"/>
        <v>39239</v>
      </c>
      <c r="BR29" s="35"/>
      <c r="BS29" s="35">
        <f>11767+24700</f>
        <v>36467</v>
      </c>
      <c r="BT29" s="35">
        <f t="shared" si="45"/>
        <v>2772</v>
      </c>
      <c r="BU29" s="74">
        <f t="shared" si="53"/>
        <v>398.85810320813141</v>
      </c>
      <c r="BV29" s="74">
        <f t="shared" si="46"/>
        <v>135017</v>
      </c>
      <c r="BW29" s="74">
        <f t="shared" si="54"/>
        <v>686.90589485395208</v>
      </c>
      <c r="BX29" s="1098"/>
    </row>
    <row r="30" spans="1:76">
      <c r="A30" s="30">
        <v>43247</v>
      </c>
      <c r="B30" s="32">
        <v>490815</v>
      </c>
      <c r="C30" s="1">
        <f t="shared" si="10"/>
        <v>13812787</v>
      </c>
      <c r="D30" s="91">
        <v>6127.32</v>
      </c>
      <c r="E30" s="93">
        <f t="shared" si="21"/>
        <v>202685.54000000004</v>
      </c>
      <c r="F30" s="227"/>
      <c r="G30" s="227"/>
      <c r="H30" s="227"/>
      <c r="I30" s="227"/>
      <c r="J30" s="227"/>
      <c r="K30" s="227"/>
      <c r="L30" s="227"/>
      <c r="M30" s="227"/>
      <c r="N30" s="227"/>
      <c r="O30" s="227"/>
      <c r="P30" s="35">
        <f t="shared" si="11"/>
        <v>40649</v>
      </c>
      <c r="Q30" s="35"/>
      <c r="R30" s="35">
        <v>39862</v>
      </c>
      <c r="S30" s="35">
        <f>P30-R30+Q30</f>
        <v>787</v>
      </c>
      <c r="T30" s="36">
        <f>S30*1000/B30</f>
        <v>1.603455477114595</v>
      </c>
      <c r="U30" s="74">
        <f t="shared" si="38"/>
        <v>38667</v>
      </c>
      <c r="V30" s="36">
        <f>U30*1000/C30</f>
        <v>2.7993626485371852</v>
      </c>
      <c r="W30" s="1136"/>
      <c r="X30" s="49">
        <f t="shared" si="43"/>
        <v>1274</v>
      </c>
      <c r="Y30" s="50"/>
      <c r="Z30" s="50">
        <v>1212</v>
      </c>
      <c r="AA30" s="50">
        <f>X30+Y30-Z30</f>
        <v>62</v>
      </c>
      <c r="AB30" s="51">
        <f>AA30*1000/B30</f>
        <v>0.12632050772694395</v>
      </c>
      <c r="AC30" s="50">
        <f t="shared" si="39"/>
        <v>3534</v>
      </c>
      <c r="AD30" s="51">
        <f>AC30*1000/C30</f>
        <v>0.25584988749917015</v>
      </c>
      <c r="AE30" s="1047"/>
      <c r="AF30" s="40">
        <f t="shared" si="25"/>
        <v>392</v>
      </c>
      <c r="AG30" s="41"/>
      <c r="AH30" s="41">
        <v>348</v>
      </c>
      <c r="AI30" s="41">
        <f>AF30+AG30-AH30</f>
        <v>44</v>
      </c>
      <c r="AJ30" s="42">
        <f>AI30*1000/B30</f>
        <v>8.964681193525055E-2</v>
      </c>
      <c r="AK30" s="41">
        <f t="shared" si="41"/>
        <v>2212</v>
      </c>
      <c r="AL30" s="42">
        <f>AK30*1000/C30</f>
        <v>0.16014146891572281</v>
      </c>
      <c r="AM30" s="1058"/>
      <c r="AN30" s="67">
        <v>3.4</v>
      </c>
      <c r="AO30" s="67">
        <v>24</v>
      </c>
      <c r="AP30" s="68">
        <f t="shared" si="14"/>
        <v>43.247999999999998</v>
      </c>
      <c r="AQ30" s="68">
        <f t="shared" si="51"/>
        <v>7.0582244766064122</v>
      </c>
      <c r="AR30" s="69">
        <f t="shared" si="47"/>
        <v>1629.4776000000004</v>
      </c>
      <c r="AS30" s="140">
        <f t="shared" si="2"/>
        <v>8.039436853758783</v>
      </c>
      <c r="AT30" s="1073"/>
      <c r="AU30" s="71">
        <v>3.5</v>
      </c>
      <c r="AV30" s="71">
        <v>10</v>
      </c>
      <c r="AW30" s="72">
        <f t="shared" si="48"/>
        <v>16.345000000000002</v>
      </c>
      <c r="AX30" s="72">
        <f t="shared" si="52"/>
        <v>2.6675610217844019</v>
      </c>
      <c r="AY30" s="73">
        <f t="shared" si="49"/>
        <v>572.12150000000008</v>
      </c>
      <c r="AZ30" s="192">
        <f t="shared" si="3"/>
        <v>2.8227050632225663</v>
      </c>
      <c r="BA30" s="1075"/>
      <c r="BB30" s="56">
        <f t="shared" si="16"/>
        <v>32178</v>
      </c>
      <c r="BC30" s="56"/>
      <c r="BD30" s="56">
        <v>31955</v>
      </c>
      <c r="BE30" s="56">
        <f>BB30-BD30+BC30</f>
        <v>223</v>
      </c>
      <c r="BF30" s="58">
        <f t="shared" si="17"/>
        <v>29780</v>
      </c>
      <c r="BG30" s="58">
        <f t="shared" si="4"/>
        <v>146.92710688685534</v>
      </c>
      <c r="BH30" s="1133"/>
      <c r="BI30" s="63">
        <f t="shared" si="29"/>
        <v>552</v>
      </c>
      <c r="BJ30" s="64"/>
      <c r="BK30" s="64">
        <v>432</v>
      </c>
      <c r="BL30" s="64">
        <f>BI30+BJ30-BK30</f>
        <v>120</v>
      </c>
      <c r="BM30" s="65">
        <f>BL30*1000/B30</f>
        <v>0.24449130527795604</v>
      </c>
      <c r="BN30" s="64">
        <f t="shared" si="42"/>
        <v>1920</v>
      </c>
      <c r="BO30" s="65">
        <f>BN30*1000/C30</f>
        <v>0.13900163667187512</v>
      </c>
      <c r="BP30" s="1071"/>
      <c r="BQ30" s="77">
        <f t="shared" si="19"/>
        <v>36467</v>
      </c>
      <c r="BR30" s="35"/>
      <c r="BS30" s="35">
        <f>5257+24700</f>
        <v>29957</v>
      </c>
      <c r="BT30" s="35">
        <f t="shared" si="45"/>
        <v>6510</v>
      </c>
      <c r="BU30" s="74">
        <f t="shared" si="53"/>
        <v>1062.4547110319031</v>
      </c>
      <c r="BV30" s="74">
        <f t="shared" si="46"/>
        <v>141527</v>
      </c>
      <c r="BW30" s="74">
        <f t="shared" si="54"/>
        <v>698.25898778965666</v>
      </c>
      <c r="BX30" s="1098"/>
    </row>
    <row r="31" spans="1:76">
      <c r="A31" s="30">
        <v>43248</v>
      </c>
      <c r="B31" s="32">
        <v>429981</v>
      </c>
      <c r="C31" s="1">
        <f t="shared" si="10"/>
        <v>14242768</v>
      </c>
      <c r="D31" s="91">
        <v>558.26</v>
      </c>
      <c r="E31" s="93">
        <f t="shared" si="21"/>
        <v>203243.80000000005</v>
      </c>
      <c r="F31" s="227"/>
      <c r="G31" s="227"/>
      <c r="H31" s="227"/>
      <c r="I31" s="227"/>
      <c r="J31" s="227"/>
      <c r="K31" s="227"/>
      <c r="L31" s="227"/>
      <c r="M31" s="227"/>
      <c r="N31" s="227"/>
      <c r="O31" s="227"/>
      <c r="P31" s="35">
        <f t="shared" si="11"/>
        <v>39862</v>
      </c>
      <c r="Q31" s="35"/>
      <c r="R31" s="35">
        <v>39730</v>
      </c>
      <c r="S31" s="35">
        <f>P31-R31+Q31</f>
        <v>132</v>
      </c>
      <c r="T31" s="36">
        <f>S31*1000/B31</f>
        <v>0.30699030887411305</v>
      </c>
      <c r="U31" s="74">
        <f t="shared" ref="U31:U37" si="55">U30+S31</f>
        <v>38799</v>
      </c>
      <c r="V31" s="36">
        <f>U31*1000/C31</f>
        <v>2.7241193565745085</v>
      </c>
      <c r="W31" s="1136"/>
      <c r="X31" s="49">
        <f t="shared" si="43"/>
        <v>1212</v>
      </c>
      <c r="Y31" s="50"/>
      <c r="Z31" s="50">
        <v>1168</v>
      </c>
      <c r="AA31" s="50">
        <f>X31+Y31-Z31</f>
        <v>44</v>
      </c>
      <c r="AB31" s="51">
        <f>AA31*1000/B31</f>
        <v>0.10233010295803768</v>
      </c>
      <c r="AC31" s="50">
        <f t="shared" ref="AC31:AC37" si="56">AC30+AA31</f>
        <v>3578</v>
      </c>
      <c r="AD31" s="51">
        <f>AC31*1000/C31</f>
        <v>0.25121521322259832</v>
      </c>
      <c r="AE31" s="1047"/>
      <c r="AF31" s="40">
        <f t="shared" si="25"/>
        <v>348</v>
      </c>
      <c r="AG31" s="44"/>
      <c r="AH31" s="41">
        <v>348</v>
      </c>
      <c r="AI31" s="41"/>
      <c r="AJ31" s="42"/>
      <c r="AK31" s="41">
        <f t="shared" ref="AK31:AK38" si="57">AK30+AI31</f>
        <v>2212</v>
      </c>
      <c r="AL31" s="42"/>
      <c r="AM31" s="1058"/>
      <c r="AN31" s="67">
        <v>1.6</v>
      </c>
      <c r="AO31" s="67">
        <v>24</v>
      </c>
      <c r="AP31" s="68">
        <f t="shared" si="14"/>
        <v>20.352000000000004</v>
      </c>
      <c r="AQ31" s="68">
        <f t="shared" si="51"/>
        <v>36.456131551606788</v>
      </c>
      <c r="AR31" s="69">
        <f>AR30+AP31</f>
        <v>1649.8296000000005</v>
      </c>
      <c r="AS31" s="140">
        <f t="shared" si="2"/>
        <v>8.1174904228320877</v>
      </c>
      <c r="AT31" s="1073"/>
      <c r="AU31" s="71">
        <v>0.3</v>
      </c>
      <c r="AV31" s="71">
        <v>10</v>
      </c>
      <c r="AW31" s="72">
        <f t="shared" ref="AW31:AW44" si="58">AU31*AV31*0.467</f>
        <v>1.401</v>
      </c>
      <c r="AX31" s="72">
        <f t="shared" si="52"/>
        <v>2.5095833482606671</v>
      </c>
      <c r="AY31" s="73">
        <f t="shared" ref="AY31:AY44" si="59">AY30+AW31</f>
        <v>573.52250000000004</v>
      </c>
      <c r="AZ31" s="192">
        <f t="shared" si="3"/>
        <v>2.8218449960097178</v>
      </c>
      <c r="BA31" s="1075"/>
      <c r="BB31" s="56">
        <f t="shared" si="16"/>
        <v>31955</v>
      </c>
      <c r="BC31" s="59"/>
      <c r="BD31" s="56">
        <v>31955</v>
      </c>
      <c r="BE31" s="56"/>
      <c r="BF31" s="58">
        <f t="shared" si="17"/>
        <v>29780</v>
      </c>
      <c r="BG31" s="58">
        <f t="shared" si="4"/>
        <v>146.52353478925306</v>
      </c>
      <c r="BH31" s="1133"/>
      <c r="BI31" s="63">
        <f t="shared" si="29"/>
        <v>432</v>
      </c>
      <c r="BJ31" s="64"/>
      <c r="BK31" s="64">
        <v>432</v>
      </c>
      <c r="BL31" s="64"/>
      <c r="BM31" s="65"/>
      <c r="BN31" s="64">
        <f t="shared" ref="BN31:BN37" si="60">BN30+BL31</f>
        <v>1920</v>
      </c>
      <c r="BO31" s="65"/>
      <c r="BP31" s="1071"/>
      <c r="BQ31" s="77">
        <f t="shared" si="19"/>
        <v>29957</v>
      </c>
      <c r="BR31" s="35"/>
      <c r="BS31" s="35">
        <f>3763+23400</f>
        <v>27163</v>
      </c>
      <c r="BT31" s="35">
        <f t="shared" si="45"/>
        <v>2794</v>
      </c>
      <c r="BU31" s="74">
        <f t="shared" si="53"/>
        <v>5004.836456131552</v>
      </c>
      <c r="BV31" s="74">
        <f t="shared" ref="BV31:BV37" si="61">BV30+BT31</f>
        <v>144321</v>
      </c>
      <c r="BW31" s="74">
        <f t="shared" si="54"/>
        <v>710.08808140764916</v>
      </c>
      <c r="BX31" s="1098"/>
    </row>
    <row r="32" spans="1:76">
      <c r="A32" s="30">
        <v>43249</v>
      </c>
      <c r="B32" s="33"/>
      <c r="C32" s="1">
        <f t="shared" si="10"/>
        <v>14242768</v>
      </c>
      <c r="D32" s="29"/>
      <c r="E32" s="93">
        <f t="shared" si="21"/>
        <v>203243.80000000005</v>
      </c>
      <c r="F32" s="227"/>
      <c r="G32" s="227"/>
      <c r="H32" s="227"/>
      <c r="I32" s="227"/>
      <c r="J32" s="227"/>
      <c r="K32" s="227"/>
      <c r="L32" s="227"/>
      <c r="M32" s="227"/>
      <c r="N32" s="227"/>
      <c r="O32" s="227"/>
      <c r="P32" s="35">
        <f t="shared" si="11"/>
        <v>39730</v>
      </c>
      <c r="Q32" s="35"/>
      <c r="R32" s="35">
        <v>39730</v>
      </c>
      <c r="S32" s="35"/>
      <c r="T32" s="36"/>
      <c r="U32" s="74">
        <f t="shared" si="55"/>
        <v>38799</v>
      </c>
      <c r="V32" s="36"/>
      <c r="W32" s="1136"/>
      <c r="X32" s="49">
        <f t="shared" si="43"/>
        <v>1168</v>
      </c>
      <c r="Y32" s="50"/>
      <c r="Z32" s="50">
        <v>1168</v>
      </c>
      <c r="AA32" s="50"/>
      <c r="AB32" s="51"/>
      <c r="AC32" s="50">
        <f t="shared" si="56"/>
        <v>3578</v>
      </c>
      <c r="AD32" s="51"/>
      <c r="AE32" s="1047"/>
      <c r="AF32" s="40">
        <f t="shared" si="25"/>
        <v>348</v>
      </c>
      <c r="AG32" s="44"/>
      <c r="AH32" s="41">
        <v>348</v>
      </c>
      <c r="AI32" s="41"/>
      <c r="AJ32" s="42"/>
      <c r="AK32" s="41">
        <f t="shared" si="57"/>
        <v>2212</v>
      </c>
      <c r="AL32" s="42"/>
      <c r="AM32" s="1058"/>
      <c r="AN32" s="142"/>
      <c r="AO32" s="67"/>
      <c r="AP32" s="68">
        <f t="shared" si="14"/>
        <v>0</v>
      </c>
      <c r="AQ32" s="68"/>
      <c r="AR32" s="69">
        <f>AR31+AP32</f>
        <v>1649.8296000000005</v>
      </c>
      <c r="AS32" s="140">
        <f t="shared" si="2"/>
        <v>8.1174904228320877</v>
      </c>
      <c r="AT32" s="1073"/>
      <c r="AU32" s="71"/>
      <c r="AV32" s="71"/>
      <c r="AW32" s="72"/>
      <c r="AX32" s="72"/>
      <c r="AY32" s="73">
        <f t="shared" si="59"/>
        <v>573.52250000000004</v>
      </c>
      <c r="AZ32" s="192">
        <f t="shared" si="3"/>
        <v>2.8218449960097178</v>
      </c>
      <c r="BA32" s="1075"/>
      <c r="BB32" s="56">
        <f t="shared" si="16"/>
        <v>31955</v>
      </c>
      <c r="BC32" s="59"/>
      <c r="BD32" s="56">
        <v>31955</v>
      </c>
      <c r="BE32" s="56"/>
      <c r="BF32" s="58">
        <f t="shared" si="17"/>
        <v>29780</v>
      </c>
      <c r="BG32" s="58">
        <f t="shared" si="4"/>
        <v>146.52353478925306</v>
      </c>
      <c r="BH32" s="1133"/>
      <c r="BI32" s="63">
        <f t="shared" si="29"/>
        <v>432</v>
      </c>
      <c r="BJ32" s="64"/>
      <c r="BK32" s="64">
        <v>432</v>
      </c>
      <c r="BL32" s="64"/>
      <c r="BM32" s="65"/>
      <c r="BN32" s="64">
        <f t="shared" si="60"/>
        <v>1920</v>
      </c>
      <c r="BO32" s="65"/>
      <c r="BP32" s="1071"/>
      <c r="BQ32" s="77">
        <f t="shared" si="19"/>
        <v>27163</v>
      </c>
      <c r="BR32" s="35"/>
      <c r="BS32" s="35">
        <f>3763+23400</f>
        <v>27163</v>
      </c>
      <c r="BT32" s="35"/>
      <c r="BU32" s="74"/>
      <c r="BV32" s="74">
        <f t="shared" si="61"/>
        <v>144321</v>
      </c>
      <c r="BW32" s="74"/>
      <c r="BX32" s="1098"/>
    </row>
    <row r="33" spans="1:76">
      <c r="A33" s="30">
        <v>43250</v>
      </c>
      <c r="B33" s="33"/>
      <c r="C33" s="1">
        <f t="shared" si="10"/>
        <v>14242768</v>
      </c>
      <c r="D33" s="29"/>
      <c r="E33" s="93">
        <f t="shared" si="21"/>
        <v>203243.80000000005</v>
      </c>
      <c r="F33" s="227"/>
      <c r="G33" s="227"/>
      <c r="H33" s="227"/>
      <c r="I33" s="227"/>
      <c r="J33" s="227"/>
      <c r="K33" s="227"/>
      <c r="L33" s="227"/>
      <c r="M33" s="227"/>
      <c r="N33" s="227"/>
      <c r="O33" s="227"/>
      <c r="P33" s="77">
        <f t="shared" si="11"/>
        <v>39730</v>
      </c>
      <c r="Q33" s="35"/>
      <c r="R33" s="35">
        <v>39730</v>
      </c>
      <c r="S33" s="35"/>
      <c r="T33" s="36"/>
      <c r="U33" s="74">
        <f t="shared" si="55"/>
        <v>38799</v>
      </c>
      <c r="V33" s="36"/>
      <c r="W33" s="1136"/>
      <c r="X33" s="49">
        <f t="shared" si="43"/>
        <v>1168</v>
      </c>
      <c r="Y33" s="50"/>
      <c r="Z33" s="50">
        <v>1168</v>
      </c>
      <c r="AA33" s="50"/>
      <c r="AB33" s="51"/>
      <c r="AC33" s="50">
        <f t="shared" si="56"/>
        <v>3578</v>
      </c>
      <c r="AD33" s="51"/>
      <c r="AE33" s="1047"/>
      <c r="AF33" s="40">
        <f t="shared" si="25"/>
        <v>348</v>
      </c>
      <c r="AG33" s="44"/>
      <c r="AH33" s="41">
        <v>348</v>
      </c>
      <c r="AI33" s="41"/>
      <c r="AJ33" s="42"/>
      <c r="AK33" s="41">
        <f t="shared" si="57"/>
        <v>2212</v>
      </c>
      <c r="AL33" s="42"/>
      <c r="AM33" s="1058"/>
      <c r="AN33" s="142"/>
      <c r="AO33" s="67"/>
      <c r="AP33" s="68">
        <f t="shared" si="14"/>
        <v>0</v>
      </c>
      <c r="AQ33" s="68"/>
      <c r="AR33" s="69">
        <f>AR32+AP33</f>
        <v>1649.8296000000005</v>
      </c>
      <c r="AS33" s="140">
        <f t="shared" si="2"/>
        <v>8.1174904228320877</v>
      </c>
      <c r="AT33" s="1073"/>
      <c r="AU33" s="71"/>
      <c r="AV33" s="71"/>
      <c r="AW33" s="72"/>
      <c r="AX33" s="72"/>
      <c r="AY33" s="73">
        <f t="shared" si="59"/>
        <v>573.52250000000004</v>
      </c>
      <c r="AZ33" s="192">
        <f t="shared" si="3"/>
        <v>2.8218449960097178</v>
      </c>
      <c r="BA33" s="1075"/>
      <c r="BB33" s="56">
        <f t="shared" si="16"/>
        <v>31955</v>
      </c>
      <c r="BC33" s="59"/>
      <c r="BD33" s="56">
        <v>31955</v>
      </c>
      <c r="BE33" s="56"/>
      <c r="BF33" s="58">
        <f t="shared" si="17"/>
        <v>29780</v>
      </c>
      <c r="BG33" s="58">
        <f t="shared" si="4"/>
        <v>146.52353478925306</v>
      </c>
      <c r="BH33" s="1133"/>
      <c r="BI33" s="63">
        <f t="shared" si="29"/>
        <v>432</v>
      </c>
      <c r="BJ33" s="64"/>
      <c r="BK33" s="64">
        <v>432</v>
      </c>
      <c r="BL33" s="64"/>
      <c r="BM33" s="65"/>
      <c r="BN33" s="64">
        <f t="shared" si="60"/>
        <v>1920</v>
      </c>
      <c r="BO33" s="65"/>
      <c r="BP33" s="1071"/>
      <c r="BQ33" s="77">
        <f t="shared" si="19"/>
        <v>27163</v>
      </c>
      <c r="BR33" s="35"/>
      <c r="BS33" s="35">
        <f>3763+23400</f>
        <v>27163</v>
      </c>
      <c r="BT33" s="35"/>
      <c r="BU33" s="74"/>
      <c r="BV33" s="74">
        <f t="shared" si="61"/>
        <v>144321</v>
      </c>
      <c r="BW33" s="74"/>
      <c r="BX33" s="1098"/>
    </row>
    <row r="34" spans="1:76" ht="15.75" thickBot="1">
      <c r="A34" s="30">
        <v>43251</v>
      </c>
      <c r="B34" s="34"/>
      <c r="C34" s="78">
        <f t="shared" si="10"/>
        <v>14242768</v>
      </c>
      <c r="D34" s="92"/>
      <c r="E34" s="94">
        <f t="shared" si="21"/>
        <v>203243.80000000005</v>
      </c>
      <c r="F34" s="228"/>
      <c r="G34" s="228"/>
      <c r="H34" s="228"/>
      <c r="I34" s="228"/>
      <c r="J34" s="228"/>
      <c r="K34" s="228"/>
      <c r="L34" s="228"/>
      <c r="M34" s="228"/>
      <c r="N34" s="228"/>
      <c r="O34" s="228"/>
      <c r="P34" s="76">
        <f t="shared" si="11"/>
        <v>39730</v>
      </c>
      <c r="Q34" s="76"/>
      <c r="R34" s="76">
        <v>39730</v>
      </c>
      <c r="S34" s="76"/>
      <c r="T34" s="80"/>
      <c r="U34" s="81">
        <f t="shared" si="55"/>
        <v>38799</v>
      </c>
      <c r="V34" s="80"/>
      <c r="W34" s="1137"/>
      <c r="X34" s="83">
        <f t="shared" si="43"/>
        <v>1168</v>
      </c>
      <c r="Y34" s="82"/>
      <c r="Z34" s="82">
        <v>1168</v>
      </c>
      <c r="AA34" s="82"/>
      <c r="AB34" s="84"/>
      <c r="AC34" s="82">
        <f t="shared" si="56"/>
        <v>3578</v>
      </c>
      <c r="AD34" s="84"/>
      <c r="AE34" s="1048"/>
      <c r="AF34" s="95">
        <f t="shared" si="25"/>
        <v>348</v>
      </c>
      <c r="AG34" s="45"/>
      <c r="AH34" s="96">
        <v>348</v>
      </c>
      <c r="AI34" s="96"/>
      <c r="AJ34" s="97"/>
      <c r="AK34" s="96">
        <f t="shared" si="57"/>
        <v>2212</v>
      </c>
      <c r="AL34" s="97"/>
      <c r="AM34" s="1059"/>
      <c r="AN34" s="101">
        <v>3</v>
      </c>
      <c r="AO34" s="101">
        <v>24</v>
      </c>
      <c r="AP34" s="68">
        <f t="shared" si="14"/>
        <v>38.160000000000004</v>
      </c>
      <c r="AQ34" s="68"/>
      <c r="AR34" s="69">
        <f t="shared" ref="AR34:AR44" si="62">AR33+AP34</f>
        <v>1687.9896000000006</v>
      </c>
      <c r="AS34" s="140">
        <f t="shared" si="2"/>
        <v>8.3052452276527013</v>
      </c>
      <c r="AT34" s="1074"/>
      <c r="AU34" s="104"/>
      <c r="AV34" s="104"/>
      <c r="AW34" s="105"/>
      <c r="AX34" s="105"/>
      <c r="AY34" s="106">
        <f t="shared" si="59"/>
        <v>573.52250000000004</v>
      </c>
      <c r="AZ34" s="193">
        <f t="shared" si="3"/>
        <v>2.8218449960097178</v>
      </c>
      <c r="BA34" s="1076"/>
      <c r="BB34" s="88">
        <f t="shared" si="16"/>
        <v>31955</v>
      </c>
      <c r="BC34" s="100"/>
      <c r="BD34" s="88">
        <v>31955</v>
      </c>
      <c r="BE34" s="88"/>
      <c r="BF34" s="89">
        <f t="shared" si="17"/>
        <v>29780</v>
      </c>
      <c r="BG34" s="89">
        <f t="shared" si="4"/>
        <v>146.52353478925306</v>
      </c>
      <c r="BH34" s="1134"/>
      <c r="BI34" s="85">
        <f t="shared" si="29"/>
        <v>432</v>
      </c>
      <c r="BJ34" s="85"/>
      <c r="BK34" s="85">
        <v>432</v>
      </c>
      <c r="BL34" s="85"/>
      <c r="BM34" s="86"/>
      <c r="BN34" s="85">
        <f t="shared" si="60"/>
        <v>1920</v>
      </c>
      <c r="BO34" s="86"/>
      <c r="BP34" s="1072"/>
      <c r="BQ34" s="79">
        <f t="shared" si="19"/>
        <v>27163</v>
      </c>
      <c r="BR34" s="76"/>
      <c r="BS34" s="76">
        <f>3763+23400</f>
        <v>27163</v>
      </c>
      <c r="BT34" s="76"/>
      <c r="BU34" s="81"/>
      <c r="BV34" s="81">
        <f t="shared" si="61"/>
        <v>144321</v>
      </c>
      <c r="BW34" s="81"/>
      <c r="BX34" s="1099"/>
    </row>
    <row r="35" spans="1:76">
      <c r="A35" s="30">
        <v>43252</v>
      </c>
      <c r="B35" s="32">
        <v>185482</v>
      </c>
      <c r="C35" s="1">
        <f t="shared" si="10"/>
        <v>14428250</v>
      </c>
      <c r="D35" s="29">
        <v>6641.96</v>
      </c>
      <c r="E35" s="93">
        <f t="shared" si="21"/>
        <v>209885.76000000004</v>
      </c>
      <c r="F35" s="227"/>
      <c r="G35" s="227"/>
      <c r="H35" s="227"/>
      <c r="I35" s="227"/>
      <c r="J35" s="227"/>
      <c r="K35" s="227"/>
      <c r="L35" s="227"/>
      <c r="M35" s="227"/>
      <c r="N35" s="227"/>
      <c r="O35" s="227"/>
      <c r="P35" s="35">
        <f t="shared" si="11"/>
        <v>39730</v>
      </c>
      <c r="Q35" s="35"/>
      <c r="R35" s="35">
        <v>39730</v>
      </c>
      <c r="S35" s="35"/>
      <c r="T35" s="36"/>
      <c r="U35" s="74">
        <f t="shared" si="55"/>
        <v>38799</v>
      </c>
      <c r="V35" s="36"/>
      <c r="W35" s="1135">
        <f>1000*SUM(S35:S64)/SUM(B35:B64)</f>
        <v>3.4759030817512806</v>
      </c>
      <c r="X35" s="49">
        <f t="shared" si="43"/>
        <v>1168</v>
      </c>
      <c r="Y35" s="50"/>
      <c r="Z35" s="50">
        <v>1168</v>
      </c>
      <c r="AA35" s="50"/>
      <c r="AB35" s="51"/>
      <c r="AC35" s="50">
        <f t="shared" si="56"/>
        <v>3578</v>
      </c>
      <c r="AD35" s="51"/>
      <c r="AE35" s="1046">
        <f>1000*SUM(AA35:AA64)/SUM(B35:B64)</f>
        <v>8.9743523149229149E-2</v>
      </c>
      <c r="AF35" s="40">
        <f t="shared" si="25"/>
        <v>348</v>
      </c>
      <c r="AG35" s="44"/>
      <c r="AH35" s="41">
        <v>348</v>
      </c>
      <c r="AI35" s="41"/>
      <c r="AJ35" s="42"/>
      <c r="AK35" s="41">
        <f t="shared" si="57"/>
        <v>2212</v>
      </c>
      <c r="AL35" s="42"/>
      <c r="AM35" s="1057">
        <f>1000*SUM(AI35:AI64)/SUM(B35:B64)</f>
        <v>8.7803460933311359E-2</v>
      </c>
      <c r="AN35" s="67">
        <v>4.0999999999999996</v>
      </c>
      <c r="AO35" s="67">
        <v>24</v>
      </c>
      <c r="AP35" s="102">
        <f t="shared" si="14"/>
        <v>52.152000000000001</v>
      </c>
      <c r="AQ35" s="102">
        <f t="shared" ref="AQ35:AQ46" si="63">AP35*1000/D35</f>
        <v>7.8518991382061918</v>
      </c>
      <c r="AR35" s="103">
        <f t="shared" si="62"/>
        <v>1740.1416000000006</v>
      </c>
      <c r="AS35" s="136">
        <f t="shared" ref="AS35:AS66" si="64">AR35*1000/E35</f>
        <v>8.2908988203868628</v>
      </c>
      <c r="AT35" s="1064">
        <f>1000*SUM(AP35:AP64)/SUM(D35:D64)</f>
        <v>8.1048399657531345</v>
      </c>
      <c r="AU35" s="70">
        <v>4.3499999999999996</v>
      </c>
      <c r="AV35" s="71">
        <v>10</v>
      </c>
      <c r="AW35" s="72">
        <f t="shared" si="58"/>
        <v>20.314500000000002</v>
      </c>
      <c r="AX35" s="72">
        <f t="shared" ref="AX35:AX46" si="65">AW35*1000/D35</f>
        <v>3.0585098374576183</v>
      </c>
      <c r="AY35" s="73">
        <f t="shared" si="59"/>
        <v>593.83699999999999</v>
      </c>
      <c r="AZ35" s="192">
        <f t="shared" ref="AZ35:AZ66" si="66">AY35*1000/E35</f>
        <v>2.829334396006665</v>
      </c>
      <c r="BA35" s="1065">
        <f>1000*SUM(AW35:AW64)/SUM(D35:D64)</f>
        <v>2.9414334220341032</v>
      </c>
      <c r="BB35" s="90">
        <f t="shared" si="16"/>
        <v>31955</v>
      </c>
      <c r="BC35" s="59"/>
      <c r="BD35" s="56">
        <v>31955</v>
      </c>
      <c r="BE35" s="56"/>
      <c r="BF35" s="58">
        <f t="shared" si="17"/>
        <v>29780</v>
      </c>
      <c r="BG35" s="58">
        <f t="shared" ref="BG35:BG66" si="67">BF35*1000/E35</f>
        <v>141.88671017986164</v>
      </c>
      <c r="BH35" s="1132">
        <f>1000*SUM(BE35:BE64)/SUM(D35:D64)</f>
        <v>0</v>
      </c>
      <c r="BI35" s="64">
        <f t="shared" si="29"/>
        <v>432</v>
      </c>
      <c r="BJ35" s="64"/>
      <c r="BK35" s="64">
        <v>432</v>
      </c>
      <c r="BL35" s="64"/>
      <c r="BM35" s="65"/>
      <c r="BN35" s="64">
        <f t="shared" si="60"/>
        <v>1920</v>
      </c>
      <c r="BO35" s="65"/>
      <c r="BP35" s="1067">
        <f>1000*SUM(BL3:BL34)/SUM(B4:B34)</f>
        <v>0.15181232910506171</v>
      </c>
      <c r="BQ35" s="77">
        <f t="shared" si="19"/>
        <v>27163</v>
      </c>
      <c r="BR35" s="35"/>
      <c r="BS35" s="35">
        <v>27163</v>
      </c>
      <c r="BT35" s="35"/>
      <c r="BU35" s="74"/>
      <c r="BV35" s="74">
        <f t="shared" si="61"/>
        <v>144321</v>
      </c>
      <c r="BW35" s="74"/>
      <c r="BX35" s="1063">
        <f>1000*(SUM(BT35:BT64)/SUM(D35:D64))</f>
        <v>505.14127776304161</v>
      </c>
    </row>
    <row r="36" spans="1:76">
      <c r="A36" s="30">
        <v>43253</v>
      </c>
      <c r="B36" s="32">
        <v>509959</v>
      </c>
      <c r="C36" s="1">
        <f t="shared" si="10"/>
        <v>14938209</v>
      </c>
      <c r="D36" s="29">
        <v>8206.86</v>
      </c>
      <c r="E36" s="93">
        <f t="shared" si="21"/>
        <v>218092.62000000005</v>
      </c>
      <c r="F36" s="227"/>
      <c r="G36" s="227"/>
      <c r="H36" s="227"/>
      <c r="I36" s="227"/>
      <c r="J36" s="227"/>
      <c r="K36" s="227"/>
      <c r="L36" s="227"/>
      <c r="M36" s="227"/>
      <c r="N36" s="227"/>
      <c r="O36" s="227"/>
      <c r="P36" s="35">
        <f t="shared" si="11"/>
        <v>39730</v>
      </c>
      <c r="Q36" s="35"/>
      <c r="R36" s="35">
        <v>39730</v>
      </c>
      <c r="S36" s="35"/>
      <c r="T36" s="36"/>
      <c r="U36" s="74">
        <f t="shared" si="55"/>
        <v>38799</v>
      </c>
      <c r="V36" s="36"/>
      <c r="W36" s="1136"/>
      <c r="X36" s="49">
        <f t="shared" si="43"/>
        <v>1168</v>
      </c>
      <c r="Y36" s="50"/>
      <c r="Z36" s="50">
        <v>1168</v>
      </c>
      <c r="AA36" s="50"/>
      <c r="AB36" s="51"/>
      <c r="AC36" s="50">
        <f t="shared" si="56"/>
        <v>3578</v>
      </c>
      <c r="AD36" s="51"/>
      <c r="AE36" s="1047"/>
      <c r="AF36" s="40">
        <f t="shared" si="25"/>
        <v>348</v>
      </c>
      <c r="AG36" s="44"/>
      <c r="AH36" s="41">
        <v>348</v>
      </c>
      <c r="AI36" s="41"/>
      <c r="AJ36" s="42"/>
      <c r="AK36" s="41">
        <f t="shared" si="57"/>
        <v>2212</v>
      </c>
      <c r="AL36" s="42"/>
      <c r="AM36" s="1058"/>
      <c r="AN36" s="67">
        <v>3.5</v>
      </c>
      <c r="AO36" s="67">
        <v>24</v>
      </c>
      <c r="AP36" s="68">
        <f t="shared" si="14"/>
        <v>44.52</v>
      </c>
      <c r="AQ36" s="68">
        <f t="shared" si="63"/>
        <v>5.4247300429153169</v>
      </c>
      <c r="AR36" s="69">
        <f t="shared" si="62"/>
        <v>1784.6616000000006</v>
      </c>
      <c r="AS36" s="140">
        <f t="shared" si="64"/>
        <v>8.1830444331403793</v>
      </c>
      <c r="AT36" s="1073"/>
      <c r="AU36" s="70">
        <v>5.7</v>
      </c>
      <c r="AV36" s="71">
        <v>10</v>
      </c>
      <c r="AW36" s="72">
        <f t="shared" si="58"/>
        <v>26.619</v>
      </c>
      <c r="AX36" s="72">
        <f t="shared" si="65"/>
        <v>3.2435060425059032</v>
      </c>
      <c r="AY36" s="73">
        <f t="shared" si="59"/>
        <v>620.45600000000002</v>
      </c>
      <c r="AZ36" s="192">
        <f t="shared" si="66"/>
        <v>2.8449197409797722</v>
      </c>
      <c r="BA36" s="1075"/>
      <c r="BB36" s="90">
        <f t="shared" si="16"/>
        <v>31955</v>
      </c>
      <c r="BC36" s="59"/>
      <c r="BD36" s="56">
        <v>31955</v>
      </c>
      <c r="BE36" s="56"/>
      <c r="BF36" s="58">
        <f t="shared" si="17"/>
        <v>29780</v>
      </c>
      <c r="BG36" s="58">
        <f t="shared" si="67"/>
        <v>136.54749069454982</v>
      </c>
      <c r="BH36" s="1133"/>
      <c r="BI36" s="64">
        <f t="shared" si="29"/>
        <v>432</v>
      </c>
      <c r="BJ36" s="64"/>
      <c r="BK36" s="64">
        <v>432</v>
      </c>
      <c r="BL36" s="64"/>
      <c r="BM36" s="65"/>
      <c r="BN36" s="64">
        <f t="shared" si="60"/>
        <v>1920</v>
      </c>
      <c r="BO36" s="65"/>
      <c r="BP36" s="1071"/>
      <c r="BQ36" s="77">
        <f t="shared" si="19"/>
        <v>27163</v>
      </c>
      <c r="BR36" s="35"/>
      <c r="BS36" s="35">
        <v>22857</v>
      </c>
      <c r="BT36" s="35">
        <f t="shared" si="45"/>
        <v>4306</v>
      </c>
      <c r="BU36" s="74">
        <f>BT36*1000/D36</f>
        <v>524.68300909239338</v>
      </c>
      <c r="BV36" s="74">
        <f t="shared" si="61"/>
        <v>148627</v>
      </c>
      <c r="BW36" s="74">
        <f>BV36*1000/E36</f>
        <v>681.4856917212511</v>
      </c>
      <c r="BX36" s="1098"/>
    </row>
    <row r="37" spans="1:76">
      <c r="A37" s="30">
        <v>43254</v>
      </c>
      <c r="B37" s="32">
        <v>328830</v>
      </c>
      <c r="C37" s="1">
        <f t="shared" si="10"/>
        <v>15267039</v>
      </c>
      <c r="D37" s="29">
        <v>5943.64</v>
      </c>
      <c r="E37" s="93">
        <f t="shared" si="21"/>
        <v>224036.26000000007</v>
      </c>
      <c r="F37" s="227"/>
      <c r="G37" s="227"/>
      <c r="H37" s="227"/>
      <c r="I37" s="227"/>
      <c r="J37" s="227"/>
      <c r="K37" s="227"/>
      <c r="L37" s="227"/>
      <c r="M37" s="227"/>
      <c r="N37" s="227"/>
      <c r="O37" s="227"/>
      <c r="P37" s="35">
        <f t="shared" si="11"/>
        <v>39730</v>
      </c>
      <c r="Q37" s="35"/>
      <c r="R37" s="35">
        <v>36681</v>
      </c>
      <c r="S37" s="35">
        <f t="shared" ref="S37:S46" si="68">P37-R37+Q37</f>
        <v>3049</v>
      </c>
      <c r="T37" s="36">
        <f t="shared" ref="T37:T68" si="69">S37*1000/B37</f>
        <v>9.2722683453456192</v>
      </c>
      <c r="U37" s="74">
        <f t="shared" si="55"/>
        <v>41848</v>
      </c>
      <c r="V37" s="36">
        <f t="shared" ref="V37:V46" si="70">U37*1000/C37</f>
        <v>2.7410685202284477</v>
      </c>
      <c r="W37" s="1136"/>
      <c r="X37" s="49">
        <f t="shared" si="43"/>
        <v>1168</v>
      </c>
      <c r="Y37" s="50"/>
      <c r="Z37" s="50">
        <v>1168</v>
      </c>
      <c r="AA37" s="50"/>
      <c r="AB37" s="51"/>
      <c r="AC37" s="50">
        <f t="shared" si="56"/>
        <v>3578</v>
      </c>
      <c r="AD37" s="51"/>
      <c r="AE37" s="1047"/>
      <c r="AF37" s="40">
        <f t="shared" si="25"/>
        <v>348</v>
      </c>
      <c r="AG37" s="44"/>
      <c r="AH37" s="41">
        <v>348</v>
      </c>
      <c r="AI37" s="41"/>
      <c r="AJ37" s="42"/>
      <c r="AK37" s="41">
        <f t="shared" si="57"/>
        <v>2212</v>
      </c>
      <c r="AL37" s="42"/>
      <c r="AM37" s="1058"/>
      <c r="AN37" s="67">
        <v>4</v>
      </c>
      <c r="AO37" s="67">
        <v>24</v>
      </c>
      <c r="AP37" s="68">
        <f t="shared" si="14"/>
        <v>50.88</v>
      </c>
      <c r="AQ37" s="68">
        <f t="shared" si="63"/>
        <v>8.5604107920398942</v>
      </c>
      <c r="AR37" s="69">
        <f t="shared" si="62"/>
        <v>1835.5416000000007</v>
      </c>
      <c r="AS37" s="140">
        <f t="shared" si="64"/>
        <v>8.1930558919346375</v>
      </c>
      <c r="AT37" s="1073"/>
      <c r="AU37" s="70">
        <v>3.6</v>
      </c>
      <c r="AV37" s="71">
        <v>10</v>
      </c>
      <c r="AW37" s="72">
        <f t="shared" si="58"/>
        <v>16.812000000000001</v>
      </c>
      <c r="AX37" s="72">
        <f t="shared" si="65"/>
        <v>2.8285696980301633</v>
      </c>
      <c r="AY37" s="73">
        <f t="shared" si="59"/>
        <v>637.26800000000003</v>
      </c>
      <c r="AZ37" s="192">
        <f t="shared" si="66"/>
        <v>2.8444859774038354</v>
      </c>
      <c r="BA37" s="1075"/>
      <c r="BB37" s="90">
        <f t="shared" si="16"/>
        <v>31955</v>
      </c>
      <c r="BC37" s="59"/>
      <c r="BD37" s="56">
        <v>31955</v>
      </c>
      <c r="BE37" s="56"/>
      <c r="BF37" s="58">
        <f t="shared" ref="BF37:BF68" si="71">BF36+BE37</f>
        <v>29780</v>
      </c>
      <c r="BG37" s="58">
        <f t="shared" si="67"/>
        <v>132.92491135140352</v>
      </c>
      <c r="BH37" s="1133"/>
      <c r="BI37" s="64">
        <f t="shared" si="29"/>
        <v>432</v>
      </c>
      <c r="BJ37" s="64"/>
      <c r="BK37" s="64">
        <v>240</v>
      </c>
      <c r="BL37" s="64">
        <f t="shared" ref="BL37:BL48" si="72">BI37+BJ37-BK37</f>
        <v>192</v>
      </c>
      <c r="BM37" s="65">
        <f t="shared" ref="BM37:BM48" si="73">BL37*1000/B37</f>
        <v>0.5838883313566281</v>
      </c>
      <c r="BN37" s="64">
        <f t="shared" si="60"/>
        <v>2112</v>
      </c>
      <c r="BO37" s="65">
        <f t="shared" ref="BO37:BO48" si="74">BN37*1000/C37</f>
        <v>0.13833723749575802</v>
      </c>
      <c r="BP37" s="1071"/>
      <c r="BQ37" s="77">
        <f t="shared" si="19"/>
        <v>22857</v>
      </c>
      <c r="BR37" s="35"/>
      <c r="BS37" s="35">
        <v>17312</v>
      </c>
      <c r="BT37" s="35">
        <f t="shared" si="45"/>
        <v>5545</v>
      </c>
      <c r="BU37" s="74">
        <f>BT37*1000/D37</f>
        <v>932.92998903029115</v>
      </c>
      <c r="BV37" s="74">
        <f t="shared" si="61"/>
        <v>154172</v>
      </c>
      <c r="BW37" s="74">
        <f>BV37*1000/E37</f>
        <v>688.15646181560055</v>
      </c>
      <c r="BX37" s="1098"/>
    </row>
    <row r="38" spans="1:76">
      <c r="A38" s="30">
        <v>43255</v>
      </c>
      <c r="B38" s="32">
        <v>533731</v>
      </c>
      <c r="C38" s="1">
        <f t="shared" si="10"/>
        <v>15800770</v>
      </c>
      <c r="D38" s="29">
        <v>7402.18</v>
      </c>
      <c r="E38" s="93">
        <f t="shared" si="21"/>
        <v>231438.44000000006</v>
      </c>
      <c r="F38" s="227"/>
      <c r="G38" s="227"/>
      <c r="H38" s="227"/>
      <c r="I38" s="227"/>
      <c r="J38" s="227"/>
      <c r="K38" s="227"/>
      <c r="L38" s="227"/>
      <c r="M38" s="227"/>
      <c r="N38" s="227"/>
      <c r="O38" s="227"/>
      <c r="P38" s="35">
        <f t="shared" si="11"/>
        <v>36681</v>
      </c>
      <c r="Q38" s="35"/>
      <c r="R38" s="35">
        <v>34405</v>
      </c>
      <c r="S38" s="35">
        <f t="shared" si="68"/>
        <v>2276</v>
      </c>
      <c r="T38" s="36">
        <f t="shared" si="69"/>
        <v>4.2643204160897534</v>
      </c>
      <c r="U38" s="74">
        <f t="shared" ref="U38:U64" si="75">U37+S38</f>
        <v>44124</v>
      </c>
      <c r="V38" s="36">
        <f t="shared" si="70"/>
        <v>2.7925221365794197</v>
      </c>
      <c r="W38" s="1136"/>
      <c r="X38" s="49">
        <f t="shared" si="43"/>
        <v>1168</v>
      </c>
      <c r="Y38" s="50">
        <v>90</v>
      </c>
      <c r="Z38" s="50">
        <v>779</v>
      </c>
      <c r="AA38" s="50">
        <f>X38+Y38-Z38</f>
        <v>479</v>
      </c>
      <c r="AB38" s="51">
        <f>AA38*1000/B38</f>
        <v>0.89745583449340582</v>
      </c>
      <c r="AC38" s="50">
        <f t="shared" ref="AC38:AC64" si="76">AC37+AA38</f>
        <v>4057</v>
      </c>
      <c r="AD38" s="51">
        <f>AC38*1000/C38</f>
        <v>0.2567596389289889</v>
      </c>
      <c r="AE38" s="1047"/>
      <c r="AF38" s="40">
        <f t="shared" si="25"/>
        <v>348</v>
      </c>
      <c r="AG38" s="44"/>
      <c r="AH38" s="41">
        <v>342</v>
      </c>
      <c r="AI38" s="41">
        <f t="shared" ref="AI38:AI48" si="77">AF38+AG38-AH38</f>
        <v>6</v>
      </c>
      <c r="AJ38" s="42">
        <f t="shared" ref="AJ38:AJ48" si="78">AI38*1000/B38</f>
        <v>1.1241617968602161E-2</v>
      </c>
      <c r="AK38" s="41">
        <f t="shared" si="57"/>
        <v>2218</v>
      </c>
      <c r="AL38" s="42">
        <f t="shared" ref="AL38:AL48" si="79">AK38*1000/C38</f>
        <v>0.14037290587737181</v>
      </c>
      <c r="AM38" s="1058"/>
      <c r="AN38" s="67">
        <v>4.8</v>
      </c>
      <c r="AO38" s="67">
        <v>24</v>
      </c>
      <c r="AP38" s="68">
        <f t="shared" si="14"/>
        <v>61.055999999999997</v>
      </c>
      <c r="AQ38" s="68">
        <f t="shared" si="63"/>
        <v>8.2483808823887017</v>
      </c>
      <c r="AR38" s="69">
        <f t="shared" si="62"/>
        <v>1896.5976000000007</v>
      </c>
      <c r="AS38" s="140">
        <f t="shared" si="64"/>
        <v>8.1948253712736765</v>
      </c>
      <c r="AT38" s="1073"/>
      <c r="AU38" s="70">
        <v>4.7</v>
      </c>
      <c r="AV38" s="71">
        <v>10</v>
      </c>
      <c r="AW38" s="72">
        <f t="shared" si="58"/>
        <v>21.949000000000002</v>
      </c>
      <c r="AX38" s="72">
        <f t="shared" si="65"/>
        <v>2.9652075469658938</v>
      </c>
      <c r="AY38" s="73">
        <f t="shared" si="59"/>
        <v>659.21699999999998</v>
      </c>
      <c r="AZ38" s="192">
        <f t="shared" si="66"/>
        <v>2.8483470593735416</v>
      </c>
      <c r="BA38" s="1075"/>
      <c r="BB38" s="90">
        <f t="shared" ref="BB38:BB64" si="80">BD37</f>
        <v>31955</v>
      </c>
      <c r="BC38" s="59"/>
      <c r="BD38" s="56">
        <v>31955</v>
      </c>
      <c r="BE38" s="56"/>
      <c r="BF38" s="58">
        <f t="shared" si="71"/>
        <v>29780</v>
      </c>
      <c r="BG38" s="58">
        <f t="shared" si="67"/>
        <v>128.67352545238376</v>
      </c>
      <c r="BH38" s="1133"/>
      <c r="BI38" s="64">
        <f t="shared" ref="BI38:BI46" si="81">BK37</f>
        <v>240</v>
      </c>
      <c r="BJ38" s="64"/>
      <c r="BK38" s="64">
        <v>36</v>
      </c>
      <c r="BL38" s="64">
        <f t="shared" si="72"/>
        <v>204</v>
      </c>
      <c r="BM38" s="65">
        <f t="shared" si="73"/>
        <v>0.38221501093247345</v>
      </c>
      <c r="BN38" s="64">
        <f t="shared" ref="BN38:BN64" si="82">BN37+BL38</f>
        <v>2316</v>
      </c>
      <c r="BO38" s="65">
        <f t="shared" si="74"/>
        <v>0.14657513526239543</v>
      </c>
      <c r="BP38" s="1071"/>
      <c r="BQ38" s="77">
        <f t="shared" si="19"/>
        <v>17312</v>
      </c>
      <c r="BR38" s="35"/>
      <c r="BS38" s="35">
        <v>17312</v>
      </c>
      <c r="BT38" s="35"/>
      <c r="BU38" s="74"/>
      <c r="BV38" s="74">
        <f t="shared" ref="BV38:BV44" si="83">BV37+BT38</f>
        <v>154172</v>
      </c>
      <c r="BW38" s="74"/>
      <c r="BX38" s="1098"/>
    </row>
    <row r="39" spans="1:76">
      <c r="A39" s="30">
        <v>43256</v>
      </c>
      <c r="B39" s="32">
        <v>581878</v>
      </c>
      <c r="C39" s="1">
        <f t="shared" si="10"/>
        <v>16382648</v>
      </c>
      <c r="D39" s="29">
        <v>7563.9800000000005</v>
      </c>
      <c r="E39" s="93">
        <f t="shared" si="21"/>
        <v>239002.42000000007</v>
      </c>
      <c r="F39" s="227"/>
      <c r="G39" s="227"/>
      <c r="H39" s="227"/>
      <c r="I39" s="227"/>
      <c r="J39" s="227"/>
      <c r="K39" s="227"/>
      <c r="L39" s="227"/>
      <c r="M39" s="227"/>
      <c r="N39" s="227"/>
      <c r="O39" s="227"/>
      <c r="P39" s="35">
        <f t="shared" si="11"/>
        <v>34405</v>
      </c>
      <c r="Q39" s="35"/>
      <c r="R39" s="35">
        <v>32926</v>
      </c>
      <c r="S39" s="35">
        <f t="shared" si="68"/>
        <v>1479</v>
      </c>
      <c r="T39" s="36">
        <f t="shared" si="69"/>
        <v>2.5417699242796599</v>
      </c>
      <c r="U39" s="74">
        <f t="shared" si="75"/>
        <v>45603</v>
      </c>
      <c r="V39" s="36">
        <f t="shared" si="70"/>
        <v>2.7836159331507337</v>
      </c>
      <c r="W39" s="1136"/>
      <c r="X39" s="49">
        <f t="shared" si="43"/>
        <v>779</v>
      </c>
      <c r="Y39" s="50">
        <v>810</v>
      </c>
      <c r="Z39" s="50">
        <v>1411</v>
      </c>
      <c r="AA39" s="50">
        <f>X39+Y39-Z39</f>
        <v>178</v>
      </c>
      <c r="AB39" s="51">
        <f>AA39*1000/B39</f>
        <v>0.30590604903433366</v>
      </c>
      <c r="AC39" s="50">
        <f t="shared" si="76"/>
        <v>4235</v>
      </c>
      <c r="AD39" s="51">
        <f>AC39*1000/C39</f>
        <v>0.25850521844820201</v>
      </c>
      <c r="AE39" s="1047"/>
      <c r="AF39" s="40">
        <f t="shared" si="25"/>
        <v>342</v>
      </c>
      <c r="AG39" s="44"/>
      <c r="AH39" s="41">
        <v>307</v>
      </c>
      <c r="AI39" s="41">
        <f t="shared" si="77"/>
        <v>35</v>
      </c>
      <c r="AJ39" s="42">
        <f t="shared" si="78"/>
        <v>6.0150065821357741E-2</v>
      </c>
      <c r="AK39" s="41">
        <f t="shared" ref="AK39:AK64" si="84">AK38+AI39</f>
        <v>2253</v>
      </c>
      <c r="AL39" s="42">
        <f t="shared" si="79"/>
        <v>0.13752355541057831</v>
      </c>
      <c r="AM39" s="1058"/>
      <c r="AN39" s="67">
        <v>4.8</v>
      </c>
      <c r="AO39" s="67">
        <v>24</v>
      </c>
      <c r="AP39" s="68">
        <f t="shared" si="14"/>
        <v>61.055999999999997</v>
      </c>
      <c r="AQ39" s="68">
        <f t="shared" si="63"/>
        <v>8.0719409622976261</v>
      </c>
      <c r="AR39" s="69">
        <f t="shared" si="62"/>
        <v>1957.6536000000008</v>
      </c>
      <c r="AS39" s="140">
        <f t="shared" si="64"/>
        <v>8.1909363093478316</v>
      </c>
      <c r="AT39" s="1073"/>
      <c r="AU39" s="70">
        <v>4.9000000000000004</v>
      </c>
      <c r="AV39" s="71">
        <v>10</v>
      </c>
      <c r="AW39" s="72">
        <f t="shared" si="58"/>
        <v>22.883000000000003</v>
      </c>
      <c r="AX39" s="72">
        <f t="shared" si="65"/>
        <v>3.0252591889455025</v>
      </c>
      <c r="AY39" s="73">
        <f t="shared" si="59"/>
        <v>682.1</v>
      </c>
      <c r="AZ39" s="192">
        <f t="shared" si="66"/>
        <v>2.8539459977016124</v>
      </c>
      <c r="BA39" s="1075"/>
      <c r="BB39" s="90">
        <f t="shared" si="80"/>
        <v>31955</v>
      </c>
      <c r="BC39" s="59"/>
      <c r="BD39" s="56">
        <v>31955</v>
      </c>
      <c r="BE39" s="56"/>
      <c r="BF39" s="58">
        <f t="shared" si="71"/>
        <v>29780</v>
      </c>
      <c r="BG39" s="58">
        <f t="shared" si="67"/>
        <v>124.60124880743882</v>
      </c>
      <c r="BH39" s="1133"/>
      <c r="BI39" s="64">
        <f t="shared" si="81"/>
        <v>36</v>
      </c>
      <c r="BJ39" s="64">
        <v>1200</v>
      </c>
      <c r="BK39" s="64">
        <v>1188</v>
      </c>
      <c r="BL39" s="64">
        <f t="shared" si="72"/>
        <v>48</v>
      </c>
      <c r="BM39" s="65">
        <f t="shared" si="73"/>
        <v>8.2491518840719188E-2</v>
      </c>
      <c r="BN39" s="64">
        <f t="shared" si="82"/>
        <v>2364</v>
      </c>
      <c r="BO39" s="65">
        <f t="shared" si="74"/>
        <v>0.14429901686223132</v>
      </c>
      <c r="BP39" s="1071"/>
      <c r="BQ39" s="77">
        <f t="shared" si="19"/>
        <v>17312</v>
      </c>
      <c r="BR39" s="35">
        <v>13000</v>
      </c>
      <c r="BS39" s="35">
        <f>28402</f>
        <v>28402</v>
      </c>
      <c r="BT39" s="35">
        <f>BQ39-BS39+BR39</f>
        <v>1910</v>
      </c>
      <c r="BU39" s="74">
        <f>BT39*1000/D39</f>
        <v>252.51256613581737</v>
      </c>
      <c r="BV39" s="74">
        <f t="shared" si="83"/>
        <v>156082</v>
      </c>
      <c r="BW39" s="74">
        <f>BV39*1000/E39</f>
        <v>653.05614897121109</v>
      </c>
      <c r="BX39" s="1098"/>
    </row>
    <row r="40" spans="1:76">
      <c r="A40" s="30">
        <v>43257</v>
      </c>
      <c r="B40" s="32">
        <v>530994</v>
      </c>
      <c r="C40" s="1">
        <f t="shared" si="10"/>
        <v>16913642</v>
      </c>
      <c r="D40" s="29">
        <v>7018.22</v>
      </c>
      <c r="E40" s="93">
        <f t="shared" si="21"/>
        <v>246020.64000000007</v>
      </c>
      <c r="F40" s="227"/>
      <c r="G40" s="227"/>
      <c r="H40" s="227"/>
      <c r="I40" s="227"/>
      <c r="J40" s="227"/>
      <c r="K40" s="227"/>
      <c r="L40" s="227"/>
      <c r="M40" s="227"/>
      <c r="N40" s="227"/>
      <c r="O40" s="227"/>
      <c r="P40" s="35">
        <f t="shared" si="11"/>
        <v>32926</v>
      </c>
      <c r="Q40" s="35"/>
      <c r="R40" s="35">
        <v>31041</v>
      </c>
      <c r="S40" s="35">
        <f t="shared" si="68"/>
        <v>1885</v>
      </c>
      <c r="T40" s="36">
        <f t="shared" si="69"/>
        <v>3.5499459504250517</v>
      </c>
      <c r="U40" s="74">
        <f t="shared" si="75"/>
        <v>47488</v>
      </c>
      <c r="V40" s="36">
        <f t="shared" si="70"/>
        <v>2.8076744204471158</v>
      </c>
      <c r="W40" s="1136"/>
      <c r="X40" s="49">
        <f t="shared" si="43"/>
        <v>1411</v>
      </c>
      <c r="Y40" s="50"/>
      <c r="Z40" s="50">
        <v>1318</v>
      </c>
      <c r="AA40" s="50">
        <f>X40+Y40-Z40</f>
        <v>93</v>
      </c>
      <c r="AB40" s="51">
        <f>AA40*1000/B40</f>
        <v>0.17514322195731025</v>
      </c>
      <c r="AC40" s="50">
        <f t="shared" si="76"/>
        <v>4328</v>
      </c>
      <c r="AD40" s="51">
        <f>AC40*1000/C40</f>
        <v>0.25588811682309465</v>
      </c>
      <c r="AE40" s="1047"/>
      <c r="AF40" s="40">
        <f t="shared" si="25"/>
        <v>307</v>
      </c>
      <c r="AG40" s="44"/>
      <c r="AH40" s="41">
        <v>240</v>
      </c>
      <c r="AI40" s="41">
        <f t="shared" si="77"/>
        <v>67</v>
      </c>
      <c r="AJ40" s="42">
        <f t="shared" si="78"/>
        <v>0.12617845022730953</v>
      </c>
      <c r="AK40" s="41">
        <f t="shared" si="84"/>
        <v>2320</v>
      </c>
      <c r="AL40" s="42">
        <f t="shared" si="79"/>
        <v>0.13716738240054979</v>
      </c>
      <c r="AM40" s="1058"/>
      <c r="AN40" s="67">
        <v>4</v>
      </c>
      <c r="AO40" s="67">
        <v>24</v>
      </c>
      <c r="AP40" s="68">
        <f t="shared" si="14"/>
        <v>50.88</v>
      </c>
      <c r="AQ40" s="68">
        <f t="shared" si="63"/>
        <v>7.2497014912613169</v>
      </c>
      <c r="AR40" s="69">
        <f t="shared" si="62"/>
        <v>2008.5336000000009</v>
      </c>
      <c r="AS40" s="140">
        <f t="shared" si="64"/>
        <v>8.1640857450009072</v>
      </c>
      <c r="AT40" s="1073"/>
      <c r="AU40" s="70">
        <v>4.5</v>
      </c>
      <c r="AV40" s="71">
        <v>10</v>
      </c>
      <c r="AW40" s="72">
        <f t="shared" si="58"/>
        <v>21.015000000000001</v>
      </c>
      <c r="AX40" s="72">
        <f t="shared" si="65"/>
        <v>2.9943489944743824</v>
      </c>
      <c r="AY40" s="73">
        <f t="shared" si="59"/>
        <v>703.11500000000001</v>
      </c>
      <c r="AZ40" s="192">
        <f t="shared" si="66"/>
        <v>2.8579512678285846</v>
      </c>
      <c r="BA40" s="1075"/>
      <c r="BB40" s="90">
        <f t="shared" si="80"/>
        <v>31955</v>
      </c>
      <c r="BC40" s="59"/>
      <c r="BD40" s="56">
        <v>31955</v>
      </c>
      <c r="BE40" s="56"/>
      <c r="BF40" s="58">
        <f t="shared" si="71"/>
        <v>29780</v>
      </c>
      <c r="BG40" s="58">
        <f t="shared" si="67"/>
        <v>121.04675445117121</v>
      </c>
      <c r="BH40" s="1133"/>
      <c r="BI40" s="64">
        <f t="shared" si="81"/>
        <v>1188</v>
      </c>
      <c r="BJ40" s="64"/>
      <c r="BK40" s="64">
        <v>1080</v>
      </c>
      <c r="BL40" s="64">
        <f t="shared" si="72"/>
        <v>108</v>
      </c>
      <c r="BM40" s="65">
        <f t="shared" si="73"/>
        <v>0.20339212872461837</v>
      </c>
      <c r="BN40" s="64">
        <f t="shared" si="82"/>
        <v>2472</v>
      </c>
      <c r="BO40" s="65">
        <f t="shared" si="74"/>
        <v>0.14615421090265479</v>
      </c>
      <c r="BP40" s="1071"/>
      <c r="BQ40" s="77">
        <f t="shared" si="19"/>
        <v>28402</v>
      </c>
      <c r="BR40" s="35">
        <v>32140</v>
      </c>
      <c r="BS40" s="35">
        <f>43189+6600</f>
        <v>49789</v>
      </c>
      <c r="BT40" s="35">
        <f>BQ40-BS40+BR40</f>
        <v>10753</v>
      </c>
      <c r="BU40" s="74">
        <f>BT40*1000/D40</f>
        <v>1532.1548768776129</v>
      </c>
      <c r="BV40" s="74">
        <f t="shared" si="83"/>
        <v>166835</v>
      </c>
      <c r="BW40" s="74">
        <f>BV40*1000/E40</f>
        <v>678.13415980057584</v>
      </c>
      <c r="BX40" s="1098"/>
    </row>
    <row r="41" spans="1:76">
      <c r="A41" s="30">
        <v>43258</v>
      </c>
      <c r="B41" s="32">
        <v>613207</v>
      </c>
      <c r="C41" s="1">
        <f t="shared" si="10"/>
        <v>17526849</v>
      </c>
      <c r="D41" s="29">
        <v>6093.4400000000005</v>
      </c>
      <c r="E41" s="93">
        <f t="shared" si="21"/>
        <v>252114.08000000007</v>
      </c>
      <c r="F41" s="227"/>
      <c r="G41" s="227"/>
      <c r="H41" s="227"/>
      <c r="I41" s="227"/>
      <c r="J41" s="227"/>
      <c r="K41" s="227"/>
      <c r="L41" s="227"/>
      <c r="M41" s="227"/>
      <c r="N41" s="227"/>
      <c r="O41" s="227"/>
      <c r="P41" s="35">
        <f t="shared" si="11"/>
        <v>31041</v>
      </c>
      <c r="Q41" s="35"/>
      <c r="R41" s="35">
        <v>28350</v>
      </c>
      <c r="S41" s="35">
        <f t="shared" si="68"/>
        <v>2691</v>
      </c>
      <c r="T41" s="36">
        <f t="shared" si="69"/>
        <v>4.3884039158065713</v>
      </c>
      <c r="U41" s="74">
        <f t="shared" si="75"/>
        <v>50179</v>
      </c>
      <c r="V41" s="36">
        <f t="shared" si="70"/>
        <v>2.8629789644447783</v>
      </c>
      <c r="W41" s="1136"/>
      <c r="X41" s="49">
        <f t="shared" si="43"/>
        <v>1318</v>
      </c>
      <c r="Y41" s="50"/>
      <c r="Z41" s="50">
        <v>1318</v>
      </c>
      <c r="AA41" s="50"/>
      <c r="AB41" s="51"/>
      <c r="AC41" s="50">
        <f t="shared" si="76"/>
        <v>4328</v>
      </c>
      <c r="AD41" s="51"/>
      <c r="AE41" s="1047"/>
      <c r="AF41" s="40">
        <f t="shared" si="25"/>
        <v>240</v>
      </c>
      <c r="AG41" s="44"/>
      <c r="AH41" s="41">
        <v>162</v>
      </c>
      <c r="AI41" s="41">
        <f t="shared" si="77"/>
        <v>78</v>
      </c>
      <c r="AJ41" s="42">
        <f t="shared" si="78"/>
        <v>0.12720011350163973</v>
      </c>
      <c r="AK41" s="41">
        <f t="shared" si="84"/>
        <v>2398</v>
      </c>
      <c r="AL41" s="42">
        <f t="shared" si="79"/>
        <v>0.13681866033078735</v>
      </c>
      <c r="AM41" s="1058"/>
      <c r="AN41" s="67">
        <v>4</v>
      </c>
      <c r="AO41" s="67">
        <v>24</v>
      </c>
      <c r="AP41" s="68">
        <f t="shared" si="14"/>
        <v>50.88</v>
      </c>
      <c r="AQ41" s="68">
        <f t="shared" si="63"/>
        <v>8.3499632391555494</v>
      </c>
      <c r="AR41" s="69">
        <f t="shared" si="62"/>
        <v>2059.4136000000008</v>
      </c>
      <c r="AS41" s="140">
        <f t="shared" si="64"/>
        <v>8.1685782880511884</v>
      </c>
      <c r="AT41" s="1073"/>
      <c r="AU41" s="70">
        <v>3.7</v>
      </c>
      <c r="AV41" s="71">
        <v>10</v>
      </c>
      <c r="AW41" s="72">
        <f t="shared" si="58"/>
        <v>17.279</v>
      </c>
      <c r="AX41" s="72">
        <f t="shared" si="65"/>
        <v>2.835672460875958</v>
      </c>
      <c r="AY41" s="73">
        <f t="shared" si="59"/>
        <v>720.39400000000001</v>
      </c>
      <c r="AZ41" s="192">
        <f t="shared" si="66"/>
        <v>2.8574128029660217</v>
      </c>
      <c r="BA41" s="1075"/>
      <c r="BB41" s="90">
        <f t="shared" si="80"/>
        <v>31955</v>
      </c>
      <c r="BC41" s="59"/>
      <c r="BD41" s="56">
        <v>31955</v>
      </c>
      <c r="BE41" s="56"/>
      <c r="BF41" s="58">
        <f t="shared" si="71"/>
        <v>29780</v>
      </c>
      <c r="BG41" s="58">
        <f t="shared" si="67"/>
        <v>118.12112992657923</v>
      </c>
      <c r="BH41" s="1133"/>
      <c r="BI41" s="64">
        <f t="shared" si="81"/>
        <v>1080</v>
      </c>
      <c r="BJ41" s="64"/>
      <c r="BK41" s="64">
        <v>960</v>
      </c>
      <c r="BL41" s="64">
        <f t="shared" si="72"/>
        <v>120</v>
      </c>
      <c r="BM41" s="65">
        <f t="shared" si="73"/>
        <v>0.19569248231021499</v>
      </c>
      <c r="BN41" s="64">
        <f t="shared" si="82"/>
        <v>2592</v>
      </c>
      <c r="BO41" s="65">
        <f t="shared" si="74"/>
        <v>0.14788739265112627</v>
      </c>
      <c r="BP41" s="1071"/>
      <c r="BQ41" s="77">
        <f t="shared" si="19"/>
        <v>49789</v>
      </c>
      <c r="BR41" s="98"/>
      <c r="BS41" s="35">
        <f>36719+6600</f>
        <v>43319</v>
      </c>
      <c r="BT41" s="35">
        <f>BQ41-BS41+BR41</f>
        <v>6470</v>
      </c>
      <c r="BU41" s="74">
        <f>BT41*1000/D41</f>
        <v>1061.7976052935614</v>
      </c>
      <c r="BV41" s="74">
        <f t="shared" si="83"/>
        <v>173305</v>
      </c>
      <c r="BW41" s="74">
        <f>BV41*1000/E41</f>
        <v>687.40706588065188</v>
      </c>
      <c r="BX41" s="1098"/>
    </row>
    <row r="42" spans="1:76">
      <c r="A42" s="30">
        <v>43259</v>
      </c>
      <c r="B42" s="32">
        <v>623621</v>
      </c>
      <c r="C42" s="1">
        <f t="shared" si="10"/>
        <v>18150470</v>
      </c>
      <c r="D42" s="29">
        <v>7583.55</v>
      </c>
      <c r="E42" s="93">
        <f t="shared" si="21"/>
        <v>259697.63000000006</v>
      </c>
      <c r="F42" s="227"/>
      <c r="G42" s="227"/>
      <c r="H42" s="227"/>
      <c r="I42" s="227"/>
      <c r="J42" s="227"/>
      <c r="K42" s="227"/>
      <c r="L42" s="227"/>
      <c r="M42" s="227"/>
      <c r="N42" s="227"/>
      <c r="O42" s="227"/>
      <c r="P42" s="35">
        <f t="shared" si="11"/>
        <v>28350</v>
      </c>
      <c r="Q42" s="35"/>
      <c r="R42" s="35">
        <v>27813</v>
      </c>
      <c r="S42" s="35">
        <f t="shared" si="68"/>
        <v>537</v>
      </c>
      <c r="T42" s="36">
        <f t="shared" si="69"/>
        <v>0.86109993088751025</v>
      </c>
      <c r="U42" s="74">
        <f t="shared" si="75"/>
        <v>50716</v>
      </c>
      <c r="V42" s="36">
        <f t="shared" si="70"/>
        <v>2.7941976158193147</v>
      </c>
      <c r="W42" s="1136"/>
      <c r="X42" s="49">
        <f t="shared" si="43"/>
        <v>1318</v>
      </c>
      <c r="Y42" s="50"/>
      <c r="Z42" s="50">
        <f>1268+56-23</f>
        <v>1301</v>
      </c>
      <c r="AA42" s="50">
        <f t="shared" ref="AA42:AA48" si="85">X42+Y42-Z42</f>
        <v>17</v>
      </c>
      <c r="AB42" s="51">
        <f t="shared" ref="AB42:AB48" si="86">AA42*1000/B42</f>
        <v>2.7260146787872763E-2</v>
      </c>
      <c r="AC42" s="50">
        <f t="shared" si="76"/>
        <v>4345</v>
      </c>
      <c r="AD42" s="51">
        <f t="shared" ref="AD42:AD48" si="87">AC42*1000/C42</f>
        <v>0.23938774037256336</v>
      </c>
      <c r="AE42" s="1047"/>
      <c r="AF42" s="40">
        <f t="shared" si="25"/>
        <v>162</v>
      </c>
      <c r="AG42" s="44"/>
      <c r="AH42" s="41">
        <v>94</v>
      </c>
      <c r="AI42" s="41">
        <f t="shared" si="77"/>
        <v>68</v>
      </c>
      <c r="AJ42" s="42">
        <f t="shared" si="78"/>
        <v>0.10904058715149105</v>
      </c>
      <c r="AK42" s="41">
        <f t="shared" si="84"/>
        <v>2466</v>
      </c>
      <c r="AL42" s="42">
        <f t="shared" si="79"/>
        <v>0.13586425034723618</v>
      </c>
      <c r="AM42" s="1058"/>
      <c r="AN42" s="67">
        <v>4.3</v>
      </c>
      <c r="AO42" s="67">
        <v>24</v>
      </c>
      <c r="AP42" s="68">
        <f t="shared" si="14"/>
        <v>54.695999999999998</v>
      </c>
      <c r="AQ42" s="68">
        <f t="shared" si="63"/>
        <v>7.2124532705658959</v>
      </c>
      <c r="AR42" s="69">
        <f t="shared" si="62"/>
        <v>2114.1096000000007</v>
      </c>
      <c r="AS42" s="140">
        <f t="shared" si="64"/>
        <v>8.1406580414307204</v>
      </c>
      <c r="AT42" s="1073"/>
      <c r="AU42" s="70">
        <v>6</v>
      </c>
      <c r="AV42" s="71">
        <v>10</v>
      </c>
      <c r="AW42" s="72">
        <f t="shared" si="58"/>
        <v>28.020000000000003</v>
      </c>
      <c r="AX42" s="72">
        <f t="shared" si="65"/>
        <v>3.6948394881025379</v>
      </c>
      <c r="AY42" s="73">
        <f t="shared" si="59"/>
        <v>748.41399999999999</v>
      </c>
      <c r="AZ42" s="192">
        <f t="shared" si="66"/>
        <v>2.8818668849615601</v>
      </c>
      <c r="BA42" s="1075"/>
      <c r="BB42" s="90">
        <f t="shared" si="80"/>
        <v>31955</v>
      </c>
      <c r="BC42" s="59"/>
      <c r="BD42" s="56">
        <v>31955</v>
      </c>
      <c r="BE42" s="56"/>
      <c r="BF42" s="58">
        <f t="shared" si="71"/>
        <v>29780</v>
      </c>
      <c r="BG42" s="58">
        <f t="shared" si="67"/>
        <v>114.67182045519627</v>
      </c>
      <c r="BH42" s="1133"/>
      <c r="BI42" s="64">
        <f t="shared" si="81"/>
        <v>960</v>
      </c>
      <c r="BJ42" s="64"/>
      <c r="BK42" s="64">
        <v>864</v>
      </c>
      <c r="BL42" s="64">
        <f t="shared" si="72"/>
        <v>96</v>
      </c>
      <c r="BM42" s="65">
        <f t="shared" si="73"/>
        <v>0.15393965244916383</v>
      </c>
      <c r="BN42" s="64">
        <f t="shared" si="82"/>
        <v>2688</v>
      </c>
      <c r="BO42" s="65">
        <f t="shared" si="74"/>
        <v>0.14809533857800927</v>
      </c>
      <c r="BP42" s="1071"/>
      <c r="BQ42" s="77">
        <f t="shared" si="19"/>
        <v>43319</v>
      </c>
      <c r="BR42" s="98"/>
      <c r="BS42" s="99">
        <v>43319</v>
      </c>
      <c r="BT42" s="35"/>
      <c r="BU42" s="74"/>
      <c r="BV42" s="74">
        <f t="shared" si="83"/>
        <v>173305</v>
      </c>
      <c r="BW42" s="74"/>
      <c r="BX42" s="1098"/>
    </row>
    <row r="43" spans="1:76">
      <c r="A43" s="30">
        <v>43260</v>
      </c>
      <c r="B43" s="32">
        <v>604007</v>
      </c>
      <c r="C43" s="1">
        <f t="shared" si="10"/>
        <v>18754477</v>
      </c>
      <c r="D43" s="29">
        <v>7335.1100000000006</v>
      </c>
      <c r="E43" s="93">
        <f t="shared" si="21"/>
        <v>267032.74000000005</v>
      </c>
      <c r="F43" s="227"/>
      <c r="G43" s="227"/>
      <c r="H43" s="227"/>
      <c r="I43" s="227"/>
      <c r="J43" s="227"/>
      <c r="K43" s="227"/>
      <c r="L43" s="227"/>
      <c r="M43" s="227"/>
      <c r="N43" s="227"/>
      <c r="O43" s="227"/>
      <c r="P43" s="35">
        <f t="shared" si="11"/>
        <v>27813</v>
      </c>
      <c r="Q43" s="35"/>
      <c r="R43" s="35">
        <v>25406</v>
      </c>
      <c r="S43" s="35">
        <f t="shared" si="68"/>
        <v>2407</v>
      </c>
      <c r="T43" s="36">
        <f t="shared" si="69"/>
        <v>3.985053153357494</v>
      </c>
      <c r="U43" s="74">
        <f t="shared" si="75"/>
        <v>53123</v>
      </c>
      <c r="V43" s="36">
        <f t="shared" si="70"/>
        <v>2.8325503291827334</v>
      </c>
      <c r="W43" s="1136"/>
      <c r="X43" s="49">
        <f t="shared" si="43"/>
        <v>1301</v>
      </c>
      <c r="Y43" s="50"/>
      <c r="Z43" s="50">
        <v>1254</v>
      </c>
      <c r="AA43" s="50">
        <f t="shared" si="85"/>
        <v>47</v>
      </c>
      <c r="AB43" s="51">
        <f t="shared" si="86"/>
        <v>7.7813667722393939E-2</v>
      </c>
      <c r="AC43" s="50">
        <f t="shared" si="76"/>
        <v>4392</v>
      </c>
      <c r="AD43" s="51">
        <f t="shared" si="87"/>
        <v>0.23418408308586797</v>
      </c>
      <c r="AE43" s="1047"/>
      <c r="AF43" s="40">
        <f t="shared" si="25"/>
        <v>94</v>
      </c>
      <c r="AG43" s="44"/>
      <c r="AH43" s="41">
        <v>48</v>
      </c>
      <c r="AI43" s="41">
        <f t="shared" si="77"/>
        <v>46</v>
      </c>
      <c r="AJ43" s="42">
        <f t="shared" si="78"/>
        <v>7.6158057770853646E-2</v>
      </c>
      <c r="AK43" s="41">
        <f t="shared" si="84"/>
        <v>2512</v>
      </c>
      <c r="AL43" s="42">
        <f t="shared" si="79"/>
        <v>0.13394135171031429</v>
      </c>
      <c r="AM43" s="1058"/>
      <c r="AN43" s="67">
        <v>4.8</v>
      </c>
      <c r="AO43" s="67">
        <v>24</v>
      </c>
      <c r="AP43" s="68">
        <f t="shared" si="14"/>
        <v>61.055999999999997</v>
      </c>
      <c r="AQ43" s="68">
        <f t="shared" si="63"/>
        <v>8.3238015517149702</v>
      </c>
      <c r="AR43" s="69">
        <f t="shared" si="62"/>
        <v>2175.1656000000007</v>
      </c>
      <c r="AS43" s="140">
        <f t="shared" si="64"/>
        <v>8.1456888020547602</v>
      </c>
      <c r="AT43" s="1073"/>
      <c r="AU43" s="70">
        <v>4.9000000000000004</v>
      </c>
      <c r="AV43" s="71">
        <v>10</v>
      </c>
      <c r="AW43" s="72">
        <f t="shared" si="58"/>
        <v>22.883000000000003</v>
      </c>
      <c r="AX43" s="72">
        <f t="shared" si="65"/>
        <v>3.1196532839998312</v>
      </c>
      <c r="AY43" s="73">
        <f t="shared" si="59"/>
        <v>771.29700000000003</v>
      </c>
      <c r="AZ43" s="192">
        <f t="shared" si="66"/>
        <v>2.8883986285726606</v>
      </c>
      <c r="BA43" s="1075"/>
      <c r="BB43" s="90">
        <f t="shared" si="80"/>
        <v>31955</v>
      </c>
      <c r="BC43" s="59"/>
      <c r="BD43" s="56">
        <v>31955</v>
      </c>
      <c r="BE43" s="56"/>
      <c r="BF43" s="58">
        <f t="shared" si="71"/>
        <v>29780</v>
      </c>
      <c r="BG43" s="58">
        <f t="shared" si="67"/>
        <v>111.52190551615504</v>
      </c>
      <c r="BH43" s="1133"/>
      <c r="BI43" s="64">
        <f t="shared" si="81"/>
        <v>864</v>
      </c>
      <c r="BJ43" s="64"/>
      <c r="BK43" s="64">
        <v>744</v>
      </c>
      <c r="BL43" s="64">
        <f t="shared" si="72"/>
        <v>120</v>
      </c>
      <c r="BM43" s="65">
        <f t="shared" si="73"/>
        <v>0.19867319418483562</v>
      </c>
      <c r="BN43" s="64">
        <f t="shared" si="82"/>
        <v>2808</v>
      </c>
      <c r="BO43" s="65">
        <f t="shared" si="74"/>
        <v>0.14972424984178445</v>
      </c>
      <c r="BP43" s="1071"/>
      <c r="BQ43" s="77">
        <f t="shared" si="19"/>
        <v>43319</v>
      </c>
      <c r="BR43" s="98"/>
      <c r="BS43" s="99">
        <f>29326+6600</f>
        <v>35926</v>
      </c>
      <c r="BT43" s="35">
        <f>BQ43-BS43+BR43</f>
        <v>7393</v>
      </c>
      <c r="BU43" s="74">
        <f>BT43*1000/D43</f>
        <v>1007.8921788493968</v>
      </c>
      <c r="BV43" s="74">
        <f t="shared" si="83"/>
        <v>180698</v>
      </c>
      <c r="BW43" s="74">
        <f>BV43*1000/E43</f>
        <v>676.68855886360586</v>
      </c>
      <c r="BX43" s="1098"/>
    </row>
    <row r="44" spans="1:76">
      <c r="A44" s="30">
        <v>43261</v>
      </c>
      <c r="B44" s="32">
        <v>610701</v>
      </c>
      <c r="C44" s="1">
        <f t="shared" si="10"/>
        <v>19365178</v>
      </c>
      <c r="D44" s="29">
        <v>6276.5</v>
      </c>
      <c r="E44" s="93">
        <f t="shared" si="21"/>
        <v>273309.24000000005</v>
      </c>
      <c r="F44" s="227"/>
      <c r="G44" s="227"/>
      <c r="H44" s="227"/>
      <c r="I44" s="227"/>
      <c r="J44" s="227"/>
      <c r="K44" s="227"/>
      <c r="L44" s="227"/>
      <c r="M44" s="227"/>
      <c r="N44" s="227"/>
      <c r="O44" s="227"/>
      <c r="P44" s="35">
        <f t="shared" si="11"/>
        <v>25406</v>
      </c>
      <c r="Q44" s="35"/>
      <c r="R44" s="35">
        <v>24078</v>
      </c>
      <c r="S44" s="35">
        <f t="shared" si="68"/>
        <v>1328</v>
      </c>
      <c r="T44" s="36">
        <f t="shared" si="69"/>
        <v>2.1745502299816115</v>
      </c>
      <c r="U44" s="74">
        <f t="shared" si="75"/>
        <v>54451</v>
      </c>
      <c r="V44" s="36">
        <f t="shared" si="70"/>
        <v>2.8117996126862352</v>
      </c>
      <c r="W44" s="1136"/>
      <c r="X44" s="49">
        <f t="shared" si="43"/>
        <v>1254</v>
      </c>
      <c r="Y44" s="50"/>
      <c r="Z44" s="50">
        <v>1227</v>
      </c>
      <c r="AA44" s="50">
        <f t="shared" si="85"/>
        <v>27</v>
      </c>
      <c r="AB44" s="51">
        <f t="shared" si="86"/>
        <v>4.4211488109565891E-2</v>
      </c>
      <c r="AC44" s="50">
        <f t="shared" si="76"/>
        <v>4419</v>
      </c>
      <c r="AD44" s="51">
        <f t="shared" si="87"/>
        <v>0.22819310000662013</v>
      </c>
      <c r="AE44" s="1047"/>
      <c r="AF44" s="40">
        <f t="shared" si="25"/>
        <v>48</v>
      </c>
      <c r="AG44" s="41">
        <v>1000</v>
      </c>
      <c r="AH44" s="41">
        <v>1023</v>
      </c>
      <c r="AI44" s="41">
        <f t="shared" si="77"/>
        <v>25</v>
      </c>
      <c r="AJ44" s="42">
        <f t="shared" si="78"/>
        <v>4.0936563064412866E-2</v>
      </c>
      <c r="AK44" s="41">
        <f t="shared" si="84"/>
        <v>2537</v>
      </c>
      <c r="AL44" s="42">
        <f t="shared" si="79"/>
        <v>0.13100834910993331</v>
      </c>
      <c r="AM44" s="1058"/>
      <c r="AN44" s="67">
        <v>4.5</v>
      </c>
      <c r="AO44" s="67">
        <v>24</v>
      </c>
      <c r="AP44" s="68">
        <f t="shared" si="14"/>
        <v>57.24</v>
      </c>
      <c r="AQ44" s="68">
        <f t="shared" si="63"/>
        <v>9.1197323349000232</v>
      </c>
      <c r="AR44" s="69">
        <f t="shared" si="62"/>
        <v>2232.4056000000005</v>
      </c>
      <c r="AS44" s="140">
        <f t="shared" si="64"/>
        <v>8.1680575453650963</v>
      </c>
      <c r="AT44" s="1073"/>
      <c r="AU44" s="70">
        <v>4.0999999999999996</v>
      </c>
      <c r="AV44" s="71">
        <v>10</v>
      </c>
      <c r="AW44" s="72">
        <f t="shared" si="58"/>
        <v>19.147000000000002</v>
      </c>
      <c r="AX44" s="72">
        <f t="shared" si="65"/>
        <v>3.0505855174061982</v>
      </c>
      <c r="AY44" s="73">
        <f t="shared" si="59"/>
        <v>790.44400000000007</v>
      </c>
      <c r="AZ44" s="192">
        <f t="shared" si="66"/>
        <v>2.892123222764075</v>
      </c>
      <c r="BA44" s="1075"/>
      <c r="BB44" s="90">
        <f t="shared" si="80"/>
        <v>31955</v>
      </c>
      <c r="BC44" s="59"/>
      <c r="BD44" s="56">
        <v>31955</v>
      </c>
      <c r="BE44" s="56"/>
      <c r="BF44" s="58">
        <f t="shared" si="71"/>
        <v>29780</v>
      </c>
      <c r="BG44" s="58">
        <f t="shared" si="67"/>
        <v>108.96082401019444</v>
      </c>
      <c r="BH44" s="1133"/>
      <c r="BI44" s="64">
        <f t="shared" si="81"/>
        <v>744</v>
      </c>
      <c r="BJ44" s="64"/>
      <c r="BK44" s="64">
        <v>648</v>
      </c>
      <c r="BL44" s="64">
        <f t="shared" si="72"/>
        <v>96</v>
      </c>
      <c r="BM44" s="65">
        <f t="shared" si="73"/>
        <v>0.1571964021673454</v>
      </c>
      <c r="BN44" s="64">
        <f t="shared" si="82"/>
        <v>2904</v>
      </c>
      <c r="BO44" s="65">
        <f t="shared" si="74"/>
        <v>0.14995989192559966</v>
      </c>
      <c r="BP44" s="1071"/>
      <c r="BQ44" s="77">
        <f t="shared" si="19"/>
        <v>35926</v>
      </c>
      <c r="BR44" s="98"/>
      <c r="BS44" s="99">
        <f>24705+6600</f>
        <v>31305</v>
      </c>
      <c r="BT44" s="35">
        <f>BQ44-BS44+BR44</f>
        <v>4621</v>
      </c>
      <c r="BU44" s="74">
        <f>BT44*1000/D44</f>
        <v>736.2383493985501</v>
      </c>
      <c r="BV44" s="74">
        <f t="shared" si="83"/>
        <v>185319</v>
      </c>
      <c r="BW44" s="74">
        <f>BV44*1000/E44</f>
        <v>678.05610962878518</v>
      </c>
      <c r="BX44" s="1098"/>
    </row>
    <row r="45" spans="1:76">
      <c r="A45" s="30">
        <v>43262</v>
      </c>
      <c r="B45" s="32">
        <v>565647</v>
      </c>
      <c r="C45" s="1">
        <f t="shared" si="10"/>
        <v>19930825</v>
      </c>
      <c r="D45" s="29">
        <v>7216.58</v>
      </c>
      <c r="E45" s="93">
        <f t="shared" si="21"/>
        <v>280525.82000000007</v>
      </c>
      <c r="F45" s="227"/>
      <c r="G45" s="227"/>
      <c r="H45" s="227"/>
      <c r="I45" s="227"/>
      <c r="J45" s="227"/>
      <c r="K45" s="227"/>
      <c r="L45" s="227"/>
      <c r="M45" s="227"/>
      <c r="N45" s="227"/>
      <c r="O45" s="227"/>
      <c r="P45" s="35">
        <f>R44</f>
        <v>24078</v>
      </c>
      <c r="Q45" s="35"/>
      <c r="R45" s="35">
        <v>21188</v>
      </c>
      <c r="S45" s="35">
        <f t="shared" si="68"/>
        <v>2890</v>
      </c>
      <c r="T45" s="36">
        <f t="shared" si="69"/>
        <v>5.1091935429693782</v>
      </c>
      <c r="U45" s="74">
        <f t="shared" si="75"/>
        <v>57341</v>
      </c>
      <c r="V45" s="36">
        <f t="shared" si="70"/>
        <v>2.8770008266090339</v>
      </c>
      <c r="W45" s="1136"/>
      <c r="X45" s="49">
        <f t="shared" ref="X45:X64" si="88">Z44</f>
        <v>1227</v>
      </c>
      <c r="Y45" s="50"/>
      <c r="Z45" s="50">
        <v>1212</v>
      </c>
      <c r="AA45" s="50">
        <f t="shared" si="85"/>
        <v>15</v>
      </c>
      <c r="AB45" s="51">
        <f t="shared" si="86"/>
        <v>2.6518305586346255E-2</v>
      </c>
      <c r="AC45" s="50">
        <f t="shared" si="76"/>
        <v>4434</v>
      </c>
      <c r="AD45" s="51">
        <f t="shared" si="87"/>
        <v>0.22246946626644909</v>
      </c>
      <c r="AE45" s="1047"/>
      <c r="AF45" s="40">
        <f t="shared" si="25"/>
        <v>1023</v>
      </c>
      <c r="AG45" s="41"/>
      <c r="AH45" s="41">
        <v>984</v>
      </c>
      <c r="AI45" s="41">
        <f t="shared" si="77"/>
        <v>39</v>
      </c>
      <c r="AJ45" s="42">
        <f t="shared" si="78"/>
        <v>6.8947594524500264E-2</v>
      </c>
      <c r="AK45" s="41">
        <f t="shared" si="84"/>
        <v>2576</v>
      </c>
      <c r="AL45" s="42">
        <f t="shared" si="79"/>
        <v>0.12924703317599748</v>
      </c>
      <c r="AM45" s="1058"/>
      <c r="AN45" s="67">
        <v>5.4</v>
      </c>
      <c r="AO45" s="67">
        <v>24</v>
      </c>
      <c r="AP45" s="68">
        <f t="shared" si="14"/>
        <v>68.688000000000017</v>
      </c>
      <c r="AQ45" s="68">
        <f t="shared" si="63"/>
        <v>9.518081972347014</v>
      </c>
      <c r="AR45" s="69">
        <f t="shared" ref="AR45:AR59" si="89">AR44+AP45</f>
        <v>2301.0936000000006</v>
      </c>
      <c r="AS45" s="140">
        <f t="shared" si="64"/>
        <v>8.2027871801604579</v>
      </c>
      <c r="AT45" s="1073"/>
      <c r="AU45" s="70">
        <v>5</v>
      </c>
      <c r="AV45" s="71">
        <v>10</v>
      </c>
      <c r="AW45" s="72">
        <f t="shared" ref="AW45:AW59" si="90">AU45*AV45*0.467</f>
        <v>23.35</v>
      </c>
      <c r="AX45" s="72">
        <f t="shared" si="65"/>
        <v>3.2356046770076685</v>
      </c>
      <c r="AY45" s="73">
        <f t="shared" ref="AY45:AY59" si="91">AY44+AW45</f>
        <v>813.7940000000001</v>
      </c>
      <c r="AZ45" s="192">
        <f t="shared" si="66"/>
        <v>2.9009593484122065</v>
      </c>
      <c r="BA45" s="1075"/>
      <c r="BB45" s="90">
        <f t="shared" si="80"/>
        <v>31955</v>
      </c>
      <c r="BC45" s="59"/>
      <c r="BD45" s="56">
        <v>31955</v>
      </c>
      <c r="BE45" s="56"/>
      <c r="BF45" s="58">
        <f t="shared" si="71"/>
        <v>29780</v>
      </c>
      <c r="BG45" s="58">
        <f t="shared" si="67"/>
        <v>106.15778611751315</v>
      </c>
      <c r="BH45" s="1133"/>
      <c r="BI45" s="64">
        <f t="shared" si="81"/>
        <v>648</v>
      </c>
      <c r="BJ45" s="64"/>
      <c r="BK45" s="64">
        <v>516</v>
      </c>
      <c r="BL45" s="64">
        <f t="shared" si="72"/>
        <v>132</v>
      </c>
      <c r="BM45" s="65">
        <f t="shared" si="73"/>
        <v>0.23336108915984705</v>
      </c>
      <c r="BN45" s="64">
        <f t="shared" si="82"/>
        <v>3036</v>
      </c>
      <c r="BO45" s="65">
        <f t="shared" si="74"/>
        <v>0.15232686052885416</v>
      </c>
      <c r="BP45" s="1071"/>
      <c r="BQ45" s="77">
        <f t="shared" ref="BQ45:BQ52" si="92">BS44</f>
        <v>31305</v>
      </c>
      <c r="BR45" s="98"/>
      <c r="BS45" s="35">
        <f>24705+6600</f>
        <v>31305</v>
      </c>
      <c r="BT45" s="35"/>
      <c r="BU45" s="74"/>
      <c r="BV45" s="74">
        <f t="shared" ref="BV45:BV51" si="93">BV44+BT45</f>
        <v>185319</v>
      </c>
      <c r="BW45" s="74"/>
      <c r="BX45" s="1098"/>
    </row>
    <row r="46" spans="1:76">
      <c r="A46" s="30">
        <v>43263</v>
      </c>
      <c r="B46" s="32">
        <v>581553</v>
      </c>
      <c r="C46" s="1">
        <f t="shared" si="10"/>
        <v>20512378</v>
      </c>
      <c r="D46" s="29">
        <v>5248.04</v>
      </c>
      <c r="E46" s="93">
        <f t="shared" si="21"/>
        <v>285773.86000000004</v>
      </c>
      <c r="F46" s="227"/>
      <c r="G46" s="227"/>
      <c r="H46" s="227"/>
      <c r="I46" s="227"/>
      <c r="J46" s="227"/>
      <c r="K46" s="227"/>
      <c r="L46" s="227"/>
      <c r="M46" s="227"/>
      <c r="N46" s="227"/>
      <c r="O46" s="227"/>
      <c r="P46" s="35">
        <f t="shared" ref="P46:P51" si="94">R45</f>
        <v>21188</v>
      </c>
      <c r="Q46" s="35"/>
      <c r="R46" s="35">
        <v>19122</v>
      </c>
      <c r="S46" s="35">
        <f t="shared" si="68"/>
        <v>2066</v>
      </c>
      <c r="T46" s="36">
        <f t="shared" si="69"/>
        <v>3.5525566887282842</v>
      </c>
      <c r="U46" s="74">
        <f t="shared" si="75"/>
        <v>59407</v>
      </c>
      <c r="V46" s="36">
        <f t="shared" si="70"/>
        <v>2.8961537272762818</v>
      </c>
      <c r="W46" s="1136"/>
      <c r="X46" s="49">
        <f t="shared" si="88"/>
        <v>1212</v>
      </c>
      <c r="Y46" s="50"/>
      <c r="Z46" s="50">
        <v>1153</v>
      </c>
      <c r="AA46" s="50">
        <f t="shared" si="85"/>
        <v>59</v>
      </c>
      <c r="AB46" s="51">
        <f t="shared" si="86"/>
        <v>0.10145249014277288</v>
      </c>
      <c r="AC46" s="50">
        <f t="shared" si="76"/>
        <v>4493</v>
      </c>
      <c r="AD46" s="51">
        <f t="shared" si="87"/>
        <v>0.21903847520750641</v>
      </c>
      <c r="AE46" s="1047"/>
      <c r="AF46" s="40">
        <f t="shared" si="25"/>
        <v>984</v>
      </c>
      <c r="AG46" s="41"/>
      <c r="AH46" s="41">
        <v>925</v>
      </c>
      <c r="AI46" s="41">
        <f t="shared" si="77"/>
        <v>59</v>
      </c>
      <c r="AJ46" s="42">
        <f t="shared" si="78"/>
        <v>0.10145249014277288</v>
      </c>
      <c r="AK46" s="41">
        <f t="shared" si="84"/>
        <v>2635</v>
      </c>
      <c r="AL46" s="42">
        <f t="shared" si="79"/>
        <v>0.12845902118223446</v>
      </c>
      <c r="AM46" s="1058"/>
      <c r="AN46" s="67">
        <v>3.9</v>
      </c>
      <c r="AO46" s="67">
        <v>24</v>
      </c>
      <c r="AP46" s="68">
        <f t="shared" si="14"/>
        <v>49.607999999999997</v>
      </c>
      <c r="AQ46" s="68">
        <f t="shared" si="63"/>
        <v>9.4526718546352537</v>
      </c>
      <c r="AR46" s="69">
        <f t="shared" si="89"/>
        <v>2350.7016000000008</v>
      </c>
      <c r="AS46" s="140">
        <f t="shared" si="64"/>
        <v>8.2257404508585914</v>
      </c>
      <c r="AT46" s="1073"/>
      <c r="AU46" s="70">
        <v>3.5</v>
      </c>
      <c r="AV46" s="71">
        <v>10</v>
      </c>
      <c r="AW46" s="72">
        <f t="shared" si="90"/>
        <v>16.345000000000002</v>
      </c>
      <c r="AX46" s="72">
        <f t="shared" si="65"/>
        <v>3.114496078535987</v>
      </c>
      <c r="AY46" s="73">
        <f t="shared" si="91"/>
        <v>830.13900000000012</v>
      </c>
      <c r="AZ46" s="192">
        <f t="shared" si="66"/>
        <v>2.904880803303703</v>
      </c>
      <c r="BA46" s="1075"/>
      <c r="BB46" s="90">
        <f t="shared" si="80"/>
        <v>31955</v>
      </c>
      <c r="BC46" s="59"/>
      <c r="BD46" s="56">
        <v>31955</v>
      </c>
      <c r="BE46" s="56"/>
      <c r="BF46" s="58">
        <f t="shared" si="71"/>
        <v>29780</v>
      </c>
      <c r="BG46" s="58">
        <f t="shared" si="67"/>
        <v>104.20827153330258</v>
      </c>
      <c r="BH46" s="1133"/>
      <c r="BI46" s="64">
        <f t="shared" si="81"/>
        <v>516</v>
      </c>
      <c r="BJ46" s="64"/>
      <c r="BK46" s="64">
        <v>456</v>
      </c>
      <c r="BL46" s="64">
        <f t="shared" si="72"/>
        <v>60</v>
      </c>
      <c r="BM46" s="65">
        <f t="shared" si="73"/>
        <v>0.10317202387400633</v>
      </c>
      <c r="BN46" s="64">
        <f t="shared" si="82"/>
        <v>3096</v>
      </c>
      <c r="BO46" s="65">
        <f t="shared" si="74"/>
        <v>0.15093325600766522</v>
      </c>
      <c r="BP46" s="1071"/>
      <c r="BQ46" s="77">
        <f t="shared" si="92"/>
        <v>31305</v>
      </c>
      <c r="BR46" s="98"/>
      <c r="BS46" s="35">
        <f>22857+6600</f>
        <v>29457</v>
      </c>
      <c r="BT46" s="35">
        <f t="shared" ref="BT46:BT51" si="95">BQ46-BS46+BR46</f>
        <v>1848</v>
      </c>
      <c r="BU46" s="74">
        <f>BT46*1000/D46</f>
        <v>352.13146241263405</v>
      </c>
      <c r="BV46" s="74">
        <f t="shared" si="93"/>
        <v>187167</v>
      </c>
      <c r="BW46" s="74">
        <f>BV46*1000/E46</f>
        <v>654.9479368056966</v>
      </c>
      <c r="BX46" s="1098"/>
    </row>
    <row r="47" spans="1:76">
      <c r="A47" s="30">
        <v>43264</v>
      </c>
      <c r="B47" s="32">
        <v>301090</v>
      </c>
      <c r="C47" s="1">
        <f t="shared" si="10"/>
        <v>20813468</v>
      </c>
      <c r="E47" s="93">
        <f t="shared" si="21"/>
        <v>285773.86000000004</v>
      </c>
      <c r="F47" s="227"/>
      <c r="G47" s="227"/>
      <c r="H47" s="227"/>
      <c r="I47" s="227"/>
      <c r="J47" s="227"/>
      <c r="K47" s="227"/>
      <c r="L47" s="227"/>
      <c r="M47" s="227"/>
      <c r="N47" s="227"/>
      <c r="O47" s="227"/>
      <c r="P47" s="35">
        <f t="shared" si="94"/>
        <v>19122</v>
      </c>
      <c r="Q47" s="35"/>
      <c r="R47" s="35">
        <v>19122</v>
      </c>
      <c r="S47" s="35"/>
      <c r="T47" s="36">
        <f t="shared" si="69"/>
        <v>0</v>
      </c>
      <c r="U47" s="74">
        <f t="shared" si="75"/>
        <v>59407</v>
      </c>
      <c r="V47" s="36"/>
      <c r="W47" s="1136"/>
      <c r="X47" s="49">
        <f t="shared" si="88"/>
        <v>1153</v>
      </c>
      <c r="Y47" s="50"/>
      <c r="Z47" s="50">
        <v>1122</v>
      </c>
      <c r="AA47" s="50">
        <f t="shared" si="85"/>
        <v>31</v>
      </c>
      <c r="AB47" s="51">
        <f t="shared" si="86"/>
        <v>0.10295924806536251</v>
      </c>
      <c r="AC47" s="50">
        <f t="shared" si="76"/>
        <v>4524</v>
      </c>
      <c r="AD47" s="51">
        <f t="shared" si="87"/>
        <v>0.21735925987922819</v>
      </c>
      <c r="AE47" s="1047"/>
      <c r="AF47" s="40">
        <f t="shared" ref="AF47:AF64" si="96">AH46</f>
        <v>925</v>
      </c>
      <c r="AG47" s="41"/>
      <c r="AH47" s="41">
        <v>885</v>
      </c>
      <c r="AI47" s="41">
        <f t="shared" si="77"/>
        <v>40</v>
      </c>
      <c r="AJ47" s="42">
        <f t="shared" si="78"/>
        <v>0.13285064266498389</v>
      </c>
      <c r="AK47" s="41">
        <f t="shared" si="84"/>
        <v>2675</v>
      </c>
      <c r="AL47" s="42">
        <f t="shared" si="79"/>
        <v>0.12852255087907502</v>
      </c>
      <c r="AM47" s="1058"/>
      <c r="AN47" s="67">
        <v>0</v>
      </c>
      <c r="AO47" s="67">
        <v>24</v>
      </c>
      <c r="AP47" s="68">
        <f t="shared" si="14"/>
        <v>0</v>
      </c>
      <c r="AQ47" s="68"/>
      <c r="AR47" s="69">
        <f t="shared" si="89"/>
        <v>2350.7016000000008</v>
      </c>
      <c r="AS47" s="140">
        <f t="shared" si="64"/>
        <v>8.2257404508585914</v>
      </c>
      <c r="AT47" s="1073"/>
      <c r="AU47" s="70">
        <v>0</v>
      </c>
      <c r="AV47" s="71">
        <v>10</v>
      </c>
      <c r="AW47" s="72"/>
      <c r="AX47" s="72"/>
      <c r="AY47" s="73">
        <f t="shared" si="91"/>
        <v>830.13900000000012</v>
      </c>
      <c r="AZ47" s="192">
        <f t="shared" si="66"/>
        <v>2.904880803303703</v>
      </c>
      <c r="BA47" s="1075"/>
      <c r="BB47" s="90">
        <f t="shared" si="80"/>
        <v>31955</v>
      </c>
      <c r="BC47" s="59"/>
      <c r="BD47" s="56">
        <v>31955</v>
      </c>
      <c r="BE47" s="56"/>
      <c r="BF47" s="58">
        <f t="shared" si="71"/>
        <v>29780</v>
      </c>
      <c r="BG47" s="58">
        <f t="shared" si="67"/>
        <v>104.20827153330258</v>
      </c>
      <c r="BH47" s="1133"/>
      <c r="BI47" s="64">
        <f t="shared" ref="BI47:BI52" si="97">BK46</f>
        <v>456</v>
      </c>
      <c r="BJ47" s="64"/>
      <c r="BK47" s="66">
        <v>420</v>
      </c>
      <c r="BL47" s="64">
        <f t="shared" si="72"/>
        <v>36</v>
      </c>
      <c r="BM47" s="65">
        <f t="shared" si="73"/>
        <v>0.1195655783984855</v>
      </c>
      <c r="BN47" s="64">
        <f t="shared" si="82"/>
        <v>3132</v>
      </c>
      <c r="BO47" s="65">
        <f t="shared" si="74"/>
        <v>0.15047948760869645</v>
      </c>
      <c r="BP47" s="1071"/>
      <c r="BQ47" s="77">
        <f t="shared" si="92"/>
        <v>29457</v>
      </c>
      <c r="BR47" s="98"/>
      <c r="BS47" s="35">
        <v>26684</v>
      </c>
      <c r="BT47" s="35">
        <f t="shared" si="95"/>
        <v>2773</v>
      </c>
      <c r="BU47" s="74"/>
      <c r="BV47" s="74">
        <f t="shared" si="93"/>
        <v>189940</v>
      </c>
      <c r="BW47" s="74">
        <f>BV47*1000/E47</f>
        <v>664.65141353376396</v>
      </c>
      <c r="BX47" s="1098"/>
    </row>
    <row r="48" spans="1:76">
      <c r="A48" s="107">
        <v>43265</v>
      </c>
      <c r="B48" s="1">
        <v>126245</v>
      </c>
      <c r="C48" s="1">
        <f t="shared" si="10"/>
        <v>20939713</v>
      </c>
      <c r="D48" s="29">
        <v>5018.0600000000004</v>
      </c>
      <c r="E48" s="93">
        <f t="shared" si="21"/>
        <v>290791.92000000004</v>
      </c>
      <c r="F48" s="227"/>
      <c r="G48" s="227"/>
      <c r="H48" s="227"/>
      <c r="I48" s="227"/>
      <c r="J48" s="227"/>
      <c r="K48" s="227"/>
      <c r="L48" s="227"/>
      <c r="M48" s="227"/>
      <c r="N48" s="227"/>
      <c r="O48" s="227"/>
      <c r="P48" s="35">
        <f t="shared" si="94"/>
        <v>19122</v>
      </c>
      <c r="Q48" s="35"/>
      <c r="R48" s="35">
        <v>18611</v>
      </c>
      <c r="S48" s="35">
        <f>P48-R48+Q48</f>
        <v>511</v>
      </c>
      <c r="T48" s="36">
        <f t="shared" si="69"/>
        <v>4.0476850568339344</v>
      </c>
      <c r="U48" s="74">
        <f t="shared" si="75"/>
        <v>59918</v>
      </c>
      <c r="V48" s="36">
        <f>U48*1000/C48</f>
        <v>2.8614527811341062</v>
      </c>
      <c r="W48" s="1136"/>
      <c r="X48" s="49">
        <f t="shared" si="88"/>
        <v>1122</v>
      </c>
      <c r="Y48" s="50"/>
      <c r="Z48" s="50">
        <v>1106</v>
      </c>
      <c r="AA48" s="50">
        <f t="shared" si="85"/>
        <v>16</v>
      </c>
      <c r="AB48" s="51">
        <f t="shared" si="86"/>
        <v>0.12673769258188444</v>
      </c>
      <c r="AC48" s="50">
        <f t="shared" si="76"/>
        <v>4540</v>
      </c>
      <c r="AD48" s="51">
        <f t="shared" si="87"/>
        <v>0.21681290474229517</v>
      </c>
      <c r="AE48" s="1047"/>
      <c r="AF48" s="40">
        <f t="shared" si="96"/>
        <v>885</v>
      </c>
      <c r="AG48" s="41"/>
      <c r="AH48" s="41">
        <v>845</v>
      </c>
      <c r="AI48" s="41">
        <f t="shared" si="77"/>
        <v>40</v>
      </c>
      <c r="AJ48" s="42">
        <f t="shared" si="78"/>
        <v>0.31684423145471108</v>
      </c>
      <c r="AK48" s="41">
        <f t="shared" si="84"/>
        <v>2715</v>
      </c>
      <c r="AL48" s="42">
        <f t="shared" si="79"/>
        <v>0.12965793752760604</v>
      </c>
      <c r="AM48" s="1058"/>
      <c r="AN48" s="67">
        <v>2.2000000000000002</v>
      </c>
      <c r="AO48" s="67">
        <v>24</v>
      </c>
      <c r="AP48" s="68">
        <f t="shared" si="14"/>
        <v>27.984000000000005</v>
      </c>
      <c r="AQ48" s="68">
        <f t="shared" ref="AQ48:AQ79" si="98">AP48*1000/D48</f>
        <v>5.5766571145024173</v>
      </c>
      <c r="AR48" s="69">
        <f t="shared" si="89"/>
        <v>2378.6856000000007</v>
      </c>
      <c r="AS48" s="140">
        <f t="shared" si="64"/>
        <v>8.1800264601574906</v>
      </c>
      <c r="AT48" s="1073"/>
      <c r="AU48" s="70">
        <v>3</v>
      </c>
      <c r="AV48" s="71">
        <v>10</v>
      </c>
      <c r="AW48" s="72">
        <f t="shared" si="90"/>
        <v>14.010000000000002</v>
      </c>
      <c r="AX48" s="72">
        <f t="shared" ref="AX48:AX79" si="99">AW48*1000/D48</f>
        <v>2.7919156008497308</v>
      </c>
      <c r="AY48" s="73">
        <f t="shared" si="91"/>
        <v>844.14900000000011</v>
      </c>
      <c r="AZ48" s="192">
        <f t="shared" si="66"/>
        <v>2.9029314157009591</v>
      </c>
      <c r="BA48" s="1075"/>
      <c r="BB48" s="90">
        <f t="shared" si="80"/>
        <v>31955</v>
      </c>
      <c r="BC48" s="59"/>
      <c r="BD48" s="56">
        <v>31955</v>
      </c>
      <c r="BE48" s="56"/>
      <c r="BF48" s="58">
        <f t="shared" si="71"/>
        <v>29780</v>
      </c>
      <c r="BG48" s="58">
        <f t="shared" si="67"/>
        <v>102.40999818701977</v>
      </c>
      <c r="BH48" s="1133"/>
      <c r="BI48" s="64">
        <f t="shared" si="97"/>
        <v>420</v>
      </c>
      <c r="BJ48" s="64"/>
      <c r="BK48" s="66">
        <v>360</v>
      </c>
      <c r="BL48" s="64">
        <f t="shared" si="72"/>
        <v>60</v>
      </c>
      <c r="BM48" s="65">
        <f t="shared" si="73"/>
        <v>0.47526634718206662</v>
      </c>
      <c r="BN48" s="64">
        <f t="shared" si="82"/>
        <v>3192</v>
      </c>
      <c r="BO48" s="65">
        <f t="shared" si="74"/>
        <v>0.15243761936947273</v>
      </c>
      <c r="BP48" s="1071"/>
      <c r="BQ48" s="77">
        <f t="shared" si="92"/>
        <v>26684</v>
      </c>
      <c r="BR48" s="98"/>
      <c r="BS48" s="35">
        <f>20084+6600</f>
        <v>26684</v>
      </c>
      <c r="BT48" s="35"/>
      <c r="BU48" s="74"/>
      <c r="BV48" s="74">
        <f t="shared" si="93"/>
        <v>189940</v>
      </c>
      <c r="BW48" s="74"/>
      <c r="BX48" s="1098"/>
    </row>
    <row r="49" spans="1:76">
      <c r="A49" s="107">
        <v>43266</v>
      </c>
      <c r="B49" s="1">
        <v>484707</v>
      </c>
      <c r="C49" s="1">
        <f t="shared" si="10"/>
        <v>21424420</v>
      </c>
      <c r="D49" s="29">
        <v>6871.14</v>
      </c>
      <c r="E49" s="93">
        <f t="shared" si="21"/>
        <v>297663.06000000006</v>
      </c>
      <c r="F49" s="227"/>
      <c r="G49" s="227"/>
      <c r="H49" s="227"/>
      <c r="I49" s="227"/>
      <c r="J49" s="227"/>
      <c r="K49" s="227"/>
      <c r="L49" s="227"/>
      <c r="M49" s="227"/>
      <c r="N49" s="227"/>
      <c r="O49" s="227"/>
      <c r="P49" s="35">
        <f t="shared" si="94"/>
        <v>18611</v>
      </c>
      <c r="Q49" s="35"/>
      <c r="R49" s="35">
        <v>18611</v>
      </c>
      <c r="S49" s="35"/>
      <c r="T49" s="36">
        <f t="shared" si="69"/>
        <v>0</v>
      </c>
      <c r="U49" s="74">
        <f t="shared" si="75"/>
        <v>59918</v>
      </c>
      <c r="V49" s="36"/>
      <c r="W49" s="1136"/>
      <c r="X49" s="49">
        <f t="shared" si="88"/>
        <v>1106</v>
      </c>
      <c r="Y49" s="50"/>
      <c r="Z49" s="50">
        <v>1106</v>
      </c>
      <c r="AA49" s="50"/>
      <c r="AB49" s="51"/>
      <c r="AC49" s="50">
        <f t="shared" si="76"/>
        <v>4540</v>
      </c>
      <c r="AD49" s="51"/>
      <c r="AE49" s="1047"/>
      <c r="AF49" s="40">
        <f t="shared" si="96"/>
        <v>845</v>
      </c>
      <c r="AG49" s="41"/>
      <c r="AH49" s="41">
        <v>845</v>
      </c>
      <c r="AI49" s="41"/>
      <c r="AJ49" s="42"/>
      <c r="AK49" s="41">
        <f t="shared" si="84"/>
        <v>2715</v>
      </c>
      <c r="AL49" s="42"/>
      <c r="AM49" s="1058"/>
      <c r="AN49" s="67">
        <v>5.0999999999999996</v>
      </c>
      <c r="AO49" s="67">
        <v>24</v>
      </c>
      <c r="AP49" s="68">
        <f t="shared" si="14"/>
        <v>64.872</v>
      </c>
      <c r="AQ49" s="68">
        <f t="shared" si="98"/>
        <v>9.441228093154848</v>
      </c>
      <c r="AR49" s="69">
        <f t="shared" si="89"/>
        <v>2443.5576000000005</v>
      </c>
      <c r="AS49" s="140">
        <f t="shared" si="64"/>
        <v>8.2091395553079387</v>
      </c>
      <c r="AT49" s="1073"/>
      <c r="AU49" s="70">
        <v>4.4000000000000004</v>
      </c>
      <c r="AV49" s="71">
        <v>10</v>
      </c>
      <c r="AW49" s="72">
        <f t="shared" si="90"/>
        <v>20.548000000000002</v>
      </c>
      <c r="AX49" s="72">
        <f t="shared" si="99"/>
        <v>2.9904790180377634</v>
      </c>
      <c r="AY49" s="73">
        <f t="shared" si="91"/>
        <v>864.69700000000012</v>
      </c>
      <c r="AZ49" s="192">
        <f t="shared" si="66"/>
        <v>2.9049523310013678</v>
      </c>
      <c r="BA49" s="1075"/>
      <c r="BB49" s="90">
        <f t="shared" si="80"/>
        <v>31955</v>
      </c>
      <c r="BC49" s="59"/>
      <c r="BD49" s="56">
        <v>31955</v>
      </c>
      <c r="BE49" s="56"/>
      <c r="BF49" s="58">
        <f t="shared" si="71"/>
        <v>29780</v>
      </c>
      <c r="BG49" s="58">
        <f t="shared" si="67"/>
        <v>100.04600503670154</v>
      </c>
      <c r="BH49" s="1133"/>
      <c r="BI49" s="64">
        <f t="shared" si="97"/>
        <v>360</v>
      </c>
      <c r="BJ49" s="64"/>
      <c r="BK49" s="66">
        <v>360</v>
      </c>
      <c r="BL49" s="64"/>
      <c r="BM49" s="65"/>
      <c r="BN49" s="64">
        <f t="shared" si="82"/>
        <v>3192</v>
      </c>
      <c r="BO49" s="65"/>
      <c r="BP49" s="1071"/>
      <c r="BQ49" s="77">
        <f t="shared" si="92"/>
        <v>26684</v>
      </c>
      <c r="BR49" s="98"/>
      <c r="BS49" s="35">
        <f>16388+6600</f>
        <v>22988</v>
      </c>
      <c r="BT49" s="35">
        <f t="shared" si="95"/>
        <v>3696</v>
      </c>
      <c r="BU49" s="74">
        <f t="shared" ref="BU49:BU55" si="100">BT49*1000/D49</f>
        <v>537.9020075271352</v>
      </c>
      <c r="BV49" s="74">
        <f t="shared" si="93"/>
        <v>193636</v>
      </c>
      <c r="BW49" s="74">
        <f t="shared" ref="BW49:BW80" si="101">BV49*1000/E49</f>
        <v>650.52075994918539</v>
      </c>
      <c r="BX49" s="1098"/>
    </row>
    <row r="50" spans="1:76">
      <c r="A50" s="107">
        <v>43267</v>
      </c>
      <c r="B50" s="1">
        <v>585581</v>
      </c>
      <c r="C50" s="1">
        <f t="shared" si="10"/>
        <v>22010001</v>
      </c>
      <c r="D50" s="29">
        <v>7953.9400000000005</v>
      </c>
      <c r="E50" s="93">
        <f t="shared" si="21"/>
        <v>305617.00000000006</v>
      </c>
      <c r="F50" s="227"/>
      <c r="G50" s="227"/>
      <c r="H50" s="227"/>
      <c r="I50" s="227"/>
      <c r="J50" s="227"/>
      <c r="K50" s="227"/>
      <c r="L50" s="227"/>
      <c r="M50" s="227"/>
      <c r="N50" s="227"/>
      <c r="O50" s="227"/>
      <c r="P50" s="35">
        <f t="shared" si="94"/>
        <v>18611</v>
      </c>
      <c r="Q50" s="35"/>
      <c r="R50" s="35">
        <v>18611</v>
      </c>
      <c r="S50" s="35"/>
      <c r="T50" s="36">
        <f t="shared" si="69"/>
        <v>0</v>
      </c>
      <c r="U50" s="74">
        <f t="shared" si="75"/>
        <v>59918</v>
      </c>
      <c r="V50" s="36"/>
      <c r="W50" s="1136"/>
      <c r="X50" s="49">
        <f t="shared" si="88"/>
        <v>1106</v>
      </c>
      <c r="Y50" s="50"/>
      <c r="Z50" s="50">
        <v>1106</v>
      </c>
      <c r="AA50" s="50"/>
      <c r="AB50" s="51"/>
      <c r="AC50" s="50">
        <f t="shared" si="76"/>
        <v>4540</v>
      </c>
      <c r="AD50" s="51"/>
      <c r="AE50" s="1047"/>
      <c r="AF50" s="40">
        <f t="shared" si="96"/>
        <v>845</v>
      </c>
      <c r="AG50" s="41"/>
      <c r="AH50" s="41">
        <v>845</v>
      </c>
      <c r="AI50" s="41"/>
      <c r="AJ50" s="42"/>
      <c r="AK50" s="41">
        <f t="shared" si="84"/>
        <v>2715</v>
      </c>
      <c r="AL50" s="42"/>
      <c r="AM50" s="1058"/>
      <c r="AN50" s="67">
        <v>5.5</v>
      </c>
      <c r="AO50" s="67">
        <v>24</v>
      </c>
      <c r="AP50" s="68">
        <f t="shared" si="14"/>
        <v>69.960000000000008</v>
      </c>
      <c r="AQ50" s="68">
        <f t="shared" si="98"/>
        <v>8.7956409024961228</v>
      </c>
      <c r="AR50" s="69">
        <f t="shared" si="89"/>
        <v>2513.5176000000006</v>
      </c>
      <c r="AS50" s="140">
        <f t="shared" si="64"/>
        <v>8.224403747173751</v>
      </c>
      <c r="AT50" s="1073"/>
      <c r="AU50" s="70">
        <v>5</v>
      </c>
      <c r="AV50" s="71">
        <v>10</v>
      </c>
      <c r="AW50" s="72">
        <f t="shared" si="90"/>
        <v>23.35</v>
      </c>
      <c r="AX50" s="72">
        <f t="shared" si="99"/>
        <v>2.9356520164849118</v>
      </c>
      <c r="AY50" s="73">
        <f t="shared" si="91"/>
        <v>888.04700000000014</v>
      </c>
      <c r="AZ50" s="192">
        <f t="shared" si="66"/>
        <v>2.9057513161898716</v>
      </c>
      <c r="BA50" s="1075"/>
      <c r="BB50" s="90">
        <f t="shared" si="80"/>
        <v>31955</v>
      </c>
      <c r="BC50" s="59"/>
      <c r="BD50" s="56">
        <v>31955</v>
      </c>
      <c r="BE50" s="56"/>
      <c r="BF50" s="58">
        <f t="shared" si="71"/>
        <v>29780</v>
      </c>
      <c r="BG50" s="58">
        <f t="shared" si="67"/>
        <v>97.442223436523477</v>
      </c>
      <c r="BH50" s="1133"/>
      <c r="BI50" s="64">
        <f t="shared" si="97"/>
        <v>360</v>
      </c>
      <c r="BJ50" s="64"/>
      <c r="BK50" s="64">
        <v>360</v>
      </c>
      <c r="BL50" s="64"/>
      <c r="BM50" s="65"/>
      <c r="BN50" s="64">
        <f t="shared" si="82"/>
        <v>3192</v>
      </c>
      <c r="BO50" s="65"/>
      <c r="BP50" s="1071"/>
      <c r="BQ50" s="77">
        <f t="shared" si="92"/>
        <v>22988</v>
      </c>
      <c r="BR50" s="35">
        <v>33740</v>
      </c>
      <c r="BS50" s="35">
        <f>14539+6600+33740</f>
        <v>54879</v>
      </c>
      <c r="BT50" s="35">
        <f t="shared" si="95"/>
        <v>1849</v>
      </c>
      <c r="BU50" s="74">
        <f t="shared" si="100"/>
        <v>232.46340807197438</v>
      </c>
      <c r="BV50" s="74">
        <f t="shared" si="93"/>
        <v>195485</v>
      </c>
      <c r="BW50" s="74">
        <f t="shared" si="101"/>
        <v>639.64046502648728</v>
      </c>
      <c r="BX50" s="1098"/>
    </row>
    <row r="51" spans="1:76">
      <c r="A51" s="107">
        <v>43268</v>
      </c>
      <c r="B51" s="1">
        <v>592369</v>
      </c>
      <c r="C51" s="1">
        <f t="shared" si="10"/>
        <v>22602370</v>
      </c>
      <c r="D51" s="91">
        <v>7710.04</v>
      </c>
      <c r="E51" s="93">
        <f t="shared" si="21"/>
        <v>313327.04000000004</v>
      </c>
      <c r="F51" s="227"/>
      <c r="G51" s="227"/>
      <c r="H51" s="227"/>
      <c r="I51" s="227"/>
      <c r="J51" s="227"/>
      <c r="K51" s="227"/>
      <c r="L51" s="227"/>
      <c r="M51" s="227"/>
      <c r="N51" s="227"/>
      <c r="O51" s="227"/>
      <c r="P51" s="35">
        <f t="shared" si="94"/>
        <v>18611</v>
      </c>
      <c r="Q51" s="35">
        <v>31660</v>
      </c>
      <c r="R51" s="35">
        <v>44009</v>
      </c>
      <c r="S51" s="35">
        <f t="shared" ref="S51:S64" si="102">P51-R51+Q51</f>
        <v>6262</v>
      </c>
      <c r="T51" s="36">
        <f t="shared" si="69"/>
        <v>10.57111361330522</v>
      </c>
      <c r="U51" s="74">
        <f t="shared" si="75"/>
        <v>66180</v>
      </c>
      <c r="V51" s="36">
        <f t="shared" ref="V51:V82" si="103">U51*1000/C51</f>
        <v>2.9280115315340827</v>
      </c>
      <c r="W51" s="1136"/>
      <c r="X51" s="49">
        <f t="shared" si="88"/>
        <v>1106</v>
      </c>
      <c r="Y51" s="50"/>
      <c r="Z51" s="50">
        <v>938</v>
      </c>
      <c r="AA51" s="50">
        <f>X51+Y51-Z51</f>
        <v>168</v>
      </c>
      <c r="AB51" s="51">
        <f>AA51*1000/B51</f>
        <v>0.28360700846938308</v>
      </c>
      <c r="AC51" s="50">
        <f t="shared" si="76"/>
        <v>4708</v>
      </c>
      <c r="AD51" s="51">
        <f t="shared" ref="AD51:AD82" si="104">AC51*1000/C51</f>
        <v>0.20829674056304714</v>
      </c>
      <c r="AE51" s="1047"/>
      <c r="AF51" s="40">
        <f t="shared" si="96"/>
        <v>845</v>
      </c>
      <c r="AG51" s="41"/>
      <c r="AH51" s="41">
        <v>666</v>
      </c>
      <c r="AI51" s="41">
        <f t="shared" ref="AI51:AI64" si="105">AF51+AG51-AH51</f>
        <v>179</v>
      </c>
      <c r="AJ51" s="42">
        <f t="shared" ref="AJ51:AJ66" si="106">AI51*1000/B51</f>
        <v>0.30217651497630699</v>
      </c>
      <c r="AK51" s="41">
        <f t="shared" si="84"/>
        <v>2894</v>
      </c>
      <c r="AL51" s="42">
        <f t="shared" ref="AL51:AL82" si="107">AK51*1000/C51</f>
        <v>0.12803967017618065</v>
      </c>
      <c r="AM51" s="1058"/>
      <c r="AN51" s="67">
        <v>5.0999999999999996</v>
      </c>
      <c r="AO51" s="67">
        <v>24</v>
      </c>
      <c r="AP51" s="68">
        <f t="shared" si="14"/>
        <v>64.872</v>
      </c>
      <c r="AQ51" s="68">
        <f t="shared" si="98"/>
        <v>8.4139641298877823</v>
      </c>
      <c r="AR51" s="69">
        <f t="shared" si="89"/>
        <v>2578.3896000000004</v>
      </c>
      <c r="AS51" s="140">
        <f t="shared" si="64"/>
        <v>8.2290682604348486</v>
      </c>
      <c r="AT51" s="1073"/>
      <c r="AU51" s="70">
        <v>5.0999999999999996</v>
      </c>
      <c r="AV51" s="71">
        <v>10</v>
      </c>
      <c r="AW51" s="72">
        <f t="shared" si="90"/>
        <v>23.817</v>
      </c>
      <c r="AX51" s="72">
        <f t="shared" si="99"/>
        <v>3.0890890319635176</v>
      </c>
      <c r="AY51" s="73">
        <f t="shared" si="91"/>
        <v>911.86400000000015</v>
      </c>
      <c r="AZ51" s="192">
        <f t="shared" si="66"/>
        <v>2.9102627082552468</v>
      </c>
      <c r="BA51" s="1075"/>
      <c r="BB51" s="90">
        <f t="shared" si="80"/>
        <v>31955</v>
      </c>
      <c r="BC51" s="59"/>
      <c r="BD51" s="56">
        <v>31955</v>
      </c>
      <c r="BE51" s="56"/>
      <c r="BF51" s="58">
        <f t="shared" si="71"/>
        <v>29780</v>
      </c>
      <c r="BG51" s="58">
        <f t="shared" si="67"/>
        <v>95.044462169623145</v>
      </c>
      <c r="BH51" s="1133"/>
      <c r="BI51" s="64">
        <f t="shared" si="97"/>
        <v>360</v>
      </c>
      <c r="BJ51" s="64"/>
      <c r="BK51" s="64">
        <v>48</v>
      </c>
      <c r="BL51" s="64">
        <f t="shared" ref="BL51:BL64" si="108">BI51+BJ51-BK51</f>
        <v>312</v>
      </c>
      <c r="BM51" s="65">
        <f t="shared" ref="BM51:BM97" si="109">BL51*1000/B51</f>
        <v>0.52669873001456857</v>
      </c>
      <c r="BN51" s="64">
        <f t="shared" si="82"/>
        <v>3504</v>
      </c>
      <c r="BO51" s="65">
        <f t="shared" ref="BO51:BO82" si="110">BN51*1000/C51</f>
        <v>0.1550279904275525</v>
      </c>
      <c r="BP51" s="1071"/>
      <c r="BQ51" s="77">
        <f t="shared" si="92"/>
        <v>54879</v>
      </c>
      <c r="BR51" s="98"/>
      <c r="BS51" s="35">
        <f>12691+6600+33740</f>
        <v>53031</v>
      </c>
      <c r="BT51" s="35">
        <f t="shared" si="95"/>
        <v>1848</v>
      </c>
      <c r="BU51" s="74">
        <f t="shared" si="100"/>
        <v>239.68747243853468</v>
      </c>
      <c r="BV51" s="74">
        <f t="shared" si="93"/>
        <v>197333</v>
      </c>
      <c r="BW51" s="74">
        <f t="shared" si="101"/>
        <v>629.79881978906121</v>
      </c>
      <c r="BX51" s="1098"/>
    </row>
    <row r="52" spans="1:76">
      <c r="A52" s="107">
        <v>43269</v>
      </c>
      <c r="B52" s="108">
        <v>477716</v>
      </c>
      <c r="C52" s="1">
        <f t="shared" si="10"/>
        <v>23080086</v>
      </c>
      <c r="D52" s="29">
        <v>6630.36</v>
      </c>
      <c r="E52" s="93">
        <f t="shared" si="21"/>
        <v>319957.40000000002</v>
      </c>
      <c r="F52" s="227"/>
      <c r="G52" s="227"/>
      <c r="H52" s="227"/>
      <c r="I52" s="227"/>
      <c r="J52" s="227"/>
      <c r="K52" s="227"/>
      <c r="L52" s="227"/>
      <c r="M52" s="227"/>
      <c r="N52" s="227"/>
      <c r="O52" s="227"/>
      <c r="P52" s="35">
        <f t="shared" ref="P52:P64" si="111">R51</f>
        <v>44009</v>
      </c>
      <c r="Q52" s="35"/>
      <c r="R52" s="35">
        <v>41952</v>
      </c>
      <c r="S52" s="35">
        <f t="shared" si="102"/>
        <v>2057</v>
      </c>
      <c r="T52" s="36">
        <f t="shared" si="69"/>
        <v>4.3059056008172218</v>
      </c>
      <c r="U52" s="74">
        <f t="shared" si="75"/>
        <v>68237</v>
      </c>
      <c r="V52" s="36">
        <f t="shared" si="103"/>
        <v>2.9565314444668882</v>
      </c>
      <c r="W52" s="1136"/>
      <c r="X52" s="49">
        <f t="shared" si="88"/>
        <v>938</v>
      </c>
      <c r="Y52" s="50"/>
      <c r="Z52" s="50">
        <v>938</v>
      </c>
      <c r="AA52" s="50"/>
      <c r="AB52" s="51"/>
      <c r="AC52" s="50">
        <f t="shared" si="76"/>
        <v>4708</v>
      </c>
      <c r="AD52" s="51">
        <f t="shared" si="104"/>
        <v>0.20398537509782241</v>
      </c>
      <c r="AE52" s="1047"/>
      <c r="AF52" s="40">
        <f t="shared" si="96"/>
        <v>666</v>
      </c>
      <c r="AG52" s="41"/>
      <c r="AH52" s="41">
        <v>587</v>
      </c>
      <c r="AI52" s="41">
        <f t="shared" si="105"/>
        <v>79</v>
      </c>
      <c r="AJ52" s="42">
        <f t="shared" si="106"/>
        <v>0.16537021996332549</v>
      </c>
      <c r="AK52" s="41">
        <f t="shared" si="84"/>
        <v>2973</v>
      </c>
      <c r="AL52" s="42">
        <f t="shared" si="107"/>
        <v>0.12881234497999705</v>
      </c>
      <c r="AM52" s="1058"/>
      <c r="AN52" s="67">
        <v>4.4000000000000004</v>
      </c>
      <c r="AO52" s="67">
        <v>24</v>
      </c>
      <c r="AP52" s="68">
        <f t="shared" si="14"/>
        <v>55.968000000000011</v>
      </c>
      <c r="AQ52" s="68">
        <f t="shared" si="98"/>
        <v>8.4411706151702184</v>
      </c>
      <c r="AR52" s="69">
        <f t="shared" si="89"/>
        <v>2634.3576000000003</v>
      </c>
      <c r="AS52" s="140">
        <f t="shared" si="64"/>
        <v>8.2334635798390661</v>
      </c>
      <c r="AT52" s="1073"/>
      <c r="AU52" s="70">
        <v>4.0999999999999996</v>
      </c>
      <c r="AV52" s="71">
        <v>10</v>
      </c>
      <c r="AW52" s="72">
        <f t="shared" si="90"/>
        <v>19.147000000000002</v>
      </c>
      <c r="AX52" s="72">
        <f t="shared" si="99"/>
        <v>2.8877768326305064</v>
      </c>
      <c r="AY52" s="73">
        <f t="shared" si="91"/>
        <v>931.01100000000019</v>
      </c>
      <c r="AZ52" s="192">
        <f t="shared" si="66"/>
        <v>2.9097967416912383</v>
      </c>
      <c r="BA52" s="1075"/>
      <c r="BB52" s="90">
        <f t="shared" si="80"/>
        <v>31955</v>
      </c>
      <c r="BC52" s="59"/>
      <c r="BD52" s="56">
        <v>31955</v>
      </c>
      <c r="BE52" s="56"/>
      <c r="BF52" s="58">
        <f t="shared" si="71"/>
        <v>29780</v>
      </c>
      <c r="BG52" s="58">
        <f t="shared" si="67"/>
        <v>93.074890594810427</v>
      </c>
      <c r="BH52" s="1133"/>
      <c r="BI52" s="64">
        <f t="shared" si="97"/>
        <v>48</v>
      </c>
      <c r="BJ52" s="64">
        <v>1100</v>
      </c>
      <c r="BK52" s="64">
        <v>1068</v>
      </c>
      <c r="BL52" s="64">
        <f t="shared" si="108"/>
        <v>80</v>
      </c>
      <c r="BM52" s="65">
        <f t="shared" si="109"/>
        <v>0.16746351388691189</v>
      </c>
      <c r="BN52" s="64">
        <f t="shared" si="82"/>
        <v>3584</v>
      </c>
      <c r="BO52" s="65">
        <f t="shared" si="110"/>
        <v>0.15528538325203814</v>
      </c>
      <c r="BP52" s="1071"/>
      <c r="BQ52" s="77">
        <f t="shared" si="92"/>
        <v>53031</v>
      </c>
      <c r="BR52" s="35">
        <v>31220</v>
      </c>
      <c r="BS52" s="35">
        <f>55203+19420+9060</f>
        <v>83683</v>
      </c>
      <c r="BT52" s="35">
        <f>BQ52-BS52+BR52</f>
        <v>568</v>
      </c>
      <c r="BU52" s="74">
        <f t="shared" si="100"/>
        <v>85.666539976713182</v>
      </c>
      <c r="BV52" s="74">
        <f t="shared" ref="BV52:BV64" si="112">BV51+BT52</f>
        <v>197901</v>
      </c>
      <c r="BW52" s="74">
        <f t="shared" si="101"/>
        <v>618.52296586983141</v>
      </c>
      <c r="BX52" s="1098"/>
    </row>
    <row r="53" spans="1:76">
      <c r="A53" s="107">
        <v>43270</v>
      </c>
      <c r="B53" s="1">
        <v>605155</v>
      </c>
      <c r="C53" s="1">
        <f t="shared" si="10"/>
        <v>23685241</v>
      </c>
      <c r="D53" s="29">
        <v>6738.7</v>
      </c>
      <c r="E53" s="93">
        <f t="shared" si="21"/>
        <v>326696.10000000003</v>
      </c>
      <c r="F53" s="227"/>
      <c r="G53" s="227"/>
      <c r="H53" s="227"/>
      <c r="I53" s="227"/>
      <c r="J53" s="227"/>
      <c r="K53" s="227"/>
      <c r="L53" s="227"/>
      <c r="M53" s="227"/>
      <c r="N53" s="227"/>
      <c r="O53" s="227"/>
      <c r="P53" s="35">
        <f t="shared" si="111"/>
        <v>41952</v>
      </c>
      <c r="Q53" s="35"/>
      <c r="R53" s="35">
        <v>40125</v>
      </c>
      <c r="S53" s="35">
        <f t="shared" si="102"/>
        <v>1827</v>
      </c>
      <c r="T53" s="36">
        <f t="shared" si="69"/>
        <v>3.0190612322462842</v>
      </c>
      <c r="U53" s="74">
        <f t="shared" si="75"/>
        <v>70064</v>
      </c>
      <c r="V53" s="36">
        <f t="shared" si="103"/>
        <v>2.9581290728686271</v>
      </c>
      <c r="W53" s="1136"/>
      <c r="X53" s="49">
        <f t="shared" si="88"/>
        <v>938</v>
      </c>
      <c r="Y53" s="50"/>
      <c r="Z53" s="50">
        <v>886</v>
      </c>
      <c r="AA53" s="50">
        <f>X53+Y53-Z53</f>
        <v>52</v>
      </c>
      <c r="AB53" s="51">
        <f>AA53*1000/B53</f>
        <v>8.5928398509472786E-2</v>
      </c>
      <c r="AC53" s="50">
        <f t="shared" si="76"/>
        <v>4760</v>
      </c>
      <c r="AD53" s="51">
        <f t="shared" si="104"/>
        <v>0.20096903383841438</v>
      </c>
      <c r="AE53" s="1047"/>
      <c r="AF53" s="40">
        <f t="shared" si="96"/>
        <v>587</v>
      </c>
      <c r="AG53" s="41"/>
      <c r="AH53" s="41">
        <v>548</v>
      </c>
      <c r="AI53" s="41">
        <f t="shared" si="105"/>
        <v>39</v>
      </c>
      <c r="AJ53" s="42">
        <f t="shared" si="106"/>
        <v>6.4446298882104583E-2</v>
      </c>
      <c r="AK53" s="41">
        <f t="shared" si="84"/>
        <v>3012</v>
      </c>
      <c r="AL53" s="42">
        <f t="shared" si="107"/>
        <v>0.12716780040363532</v>
      </c>
      <c r="AM53" s="1058"/>
      <c r="AN53" s="67">
        <v>4.0999999999999996</v>
      </c>
      <c r="AO53" s="67">
        <v>24</v>
      </c>
      <c r="AP53" s="68">
        <f t="shared" si="14"/>
        <v>52.152000000000001</v>
      </c>
      <c r="AQ53" s="68">
        <f t="shared" si="98"/>
        <v>7.7391781797676114</v>
      </c>
      <c r="AR53" s="69">
        <f t="shared" si="89"/>
        <v>2686.5096000000003</v>
      </c>
      <c r="AS53" s="140">
        <f t="shared" si="64"/>
        <v>8.2232680463586796</v>
      </c>
      <c r="AT53" s="1073"/>
      <c r="AU53" s="70">
        <v>3.9</v>
      </c>
      <c r="AV53" s="71">
        <v>10</v>
      </c>
      <c r="AW53" s="72">
        <f t="shared" si="90"/>
        <v>18.213000000000001</v>
      </c>
      <c r="AX53" s="72">
        <f t="shared" si="99"/>
        <v>2.7027468206033807</v>
      </c>
      <c r="AY53" s="73">
        <f t="shared" si="91"/>
        <v>949.22400000000016</v>
      </c>
      <c r="AZ53" s="192">
        <f t="shared" si="66"/>
        <v>2.9055259612832844</v>
      </c>
      <c r="BA53" s="1075"/>
      <c r="BB53" s="90">
        <f t="shared" si="80"/>
        <v>31955</v>
      </c>
      <c r="BC53" s="59"/>
      <c r="BD53" s="56">
        <v>31955</v>
      </c>
      <c r="BE53" s="56"/>
      <c r="BF53" s="58">
        <f t="shared" si="71"/>
        <v>29780</v>
      </c>
      <c r="BG53" s="58">
        <f t="shared" si="67"/>
        <v>91.155052049902025</v>
      </c>
      <c r="BH53" s="1133"/>
      <c r="BI53" s="64">
        <f t="shared" ref="BI53:BI64" si="113">BK52</f>
        <v>1068</v>
      </c>
      <c r="BJ53" s="64"/>
      <c r="BK53" s="64">
        <v>960</v>
      </c>
      <c r="BL53" s="64">
        <f t="shared" si="108"/>
        <v>108</v>
      </c>
      <c r="BM53" s="65">
        <f t="shared" si="109"/>
        <v>0.17846667382736653</v>
      </c>
      <c r="BN53" s="64">
        <f t="shared" si="82"/>
        <v>3692</v>
      </c>
      <c r="BO53" s="65">
        <f t="shared" si="110"/>
        <v>0.15587766238055167</v>
      </c>
      <c r="BP53" s="1071"/>
      <c r="BQ53" s="77">
        <f>BS52</f>
        <v>83683</v>
      </c>
      <c r="BR53" s="35"/>
      <c r="BS53" s="35">
        <f>39492+19420+9060</f>
        <v>67972</v>
      </c>
      <c r="BT53" s="35">
        <f>BQ53-BS53+BR53</f>
        <v>15711</v>
      </c>
      <c r="BU53" s="74">
        <f t="shared" si="100"/>
        <v>2331.4585899357444</v>
      </c>
      <c r="BV53" s="74">
        <f t="shared" si="112"/>
        <v>213612</v>
      </c>
      <c r="BW53" s="74">
        <f t="shared" si="101"/>
        <v>653.85537201086879</v>
      </c>
      <c r="BX53" s="1098"/>
    </row>
    <row r="54" spans="1:76">
      <c r="A54" s="107">
        <v>43271</v>
      </c>
      <c r="B54" s="1">
        <v>611075</v>
      </c>
      <c r="C54" s="1">
        <f t="shared" si="10"/>
        <v>24296316</v>
      </c>
      <c r="D54" s="29">
        <v>6878.22</v>
      </c>
      <c r="E54" s="93">
        <f t="shared" si="21"/>
        <v>333574.32</v>
      </c>
      <c r="F54" s="227"/>
      <c r="G54" s="227"/>
      <c r="H54" s="227"/>
      <c r="I54" s="227"/>
      <c r="J54" s="227"/>
      <c r="K54" s="227"/>
      <c r="L54" s="227"/>
      <c r="M54" s="227"/>
      <c r="N54" s="227"/>
      <c r="O54" s="227"/>
      <c r="P54" s="35">
        <f t="shared" si="111"/>
        <v>40125</v>
      </c>
      <c r="Q54" s="35"/>
      <c r="R54" s="35">
        <v>38542</v>
      </c>
      <c r="S54" s="35">
        <f t="shared" si="102"/>
        <v>1583</v>
      </c>
      <c r="T54" s="36">
        <f t="shared" si="69"/>
        <v>2.5905167123511843</v>
      </c>
      <c r="U54" s="74">
        <f t="shared" si="75"/>
        <v>71647</v>
      </c>
      <c r="V54" s="36">
        <f t="shared" si="103"/>
        <v>2.9488832792592916</v>
      </c>
      <c r="W54" s="1136"/>
      <c r="X54" s="49">
        <f t="shared" si="88"/>
        <v>886</v>
      </c>
      <c r="Y54" s="50"/>
      <c r="Z54" s="50">
        <v>868</v>
      </c>
      <c r="AA54" s="50">
        <f>X54+Y54-Z54</f>
        <v>18</v>
      </c>
      <c r="AB54" s="51">
        <f>AA54*1000/B54</f>
        <v>2.9456286053266785E-2</v>
      </c>
      <c r="AC54" s="50">
        <f t="shared" si="76"/>
        <v>4778</v>
      </c>
      <c r="AD54" s="51">
        <f t="shared" si="104"/>
        <v>0.19665532832220325</v>
      </c>
      <c r="AE54" s="1047"/>
      <c r="AF54" s="40">
        <f t="shared" si="96"/>
        <v>548</v>
      </c>
      <c r="AG54" s="41"/>
      <c r="AH54" s="41">
        <v>490</v>
      </c>
      <c r="AI54" s="41">
        <f t="shared" si="105"/>
        <v>58</v>
      </c>
      <c r="AJ54" s="42">
        <f t="shared" si="106"/>
        <v>9.4914699504970751E-2</v>
      </c>
      <c r="AK54" s="41">
        <f t="shared" si="84"/>
        <v>3070</v>
      </c>
      <c r="AL54" s="42">
        <f t="shared" si="107"/>
        <v>0.12635660484494851</v>
      </c>
      <c r="AM54" s="1058"/>
      <c r="AN54" s="67">
        <v>4.2</v>
      </c>
      <c r="AO54" s="67">
        <v>24</v>
      </c>
      <c r="AP54" s="68">
        <f t="shared" si="14"/>
        <v>53.424000000000007</v>
      </c>
      <c r="AQ54" s="68">
        <f t="shared" si="98"/>
        <v>7.7671257970812224</v>
      </c>
      <c r="AR54" s="69">
        <f t="shared" si="89"/>
        <v>2739.9336000000003</v>
      </c>
      <c r="AS54" s="140">
        <f t="shared" si="64"/>
        <v>8.2138625059626893</v>
      </c>
      <c r="AT54" s="1073"/>
      <c r="AU54" s="70">
        <v>4</v>
      </c>
      <c r="AV54" s="71">
        <v>10</v>
      </c>
      <c r="AW54" s="72">
        <f t="shared" si="90"/>
        <v>18.68</v>
      </c>
      <c r="AX54" s="72">
        <f t="shared" si="99"/>
        <v>2.7158189182666446</v>
      </c>
      <c r="AY54" s="73">
        <f t="shared" si="91"/>
        <v>967.90400000000011</v>
      </c>
      <c r="AZ54" s="192">
        <f t="shared" si="66"/>
        <v>2.9016142489625705</v>
      </c>
      <c r="BA54" s="1075"/>
      <c r="BB54" s="90">
        <f t="shared" si="80"/>
        <v>31955</v>
      </c>
      <c r="BC54" s="59"/>
      <c r="BD54" s="56">
        <v>31955</v>
      </c>
      <c r="BE54" s="56"/>
      <c r="BF54" s="58">
        <f t="shared" si="71"/>
        <v>29780</v>
      </c>
      <c r="BG54" s="58">
        <f t="shared" si="67"/>
        <v>89.275457415307031</v>
      </c>
      <c r="BH54" s="1133"/>
      <c r="BI54" s="64">
        <f t="shared" si="113"/>
        <v>960</v>
      </c>
      <c r="BJ54" s="64"/>
      <c r="BK54" s="64">
        <v>888</v>
      </c>
      <c r="BL54" s="64">
        <f t="shared" si="108"/>
        <v>72</v>
      </c>
      <c r="BM54" s="65">
        <f t="shared" si="109"/>
        <v>0.11782514421306714</v>
      </c>
      <c r="BN54" s="64">
        <f t="shared" si="82"/>
        <v>3764</v>
      </c>
      <c r="BO54" s="65">
        <f t="shared" si="110"/>
        <v>0.15492060607048411</v>
      </c>
      <c r="BP54" s="1071"/>
      <c r="BQ54" s="77">
        <f>BS53</f>
        <v>67972</v>
      </c>
      <c r="BR54" s="35"/>
      <c r="BS54" s="35">
        <f>33947+19420+9060</f>
        <v>62427</v>
      </c>
      <c r="BT54" s="35">
        <f>BQ54-BS54+BR54</f>
        <v>5545</v>
      </c>
      <c r="BU54" s="74">
        <f t="shared" si="100"/>
        <v>806.16787482808047</v>
      </c>
      <c r="BV54" s="74">
        <f t="shared" si="112"/>
        <v>219157</v>
      </c>
      <c r="BW54" s="74">
        <f t="shared" si="101"/>
        <v>656.99601815871199</v>
      </c>
      <c r="BX54" s="1098"/>
    </row>
    <row r="55" spans="1:76">
      <c r="A55" s="107">
        <v>43272</v>
      </c>
      <c r="B55" s="1">
        <v>603013</v>
      </c>
      <c r="C55" s="1">
        <f t="shared" si="10"/>
        <v>24899329</v>
      </c>
      <c r="D55" s="29">
        <v>7502.88</v>
      </c>
      <c r="E55" s="93">
        <f t="shared" si="21"/>
        <v>341077.2</v>
      </c>
      <c r="F55" s="227"/>
      <c r="G55" s="227"/>
      <c r="H55" s="227"/>
      <c r="I55" s="227"/>
      <c r="J55" s="227"/>
      <c r="K55" s="227"/>
      <c r="L55" s="227"/>
      <c r="M55" s="227"/>
      <c r="N55" s="227"/>
      <c r="O55" s="227"/>
      <c r="P55" s="35">
        <f t="shared" si="111"/>
        <v>38542</v>
      </c>
      <c r="Q55" s="35"/>
      <c r="R55" s="35">
        <v>35076</v>
      </c>
      <c r="S55" s="35">
        <f t="shared" si="102"/>
        <v>3466</v>
      </c>
      <c r="T55" s="36">
        <f t="shared" si="69"/>
        <v>5.7478031153557216</v>
      </c>
      <c r="U55" s="74">
        <f t="shared" si="75"/>
        <v>75113</v>
      </c>
      <c r="V55" s="36">
        <f t="shared" si="103"/>
        <v>3.0166676379110458</v>
      </c>
      <c r="W55" s="1136"/>
      <c r="X55" s="49">
        <f t="shared" si="88"/>
        <v>868</v>
      </c>
      <c r="Y55" s="50"/>
      <c r="Z55" s="50">
        <v>868</v>
      </c>
      <c r="AA55" s="50"/>
      <c r="AB55" s="51"/>
      <c r="AC55" s="50">
        <f t="shared" si="76"/>
        <v>4778</v>
      </c>
      <c r="AD55" s="51">
        <f t="shared" si="104"/>
        <v>0.19189272128578244</v>
      </c>
      <c r="AE55" s="1047"/>
      <c r="AF55" s="40">
        <f t="shared" si="96"/>
        <v>490</v>
      </c>
      <c r="AG55" s="41"/>
      <c r="AH55" s="41">
        <v>490</v>
      </c>
      <c r="AI55" s="41">
        <f t="shared" si="105"/>
        <v>0</v>
      </c>
      <c r="AJ55" s="42">
        <f t="shared" si="106"/>
        <v>0</v>
      </c>
      <c r="AK55" s="41">
        <f t="shared" si="84"/>
        <v>3070</v>
      </c>
      <c r="AL55" s="42">
        <f t="shared" si="107"/>
        <v>0.12329649525896863</v>
      </c>
      <c r="AM55" s="1058"/>
      <c r="AN55" s="67">
        <v>4.8</v>
      </c>
      <c r="AO55" s="67">
        <v>24</v>
      </c>
      <c r="AP55" s="68">
        <f t="shared" si="14"/>
        <v>61.055999999999997</v>
      </c>
      <c r="AQ55" s="68">
        <f t="shared" si="98"/>
        <v>8.137675132749024</v>
      </c>
      <c r="AR55" s="69">
        <f t="shared" si="89"/>
        <v>2800.9896000000003</v>
      </c>
      <c r="AS55" s="140">
        <f t="shared" si="64"/>
        <v>8.2121865665603</v>
      </c>
      <c r="AT55" s="1073"/>
      <c r="AU55" s="70">
        <v>4.5999999999999996</v>
      </c>
      <c r="AV55" s="71">
        <v>10</v>
      </c>
      <c r="AW55" s="72">
        <f t="shared" si="90"/>
        <v>21.482000000000003</v>
      </c>
      <c r="AX55" s="72">
        <f t="shared" si="99"/>
        <v>2.8631672104578514</v>
      </c>
      <c r="AY55" s="73">
        <f t="shared" si="91"/>
        <v>989.38600000000008</v>
      </c>
      <c r="AZ55" s="192">
        <f t="shared" si="66"/>
        <v>2.9007685063674735</v>
      </c>
      <c r="BA55" s="1075"/>
      <c r="BB55" s="90">
        <f t="shared" si="80"/>
        <v>31955</v>
      </c>
      <c r="BC55" s="59"/>
      <c r="BD55" s="56">
        <v>31955</v>
      </c>
      <c r="BE55" s="56"/>
      <c r="BF55" s="58">
        <f t="shared" si="71"/>
        <v>29780</v>
      </c>
      <c r="BG55" s="58">
        <f t="shared" si="67"/>
        <v>87.311611564771837</v>
      </c>
      <c r="BH55" s="1133"/>
      <c r="BI55" s="64">
        <f t="shared" si="113"/>
        <v>888</v>
      </c>
      <c r="BJ55" s="64"/>
      <c r="BK55" s="64">
        <v>888</v>
      </c>
      <c r="BL55" s="64">
        <f t="shared" si="108"/>
        <v>0</v>
      </c>
      <c r="BM55" s="65">
        <f t="shared" si="109"/>
        <v>0</v>
      </c>
      <c r="BN55" s="64">
        <f t="shared" si="82"/>
        <v>3764</v>
      </c>
      <c r="BO55" s="65">
        <f t="shared" si="110"/>
        <v>0.15116873229796673</v>
      </c>
      <c r="BP55" s="1071"/>
      <c r="BQ55" s="77">
        <f t="shared" ref="BQ55:BQ60" si="114">BS54</f>
        <v>62427</v>
      </c>
      <c r="BR55" s="35">
        <v>32000</v>
      </c>
      <c r="BS55" s="35">
        <f>31174+19420+9060+32000</f>
        <v>91654</v>
      </c>
      <c r="BT55" s="35">
        <f>BQ55-BS55+BR55</f>
        <v>2773</v>
      </c>
      <c r="BU55" s="74">
        <f t="shared" si="100"/>
        <v>369.59141023180433</v>
      </c>
      <c r="BV55" s="74">
        <f t="shared" si="112"/>
        <v>221930</v>
      </c>
      <c r="BW55" s="74">
        <f t="shared" si="101"/>
        <v>650.673806399255</v>
      </c>
      <c r="BX55" s="1098"/>
    </row>
    <row r="56" spans="1:76">
      <c r="A56" s="107">
        <v>43273</v>
      </c>
      <c r="B56" s="108">
        <v>675936</v>
      </c>
      <c r="C56" s="1">
        <f t="shared" si="10"/>
        <v>25575265</v>
      </c>
      <c r="D56" s="91">
        <v>7767.82</v>
      </c>
      <c r="E56" s="93">
        <f t="shared" si="21"/>
        <v>348845.02</v>
      </c>
      <c r="F56" s="227"/>
      <c r="G56" s="227"/>
      <c r="H56" s="227"/>
      <c r="I56" s="227"/>
      <c r="J56" s="227"/>
      <c r="K56" s="227"/>
      <c r="L56" s="227"/>
      <c r="M56" s="227"/>
      <c r="N56" s="227"/>
      <c r="O56" s="227"/>
      <c r="P56" s="35">
        <f t="shared" si="111"/>
        <v>35076</v>
      </c>
      <c r="Q56" s="35"/>
      <c r="R56" s="35">
        <v>34539</v>
      </c>
      <c r="S56" s="35">
        <f t="shared" si="102"/>
        <v>537</v>
      </c>
      <c r="T56" s="36">
        <f t="shared" si="69"/>
        <v>0.79445391279647781</v>
      </c>
      <c r="U56" s="74">
        <f t="shared" si="75"/>
        <v>75650</v>
      </c>
      <c r="V56" s="36">
        <f t="shared" si="103"/>
        <v>2.9579361152269588</v>
      </c>
      <c r="W56" s="1136"/>
      <c r="X56" s="49">
        <f t="shared" si="88"/>
        <v>868</v>
      </c>
      <c r="Y56" s="50"/>
      <c r="Z56" s="50">
        <v>868</v>
      </c>
      <c r="AA56" s="50"/>
      <c r="AB56" s="51"/>
      <c r="AC56" s="50">
        <f t="shared" si="76"/>
        <v>4778</v>
      </c>
      <c r="AD56" s="51">
        <f t="shared" si="104"/>
        <v>0.18682113362266237</v>
      </c>
      <c r="AE56" s="1047"/>
      <c r="AF56" s="40">
        <f t="shared" si="96"/>
        <v>490</v>
      </c>
      <c r="AG56" s="41"/>
      <c r="AH56" s="41">
        <v>490</v>
      </c>
      <c r="AI56" s="41">
        <f t="shared" si="105"/>
        <v>0</v>
      </c>
      <c r="AJ56" s="42">
        <f t="shared" si="106"/>
        <v>0</v>
      </c>
      <c r="AK56" s="41">
        <f t="shared" si="84"/>
        <v>3070</v>
      </c>
      <c r="AL56" s="42">
        <f t="shared" si="107"/>
        <v>0.12003785689024141</v>
      </c>
      <c r="AM56" s="1058"/>
      <c r="AN56" s="67">
        <v>5.6</v>
      </c>
      <c r="AO56" s="67">
        <v>24</v>
      </c>
      <c r="AP56" s="68">
        <f t="shared" si="14"/>
        <v>71.231999999999985</v>
      </c>
      <c r="AQ56" s="68">
        <f t="shared" si="98"/>
        <v>9.1701403997517943</v>
      </c>
      <c r="AR56" s="69">
        <f t="shared" si="89"/>
        <v>2872.2216000000003</v>
      </c>
      <c r="AS56" s="140">
        <f t="shared" si="64"/>
        <v>8.2335175660526847</v>
      </c>
      <c r="AT56" s="1073"/>
      <c r="AU56" s="70">
        <v>5.0999999999999996</v>
      </c>
      <c r="AV56" s="71">
        <v>10</v>
      </c>
      <c r="AW56" s="72">
        <f t="shared" si="90"/>
        <v>23.817</v>
      </c>
      <c r="AX56" s="72">
        <f t="shared" si="99"/>
        <v>3.0661112126697065</v>
      </c>
      <c r="AY56" s="73">
        <f t="shared" si="91"/>
        <v>1013.2030000000001</v>
      </c>
      <c r="AZ56" s="192">
        <f t="shared" si="66"/>
        <v>2.9044502340896252</v>
      </c>
      <c r="BA56" s="1075"/>
      <c r="BB56" s="90">
        <f t="shared" si="80"/>
        <v>31955</v>
      </c>
      <c r="BC56" s="59"/>
      <c r="BD56" s="56">
        <v>31955</v>
      </c>
      <c r="BE56" s="56"/>
      <c r="BF56" s="58">
        <f t="shared" si="71"/>
        <v>29780</v>
      </c>
      <c r="BG56" s="58">
        <f t="shared" si="67"/>
        <v>85.367421899845382</v>
      </c>
      <c r="BH56" s="1133"/>
      <c r="BI56" s="64">
        <f t="shared" si="113"/>
        <v>888</v>
      </c>
      <c r="BJ56" s="64"/>
      <c r="BK56" s="64">
        <v>888</v>
      </c>
      <c r="BL56" s="64">
        <f t="shared" si="108"/>
        <v>0</v>
      </c>
      <c r="BM56" s="65">
        <f t="shared" si="109"/>
        <v>0</v>
      </c>
      <c r="BN56" s="64">
        <f t="shared" si="82"/>
        <v>3764</v>
      </c>
      <c r="BO56" s="65">
        <f t="shared" si="110"/>
        <v>0.14717345059767709</v>
      </c>
      <c r="BP56" s="1071"/>
      <c r="BQ56" s="77">
        <f t="shared" si="114"/>
        <v>91654</v>
      </c>
      <c r="BR56" s="35"/>
      <c r="BS56" s="35">
        <f>31174+19420+9060+32000</f>
        <v>91654</v>
      </c>
      <c r="BT56" s="35"/>
      <c r="BU56" s="74"/>
      <c r="BV56" s="74">
        <f t="shared" si="112"/>
        <v>221930</v>
      </c>
      <c r="BW56" s="74">
        <f t="shared" si="101"/>
        <v>636.18508872507334</v>
      </c>
      <c r="BX56" s="1098"/>
    </row>
    <row r="57" spans="1:76">
      <c r="A57" s="107">
        <v>43274</v>
      </c>
      <c r="B57" s="1">
        <v>618146</v>
      </c>
      <c r="C57" s="1">
        <f t="shared" si="10"/>
        <v>26193411</v>
      </c>
      <c r="D57" s="91">
        <v>7960.5</v>
      </c>
      <c r="E57" s="93">
        <f t="shared" si="21"/>
        <v>356805.52</v>
      </c>
      <c r="F57" s="227"/>
      <c r="G57" s="227"/>
      <c r="H57" s="227"/>
      <c r="I57" s="227"/>
      <c r="J57" s="227"/>
      <c r="K57" s="227"/>
      <c r="L57" s="227"/>
      <c r="M57" s="227"/>
      <c r="N57" s="227"/>
      <c r="O57" s="227"/>
      <c r="P57" s="35">
        <f t="shared" si="111"/>
        <v>34539</v>
      </c>
      <c r="Q57" s="35"/>
      <c r="R57" s="35">
        <v>34002</v>
      </c>
      <c r="S57" s="35">
        <f t="shared" si="102"/>
        <v>537</v>
      </c>
      <c r="T57" s="36">
        <f t="shared" si="69"/>
        <v>0.86872680564138571</v>
      </c>
      <c r="U57" s="74">
        <f t="shared" si="75"/>
        <v>76187</v>
      </c>
      <c r="V57" s="36">
        <f t="shared" si="103"/>
        <v>2.9086322510649718</v>
      </c>
      <c r="W57" s="1136"/>
      <c r="X57" s="49">
        <f t="shared" si="88"/>
        <v>868</v>
      </c>
      <c r="Y57" s="50"/>
      <c r="Z57" s="50">
        <v>868</v>
      </c>
      <c r="AA57" s="50"/>
      <c r="AB57" s="51"/>
      <c r="AC57" s="50">
        <f t="shared" si="76"/>
        <v>4778</v>
      </c>
      <c r="AD57" s="51">
        <f t="shared" si="104"/>
        <v>0.18241228681518418</v>
      </c>
      <c r="AE57" s="1047"/>
      <c r="AF57" s="40">
        <f t="shared" si="96"/>
        <v>490</v>
      </c>
      <c r="AG57" s="41"/>
      <c r="AH57" s="41">
        <v>490</v>
      </c>
      <c r="AI57" s="41">
        <f t="shared" si="105"/>
        <v>0</v>
      </c>
      <c r="AJ57" s="42">
        <f t="shared" si="106"/>
        <v>0</v>
      </c>
      <c r="AK57" s="41">
        <f t="shared" si="84"/>
        <v>3070</v>
      </c>
      <c r="AL57" s="42">
        <f t="shared" si="107"/>
        <v>0.11720504824667548</v>
      </c>
      <c r="AM57" s="1058"/>
      <c r="AN57" s="67">
        <v>4.8</v>
      </c>
      <c r="AO57" s="67">
        <v>24</v>
      </c>
      <c r="AP57" s="68">
        <f t="shared" si="14"/>
        <v>61.055999999999997</v>
      </c>
      <c r="AQ57" s="68">
        <f t="shared" si="98"/>
        <v>7.6698699830412664</v>
      </c>
      <c r="AR57" s="69">
        <f t="shared" si="89"/>
        <v>2933.2776000000003</v>
      </c>
      <c r="AS57" s="140">
        <f t="shared" si="64"/>
        <v>8.2209423217443511</v>
      </c>
      <c r="AT57" s="1073"/>
      <c r="AU57" s="70">
        <v>5.2</v>
      </c>
      <c r="AV57" s="71">
        <v>10</v>
      </c>
      <c r="AW57" s="72">
        <f t="shared" si="90"/>
        <v>24.284000000000002</v>
      </c>
      <c r="AX57" s="72">
        <f t="shared" si="99"/>
        <v>3.05056215061868</v>
      </c>
      <c r="AY57" s="73">
        <f t="shared" si="91"/>
        <v>1037.4870000000001</v>
      </c>
      <c r="AZ57" s="192">
        <f t="shared" si="66"/>
        <v>2.9077100600909986</v>
      </c>
      <c r="BA57" s="1075"/>
      <c r="BB57" s="90">
        <f t="shared" si="80"/>
        <v>31955</v>
      </c>
      <c r="BC57" s="59"/>
      <c r="BD57" s="56">
        <v>31955</v>
      </c>
      <c r="BE57" s="56"/>
      <c r="BF57" s="58">
        <f t="shared" si="71"/>
        <v>29780</v>
      </c>
      <c r="BG57" s="58">
        <f t="shared" si="67"/>
        <v>83.462834319379354</v>
      </c>
      <c r="BH57" s="1133"/>
      <c r="BI57" s="64">
        <f t="shared" si="113"/>
        <v>888</v>
      </c>
      <c r="BJ57" s="64"/>
      <c r="BK57" s="64">
        <v>888</v>
      </c>
      <c r="BL57" s="64">
        <f t="shared" si="108"/>
        <v>0</v>
      </c>
      <c r="BM57" s="65">
        <f t="shared" si="109"/>
        <v>0</v>
      </c>
      <c r="BN57" s="64">
        <f t="shared" si="82"/>
        <v>3764</v>
      </c>
      <c r="BO57" s="65">
        <f t="shared" si="110"/>
        <v>0.14370026110765033</v>
      </c>
      <c r="BP57" s="1071"/>
      <c r="BQ57" s="77">
        <f t="shared" si="114"/>
        <v>91654</v>
      </c>
      <c r="BR57" s="35"/>
      <c r="BS57" s="35">
        <f>31174+19420+9060+32000</f>
        <v>91654</v>
      </c>
      <c r="BT57" s="35"/>
      <c r="BU57" s="74"/>
      <c r="BV57" s="74">
        <f t="shared" si="112"/>
        <v>221930</v>
      </c>
      <c r="BW57" s="74">
        <f t="shared" si="101"/>
        <v>621.99149833780598</v>
      </c>
      <c r="BX57" s="1098"/>
    </row>
    <row r="58" spans="1:76">
      <c r="A58" s="107">
        <v>43275</v>
      </c>
      <c r="B58" s="1">
        <v>606133</v>
      </c>
      <c r="C58" s="1">
        <f t="shared" si="10"/>
        <v>26799544</v>
      </c>
      <c r="D58" s="91">
        <v>8128.44</v>
      </c>
      <c r="E58" s="93">
        <f t="shared" si="21"/>
        <v>364933.96</v>
      </c>
      <c r="F58" s="227"/>
      <c r="G58" s="227"/>
      <c r="H58" s="227"/>
      <c r="I58" s="227"/>
      <c r="J58" s="227"/>
      <c r="K58" s="227"/>
      <c r="L58" s="227"/>
      <c r="M58" s="227"/>
      <c r="N58" s="227"/>
      <c r="O58" s="227"/>
      <c r="P58" s="35">
        <f t="shared" si="111"/>
        <v>34002</v>
      </c>
      <c r="Q58" s="35"/>
      <c r="R58" s="35">
        <v>31041</v>
      </c>
      <c r="S58" s="35">
        <f t="shared" si="102"/>
        <v>2961</v>
      </c>
      <c r="T58" s="36">
        <f t="shared" si="69"/>
        <v>4.8850664788091063</v>
      </c>
      <c r="U58" s="74">
        <f t="shared" si="75"/>
        <v>79148</v>
      </c>
      <c r="V58" s="36">
        <f t="shared" si="103"/>
        <v>2.9533338328443199</v>
      </c>
      <c r="W58" s="1136"/>
      <c r="X58" s="49">
        <f t="shared" si="88"/>
        <v>868</v>
      </c>
      <c r="Y58" s="50"/>
      <c r="Z58" s="50">
        <v>868</v>
      </c>
      <c r="AA58" s="50"/>
      <c r="AB58" s="51"/>
      <c r="AC58" s="50">
        <f t="shared" si="76"/>
        <v>4778</v>
      </c>
      <c r="AD58" s="51">
        <f t="shared" si="104"/>
        <v>0.1782866156230121</v>
      </c>
      <c r="AE58" s="1047"/>
      <c r="AF58" s="40">
        <f t="shared" si="96"/>
        <v>490</v>
      </c>
      <c r="AG58" s="41"/>
      <c r="AH58" s="41">
        <v>490</v>
      </c>
      <c r="AI58" s="41">
        <f t="shared" si="105"/>
        <v>0</v>
      </c>
      <c r="AJ58" s="42">
        <f t="shared" si="106"/>
        <v>0</v>
      </c>
      <c r="AK58" s="41">
        <f t="shared" si="84"/>
        <v>3070</v>
      </c>
      <c r="AL58" s="42">
        <f t="shared" si="107"/>
        <v>0.11455418793692908</v>
      </c>
      <c r="AM58" s="1058"/>
      <c r="AN58" s="67">
        <v>4.2</v>
      </c>
      <c r="AO58" s="67">
        <v>24</v>
      </c>
      <c r="AP58" s="68">
        <f t="shared" si="14"/>
        <v>53.424000000000007</v>
      </c>
      <c r="AQ58" s="68">
        <f t="shared" si="98"/>
        <v>6.572478852030649</v>
      </c>
      <c r="AR58" s="69">
        <f t="shared" si="89"/>
        <v>2986.7016000000003</v>
      </c>
      <c r="AS58" s="140">
        <f t="shared" si="64"/>
        <v>8.184224893731459</v>
      </c>
      <c r="AT58" s="1073"/>
      <c r="AU58" s="70">
        <v>5.0999999999999996</v>
      </c>
      <c r="AV58" s="71">
        <v>10</v>
      </c>
      <c r="AW58" s="72">
        <f t="shared" si="90"/>
        <v>23.817</v>
      </c>
      <c r="AX58" s="72">
        <f t="shared" si="99"/>
        <v>2.9300825250601594</v>
      </c>
      <c r="AY58" s="73">
        <f t="shared" si="91"/>
        <v>1061.3040000000001</v>
      </c>
      <c r="AZ58" s="192">
        <f t="shared" si="66"/>
        <v>2.9082083783049404</v>
      </c>
      <c r="BA58" s="1075"/>
      <c r="BB58" s="90">
        <f t="shared" si="80"/>
        <v>31955</v>
      </c>
      <c r="BC58" s="59"/>
      <c r="BD58" s="56">
        <v>31955</v>
      </c>
      <c r="BE58" s="56"/>
      <c r="BF58" s="58">
        <f t="shared" si="71"/>
        <v>29780</v>
      </c>
      <c r="BG58" s="58">
        <f t="shared" si="67"/>
        <v>81.603805795437609</v>
      </c>
      <c r="BH58" s="1133"/>
      <c r="BI58" s="64">
        <f t="shared" si="113"/>
        <v>888</v>
      </c>
      <c r="BJ58" s="64"/>
      <c r="BK58" s="64">
        <v>888</v>
      </c>
      <c r="BL58" s="64">
        <f t="shared" si="108"/>
        <v>0</v>
      </c>
      <c r="BM58" s="65">
        <f t="shared" si="109"/>
        <v>0</v>
      </c>
      <c r="BN58" s="64">
        <f t="shared" si="82"/>
        <v>3764</v>
      </c>
      <c r="BO58" s="65">
        <f t="shared" si="110"/>
        <v>0.14045015094286678</v>
      </c>
      <c r="BP58" s="1071"/>
      <c r="BQ58" s="77">
        <f t="shared" si="114"/>
        <v>91654</v>
      </c>
      <c r="BR58" s="35"/>
      <c r="BS58" s="99">
        <f>21933+19420+9060+32000</f>
        <v>82413</v>
      </c>
      <c r="BT58" s="35">
        <f>BQ58-BS58+BR58</f>
        <v>9241</v>
      </c>
      <c r="BU58" s="74">
        <f>BT58*1000/D58</f>
        <v>1136.8725118226869</v>
      </c>
      <c r="BV58" s="74">
        <f t="shared" si="112"/>
        <v>231171</v>
      </c>
      <c r="BW58" s="74">
        <f t="shared" si="101"/>
        <v>633.4598183189089</v>
      </c>
      <c r="BX58" s="1098"/>
    </row>
    <row r="59" spans="1:76">
      <c r="A59" s="107">
        <v>43276</v>
      </c>
      <c r="B59" s="108">
        <v>528037</v>
      </c>
      <c r="C59" s="1">
        <f t="shared" si="10"/>
        <v>27327581</v>
      </c>
      <c r="D59" s="91">
        <v>7352.08</v>
      </c>
      <c r="E59" s="93">
        <f t="shared" si="21"/>
        <v>372286.04000000004</v>
      </c>
      <c r="F59" s="227"/>
      <c r="G59" s="227"/>
      <c r="H59" s="227"/>
      <c r="I59" s="227"/>
      <c r="J59" s="227"/>
      <c r="K59" s="227"/>
      <c r="L59" s="227"/>
      <c r="M59" s="227"/>
      <c r="N59" s="227"/>
      <c r="O59" s="227"/>
      <c r="P59" s="35">
        <f t="shared" si="111"/>
        <v>31041</v>
      </c>
      <c r="Q59" s="35"/>
      <c r="R59" s="35">
        <v>27277</v>
      </c>
      <c r="S59" s="35">
        <f t="shared" si="102"/>
        <v>3764</v>
      </c>
      <c r="T59" s="36">
        <f t="shared" si="69"/>
        <v>7.1282883585809325</v>
      </c>
      <c r="U59" s="74">
        <f t="shared" si="75"/>
        <v>82912</v>
      </c>
      <c r="V59" s="36">
        <f t="shared" si="103"/>
        <v>3.0340043635768565</v>
      </c>
      <c r="W59" s="1136"/>
      <c r="X59" s="49">
        <f t="shared" si="88"/>
        <v>868</v>
      </c>
      <c r="Y59" s="50">
        <v>900</v>
      </c>
      <c r="Z59" s="50">
        <f>1370+280</f>
        <v>1650</v>
      </c>
      <c r="AA59" s="50">
        <f>X59+Y59-Z59</f>
        <v>118</v>
      </c>
      <c r="AB59" s="51">
        <f>AA59*1000/B59</f>
        <v>0.22346918871215465</v>
      </c>
      <c r="AC59" s="50">
        <f t="shared" si="76"/>
        <v>4896</v>
      </c>
      <c r="AD59" s="51">
        <f t="shared" si="104"/>
        <v>0.17915965558751798</v>
      </c>
      <c r="AE59" s="1047"/>
      <c r="AF59" s="40">
        <f t="shared" si="96"/>
        <v>490</v>
      </c>
      <c r="AG59" s="41">
        <v>1000</v>
      </c>
      <c r="AH59" s="41">
        <v>1193</v>
      </c>
      <c r="AI59" s="41">
        <f t="shared" si="105"/>
        <v>297</v>
      </c>
      <c r="AJ59" s="42">
        <f t="shared" si="106"/>
        <v>0.56246058514838926</v>
      </c>
      <c r="AK59" s="41">
        <f t="shared" si="84"/>
        <v>3367</v>
      </c>
      <c r="AL59" s="42">
        <f t="shared" si="107"/>
        <v>0.12320885628332783</v>
      </c>
      <c r="AM59" s="1058"/>
      <c r="AN59" s="67">
        <v>4.5</v>
      </c>
      <c r="AO59" s="67">
        <v>24</v>
      </c>
      <c r="AP59" s="68">
        <f t="shared" si="14"/>
        <v>57.24</v>
      </c>
      <c r="AQ59" s="68">
        <f t="shared" si="98"/>
        <v>7.78555184383195</v>
      </c>
      <c r="AR59" s="69">
        <f t="shared" si="89"/>
        <v>3043.9416000000001</v>
      </c>
      <c r="AS59" s="140">
        <f t="shared" si="64"/>
        <v>8.1763517106362613</v>
      </c>
      <c r="AT59" s="1073"/>
      <c r="AU59" s="70">
        <v>4.5999999999999996</v>
      </c>
      <c r="AV59" s="71">
        <v>10</v>
      </c>
      <c r="AW59" s="72">
        <f t="shared" si="90"/>
        <v>21.482000000000003</v>
      </c>
      <c r="AX59" s="72">
        <f t="shared" si="99"/>
        <v>2.9218942122501392</v>
      </c>
      <c r="AY59" s="73">
        <f t="shared" si="91"/>
        <v>1082.7860000000001</v>
      </c>
      <c r="AZ59" s="192">
        <f t="shared" si="66"/>
        <v>2.9084786525973412</v>
      </c>
      <c r="BA59" s="1075"/>
      <c r="BB59" s="90">
        <f t="shared" si="80"/>
        <v>31955</v>
      </c>
      <c r="BC59" s="59"/>
      <c r="BD59" s="56">
        <v>31955</v>
      </c>
      <c r="BE59" s="56"/>
      <c r="BF59" s="58">
        <f t="shared" si="71"/>
        <v>29780</v>
      </c>
      <c r="BG59" s="58">
        <f t="shared" si="67"/>
        <v>79.992255417366707</v>
      </c>
      <c r="BH59" s="1133"/>
      <c r="BI59" s="64">
        <f t="shared" si="113"/>
        <v>888</v>
      </c>
      <c r="BJ59" s="64"/>
      <c r="BK59" s="64">
        <v>360</v>
      </c>
      <c r="BL59" s="64">
        <f t="shared" si="108"/>
        <v>528</v>
      </c>
      <c r="BM59" s="65">
        <f t="shared" si="109"/>
        <v>0.99992992915269197</v>
      </c>
      <c r="BN59" s="64">
        <f t="shared" si="82"/>
        <v>4292</v>
      </c>
      <c r="BO59" s="65">
        <f t="shared" si="110"/>
        <v>0.15705744317435194</v>
      </c>
      <c r="BP59" s="1071"/>
      <c r="BQ59" s="77">
        <f t="shared" si="114"/>
        <v>82413</v>
      </c>
      <c r="BR59" s="35"/>
      <c r="BS59" s="99">
        <f>18236+19420+9060+32000</f>
        <v>78716</v>
      </c>
      <c r="BT59" s="35">
        <f>BQ59-BS59+BR59</f>
        <v>3697</v>
      </c>
      <c r="BU59" s="74">
        <f>BT59*1000/D59</f>
        <v>502.85089389669321</v>
      </c>
      <c r="BV59" s="74">
        <f t="shared" si="112"/>
        <v>234868</v>
      </c>
      <c r="BW59" s="74">
        <f t="shared" si="101"/>
        <v>630.88049178529491</v>
      </c>
      <c r="BX59" s="1098"/>
    </row>
    <row r="60" spans="1:76">
      <c r="A60" s="107">
        <v>43277</v>
      </c>
      <c r="B60" s="1">
        <v>611751</v>
      </c>
      <c r="C60" s="1">
        <f t="shared" si="10"/>
        <v>27939332</v>
      </c>
      <c r="D60" s="1">
        <v>8736.24</v>
      </c>
      <c r="E60" s="93">
        <f t="shared" si="21"/>
        <v>381022.28</v>
      </c>
      <c r="F60" s="227"/>
      <c r="G60" s="227"/>
      <c r="H60" s="227"/>
      <c r="I60" s="227"/>
      <c r="J60" s="227"/>
      <c r="K60" s="227"/>
      <c r="L60" s="227"/>
      <c r="M60" s="227"/>
      <c r="N60" s="227"/>
      <c r="O60" s="227"/>
      <c r="P60" s="35">
        <f t="shared" si="111"/>
        <v>27277</v>
      </c>
      <c r="Q60" s="35"/>
      <c r="R60" s="35">
        <v>27277</v>
      </c>
      <c r="S60" s="35">
        <f t="shared" si="102"/>
        <v>0</v>
      </c>
      <c r="T60" s="36">
        <f t="shared" si="69"/>
        <v>0</v>
      </c>
      <c r="U60" s="74">
        <f t="shared" si="75"/>
        <v>82912</v>
      </c>
      <c r="V60" s="36">
        <f t="shared" si="103"/>
        <v>2.9675727393911924</v>
      </c>
      <c r="W60" s="1136"/>
      <c r="X60" s="49">
        <f t="shared" si="88"/>
        <v>1650</v>
      </c>
      <c r="Y60" s="50"/>
      <c r="Z60" s="50">
        <f>1370+280</f>
        <v>1650</v>
      </c>
      <c r="AA60" s="50"/>
      <c r="AB60" s="51"/>
      <c r="AC60" s="50">
        <f t="shared" si="76"/>
        <v>4896</v>
      </c>
      <c r="AD60" s="51">
        <f t="shared" si="104"/>
        <v>0.17523683100225876</v>
      </c>
      <c r="AE60" s="1047"/>
      <c r="AF60" s="40">
        <f t="shared" si="96"/>
        <v>1193</v>
      </c>
      <c r="AG60" s="41"/>
      <c r="AH60" s="41">
        <v>1193</v>
      </c>
      <c r="AI60" s="41">
        <f t="shared" si="105"/>
        <v>0</v>
      </c>
      <c r="AJ60" s="42">
        <f t="shared" si="106"/>
        <v>0</v>
      </c>
      <c r="AK60" s="41">
        <f t="shared" si="84"/>
        <v>3367</v>
      </c>
      <c r="AL60" s="42">
        <f t="shared" si="107"/>
        <v>0.12051111315045041</v>
      </c>
      <c r="AM60" s="1058"/>
      <c r="AN60" s="67">
        <v>5.3</v>
      </c>
      <c r="AO60" s="67">
        <v>24</v>
      </c>
      <c r="AP60" s="68">
        <f t="shared" si="14"/>
        <v>67.415999999999997</v>
      </c>
      <c r="AQ60" s="68">
        <f t="shared" si="98"/>
        <v>7.7168209664569654</v>
      </c>
      <c r="AR60" s="69">
        <f>AR59+AP60</f>
        <v>3111.3576000000003</v>
      </c>
      <c r="AS60" s="140">
        <f t="shared" si="64"/>
        <v>8.1658153953621824</v>
      </c>
      <c r="AT60" s="1073"/>
      <c r="AU60" s="70">
        <v>5.0999999999999996</v>
      </c>
      <c r="AV60" s="71">
        <v>10</v>
      </c>
      <c r="AW60" s="72">
        <f>AU60*AV60*0.467</f>
        <v>23.817</v>
      </c>
      <c r="AX60" s="72">
        <f t="shared" si="99"/>
        <v>2.7262300486250379</v>
      </c>
      <c r="AY60" s="73">
        <f>AY59+AW60</f>
        <v>1106.6030000000001</v>
      </c>
      <c r="AZ60" s="192">
        <f t="shared" si="66"/>
        <v>2.904299979518258</v>
      </c>
      <c r="BA60" s="1075"/>
      <c r="BB60" s="90">
        <f t="shared" si="80"/>
        <v>31955</v>
      </c>
      <c r="BC60" s="59"/>
      <c r="BD60" s="56">
        <v>31955</v>
      </c>
      <c r="BE60" s="56"/>
      <c r="BF60" s="58">
        <f t="shared" si="71"/>
        <v>29780</v>
      </c>
      <c r="BG60" s="58">
        <f t="shared" si="67"/>
        <v>78.158159150168331</v>
      </c>
      <c r="BH60" s="1133"/>
      <c r="BI60" s="64">
        <f t="shared" si="113"/>
        <v>360</v>
      </c>
      <c r="BJ60" s="64"/>
      <c r="BK60" s="64">
        <v>360</v>
      </c>
      <c r="BL60" s="64">
        <f t="shared" si="108"/>
        <v>0</v>
      </c>
      <c r="BM60" s="65">
        <f t="shared" si="109"/>
        <v>0</v>
      </c>
      <c r="BN60" s="64">
        <f t="shared" si="82"/>
        <v>4292</v>
      </c>
      <c r="BO60" s="65">
        <f t="shared" si="110"/>
        <v>0.15361856181815656</v>
      </c>
      <c r="BP60" s="1071"/>
      <c r="BQ60" s="77">
        <f t="shared" si="114"/>
        <v>78716</v>
      </c>
      <c r="BR60" s="35"/>
      <c r="BS60" s="99">
        <f>12691+19420+9060+32000</f>
        <v>73171</v>
      </c>
      <c r="BT60" s="35">
        <f>BQ60-BS60+BR60</f>
        <v>5545</v>
      </c>
      <c r="BU60" s="74">
        <f>BT60*1000/D60</f>
        <v>634.71241632555882</v>
      </c>
      <c r="BV60" s="74">
        <f t="shared" si="112"/>
        <v>240413</v>
      </c>
      <c r="BW60" s="74">
        <f t="shared" si="101"/>
        <v>630.96835177197511</v>
      </c>
      <c r="BX60" s="1098"/>
    </row>
    <row r="61" spans="1:76">
      <c r="A61" s="107">
        <v>43278</v>
      </c>
      <c r="B61" s="1">
        <v>584810</v>
      </c>
      <c r="C61" s="1">
        <f t="shared" si="10"/>
        <v>28524142</v>
      </c>
      <c r="D61" s="91">
        <v>8932.84</v>
      </c>
      <c r="E61" s="93">
        <f t="shared" si="21"/>
        <v>389955.12000000005</v>
      </c>
      <c r="F61" s="227"/>
      <c r="G61" s="227"/>
      <c r="H61" s="227"/>
      <c r="I61" s="227"/>
      <c r="J61" s="227"/>
      <c r="K61" s="227"/>
      <c r="L61" s="227"/>
      <c r="M61" s="227"/>
      <c r="N61" s="227"/>
      <c r="O61" s="227"/>
      <c r="P61" s="35">
        <f t="shared" si="111"/>
        <v>27277</v>
      </c>
      <c r="Q61" s="35"/>
      <c r="R61" s="35">
        <v>21971</v>
      </c>
      <c r="S61" s="35">
        <f t="shared" si="102"/>
        <v>5306</v>
      </c>
      <c r="T61" s="36">
        <f t="shared" si="69"/>
        <v>9.0730322668901007</v>
      </c>
      <c r="U61" s="74">
        <f t="shared" si="75"/>
        <v>88218</v>
      </c>
      <c r="V61" s="36">
        <f t="shared" si="103"/>
        <v>3.0927485917017239</v>
      </c>
      <c r="W61" s="1136"/>
      <c r="X61" s="49">
        <f t="shared" si="88"/>
        <v>1650</v>
      </c>
      <c r="Y61" s="50"/>
      <c r="Z61" s="50">
        <f>1370+280</f>
        <v>1650</v>
      </c>
      <c r="AA61" s="50"/>
      <c r="AB61" s="51"/>
      <c r="AC61" s="50">
        <f t="shared" si="76"/>
        <v>4896</v>
      </c>
      <c r="AD61" s="51">
        <f t="shared" si="104"/>
        <v>0.17164407609525995</v>
      </c>
      <c r="AE61" s="1047"/>
      <c r="AF61" s="40">
        <f t="shared" si="96"/>
        <v>1193</v>
      </c>
      <c r="AG61" s="41"/>
      <c r="AH61" s="41">
        <v>1193</v>
      </c>
      <c r="AI61" s="41">
        <f t="shared" si="105"/>
        <v>0</v>
      </c>
      <c r="AJ61" s="42">
        <f t="shared" si="106"/>
        <v>0</v>
      </c>
      <c r="AK61" s="41">
        <f t="shared" si="84"/>
        <v>3367</v>
      </c>
      <c r="AL61" s="42">
        <f t="shared" si="107"/>
        <v>0.11804036033756948</v>
      </c>
      <c r="AM61" s="1058"/>
      <c r="AN61" s="67">
        <v>6.1</v>
      </c>
      <c r="AO61" s="67">
        <v>24</v>
      </c>
      <c r="AP61" s="68">
        <f t="shared" si="14"/>
        <v>77.591999999999999</v>
      </c>
      <c r="AQ61" s="68">
        <f t="shared" si="98"/>
        <v>8.6861513247746522</v>
      </c>
      <c r="AR61" s="69">
        <f>AR60+AP61</f>
        <v>3188.9496000000004</v>
      </c>
      <c r="AS61" s="140">
        <f t="shared" si="64"/>
        <v>8.1777349147255727</v>
      </c>
      <c r="AT61" s="1073"/>
      <c r="AU61" s="70">
        <v>5.6</v>
      </c>
      <c r="AV61" s="71">
        <v>10</v>
      </c>
      <c r="AW61" s="72">
        <f>AU61*AV61*0.467</f>
        <v>26.152000000000001</v>
      </c>
      <c r="AX61" s="72">
        <f t="shared" si="99"/>
        <v>2.9276243613453281</v>
      </c>
      <c r="AY61" s="73">
        <f>AY60+AW61</f>
        <v>1132.7550000000001</v>
      </c>
      <c r="AZ61" s="192">
        <f t="shared" si="66"/>
        <v>2.9048342793909203</v>
      </c>
      <c r="BA61" s="1075"/>
      <c r="BB61" s="90">
        <f t="shared" si="80"/>
        <v>31955</v>
      </c>
      <c r="BC61" s="59"/>
      <c r="BD61" s="56">
        <v>31955</v>
      </c>
      <c r="BE61" s="56"/>
      <c r="BF61" s="58">
        <f t="shared" si="71"/>
        <v>29780</v>
      </c>
      <c r="BG61" s="58">
        <f t="shared" si="67"/>
        <v>76.367762526108123</v>
      </c>
      <c r="BH61" s="1133"/>
      <c r="BI61" s="64">
        <f t="shared" si="113"/>
        <v>360</v>
      </c>
      <c r="BJ61" s="64"/>
      <c r="BK61" s="64">
        <v>360</v>
      </c>
      <c r="BL61" s="64">
        <f t="shared" si="108"/>
        <v>0</v>
      </c>
      <c r="BM61" s="65">
        <f t="shared" si="109"/>
        <v>0</v>
      </c>
      <c r="BN61" s="64">
        <f t="shared" si="82"/>
        <v>4292</v>
      </c>
      <c r="BO61" s="65">
        <f t="shared" si="110"/>
        <v>0.15046903075997869</v>
      </c>
      <c r="BP61" s="1071"/>
      <c r="BQ61" s="77">
        <f>BS60</f>
        <v>73171</v>
      </c>
      <c r="BR61" s="35"/>
      <c r="BS61" s="35">
        <f>10842+19420+9060+32000</f>
        <v>71322</v>
      </c>
      <c r="BT61" s="35">
        <f>BQ61-BS61+BR61</f>
        <v>1849</v>
      </c>
      <c r="BU61" s="74">
        <f>BT61*1000/D61</f>
        <v>206.98904267847627</v>
      </c>
      <c r="BV61" s="74">
        <f t="shared" si="112"/>
        <v>242262</v>
      </c>
      <c r="BW61" s="74">
        <f t="shared" si="101"/>
        <v>621.25610762592362</v>
      </c>
      <c r="BX61" s="1098"/>
    </row>
    <row r="62" spans="1:76">
      <c r="A62" s="107">
        <v>43279</v>
      </c>
      <c r="B62" s="1">
        <v>587493</v>
      </c>
      <c r="C62" s="1">
        <f t="shared" si="10"/>
        <v>29111635</v>
      </c>
      <c r="D62" s="91">
        <v>9375.8799999999992</v>
      </c>
      <c r="E62" s="93">
        <f t="shared" si="21"/>
        <v>399331.00000000006</v>
      </c>
      <c r="F62" s="227"/>
      <c r="G62" s="227"/>
      <c r="H62" s="227"/>
      <c r="I62" s="227"/>
      <c r="J62" s="227"/>
      <c r="K62" s="227"/>
      <c r="L62" s="227"/>
      <c r="M62" s="227"/>
      <c r="N62" s="227"/>
      <c r="O62" s="227"/>
      <c r="P62" s="35">
        <f t="shared" si="111"/>
        <v>21971</v>
      </c>
      <c r="Q62" s="35"/>
      <c r="R62" s="35">
        <v>20409</v>
      </c>
      <c r="S62" s="35">
        <f t="shared" si="102"/>
        <v>1562</v>
      </c>
      <c r="T62" s="36">
        <f t="shared" si="69"/>
        <v>2.6587550830392872</v>
      </c>
      <c r="U62" s="74">
        <f t="shared" si="75"/>
        <v>89780</v>
      </c>
      <c r="V62" s="36">
        <f t="shared" si="103"/>
        <v>3.0839903014722463</v>
      </c>
      <c r="W62" s="1136"/>
      <c r="X62" s="49">
        <f t="shared" si="88"/>
        <v>1650</v>
      </c>
      <c r="Y62" s="50"/>
      <c r="Z62" s="50">
        <f>1318+280</f>
        <v>1598</v>
      </c>
      <c r="AA62" s="50">
        <f>X62+Y62-Z62</f>
        <v>52</v>
      </c>
      <c r="AB62" s="51">
        <f>AA62*1000/B62</f>
        <v>8.8511692905277176E-2</v>
      </c>
      <c r="AC62" s="50">
        <f t="shared" si="76"/>
        <v>4948</v>
      </c>
      <c r="AD62" s="51">
        <f t="shared" si="104"/>
        <v>0.16996640690225748</v>
      </c>
      <c r="AE62" s="1047"/>
      <c r="AF62" s="40">
        <f t="shared" si="96"/>
        <v>1193</v>
      </c>
      <c r="AG62" s="41"/>
      <c r="AH62" s="41">
        <v>1081</v>
      </c>
      <c r="AI62" s="41">
        <f t="shared" si="105"/>
        <v>112</v>
      </c>
      <c r="AJ62" s="42">
        <f t="shared" si="106"/>
        <v>0.19064056933444312</v>
      </c>
      <c r="AK62" s="41">
        <f t="shared" si="84"/>
        <v>3479</v>
      </c>
      <c r="AL62" s="42">
        <f t="shared" si="107"/>
        <v>0.11950548294522104</v>
      </c>
      <c r="AM62" s="1058"/>
      <c r="AN62" s="67">
        <v>6</v>
      </c>
      <c r="AO62" s="67">
        <v>24</v>
      </c>
      <c r="AP62" s="68">
        <f t="shared" si="14"/>
        <v>76.320000000000007</v>
      </c>
      <c r="AQ62" s="68">
        <f t="shared" si="98"/>
        <v>8.1400359219614611</v>
      </c>
      <c r="AR62" s="69">
        <f>AR61+AP62</f>
        <v>3265.2696000000005</v>
      </c>
      <c r="AS62" s="140">
        <f t="shared" si="64"/>
        <v>8.1768497812591558</v>
      </c>
      <c r="AT62" s="1073"/>
      <c r="AU62" s="70">
        <v>4.4000000000000004</v>
      </c>
      <c r="AV62" s="71">
        <v>10</v>
      </c>
      <c r="AW62" s="72">
        <f>AU62*AV62*0.467</f>
        <v>20.548000000000002</v>
      </c>
      <c r="AX62" s="72">
        <f t="shared" si="99"/>
        <v>2.1915809502681349</v>
      </c>
      <c r="AY62" s="73">
        <f>AY61+AW62</f>
        <v>1153.3030000000001</v>
      </c>
      <c r="AZ62" s="192">
        <f t="shared" si="66"/>
        <v>2.8880878268904739</v>
      </c>
      <c r="BA62" s="1075"/>
      <c r="BB62" s="90">
        <f t="shared" si="80"/>
        <v>31955</v>
      </c>
      <c r="BC62" s="59"/>
      <c r="BD62" s="56">
        <v>31955</v>
      </c>
      <c r="BE62" s="56"/>
      <c r="BF62" s="58">
        <f t="shared" si="71"/>
        <v>29780</v>
      </c>
      <c r="BG62" s="58">
        <f t="shared" si="67"/>
        <v>74.574726229619031</v>
      </c>
      <c r="BH62" s="1133"/>
      <c r="BI62" s="64">
        <f t="shared" si="113"/>
        <v>360</v>
      </c>
      <c r="BJ62" s="64"/>
      <c r="BK62" s="64">
        <v>0</v>
      </c>
      <c r="BL62" s="64">
        <f t="shared" si="108"/>
        <v>360</v>
      </c>
      <c r="BM62" s="65">
        <f t="shared" si="109"/>
        <v>0.61277325857499576</v>
      </c>
      <c r="BN62" s="64">
        <f t="shared" si="82"/>
        <v>4652</v>
      </c>
      <c r="BO62" s="65">
        <f t="shared" si="110"/>
        <v>0.15979865095175863</v>
      </c>
      <c r="BP62" s="1071"/>
      <c r="BQ62" s="77">
        <f>BS61</f>
        <v>71322</v>
      </c>
      <c r="BR62" s="35"/>
      <c r="BS62" s="35">
        <f>12691+19420+3020+32000</f>
        <v>67131</v>
      </c>
      <c r="BT62" s="35">
        <f>BQ62-BS62+BR62</f>
        <v>4191</v>
      </c>
      <c r="BU62" s="74">
        <f>BT62*1000/D62</f>
        <v>446.99804178381129</v>
      </c>
      <c r="BV62" s="74">
        <f t="shared" si="112"/>
        <v>246453</v>
      </c>
      <c r="BW62" s="74">
        <f t="shared" si="101"/>
        <v>617.16470797408658</v>
      </c>
      <c r="BX62" s="1098"/>
    </row>
    <row r="63" spans="1:76">
      <c r="A63" s="107">
        <v>43280</v>
      </c>
      <c r="B63" s="1">
        <v>557455</v>
      </c>
      <c r="C63" s="1">
        <f t="shared" si="10"/>
        <v>29669090</v>
      </c>
      <c r="D63" s="91">
        <v>7039.12</v>
      </c>
      <c r="E63" s="93">
        <f t="shared" si="21"/>
        <v>406370.12000000005</v>
      </c>
      <c r="F63" s="227"/>
      <c r="G63" s="227"/>
      <c r="H63" s="227"/>
      <c r="I63" s="227"/>
      <c r="J63" s="227"/>
      <c r="K63" s="227"/>
      <c r="L63" s="227"/>
      <c r="M63" s="227"/>
      <c r="N63" s="227"/>
      <c r="O63" s="227"/>
      <c r="P63" s="35">
        <f t="shared" si="111"/>
        <v>20409</v>
      </c>
      <c r="Q63" s="35"/>
      <c r="R63" s="35">
        <v>18611</v>
      </c>
      <c r="S63" s="35">
        <f t="shared" si="102"/>
        <v>1798</v>
      </c>
      <c r="T63" s="36">
        <f t="shared" si="69"/>
        <v>3.2253724515880204</v>
      </c>
      <c r="U63" s="74">
        <f t="shared" si="75"/>
        <v>91578</v>
      </c>
      <c r="V63" s="36">
        <f t="shared" si="103"/>
        <v>3.0866467424514874</v>
      </c>
      <c r="W63" s="1136"/>
      <c r="X63" s="49">
        <f t="shared" si="88"/>
        <v>1598</v>
      </c>
      <c r="Y63" s="50"/>
      <c r="Z63" s="50">
        <f>1254+280</f>
        <v>1534</v>
      </c>
      <c r="AA63" s="50">
        <f>X63+Y63-Z63</f>
        <v>64</v>
      </c>
      <c r="AB63" s="51">
        <f>AA63*1000/B63</f>
        <v>0.1148074732489618</v>
      </c>
      <c r="AC63" s="50">
        <f t="shared" si="76"/>
        <v>5012</v>
      </c>
      <c r="AD63" s="51">
        <f t="shared" si="104"/>
        <v>0.16893002110951161</v>
      </c>
      <c r="AE63" s="1047"/>
      <c r="AF63" s="40">
        <f t="shared" si="96"/>
        <v>1081</v>
      </c>
      <c r="AG63" s="41"/>
      <c r="AH63" s="41">
        <v>984</v>
      </c>
      <c r="AI63" s="41">
        <f t="shared" si="105"/>
        <v>97</v>
      </c>
      <c r="AJ63" s="42">
        <f t="shared" si="106"/>
        <v>0.17400507664295772</v>
      </c>
      <c r="AK63" s="41">
        <f t="shared" si="84"/>
        <v>3576</v>
      </c>
      <c r="AL63" s="42">
        <f t="shared" si="107"/>
        <v>0.12052948034469543</v>
      </c>
      <c r="AM63" s="1058"/>
      <c r="AN63" s="67">
        <v>5.6</v>
      </c>
      <c r="AO63" s="67">
        <v>24</v>
      </c>
      <c r="AP63" s="68">
        <f t="shared" si="14"/>
        <v>71.231999999999985</v>
      </c>
      <c r="AQ63" s="68">
        <f t="shared" si="98"/>
        <v>10.119446749025444</v>
      </c>
      <c r="AR63" s="69">
        <f>AR62+AP63</f>
        <v>3336.5016000000005</v>
      </c>
      <c r="AS63" s="140">
        <f t="shared" si="64"/>
        <v>8.2104993349412609</v>
      </c>
      <c r="AT63" s="1073"/>
      <c r="AU63" s="70">
        <v>4.0999999999999996</v>
      </c>
      <c r="AV63" s="71">
        <v>10</v>
      </c>
      <c r="AW63" s="72">
        <f>AU63*AV63*0.467</f>
        <v>19.147000000000002</v>
      </c>
      <c r="AX63" s="72">
        <f t="shared" si="99"/>
        <v>2.7200843287229093</v>
      </c>
      <c r="AY63" s="73">
        <f>AY62+AW63</f>
        <v>1172.45</v>
      </c>
      <c r="AZ63" s="192">
        <f t="shared" si="66"/>
        <v>2.8851776798943778</v>
      </c>
      <c r="BA63" s="1075"/>
      <c r="BB63" s="90">
        <f t="shared" si="80"/>
        <v>31955</v>
      </c>
      <c r="BC63" s="59"/>
      <c r="BD63" s="56">
        <v>31955</v>
      </c>
      <c r="BE63" s="56"/>
      <c r="BF63" s="58">
        <f t="shared" si="71"/>
        <v>29780</v>
      </c>
      <c r="BG63" s="58">
        <f t="shared" si="67"/>
        <v>73.28294708282192</v>
      </c>
      <c r="BH63" s="1133"/>
      <c r="BI63" s="64">
        <f t="shared" si="113"/>
        <v>0</v>
      </c>
      <c r="BJ63" s="64"/>
      <c r="BK63" s="64">
        <v>0</v>
      </c>
      <c r="BL63" s="64">
        <f t="shared" si="108"/>
        <v>0</v>
      </c>
      <c r="BM63" s="65">
        <f t="shared" si="109"/>
        <v>0</v>
      </c>
      <c r="BN63" s="64">
        <f t="shared" si="82"/>
        <v>4652</v>
      </c>
      <c r="BO63" s="65">
        <f t="shared" si="110"/>
        <v>0.15679618080635435</v>
      </c>
      <c r="BP63" s="1071"/>
      <c r="BQ63" s="77">
        <f>BS62</f>
        <v>67131</v>
      </c>
      <c r="BR63" s="35"/>
      <c r="BS63" s="35">
        <v>67131</v>
      </c>
      <c r="BT63" s="35"/>
      <c r="BU63" s="74"/>
      <c r="BV63" s="74">
        <f t="shared" si="112"/>
        <v>246453</v>
      </c>
      <c r="BW63" s="74">
        <f t="shared" si="101"/>
        <v>606.47421616530266</v>
      </c>
      <c r="BX63" s="1098"/>
    </row>
    <row r="64" spans="1:76" ht="15.75" thickBot="1">
      <c r="A64" s="107">
        <v>43281</v>
      </c>
      <c r="B64" s="109">
        <v>552547</v>
      </c>
      <c r="C64" s="78">
        <f t="shared" si="10"/>
        <v>30221637</v>
      </c>
      <c r="D64" s="110">
        <v>8747.08</v>
      </c>
      <c r="E64" s="94">
        <f t="shared" si="21"/>
        <v>415117.20000000007</v>
      </c>
      <c r="F64" s="228"/>
      <c r="G64" s="228"/>
      <c r="H64" s="228"/>
      <c r="I64" s="228"/>
      <c r="J64" s="228"/>
      <c r="K64" s="228"/>
      <c r="L64" s="228"/>
      <c r="M64" s="228"/>
      <c r="N64" s="228"/>
      <c r="O64" s="228"/>
      <c r="P64" s="76">
        <f t="shared" si="111"/>
        <v>18611</v>
      </c>
      <c r="Q64" s="76"/>
      <c r="R64" s="76">
        <v>15849</v>
      </c>
      <c r="S64" s="76">
        <f t="shared" si="102"/>
        <v>2762</v>
      </c>
      <c r="T64" s="80">
        <f t="shared" si="69"/>
        <v>4.9986697964155082</v>
      </c>
      <c r="U64" s="81">
        <f t="shared" si="75"/>
        <v>94340</v>
      </c>
      <c r="V64" s="80">
        <f t="shared" si="103"/>
        <v>3.1216045643060299</v>
      </c>
      <c r="W64" s="1137"/>
      <c r="X64" s="83">
        <f t="shared" si="88"/>
        <v>1534</v>
      </c>
      <c r="Y64" s="82"/>
      <c r="Z64" s="82">
        <f>1254+280</f>
        <v>1534</v>
      </c>
      <c r="AA64" s="82"/>
      <c r="AB64" s="84"/>
      <c r="AC64" s="82">
        <f t="shared" si="76"/>
        <v>5012</v>
      </c>
      <c r="AD64" s="84">
        <f t="shared" si="104"/>
        <v>0.16584144664301276</v>
      </c>
      <c r="AE64" s="1048"/>
      <c r="AF64" s="95">
        <f t="shared" si="96"/>
        <v>984</v>
      </c>
      <c r="AG64" s="96"/>
      <c r="AH64" s="96">
        <v>945</v>
      </c>
      <c r="AI64" s="96">
        <f t="shared" si="105"/>
        <v>39</v>
      </c>
      <c r="AJ64" s="97">
        <f t="shared" si="106"/>
        <v>7.0582231013832306E-2</v>
      </c>
      <c r="AK64" s="96">
        <f t="shared" si="84"/>
        <v>3615</v>
      </c>
      <c r="AL64" s="97">
        <f t="shared" si="107"/>
        <v>0.11961628683449543</v>
      </c>
      <c r="AM64" s="1059"/>
      <c r="AN64" s="101">
        <v>5.4</v>
      </c>
      <c r="AO64" s="101">
        <v>24</v>
      </c>
      <c r="AP64" s="111">
        <f t="shared" si="14"/>
        <v>68.688000000000017</v>
      </c>
      <c r="AQ64" s="111">
        <f t="shared" si="98"/>
        <v>7.8526776935846039</v>
      </c>
      <c r="AR64" s="112">
        <f>AR63+AP64</f>
        <v>3405.1896000000006</v>
      </c>
      <c r="AS64" s="181">
        <f t="shared" si="64"/>
        <v>8.2029595497367964</v>
      </c>
      <c r="AT64" s="1074"/>
      <c r="AU64" s="113">
        <v>5.2</v>
      </c>
      <c r="AV64" s="104">
        <v>10</v>
      </c>
      <c r="AW64" s="105">
        <f>AU64*AV64*0.467</f>
        <v>24.284000000000002</v>
      </c>
      <c r="AX64" s="105">
        <f t="shared" si="99"/>
        <v>2.7762407569154512</v>
      </c>
      <c r="AY64" s="106">
        <f>AY63+AW64</f>
        <v>1196.7340000000002</v>
      </c>
      <c r="AZ64" s="193">
        <f t="shared" si="66"/>
        <v>2.8828822318130882</v>
      </c>
      <c r="BA64" s="1076"/>
      <c r="BB64" s="87">
        <f t="shared" si="80"/>
        <v>31955</v>
      </c>
      <c r="BC64" s="100"/>
      <c r="BD64" s="88">
        <v>31955</v>
      </c>
      <c r="BE64" s="56"/>
      <c r="BF64" s="89">
        <f t="shared" si="71"/>
        <v>29780</v>
      </c>
      <c r="BG64" s="89">
        <f t="shared" si="67"/>
        <v>71.738776422658461</v>
      </c>
      <c r="BH64" s="1134"/>
      <c r="BI64" s="85">
        <f t="shared" si="113"/>
        <v>0</v>
      </c>
      <c r="BJ64" s="85"/>
      <c r="BK64" s="85">
        <v>0</v>
      </c>
      <c r="BL64" s="85">
        <f t="shared" si="108"/>
        <v>0</v>
      </c>
      <c r="BM64" s="86">
        <f t="shared" si="109"/>
        <v>0</v>
      </c>
      <c r="BN64" s="85">
        <f t="shared" si="82"/>
        <v>4652</v>
      </c>
      <c r="BO64" s="86">
        <f t="shared" si="110"/>
        <v>0.15392945127360241</v>
      </c>
      <c r="BP64" s="1072"/>
      <c r="BQ64" s="79">
        <f t="shared" ref="BQ64:BQ71" si="115">BS63</f>
        <v>67131</v>
      </c>
      <c r="BR64" s="76"/>
      <c r="BS64" s="76">
        <f>7797+19420+3020+32000</f>
        <v>62237</v>
      </c>
      <c r="BT64" s="76">
        <f>BQ64-BS64+BR64</f>
        <v>4894</v>
      </c>
      <c r="BU64" s="81">
        <f t="shared" ref="BU64:BU86" si="116">BT64*1000/D64</f>
        <v>559.50099919058698</v>
      </c>
      <c r="BV64" s="81">
        <f t="shared" si="112"/>
        <v>251347</v>
      </c>
      <c r="BW64" s="81">
        <f t="shared" si="101"/>
        <v>605.48442704855393</v>
      </c>
      <c r="BX64" s="1099"/>
    </row>
    <row r="65" spans="1:76">
      <c r="A65" s="107">
        <v>43282</v>
      </c>
      <c r="B65" s="114">
        <v>597390</v>
      </c>
      <c r="C65" s="1">
        <f t="shared" si="10"/>
        <v>30819027</v>
      </c>
      <c r="D65" s="115">
        <v>9289.58</v>
      </c>
      <c r="E65" s="91">
        <f t="shared" si="21"/>
        <v>424406.78000000009</v>
      </c>
      <c r="F65" s="255"/>
      <c r="G65" s="227"/>
      <c r="H65" s="227"/>
      <c r="I65" s="227"/>
      <c r="J65" s="227"/>
      <c r="K65" s="227"/>
      <c r="L65" s="227"/>
      <c r="M65" s="227"/>
      <c r="N65" s="227"/>
      <c r="O65" s="227"/>
      <c r="P65" s="117">
        <f t="shared" ref="P65:P71" si="117">R64</f>
        <v>15849</v>
      </c>
      <c r="Q65" s="118"/>
      <c r="R65" s="35">
        <v>13421</v>
      </c>
      <c r="S65" s="118">
        <f t="shared" ref="S65:S71" si="118">P65-R65+Q65</f>
        <v>2428</v>
      </c>
      <c r="T65" s="119">
        <f t="shared" si="69"/>
        <v>4.064346574264718</v>
      </c>
      <c r="U65" s="120">
        <f t="shared" ref="U65:U71" si="119">U64+S65</f>
        <v>96768</v>
      </c>
      <c r="V65" s="119">
        <f t="shared" si="103"/>
        <v>3.1398784912969511</v>
      </c>
      <c r="W65" s="1135">
        <f>1000*SUM(S65:S95)/SUM(B65:B95)</f>
        <v>5.0507720453974381</v>
      </c>
      <c r="X65" s="121">
        <f t="shared" ref="X65:X71" si="120">Z64</f>
        <v>1534</v>
      </c>
      <c r="Y65" s="122"/>
      <c r="Z65" s="50">
        <v>1351</v>
      </c>
      <c r="AA65" s="122">
        <f t="shared" ref="AA65:AA70" si="121">X65+Y65-Z65</f>
        <v>183</v>
      </c>
      <c r="AB65" s="123">
        <f t="shared" ref="AB65:AB70" si="122">AA65*1000/B65</f>
        <v>0.30633254657761261</v>
      </c>
      <c r="AC65" s="122">
        <f t="shared" ref="AC65:AC71" si="123">AC64+AA65</f>
        <v>5195</v>
      </c>
      <c r="AD65" s="123">
        <f t="shared" si="104"/>
        <v>0.16856469868435495</v>
      </c>
      <c r="AE65" s="1046">
        <f>1000*SUM(AA65:AA95)/SUM(B65:B95)</f>
        <v>9.2439564964455559E-2</v>
      </c>
      <c r="AF65" s="124">
        <f t="shared" ref="AF65:AF71" si="124">AH64</f>
        <v>945</v>
      </c>
      <c r="AG65" s="125"/>
      <c r="AH65" s="41">
        <v>885</v>
      </c>
      <c r="AI65" s="125">
        <f t="shared" ref="AI65:AI71" si="125">AF65+AG65-AH65</f>
        <v>60</v>
      </c>
      <c r="AJ65" s="126">
        <f t="shared" si="106"/>
        <v>0.10043690051725004</v>
      </c>
      <c r="AK65" s="125">
        <f t="shared" ref="AK65:AK71" si="126">AK64+AI65</f>
        <v>3675</v>
      </c>
      <c r="AL65" s="126">
        <f t="shared" si="107"/>
        <v>0.11924451735611251</v>
      </c>
      <c r="AM65" s="1057">
        <f>1000*SUM(AI65:AI95)/SUM(B65:B95)</f>
        <v>5.4704286840326077E-2</v>
      </c>
      <c r="AN65" s="135">
        <v>5.2</v>
      </c>
      <c r="AO65" s="135">
        <v>24</v>
      </c>
      <c r="AP65" s="102">
        <f t="shared" si="14"/>
        <v>66.144000000000005</v>
      </c>
      <c r="AQ65" s="102">
        <f t="shared" si="98"/>
        <v>7.1202357910691338</v>
      </c>
      <c r="AR65" s="103">
        <f t="shared" ref="AR65:AR73" si="127">AR64+AP65</f>
        <v>3471.3336000000008</v>
      </c>
      <c r="AS65" s="136">
        <f t="shared" si="64"/>
        <v>8.1792604727002711</v>
      </c>
      <c r="AT65" s="1064">
        <f>1000*SUM(AP65:AP95)/SUM(D65:D95)</f>
        <v>8.654659520487499</v>
      </c>
      <c r="AU65" s="137">
        <v>5.8</v>
      </c>
      <c r="AV65" s="137">
        <v>10</v>
      </c>
      <c r="AW65" s="138">
        <f t="shared" ref="AW65:AW73" si="128">AU65*AV65*0.467</f>
        <v>27.086000000000002</v>
      </c>
      <c r="AX65" s="138">
        <f t="shared" si="99"/>
        <v>2.9157400011625931</v>
      </c>
      <c r="AY65" s="139">
        <f t="shared" ref="AY65:AY73" si="129">AY64+AW65</f>
        <v>1223.8200000000002</v>
      </c>
      <c r="AZ65" s="194">
        <f t="shared" si="66"/>
        <v>2.8836014353964843</v>
      </c>
      <c r="BA65" s="1065">
        <f>1000*SUM(AW65:AW95)/SUM(D65:D95)</f>
        <v>2.9112705347253716</v>
      </c>
      <c r="BB65" s="127">
        <f t="shared" ref="BB65:BB71" si="130">BD64</f>
        <v>31955</v>
      </c>
      <c r="BC65" s="128"/>
      <c r="BD65" s="56">
        <v>31955</v>
      </c>
      <c r="BE65" s="129"/>
      <c r="BF65" s="130">
        <f t="shared" si="71"/>
        <v>29780</v>
      </c>
      <c r="BG65" s="130">
        <f t="shared" si="67"/>
        <v>70.168530295392529</v>
      </c>
      <c r="BH65" s="1132">
        <f>1000*SUM(BE65:BE95)/SUM(D65:D95)</f>
        <v>133.67120088869706</v>
      </c>
      <c r="BI65" s="131">
        <f t="shared" ref="BI65:BI71" si="131">BK64</f>
        <v>0</v>
      </c>
      <c r="BJ65" s="132"/>
      <c r="BK65" s="133"/>
      <c r="BL65" s="132">
        <f t="shared" ref="BL65:BL71" si="132">BI65+BJ65-BK65</f>
        <v>0</v>
      </c>
      <c r="BM65" s="134">
        <f t="shared" si="109"/>
        <v>0</v>
      </c>
      <c r="BN65" s="132">
        <f t="shared" ref="BN65:BN71" si="133">BN64+BL65</f>
        <v>4652</v>
      </c>
      <c r="BO65" s="134">
        <f t="shared" si="110"/>
        <v>0.15094571285459465</v>
      </c>
      <c r="BP65" s="1067">
        <f>1000*SUM(BL65:BL95)/SUM(B65:B95)</f>
        <v>0.17479265621648657</v>
      </c>
      <c r="BQ65" s="117">
        <f t="shared" si="115"/>
        <v>62237</v>
      </c>
      <c r="BR65" s="35"/>
      <c r="BS65" s="35">
        <f>5257+19420+3020+32000</f>
        <v>59697</v>
      </c>
      <c r="BT65" s="118">
        <f t="shared" ref="BT65:BT71" si="134">BQ65-BS65+BR65</f>
        <v>2540</v>
      </c>
      <c r="BU65" s="120">
        <f t="shared" si="116"/>
        <v>273.42463276057691</v>
      </c>
      <c r="BV65" s="120">
        <f t="shared" ref="BV65:BV71" si="135">BV64+BT65</f>
        <v>253887</v>
      </c>
      <c r="BW65" s="120">
        <f t="shared" si="101"/>
        <v>598.21617364359713</v>
      </c>
      <c r="BX65" s="1063">
        <f>1000*(SUM(BT65:BT95)/SUM(D65:D95))</f>
        <v>571.89870977584735</v>
      </c>
    </row>
    <row r="66" spans="1:76">
      <c r="A66" s="107">
        <v>43283</v>
      </c>
      <c r="B66" s="114">
        <v>641015</v>
      </c>
      <c r="C66" s="1">
        <f t="shared" si="10"/>
        <v>31460042</v>
      </c>
      <c r="D66" s="115">
        <v>9509.32</v>
      </c>
      <c r="E66" s="91">
        <f t="shared" si="21"/>
        <v>433916.10000000009</v>
      </c>
      <c r="F66" s="244"/>
      <c r="G66" s="227"/>
      <c r="H66" s="227"/>
      <c r="I66" s="227"/>
      <c r="J66" s="227"/>
      <c r="K66" s="227"/>
      <c r="L66" s="227"/>
      <c r="M66" s="227"/>
      <c r="N66" s="227"/>
      <c r="O66" s="227"/>
      <c r="P66" s="77">
        <f t="shared" si="117"/>
        <v>13421</v>
      </c>
      <c r="Q66" s="35"/>
      <c r="R66" s="35">
        <v>9965</v>
      </c>
      <c r="S66" s="35">
        <f t="shared" si="118"/>
        <v>3456</v>
      </c>
      <c r="T66" s="36">
        <f t="shared" si="69"/>
        <v>5.3914494980616681</v>
      </c>
      <c r="U66" s="74">
        <f t="shared" si="119"/>
        <v>100224</v>
      </c>
      <c r="V66" s="36">
        <f t="shared" si="103"/>
        <v>3.1857554417759517</v>
      </c>
      <c r="W66" s="1136"/>
      <c r="X66" s="49">
        <f t="shared" si="120"/>
        <v>1351</v>
      </c>
      <c r="Y66" s="50"/>
      <c r="Z66" s="50">
        <v>1340</v>
      </c>
      <c r="AA66" s="50">
        <f t="shared" si="121"/>
        <v>11</v>
      </c>
      <c r="AB66" s="51">
        <f t="shared" si="122"/>
        <v>1.7160284860728688E-2</v>
      </c>
      <c r="AC66" s="50">
        <f t="shared" si="123"/>
        <v>5206</v>
      </c>
      <c r="AD66" s="51">
        <f t="shared" si="104"/>
        <v>0.16547975365067855</v>
      </c>
      <c r="AE66" s="1047"/>
      <c r="AF66" s="40">
        <f t="shared" si="124"/>
        <v>885</v>
      </c>
      <c r="AG66" s="41"/>
      <c r="AH66" s="41">
        <v>825</v>
      </c>
      <c r="AI66" s="41">
        <f t="shared" si="125"/>
        <v>60</v>
      </c>
      <c r="AJ66" s="42">
        <f t="shared" si="106"/>
        <v>9.3601553785792838E-2</v>
      </c>
      <c r="AK66" s="41">
        <f t="shared" si="126"/>
        <v>3735</v>
      </c>
      <c r="AL66" s="42">
        <f t="shared" si="107"/>
        <v>0.11872202840670079</v>
      </c>
      <c r="AM66" s="1058"/>
      <c r="AN66" s="67">
        <v>5.7</v>
      </c>
      <c r="AO66" s="67">
        <v>24</v>
      </c>
      <c r="AP66" s="68">
        <f t="shared" si="14"/>
        <v>72.504000000000005</v>
      </c>
      <c r="AQ66" s="68">
        <f t="shared" si="98"/>
        <v>7.6245199446437812</v>
      </c>
      <c r="AR66" s="69">
        <f t="shared" si="127"/>
        <v>3543.8376000000007</v>
      </c>
      <c r="AS66" s="140">
        <f t="shared" si="64"/>
        <v>8.1671032718076138</v>
      </c>
      <c r="AT66" s="1073"/>
      <c r="AU66" s="71">
        <v>5.5</v>
      </c>
      <c r="AV66" s="71">
        <v>10</v>
      </c>
      <c r="AW66" s="72">
        <f t="shared" si="128"/>
        <v>25.685000000000002</v>
      </c>
      <c r="AX66" s="72">
        <f t="shared" si="99"/>
        <v>2.7010343536656674</v>
      </c>
      <c r="AY66" s="73">
        <f t="shared" si="129"/>
        <v>1249.5050000000001</v>
      </c>
      <c r="AZ66" s="192">
        <f t="shared" si="66"/>
        <v>2.8796004573234311</v>
      </c>
      <c r="BA66" s="1075"/>
      <c r="BB66" s="90">
        <f t="shared" si="130"/>
        <v>31955</v>
      </c>
      <c r="BC66" s="59"/>
      <c r="BD66" s="56">
        <v>31955</v>
      </c>
      <c r="BE66" s="56"/>
      <c r="BF66" s="58">
        <f t="shared" si="71"/>
        <v>29780</v>
      </c>
      <c r="BG66" s="58">
        <f t="shared" si="67"/>
        <v>68.630779083790614</v>
      </c>
      <c r="BH66" s="1133"/>
      <c r="BI66" s="63">
        <f t="shared" si="131"/>
        <v>0</v>
      </c>
      <c r="BJ66" s="64">
        <v>1100</v>
      </c>
      <c r="BK66" s="64">
        <v>1056</v>
      </c>
      <c r="BL66" s="64">
        <f t="shared" si="132"/>
        <v>44</v>
      </c>
      <c r="BM66" s="65">
        <f t="shared" si="109"/>
        <v>6.864113944291475E-2</v>
      </c>
      <c r="BN66" s="64">
        <f t="shared" si="133"/>
        <v>4696</v>
      </c>
      <c r="BO66" s="65">
        <f t="shared" si="110"/>
        <v>0.14926871362727362</v>
      </c>
      <c r="BP66" s="1071"/>
      <c r="BQ66" s="77">
        <f t="shared" si="115"/>
        <v>59697</v>
      </c>
      <c r="BR66" s="35">
        <v>31960</v>
      </c>
      <c r="BS66" s="35">
        <f>29326+19420+3020+32000</f>
        <v>83766</v>
      </c>
      <c r="BT66" s="35">
        <f t="shared" si="134"/>
        <v>7891</v>
      </c>
      <c r="BU66" s="74">
        <f t="shared" si="116"/>
        <v>829.81748432064546</v>
      </c>
      <c r="BV66" s="74">
        <f t="shared" si="135"/>
        <v>261778</v>
      </c>
      <c r="BW66" s="74">
        <f t="shared" si="101"/>
        <v>603.29174234373863</v>
      </c>
      <c r="BX66" s="1098"/>
    </row>
    <row r="67" spans="1:76">
      <c r="A67" s="107">
        <v>43284</v>
      </c>
      <c r="B67" s="114">
        <v>271173</v>
      </c>
      <c r="C67" s="1">
        <f t="shared" si="10"/>
        <v>31731215</v>
      </c>
      <c r="D67" s="115">
        <v>3262.28</v>
      </c>
      <c r="E67" s="91">
        <f t="shared" si="21"/>
        <v>437178.38000000012</v>
      </c>
      <c r="F67" s="244"/>
      <c r="G67" s="227"/>
      <c r="H67" s="227"/>
      <c r="I67" s="227"/>
      <c r="J67" s="227"/>
      <c r="K67" s="227"/>
      <c r="L67" s="227"/>
      <c r="M67" s="227"/>
      <c r="N67" s="227"/>
      <c r="O67" s="227"/>
      <c r="P67" s="77">
        <f t="shared" si="117"/>
        <v>9965</v>
      </c>
      <c r="Q67" s="35"/>
      <c r="R67" s="35">
        <v>8658</v>
      </c>
      <c r="S67" s="35">
        <f t="shared" si="118"/>
        <v>1307</v>
      </c>
      <c r="T67" s="36">
        <f t="shared" si="69"/>
        <v>4.8198013814059664</v>
      </c>
      <c r="U67" s="74">
        <f t="shared" si="119"/>
        <v>101531</v>
      </c>
      <c r="V67" s="36">
        <f t="shared" si="103"/>
        <v>3.1997198972683525</v>
      </c>
      <c r="W67" s="1136"/>
      <c r="X67" s="49">
        <f t="shared" si="120"/>
        <v>1340</v>
      </c>
      <c r="Y67" s="50"/>
      <c r="Z67" s="50">
        <v>1329</v>
      </c>
      <c r="AA67" s="50">
        <f t="shared" si="121"/>
        <v>11</v>
      </c>
      <c r="AB67" s="51">
        <f t="shared" si="122"/>
        <v>4.0564510478550593E-2</v>
      </c>
      <c r="AC67" s="50">
        <f t="shared" si="123"/>
        <v>5217</v>
      </c>
      <c r="AD67" s="51">
        <f t="shared" si="104"/>
        <v>0.16441223571174315</v>
      </c>
      <c r="AE67" s="1047"/>
      <c r="AF67" s="40">
        <f t="shared" si="124"/>
        <v>825</v>
      </c>
      <c r="AG67" s="41"/>
      <c r="AH67" s="41">
        <v>825</v>
      </c>
      <c r="AI67" s="41"/>
      <c r="AJ67" s="42"/>
      <c r="AK67" s="41">
        <f t="shared" si="126"/>
        <v>3735</v>
      </c>
      <c r="AL67" s="42">
        <f t="shared" si="107"/>
        <v>0.11770743729794148</v>
      </c>
      <c r="AM67" s="1058"/>
      <c r="AN67" s="67">
        <v>2.4</v>
      </c>
      <c r="AO67" s="67">
        <v>24</v>
      </c>
      <c r="AP67" s="68">
        <f t="shared" si="14"/>
        <v>30.527999999999999</v>
      </c>
      <c r="AQ67" s="68">
        <f t="shared" si="98"/>
        <v>9.3578724082543498</v>
      </c>
      <c r="AR67" s="69">
        <f t="shared" si="127"/>
        <v>3574.3656000000005</v>
      </c>
      <c r="AS67" s="140">
        <f t="shared" ref="AS67:AS98" si="136">AR67*1000/E67</f>
        <v>8.1759889407156852</v>
      </c>
      <c r="AT67" s="1073"/>
      <c r="AU67" s="71">
        <v>1.7</v>
      </c>
      <c r="AV67" s="71">
        <v>10</v>
      </c>
      <c r="AW67" s="72">
        <f t="shared" si="128"/>
        <v>7.9390000000000001</v>
      </c>
      <c r="AX67" s="72">
        <f t="shared" si="99"/>
        <v>2.4335740647645205</v>
      </c>
      <c r="AY67" s="73">
        <f t="shared" si="129"/>
        <v>1257.4440000000002</v>
      </c>
      <c r="AZ67" s="192">
        <f t="shared" ref="AZ67:AZ98" si="137">AY67*1000/E67</f>
        <v>2.8762721523420254</v>
      </c>
      <c r="BA67" s="1075"/>
      <c r="BB67" s="90">
        <f t="shared" si="130"/>
        <v>31955</v>
      </c>
      <c r="BC67" s="59"/>
      <c r="BD67" s="56">
        <v>29487</v>
      </c>
      <c r="BE67" s="56">
        <f t="shared" ref="BE67:BE95" si="138">BB67+BC67-BD67</f>
        <v>2468</v>
      </c>
      <c r="BF67" s="58">
        <f t="shared" si="71"/>
        <v>32248</v>
      </c>
      <c r="BG67" s="58">
        <f t="shared" ref="BG67:BG98" si="139">BF67*1000/E67</f>
        <v>73.763940476653929</v>
      </c>
      <c r="BH67" s="1133"/>
      <c r="BI67" s="63">
        <f t="shared" si="131"/>
        <v>1056</v>
      </c>
      <c r="BJ67" s="64"/>
      <c r="BK67" s="64">
        <v>1050</v>
      </c>
      <c r="BL67" s="64">
        <f t="shared" si="132"/>
        <v>6</v>
      </c>
      <c r="BM67" s="65">
        <f t="shared" si="109"/>
        <v>2.2126096624663961E-2</v>
      </c>
      <c r="BN67" s="64">
        <f t="shared" si="133"/>
        <v>4702</v>
      </c>
      <c r="BO67" s="65">
        <f t="shared" si="110"/>
        <v>0.14818216068940315</v>
      </c>
      <c r="BP67" s="1071"/>
      <c r="BQ67" s="77">
        <f t="shared" si="115"/>
        <v>83766</v>
      </c>
      <c r="BR67" s="35"/>
      <c r="BS67" s="35">
        <f>22857+19420+3020+32000</f>
        <v>77297</v>
      </c>
      <c r="BT67" s="35">
        <f t="shared" si="134"/>
        <v>6469</v>
      </c>
      <c r="BU67" s="74">
        <f t="shared" si="116"/>
        <v>1982.9689664896941</v>
      </c>
      <c r="BV67" s="74">
        <f t="shared" si="135"/>
        <v>268247</v>
      </c>
      <c r="BW67" s="74">
        <f t="shared" si="101"/>
        <v>613.58706713721733</v>
      </c>
      <c r="BX67" s="1098"/>
    </row>
    <row r="68" spans="1:76">
      <c r="A68" s="107">
        <v>43285</v>
      </c>
      <c r="B68" s="114">
        <v>403515</v>
      </c>
      <c r="C68" s="1">
        <f t="shared" si="10"/>
        <v>32134730</v>
      </c>
      <c r="D68" s="115">
        <v>6816.4000000000005</v>
      </c>
      <c r="E68" s="91">
        <f t="shared" si="21"/>
        <v>443994.78000000014</v>
      </c>
      <c r="F68" s="244"/>
      <c r="G68" s="227"/>
      <c r="H68" s="227"/>
      <c r="I68" s="227"/>
      <c r="J68" s="227"/>
      <c r="K68" s="227"/>
      <c r="L68" s="227"/>
      <c r="M68" s="227"/>
      <c r="N68" s="227"/>
      <c r="O68" s="227"/>
      <c r="P68" s="77">
        <f t="shared" si="117"/>
        <v>8658</v>
      </c>
      <c r="Q68" s="35"/>
      <c r="R68" s="35">
        <v>3654</v>
      </c>
      <c r="S68" s="35">
        <f t="shared" si="118"/>
        <v>5004</v>
      </c>
      <c r="T68" s="36">
        <f t="shared" si="69"/>
        <v>12.401025984164157</v>
      </c>
      <c r="U68" s="74">
        <f t="shared" si="119"/>
        <v>106535</v>
      </c>
      <c r="V68" s="36">
        <f t="shared" si="103"/>
        <v>3.3152604674132942</v>
      </c>
      <c r="W68" s="1136"/>
      <c r="X68" s="49">
        <f t="shared" si="120"/>
        <v>1329</v>
      </c>
      <c r="Y68" s="50"/>
      <c r="Z68" s="50">
        <v>1318</v>
      </c>
      <c r="AA68" s="50">
        <f t="shared" si="121"/>
        <v>11</v>
      </c>
      <c r="AB68" s="51">
        <f t="shared" si="122"/>
        <v>2.7260448806116253E-2</v>
      </c>
      <c r="AC68" s="50">
        <f t="shared" si="123"/>
        <v>5228</v>
      </c>
      <c r="AD68" s="51">
        <f t="shared" si="104"/>
        <v>0.16269002415766368</v>
      </c>
      <c r="AE68" s="1047"/>
      <c r="AF68" s="40">
        <f t="shared" si="124"/>
        <v>825</v>
      </c>
      <c r="AG68" s="41"/>
      <c r="AH68" s="41">
        <v>745</v>
      </c>
      <c r="AI68" s="41">
        <f t="shared" si="125"/>
        <v>80</v>
      </c>
      <c r="AJ68" s="42">
        <f t="shared" ref="AJ68:AJ80" si="140">AI68*1000/B68</f>
        <v>0.1982578094990273</v>
      </c>
      <c r="AK68" s="41">
        <f t="shared" si="126"/>
        <v>3815</v>
      </c>
      <c r="AL68" s="42">
        <f t="shared" si="107"/>
        <v>0.11871890630479857</v>
      </c>
      <c r="AM68" s="1058"/>
      <c r="AN68" s="67">
        <v>4.3</v>
      </c>
      <c r="AO68" s="67">
        <v>24</v>
      </c>
      <c r="AP68" s="68">
        <f t="shared" si="14"/>
        <v>54.695999999999998</v>
      </c>
      <c r="AQ68" s="68">
        <f t="shared" si="98"/>
        <v>8.024176984918725</v>
      </c>
      <c r="AR68" s="69">
        <f t="shared" si="127"/>
        <v>3629.0616000000005</v>
      </c>
      <c r="AS68" s="140">
        <f t="shared" si="136"/>
        <v>8.173658257874111</v>
      </c>
      <c r="AT68" s="1073"/>
      <c r="AU68" s="216">
        <v>4</v>
      </c>
      <c r="AV68" s="71">
        <v>10</v>
      </c>
      <c r="AW68" s="72">
        <f t="shared" si="128"/>
        <v>18.68</v>
      </c>
      <c r="AX68" s="72">
        <f t="shared" si="99"/>
        <v>2.7404495041370809</v>
      </c>
      <c r="AY68" s="73">
        <f t="shared" si="129"/>
        <v>1276.1240000000003</v>
      </c>
      <c r="AZ68" s="192">
        <f t="shared" si="137"/>
        <v>2.8741869442699302</v>
      </c>
      <c r="BA68" s="1075"/>
      <c r="BB68" s="90">
        <f t="shared" si="130"/>
        <v>29487</v>
      </c>
      <c r="BC68" s="59"/>
      <c r="BD68" s="56">
        <v>29487</v>
      </c>
      <c r="BE68" s="56"/>
      <c r="BF68" s="58">
        <f t="shared" si="71"/>
        <v>32248</v>
      </c>
      <c r="BG68" s="58">
        <f t="shared" si="139"/>
        <v>72.631484541327239</v>
      </c>
      <c r="BH68" s="1133"/>
      <c r="BI68" s="63">
        <f t="shared" si="131"/>
        <v>1050</v>
      </c>
      <c r="BJ68" s="64"/>
      <c r="BK68" s="64">
        <v>936</v>
      </c>
      <c r="BL68" s="64">
        <f t="shared" si="132"/>
        <v>114</v>
      </c>
      <c r="BM68" s="65">
        <f t="shared" si="109"/>
        <v>0.28251737853611392</v>
      </c>
      <c r="BN68" s="64">
        <f t="shared" si="133"/>
        <v>4816</v>
      </c>
      <c r="BO68" s="65">
        <f t="shared" si="110"/>
        <v>0.14986900465633288</v>
      </c>
      <c r="BP68" s="1071"/>
      <c r="BQ68" s="77">
        <f t="shared" si="115"/>
        <v>77297</v>
      </c>
      <c r="BR68" s="35"/>
      <c r="BS68" s="35">
        <f>20084+19420+3020+32000</f>
        <v>74524</v>
      </c>
      <c r="BT68" s="35">
        <f t="shared" si="134"/>
        <v>2773</v>
      </c>
      <c r="BU68" s="74">
        <f t="shared" si="116"/>
        <v>406.81298045889321</v>
      </c>
      <c r="BV68" s="74">
        <f t="shared" si="135"/>
        <v>271020</v>
      </c>
      <c r="BW68" s="74">
        <f t="shared" si="101"/>
        <v>610.41258187765163</v>
      </c>
      <c r="BX68" s="1098"/>
    </row>
    <row r="69" spans="1:76">
      <c r="A69" s="107">
        <v>43286</v>
      </c>
      <c r="B69" s="114">
        <v>597378</v>
      </c>
      <c r="C69" s="1">
        <f t="shared" ref="C69:C132" si="141">C68+B69</f>
        <v>32732108</v>
      </c>
      <c r="D69" s="116">
        <v>8364.5400000000009</v>
      </c>
      <c r="E69" s="91">
        <f t="shared" si="21"/>
        <v>452359.32000000012</v>
      </c>
      <c r="F69" s="244"/>
      <c r="G69" s="227"/>
      <c r="H69" s="227"/>
      <c r="I69" s="227"/>
      <c r="J69" s="227"/>
      <c r="K69" s="227"/>
      <c r="L69" s="227"/>
      <c r="M69" s="227"/>
      <c r="N69" s="227"/>
      <c r="O69" s="227"/>
      <c r="P69" s="77">
        <f t="shared" si="117"/>
        <v>3654</v>
      </c>
      <c r="Q69" s="35"/>
      <c r="R69" s="35">
        <v>1829</v>
      </c>
      <c r="S69" s="35">
        <f t="shared" si="118"/>
        <v>1825</v>
      </c>
      <c r="T69" s="36">
        <f t="shared" ref="T69:T97" si="142">S69*1000/B69</f>
        <v>3.0550170913558921</v>
      </c>
      <c r="U69" s="74">
        <f t="shared" si="119"/>
        <v>108360</v>
      </c>
      <c r="V69" s="36">
        <f t="shared" si="103"/>
        <v>3.3105108904076692</v>
      </c>
      <c r="W69" s="1136"/>
      <c r="X69" s="49">
        <f t="shared" si="120"/>
        <v>1318</v>
      </c>
      <c r="Y69" s="50"/>
      <c r="Z69" s="50">
        <v>1106</v>
      </c>
      <c r="AA69" s="50">
        <f t="shared" si="121"/>
        <v>212</v>
      </c>
      <c r="AB69" s="51">
        <f t="shared" si="122"/>
        <v>0.35488417718764331</v>
      </c>
      <c r="AC69" s="50">
        <f t="shared" si="123"/>
        <v>5440</v>
      </c>
      <c r="AD69" s="51">
        <f t="shared" si="104"/>
        <v>0.1661976674401783</v>
      </c>
      <c r="AE69" s="1047"/>
      <c r="AF69" s="40">
        <f t="shared" si="124"/>
        <v>745</v>
      </c>
      <c r="AG69" s="41"/>
      <c r="AH69" s="41">
        <v>646</v>
      </c>
      <c r="AI69" s="41">
        <f t="shared" si="125"/>
        <v>99</v>
      </c>
      <c r="AJ69" s="42">
        <f t="shared" si="140"/>
        <v>0.16572421481875796</v>
      </c>
      <c r="AK69" s="41">
        <f t="shared" si="126"/>
        <v>3914</v>
      </c>
      <c r="AL69" s="42">
        <f t="shared" si="107"/>
        <v>0.11957677763986359</v>
      </c>
      <c r="AM69" s="1058"/>
      <c r="AN69" s="67">
        <v>5.9</v>
      </c>
      <c r="AO69" s="67">
        <v>24</v>
      </c>
      <c r="AP69" s="68">
        <f t="shared" ref="AP69:AP131" si="143">AN69*AO69*0.53</f>
        <v>75.048000000000016</v>
      </c>
      <c r="AQ69" s="68">
        <f t="shared" si="98"/>
        <v>8.9721610512951102</v>
      </c>
      <c r="AR69" s="69">
        <f t="shared" si="127"/>
        <v>3704.1096000000007</v>
      </c>
      <c r="AS69" s="140">
        <f t="shared" si="136"/>
        <v>8.1884233091516716</v>
      </c>
      <c r="AT69" s="1073"/>
      <c r="AU69" s="71">
        <v>5.3</v>
      </c>
      <c r="AV69" s="71">
        <v>10</v>
      </c>
      <c r="AW69" s="72">
        <f t="shared" si="128"/>
        <v>24.751000000000001</v>
      </c>
      <c r="AX69" s="72">
        <f t="shared" si="99"/>
        <v>2.9590389907872994</v>
      </c>
      <c r="AY69" s="73">
        <f t="shared" si="129"/>
        <v>1300.8750000000002</v>
      </c>
      <c r="AZ69" s="192">
        <f t="shared" si="137"/>
        <v>2.8757559366744117</v>
      </c>
      <c r="BA69" s="1075"/>
      <c r="BB69" s="90">
        <f t="shared" si="130"/>
        <v>29487</v>
      </c>
      <c r="BC69" s="59"/>
      <c r="BD69" s="56">
        <v>27679</v>
      </c>
      <c r="BE69" s="56">
        <f t="shared" si="138"/>
        <v>1808</v>
      </c>
      <c r="BF69" s="58">
        <f t="shared" ref="BF69:BF100" si="144">BF68+BE69</f>
        <v>34056</v>
      </c>
      <c r="BG69" s="58">
        <f t="shared" si="139"/>
        <v>75.285284273572586</v>
      </c>
      <c r="BH69" s="1133"/>
      <c r="BI69" s="63">
        <f t="shared" si="131"/>
        <v>936</v>
      </c>
      <c r="BJ69" s="64"/>
      <c r="BK69" s="64">
        <v>816</v>
      </c>
      <c r="BL69" s="64">
        <f t="shared" si="132"/>
        <v>120</v>
      </c>
      <c r="BM69" s="65">
        <f t="shared" si="109"/>
        <v>0.20087783614394905</v>
      </c>
      <c r="BN69" s="64">
        <f t="shared" si="133"/>
        <v>4936</v>
      </c>
      <c r="BO69" s="65">
        <f t="shared" si="110"/>
        <v>0.15079994236851474</v>
      </c>
      <c r="BP69" s="1071"/>
      <c r="BQ69" s="77">
        <f t="shared" si="115"/>
        <v>74524</v>
      </c>
      <c r="BR69" s="35"/>
      <c r="BS69" s="35">
        <f>18236+19420+3020+32000</f>
        <v>72676</v>
      </c>
      <c r="BT69" s="35">
        <f t="shared" si="134"/>
        <v>1848</v>
      </c>
      <c r="BU69" s="74">
        <f t="shared" si="116"/>
        <v>220.93265140701101</v>
      </c>
      <c r="BV69" s="74">
        <f t="shared" si="135"/>
        <v>272868</v>
      </c>
      <c r="BW69" s="74">
        <f t="shared" si="101"/>
        <v>603.21073963945287</v>
      </c>
      <c r="BX69" s="1098"/>
    </row>
    <row r="70" spans="1:76">
      <c r="A70" s="107">
        <v>43287</v>
      </c>
      <c r="B70" s="114">
        <v>621362</v>
      </c>
      <c r="C70" s="1">
        <f t="shared" si="141"/>
        <v>33353470</v>
      </c>
      <c r="D70" s="115">
        <v>4657.8</v>
      </c>
      <c r="E70" s="91">
        <f t="shared" ref="E70:E133" si="145">E69+D70</f>
        <v>457017.12000000011</v>
      </c>
      <c r="F70" s="244"/>
      <c r="G70" s="227"/>
      <c r="H70" s="227"/>
      <c r="I70" s="227"/>
      <c r="J70" s="227"/>
      <c r="K70" s="227"/>
      <c r="L70" s="227"/>
      <c r="M70" s="227"/>
      <c r="N70" s="227"/>
      <c r="O70" s="227"/>
      <c r="P70" s="77">
        <f t="shared" si="117"/>
        <v>1829</v>
      </c>
      <c r="Q70" s="35">
        <v>35520</v>
      </c>
      <c r="R70" s="35">
        <v>34539</v>
      </c>
      <c r="S70" s="35">
        <f t="shared" si="118"/>
        <v>2810</v>
      </c>
      <c r="T70" s="36">
        <f t="shared" si="142"/>
        <v>4.5223235408666769</v>
      </c>
      <c r="U70" s="74">
        <f t="shared" si="119"/>
        <v>111170</v>
      </c>
      <c r="V70" s="36">
        <f t="shared" si="103"/>
        <v>3.3330864824559483</v>
      </c>
      <c r="W70" s="1136"/>
      <c r="X70" s="49">
        <f t="shared" si="120"/>
        <v>1106</v>
      </c>
      <c r="Y70" s="50"/>
      <c r="Z70" s="50">
        <v>1090</v>
      </c>
      <c r="AA70" s="50">
        <f t="shared" si="121"/>
        <v>16</v>
      </c>
      <c r="AB70" s="51">
        <f t="shared" si="122"/>
        <v>2.5749884930201718E-2</v>
      </c>
      <c r="AC70" s="50">
        <f t="shared" si="123"/>
        <v>5456</v>
      </c>
      <c r="AD70" s="51">
        <f t="shared" si="104"/>
        <v>0.16358118060879423</v>
      </c>
      <c r="AE70" s="1047"/>
      <c r="AF70" s="40">
        <f t="shared" si="124"/>
        <v>646</v>
      </c>
      <c r="AG70" s="41"/>
      <c r="AH70" s="41">
        <v>606</v>
      </c>
      <c r="AI70" s="41">
        <f t="shared" si="125"/>
        <v>40</v>
      </c>
      <c r="AJ70" s="42">
        <f t="shared" si="140"/>
        <v>6.4374712325504291E-2</v>
      </c>
      <c r="AK70" s="41">
        <f t="shared" si="126"/>
        <v>3954</v>
      </c>
      <c r="AL70" s="42">
        <f t="shared" si="107"/>
        <v>0.11854838492066942</v>
      </c>
      <c r="AM70" s="1058"/>
      <c r="AN70" s="67">
        <v>4.9000000000000004</v>
      </c>
      <c r="AO70" s="67">
        <v>24</v>
      </c>
      <c r="AP70" s="68">
        <f t="shared" si="143"/>
        <v>62.32800000000001</v>
      </c>
      <c r="AQ70" s="68">
        <f t="shared" si="98"/>
        <v>13.381424706943193</v>
      </c>
      <c r="AR70" s="69">
        <f t="shared" si="127"/>
        <v>3766.4376000000007</v>
      </c>
      <c r="AS70" s="140">
        <f t="shared" si="136"/>
        <v>8.2413490330515398</v>
      </c>
      <c r="AT70" s="1073"/>
      <c r="AU70" s="216">
        <v>3</v>
      </c>
      <c r="AV70" s="71">
        <v>10</v>
      </c>
      <c r="AW70" s="72">
        <f t="shared" si="128"/>
        <v>14.010000000000002</v>
      </c>
      <c r="AX70" s="72">
        <f t="shared" si="99"/>
        <v>3.0078577869380396</v>
      </c>
      <c r="AY70" s="73">
        <f t="shared" si="129"/>
        <v>1314.8850000000002</v>
      </c>
      <c r="AZ70" s="192">
        <f t="shared" si="137"/>
        <v>2.8771022844833469</v>
      </c>
      <c r="BA70" s="1075"/>
      <c r="BB70" s="90">
        <f t="shared" si="130"/>
        <v>27679</v>
      </c>
      <c r="BC70" s="59"/>
      <c r="BD70" s="56">
        <v>27679</v>
      </c>
      <c r="BE70" s="56"/>
      <c r="BF70" s="58">
        <f t="shared" si="144"/>
        <v>34056</v>
      </c>
      <c r="BG70" s="58">
        <f t="shared" si="139"/>
        <v>74.51799617484788</v>
      </c>
      <c r="BH70" s="1133"/>
      <c r="BI70" s="63">
        <f t="shared" si="131"/>
        <v>816</v>
      </c>
      <c r="BJ70" s="64"/>
      <c r="BK70" s="64">
        <v>720</v>
      </c>
      <c r="BL70" s="64">
        <f t="shared" si="132"/>
        <v>96</v>
      </c>
      <c r="BM70" s="65">
        <f t="shared" si="109"/>
        <v>0.1544993095812103</v>
      </c>
      <c r="BN70" s="64">
        <f t="shared" si="133"/>
        <v>5032</v>
      </c>
      <c r="BO70" s="65">
        <f t="shared" si="110"/>
        <v>0.15086886012160053</v>
      </c>
      <c r="BP70" s="1071"/>
      <c r="BQ70" s="77">
        <f t="shared" si="115"/>
        <v>72676</v>
      </c>
      <c r="BR70" s="35"/>
      <c r="BS70" s="35">
        <f>16388+19420+3020+32000</f>
        <v>70828</v>
      </c>
      <c r="BT70" s="35">
        <f t="shared" si="134"/>
        <v>1848</v>
      </c>
      <c r="BU70" s="74">
        <f t="shared" si="116"/>
        <v>396.7538322813345</v>
      </c>
      <c r="BV70" s="74">
        <f t="shared" si="135"/>
        <v>274716</v>
      </c>
      <c r="BW70" s="74">
        <f t="shared" si="101"/>
        <v>601.10658436602978</v>
      </c>
      <c r="BX70" s="1098"/>
    </row>
    <row r="71" spans="1:76">
      <c r="A71" s="107">
        <v>43288</v>
      </c>
      <c r="B71" s="114">
        <v>595808</v>
      </c>
      <c r="C71" s="1">
        <f t="shared" si="141"/>
        <v>33949278</v>
      </c>
      <c r="D71" s="115">
        <v>7129.08</v>
      </c>
      <c r="E71" s="91">
        <f t="shared" si="145"/>
        <v>464146.20000000013</v>
      </c>
      <c r="F71" s="244"/>
      <c r="G71" s="227"/>
      <c r="H71" s="227"/>
      <c r="I71" s="227"/>
      <c r="J71" s="227"/>
      <c r="K71" s="227"/>
      <c r="L71" s="227"/>
      <c r="M71" s="227"/>
      <c r="N71" s="227"/>
      <c r="O71" s="227"/>
      <c r="P71" s="77">
        <f t="shared" si="117"/>
        <v>34539</v>
      </c>
      <c r="Q71" s="35"/>
      <c r="R71" s="35">
        <v>31310</v>
      </c>
      <c r="S71" s="35">
        <f t="shared" si="118"/>
        <v>3229</v>
      </c>
      <c r="T71" s="36">
        <f t="shared" si="142"/>
        <v>5.419531124120522</v>
      </c>
      <c r="U71" s="74">
        <f t="shared" si="119"/>
        <v>114399</v>
      </c>
      <c r="V71" s="36">
        <f t="shared" si="103"/>
        <v>3.3697034735171689</v>
      </c>
      <c r="W71" s="1136"/>
      <c r="X71" s="49">
        <f t="shared" si="120"/>
        <v>1090</v>
      </c>
      <c r="Y71" s="50"/>
      <c r="Z71" s="50">
        <v>1090</v>
      </c>
      <c r="AA71" s="50"/>
      <c r="AB71" s="51"/>
      <c r="AC71" s="50">
        <f t="shared" si="123"/>
        <v>5456</v>
      </c>
      <c r="AD71" s="51">
        <f t="shared" si="104"/>
        <v>0.16071033970148055</v>
      </c>
      <c r="AE71" s="1047"/>
      <c r="AF71" s="40">
        <f t="shared" si="124"/>
        <v>606</v>
      </c>
      <c r="AG71" s="41"/>
      <c r="AH71" s="41">
        <v>567</v>
      </c>
      <c r="AI71" s="41">
        <f t="shared" si="125"/>
        <v>39</v>
      </c>
      <c r="AJ71" s="42">
        <f t="shared" si="140"/>
        <v>6.5457328535367093E-2</v>
      </c>
      <c r="AK71" s="41">
        <f t="shared" si="126"/>
        <v>3993</v>
      </c>
      <c r="AL71" s="42">
        <f t="shared" si="107"/>
        <v>0.11761663974120451</v>
      </c>
      <c r="AM71" s="1058"/>
      <c r="AN71" s="67">
        <v>5.2</v>
      </c>
      <c r="AO71" s="67">
        <v>24</v>
      </c>
      <c r="AP71" s="68">
        <f t="shared" si="143"/>
        <v>66.144000000000005</v>
      </c>
      <c r="AQ71" s="68">
        <f t="shared" si="98"/>
        <v>9.2780555134743903</v>
      </c>
      <c r="AR71" s="69">
        <f t="shared" si="127"/>
        <v>3832.5816000000004</v>
      </c>
      <c r="AS71" s="140">
        <f t="shared" si="136"/>
        <v>8.2572723852958383</v>
      </c>
      <c r="AT71" s="1073"/>
      <c r="AU71" s="71">
        <v>4.4000000000000004</v>
      </c>
      <c r="AV71" s="71">
        <v>10</v>
      </c>
      <c r="AW71" s="72">
        <f t="shared" si="128"/>
        <v>20.548000000000002</v>
      </c>
      <c r="AX71" s="72">
        <f t="shared" si="99"/>
        <v>2.8822793403917477</v>
      </c>
      <c r="AY71" s="73">
        <f t="shared" si="129"/>
        <v>1335.4330000000002</v>
      </c>
      <c r="AZ71" s="192">
        <f t="shared" si="137"/>
        <v>2.877181801768494</v>
      </c>
      <c r="BA71" s="1075"/>
      <c r="BB71" s="90">
        <f t="shared" si="130"/>
        <v>27679</v>
      </c>
      <c r="BC71" s="59"/>
      <c r="BD71" s="56">
        <v>27453</v>
      </c>
      <c r="BE71" s="56">
        <f t="shared" si="138"/>
        <v>226</v>
      </c>
      <c r="BF71" s="58">
        <f t="shared" si="144"/>
        <v>34282</v>
      </c>
      <c r="BG71" s="58">
        <f t="shared" si="139"/>
        <v>73.860348312665252</v>
      </c>
      <c r="BH71" s="1133"/>
      <c r="BI71" s="63">
        <f t="shared" si="131"/>
        <v>720</v>
      </c>
      <c r="BJ71" s="64"/>
      <c r="BK71" s="64">
        <v>600</v>
      </c>
      <c r="BL71" s="64">
        <f t="shared" si="132"/>
        <v>120</v>
      </c>
      <c r="BM71" s="65">
        <f t="shared" si="109"/>
        <v>0.20140716472420644</v>
      </c>
      <c r="BN71" s="64">
        <f t="shared" si="133"/>
        <v>5152</v>
      </c>
      <c r="BO71" s="65">
        <f t="shared" si="110"/>
        <v>0.15175580464479982</v>
      </c>
      <c r="BP71" s="1071"/>
      <c r="BQ71" s="77">
        <f t="shared" si="115"/>
        <v>70828</v>
      </c>
      <c r="BR71" s="35">
        <v>38860</v>
      </c>
      <c r="BS71" s="35">
        <f>12691+19420+3020+32000+38860</f>
        <v>105991</v>
      </c>
      <c r="BT71" s="35">
        <f t="shared" si="134"/>
        <v>3697</v>
      </c>
      <c r="BU71" s="74">
        <f t="shared" si="116"/>
        <v>518.58023756220996</v>
      </c>
      <c r="BV71" s="74">
        <f t="shared" si="135"/>
        <v>278413</v>
      </c>
      <c r="BW71" s="74">
        <f t="shared" si="101"/>
        <v>599.83901624100326</v>
      </c>
      <c r="BX71" s="1098"/>
    </row>
    <row r="72" spans="1:76">
      <c r="A72" s="107">
        <v>43289</v>
      </c>
      <c r="B72" s="114">
        <v>624258</v>
      </c>
      <c r="C72" s="1">
        <f t="shared" si="141"/>
        <v>34573536</v>
      </c>
      <c r="D72" s="115">
        <v>6866.8600000000006</v>
      </c>
      <c r="E72" s="91">
        <f t="shared" si="145"/>
        <v>471013.06000000011</v>
      </c>
      <c r="F72" s="244"/>
      <c r="G72" s="227"/>
      <c r="H72" s="227"/>
      <c r="I72" s="227"/>
      <c r="J72" s="227"/>
      <c r="K72" s="227"/>
      <c r="L72" s="227"/>
      <c r="M72" s="227"/>
      <c r="N72" s="227"/>
      <c r="O72" s="227"/>
      <c r="P72" s="77">
        <f t="shared" ref="P72:P83" si="146">R71</f>
        <v>31310</v>
      </c>
      <c r="Q72" s="35"/>
      <c r="R72" s="35">
        <v>28081</v>
      </c>
      <c r="S72" s="35">
        <f t="shared" ref="S72:S83" si="147">P72-R72+Q72</f>
        <v>3229</v>
      </c>
      <c r="T72" s="36">
        <f t="shared" si="142"/>
        <v>5.1725408404858246</v>
      </c>
      <c r="U72" s="74">
        <f t="shared" ref="U72:U83" si="148">U71+S72</f>
        <v>117628</v>
      </c>
      <c r="V72" s="36">
        <f t="shared" si="103"/>
        <v>3.4022554129262335</v>
      </c>
      <c r="W72" s="1136"/>
      <c r="X72" s="49">
        <f t="shared" ref="X72:X83" si="149">Z71</f>
        <v>1090</v>
      </c>
      <c r="Y72" s="50"/>
      <c r="Z72" s="50">
        <v>1090</v>
      </c>
      <c r="AA72" s="50"/>
      <c r="AB72" s="51"/>
      <c r="AC72" s="50">
        <f t="shared" ref="AC72:AC83" si="150">AC71+AA72</f>
        <v>5456</v>
      </c>
      <c r="AD72" s="51">
        <f t="shared" si="104"/>
        <v>0.15780856201691373</v>
      </c>
      <c r="AE72" s="1047"/>
      <c r="AF72" s="40">
        <f t="shared" ref="AF72:AF83" si="151">AH71</f>
        <v>567</v>
      </c>
      <c r="AG72" s="41"/>
      <c r="AH72" s="41">
        <v>528</v>
      </c>
      <c r="AI72" s="41">
        <f t="shared" ref="AI72:AI80" si="152">AF72+AG72-AH72</f>
        <v>39</v>
      </c>
      <c r="AJ72" s="42">
        <f t="shared" si="140"/>
        <v>6.2474169333833124E-2</v>
      </c>
      <c r="AK72" s="41">
        <f t="shared" ref="AK72:AK83" si="153">AK71+AI72</f>
        <v>4032</v>
      </c>
      <c r="AL72" s="42">
        <f t="shared" si="107"/>
        <v>0.11662099011220606</v>
      </c>
      <c r="AM72" s="1058"/>
      <c r="AN72" s="67">
        <v>4.9000000000000004</v>
      </c>
      <c r="AO72" s="67">
        <v>24</v>
      </c>
      <c r="AP72" s="68">
        <f t="shared" si="143"/>
        <v>62.32800000000001</v>
      </c>
      <c r="AQ72" s="68">
        <f t="shared" si="98"/>
        <v>9.0766376480662192</v>
      </c>
      <c r="AR72" s="69">
        <f t="shared" si="127"/>
        <v>3894.9096000000004</v>
      </c>
      <c r="AS72" s="140">
        <f t="shared" si="136"/>
        <v>8.2692178429192591</v>
      </c>
      <c r="AT72" s="1073"/>
      <c r="AU72" s="71">
        <v>4.5</v>
      </c>
      <c r="AV72" s="71">
        <v>10</v>
      </c>
      <c r="AW72" s="72">
        <f t="shared" si="128"/>
        <v>21.015000000000001</v>
      </c>
      <c r="AX72" s="72">
        <f t="shared" si="99"/>
        <v>3.0603507279892117</v>
      </c>
      <c r="AY72" s="73">
        <f t="shared" si="129"/>
        <v>1356.4480000000003</v>
      </c>
      <c r="AZ72" s="192">
        <f t="shared" si="137"/>
        <v>2.8798522062212033</v>
      </c>
      <c r="BA72" s="1075"/>
      <c r="BB72" s="90">
        <f t="shared" ref="BB72:BB83" si="154">BD71</f>
        <v>27453</v>
      </c>
      <c r="BC72" s="59"/>
      <c r="BD72" s="56">
        <v>26774</v>
      </c>
      <c r="BE72" s="56">
        <f t="shared" si="138"/>
        <v>679</v>
      </c>
      <c r="BF72" s="58">
        <f t="shared" si="144"/>
        <v>34961</v>
      </c>
      <c r="BG72" s="58">
        <f t="shared" si="139"/>
        <v>74.225118089082272</v>
      </c>
      <c r="BH72" s="1133"/>
      <c r="BI72" s="63">
        <f t="shared" ref="BI72:BI83" si="155">BK71</f>
        <v>600</v>
      </c>
      <c r="BJ72" s="64"/>
      <c r="BK72" s="64">
        <v>480</v>
      </c>
      <c r="BL72" s="64">
        <f t="shared" ref="BL72:BL83" si="156">BI72+BJ72-BK72</f>
        <v>120</v>
      </c>
      <c r="BM72" s="65">
        <f t="shared" si="109"/>
        <v>0.19222821333487117</v>
      </c>
      <c r="BN72" s="64">
        <f t="shared" ref="BN72:BN83" si="157">BN71+BL72</f>
        <v>5272</v>
      </c>
      <c r="BO72" s="65">
        <f t="shared" si="110"/>
        <v>0.15248657238877736</v>
      </c>
      <c r="BP72" s="1071"/>
      <c r="BQ72" s="77">
        <f t="shared" ref="BQ72:BQ78" si="158">BS71</f>
        <v>105991</v>
      </c>
      <c r="BR72" s="35"/>
      <c r="BS72" s="35">
        <f>10842+19420+3020+32000+38860</f>
        <v>104142</v>
      </c>
      <c r="BT72" s="35">
        <f t="shared" ref="BT72:BT78" si="159">BQ72-BS72+BR72</f>
        <v>1849</v>
      </c>
      <c r="BU72" s="74">
        <f t="shared" si="116"/>
        <v>269.26426343335964</v>
      </c>
      <c r="BV72" s="74">
        <f t="shared" ref="BV72:BV78" si="160">BV71+BT72</f>
        <v>280262</v>
      </c>
      <c r="BW72" s="74">
        <f t="shared" si="101"/>
        <v>595.01959457344969</v>
      </c>
      <c r="BX72" s="1098"/>
    </row>
    <row r="73" spans="1:76">
      <c r="A73" s="107">
        <v>43290</v>
      </c>
      <c r="B73" s="114">
        <v>606434</v>
      </c>
      <c r="C73" s="1">
        <f t="shared" si="141"/>
        <v>35179970</v>
      </c>
      <c r="D73" s="115">
        <v>5531.08</v>
      </c>
      <c r="E73" s="91">
        <f t="shared" si="145"/>
        <v>476544.14000000013</v>
      </c>
      <c r="F73" s="244"/>
      <c r="G73" s="227"/>
      <c r="H73" s="227"/>
      <c r="I73" s="227"/>
      <c r="J73" s="227"/>
      <c r="K73" s="227"/>
      <c r="L73" s="227"/>
      <c r="M73" s="227"/>
      <c r="N73" s="227"/>
      <c r="O73" s="227"/>
      <c r="P73" s="77">
        <f t="shared" si="146"/>
        <v>28081</v>
      </c>
      <c r="Q73" s="35"/>
      <c r="R73" s="35">
        <v>25140</v>
      </c>
      <c r="S73" s="35">
        <f t="shared" si="147"/>
        <v>2941</v>
      </c>
      <c r="T73" s="36">
        <f t="shared" si="142"/>
        <v>4.8496621231659178</v>
      </c>
      <c r="U73" s="74">
        <f t="shared" si="148"/>
        <v>120569</v>
      </c>
      <c r="V73" s="36">
        <f t="shared" si="103"/>
        <v>3.427205878799783</v>
      </c>
      <c r="W73" s="1136"/>
      <c r="X73" s="49">
        <f t="shared" si="149"/>
        <v>1090</v>
      </c>
      <c r="Y73" s="50"/>
      <c r="Z73" s="50">
        <f>886+140</f>
        <v>1026</v>
      </c>
      <c r="AA73" s="50">
        <f t="shared" ref="AA73:AA83" si="161">X73+Y73-Z73</f>
        <v>64</v>
      </c>
      <c r="AB73" s="51">
        <f t="shared" ref="AB73:AB81" si="162">AA73*1000/B73</f>
        <v>0.1055349798988843</v>
      </c>
      <c r="AC73" s="50">
        <f t="shared" si="150"/>
        <v>5520</v>
      </c>
      <c r="AD73" s="51">
        <f t="shared" si="104"/>
        <v>0.15690746751631682</v>
      </c>
      <c r="AE73" s="1047"/>
      <c r="AF73" s="40">
        <f t="shared" si="151"/>
        <v>528</v>
      </c>
      <c r="AG73" s="41"/>
      <c r="AH73" s="41">
        <v>471</v>
      </c>
      <c r="AI73" s="41">
        <f t="shared" si="152"/>
        <v>57</v>
      </c>
      <c r="AJ73" s="42">
        <f t="shared" si="140"/>
        <v>9.3992091472443834E-2</v>
      </c>
      <c r="AK73" s="41">
        <f t="shared" si="153"/>
        <v>4089</v>
      </c>
      <c r="AL73" s="42">
        <f t="shared" si="107"/>
        <v>0.11623091207866294</v>
      </c>
      <c r="AM73" s="1058"/>
      <c r="AN73" s="67">
        <v>3.4</v>
      </c>
      <c r="AO73" s="67">
        <v>24</v>
      </c>
      <c r="AP73" s="68">
        <f t="shared" si="143"/>
        <v>43.247999999999998</v>
      </c>
      <c r="AQ73" s="68">
        <f t="shared" si="98"/>
        <v>7.8190877730931394</v>
      </c>
      <c r="AR73" s="69">
        <f t="shared" si="127"/>
        <v>3938.1576000000005</v>
      </c>
      <c r="AS73" s="140">
        <f t="shared" si="136"/>
        <v>8.2639933417290568</v>
      </c>
      <c r="AT73" s="1073"/>
      <c r="AU73" s="71">
        <v>3.2</v>
      </c>
      <c r="AV73" s="71">
        <v>10</v>
      </c>
      <c r="AW73" s="72">
        <f t="shared" si="128"/>
        <v>14.944000000000001</v>
      </c>
      <c r="AX73" s="72">
        <f t="shared" si="99"/>
        <v>2.7018231520787985</v>
      </c>
      <c r="AY73" s="73">
        <f t="shared" si="129"/>
        <v>1371.3920000000003</v>
      </c>
      <c r="AZ73" s="192">
        <f t="shared" si="137"/>
        <v>2.8777858856894136</v>
      </c>
      <c r="BA73" s="1075"/>
      <c r="BB73" s="90">
        <f t="shared" si="154"/>
        <v>26774</v>
      </c>
      <c r="BC73" s="59"/>
      <c r="BD73" s="56">
        <v>26321</v>
      </c>
      <c r="BE73" s="56">
        <f t="shared" si="138"/>
        <v>453</v>
      </c>
      <c r="BF73" s="58">
        <f t="shared" si="144"/>
        <v>35414</v>
      </c>
      <c r="BG73" s="58">
        <f t="shared" si="139"/>
        <v>74.314207284135293</v>
      </c>
      <c r="BH73" s="1133"/>
      <c r="BI73" s="63">
        <f t="shared" si="155"/>
        <v>480</v>
      </c>
      <c r="BJ73" s="64"/>
      <c r="BK73" s="64">
        <v>384</v>
      </c>
      <c r="BL73" s="64">
        <f t="shared" si="156"/>
        <v>96</v>
      </c>
      <c r="BM73" s="65">
        <f t="shared" si="109"/>
        <v>0.15830246984832644</v>
      </c>
      <c r="BN73" s="64">
        <f t="shared" si="157"/>
        <v>5368</v>
      </c>
      <c r="BO73" s="65">
        <f t="shared" si="110"/>
        <v>0.15258682710644722</v>
      </c>
      <c r="BP73" s="1071"/>
      <c r="BQ73" s="77">
        <f t="shared" si="158"/>
        <v>104142</v>
      </c>
      <c r="BR73" s="35"/>
      <c r="BS73" s="35">
        <f>7797+19420+3020+32000+38860</f>
        <v>101097</v>
      </c>
      <c r="BT73" s="35">
        <f t="shared" si="159"/>
        <v>3045</v>
      </c>
      <c r="BU73" s="74">
        <f t="shared" si="116"/>
        <v>550.52539467879694</v>
      </c>
      <c r="BV73" s="74">
        <f t="shared" si="160"/>
        <v>283307</v>
      </c>
      <c r="BW73" s="74">
        <f t="shared" si="101"/>
        <v>594.50316606558192</v>
      </c>
      <c r="BX73" s="1098"/>
    </row>
    <row r="74" spans="1:76">
      <c r="A74" s="107">
        <v>43291</v>
      </c>
      <c r="B74" s="114">
        <v>564557</v>
      </c>
      <c r="C74" s="1">
        <f t="shared" si="141"/>
        <v>35744527</v>
      </c>
      <c r="D74" s="115">
        <v>5672.54</v>
      </c>
      <c r="E74" s="91">
        <f t="shared" si="145"/>
        <v>482216.68000000011</v>
      </c>
      <c r="F74" s="244"/>
      <c r="G74" s="227"/>
      <c r="H74" s="227"/>
      <c r="I74" s="227"/>
      <c r="J74" s="227"/>
      <c r="K74" s="227"/>
      <c r="L74" s="227"/>
      <c r="M74" s="227"/>
      <c r="N74" s="227"/>
      <c r="O74" s="227"/>
      <c r="P74" s="77">
        <f t="shared" si="146"/>
        <v>25140</v>
      </c>
      <c r="Q74" s="35"/>
      <c r="R74" s="35">
        <v>21710</v>
      </c>
      <c r="S74" s="35">
        <f t="shared" si="147"/>
        <v>3430</v>
      </c>
      <c r="T74" s="36">
        <f t="shared" si="142"/>
        <v>6.0755601294466279</v>
      </c>
      <c r="U74" s="74">
        <f t="shared" si="148"/>
        <v>123999</v>
      </c>
      <c r="V74" s="36">
        <f t="shared" si="103"/>
        <v>3.4690345741601223</v>
      </c>
      <c r="W74" s="1136"/>
      <c r="X74" s="49">
        <f t="shared" si="149"/>
        <v>1026</v>
      </c>
      <c r="Y74" s="50"/>
      <c r="Z74" s="50">
        <f>850+110</f>
        <v>960</v>
      </c>
      <c r="AA74" s="50">
        <f t="shared" si="161"/>
        <v>66</v>
      </c>
      <c r="AB74" s="51">
        <f t="shared" si="162"/>
        <v>0.11690582173279226</v>
      </c>
      <c r="AC74" s="50">
        <f t="shared" si="150"/>
        <v>5586</v>
      </c>
      <c r="AD74" s="51">
        <f t="shared" si="104"/>
        <v>0.15627567263654096</v>
      </c>
      <c r="AE74" s="1047"/>
      <c r="AF74" s="40">
        <f t="shared" si="151"/>
        <v>471</v>
      </c>
      <c r="AG74" s="41">
        <v>1000</v>
      </c>
      <c r="AH74" s="41">
        <v>1409</v>
      </c>
      <c r="AI74" s="41">
        <f t="shared" si="152"/>
        <v>62</v>
      </c>
      <c r="AJ74" s="42">
        <f t="shared" si="140"/>
        <v>0.10982062041565334</v>
      </c>
      <c r="AK74" s="41">
        <f t="shared" si="153"/>
        <v>4151</v>
      </c>
      <c r="AL74" s="42">
        <f t="shared" si="107"/>
        <v>0.11612966650810626</v>
      </c>
      <c r="AM74" s="1058"/>
      <c r="AN74" s="67">
        <v>3.4</v>
      </c>
      <c r="AO74" s="67">
        <v>24</v>
      </c>
      <c r="AP74" s="68">
        <f t="shared" si="143"/>
        <v>43.247999999999998</v>
      </c>
      <c r="AQ74" s="68">
        <f t="shared" si="98"/>
        <v>7.624097846819943</v>
      </c>
      <c r="AR74" s="69">
        <f t="shared" ref="AR74:AR86" si="163">AR73+AP74</f>
        <v>3981.4056000000005</v>
      </c>
      <c r="AS74" s="140">
        <f t="shared" si="136"/>
        <v>8.2564659521939383</v>
      </c>
      <c r="AT74" s="1073"/>
      <c r="AU74" s="71">
        <v>3</v>
      </c>
      <c r="AV74" s="71">
        <v>10</v>
      </c>
      <c r="AW74" s="72">
        <f t="shared" ref="AW74:AW86" si="164">AU74*AV74*0.467</f>
        <v>14.010000000000002</v>
      </c>
      <c r="AX74" s="72">
        <f t="shared" si="99"/>
        <v>2.4697930732969713</v>
      </c>
      <c r="AY74" s="73">
        <f t="shared" ref="AY74:AY86" si="165">AY73+AW74</f>
        <v>1385.4020000000003</v>
      </c>
      <c r="AZ74" s="192">
        <f t="shared" si="137"/>
        <v>2.8729864757063153</v>
      </c>
      <c r="BA74" s="1075"/>
      <c r="BB74" s="90">
        <f t="shared" si="154"/>
        <v>26321</v>
      </c>
      <c r="BC74" s="59"/>
      <c r="BD74" s="56">
        <v>25868</v>
      </c>
      <c r="BE74" s="56">
        <f t="shared" si="138"/>
        <v>453</v>
      </c>
      <c r="BF74" s="58">
        <f t="shared" si="144"/>
        <v>35867</v>
      </c>
      <c r="BG74" s="58">
        <f t="shared" si="139"/>
        <v>74.379426277830106</v>
      </c>
      <c r="BH74" s="1133"/>
      <c r="BI74" s="63">
        <f t="shared" si="155"/>
        <v>384</v>
      </c>
      <c r="BJ74" s="64">
        <v>1100</v>
      </c>
      <c r="BK74" s="64">
        <v>1464</v>
      </c>
      <c r="BL74" s="64">
        <f t="shared" si="156"/>
        <v>20</v>
      </c>
      <c r="BM74" s="65">
        <f t="shared" si="109"/>
        <v>3.5426006585694628E-2</v>
      </c>
      <c r="BN74" s="64">
        <f t="shared" si="157"/>
        <v>5388</v>
      </c>
      <c r="BO74" s="65">
        <f t="shared" si="110"/>
        <v>0.15073636308014371</v>
      </c>
      <c r="BP74" s="1071"/>
      <c r="BQ74" s="77">
        <f t="shared" si="158"/>
        <v>101097</v>
      </c>
      <c r="BR74" s="35"/>
      <c r="BS74" s="35">
        <f>5557+19420+3020+32000+38860</f>
        <v>98857</v>
      </c>
      <c r="BT74" s="35">
        <f t="shared" si="159"/>
        <v>2240</v>
      </c>
      <c r="BU74" s="74">
        <f t="shared" si="116"/>
        <v>394.88483113384831</v>
      </c>
      <c r="BV74" s="74">
        <f t="shared" si="160"/>
        <v>285547</v>
      </c>
      <c r="BW74" s="74">
        <f t="shared" si="101"/>
        <v>592.15496237085767</v>
      </c>
      <c r="BX74" s="1098"/>
    </row>
    <row r="75" spans="1:76">
      <c r="A75" s="107">
        <v>43292</v>
      </c>
      <c r="B75" s="114">
        <v>575095</v>
      </c>
      <c r="C75" s="1">
        <f t="shared" si="141"/>
        <v>36319622</v>
      </c>
      <c r="D75" s="115">
        <v>6982.8600000000006</v>
      </c>
      <c r="E75" s="91">
        <f t="shared" si="145"/>
        <v>489199.5400000001</v>
      </c>
      <c r="F75" s="244"/>
      <c r="G75" s="227"/>
      <c r="H75" s="227"/>
      <c r="I75" s="227"/>
      <c r="J75" s="227"/>
      <c r="K75" s="227"/>
      <c r="L75" s="227"/>
      <c r="M75" s="227"/>
      <c r="N75" s="227"/>
      <c r="O75" s="227"/>
      <c r="P75" s="77">
        <f t="shared" si="146"/>
        <v>21710</v>
      </c>
      <c r="Q75" s="35"/>
      <c r="R75" s="35">
        <v>19893</v>
      </c>
      <c r="S75" s="35">
        <f t="shared" si="147"/>
        <v>1817</v>
      </c>
      <c r="T75" s="36">
        <f t="shared" si="142"/>
        <v>3.1594779992870743</v>
      </c>
      <c r="U75" s="74">
        <f t="shared" si="148"/>
        <v>125816</v>
      </c>
      <c r="V75" s="36">
        <f t="shared" si="103"/>
        <v>3.4641329692252856</v>
      </c>
      <c r="W75" s="1136"/>
      <c r="X75" s="49">
        <f t="shared" si="149"/>
        <v>960</v>
      </c>
      <c r="Y75" s="50"/>
      <c r="Z75" s="50">
        <f>850+90</f>
        <v>940</v>
      </c>
      <c r="AA75" s="50">
        <f t="shared" si="161"/>
        <v>20</v>
      </c>
      <c r="AB75" s="51">
        <f t="shared" si="162"/>
        <v>3.4776862953077317E-2</v>
      </c>
      <c r="AC75" s="50">
        <f t="shared" si="150"/>
        <v>5606</v>
      </c>
      <c r="AD75" s="51">
        <f t="shared" si="104"/>
        <v>0.15435182667925343</v>
      </c>
      <c r="AE75" s="1047"/>
      <c r="AF75" s="40">
        <f t="shared" si="151"/>
        <v>1409</v>
      </c>
      <c r="AG75" s="41"/>
      <c r="AH75" s="41">
        <v>1379</v>
      </c>
      <c r="AI75" s="41">
        <f t="shared" si="152"/>
        <v>30</v>
      </c>
      <c r="AJ75" s="42">
        <f t="shared" si="140"/>
        <v>5.2165294429615976E-2</v>
      </c>
      <c r="AK75" s="41">
        <f t="shared" si="153"/>
        <v>4181</v>
      </c>
      <c r="AL75" s="42">
        <f t="shared" si="107"/>
        <v>0.11511683684373147</v>
      </c>
      <c r="AM75" s="1058"/>
      <c r="AN75" s="67">
        <v>4.0999999999999996</v>
      </c>
      <c r="AO75" s="67">
        <v>24</v>
      </c>
      <c r="AP75" s="68">
        <f t="shared" si="143"/>
        <v>52.152000000000001</v>
      </c>
      <c r="AQ75" s="68">
        <f t="shared" si="98"/>
        <v>7.4685730488653643</v>
      </c>
      <c r="AR75" s="69">
        <f t="shared" si="163"/>
        <v>4033.5576000000005</v>
      </c>
      <c r="AS75" s="140">
        <f t="shared" si="136"/>
        <v>8.2452195273936688</v>
      </c>
      <c r="AT75" s="1073"/>
      <c r="AU75" s="71">
        <v>4.2</v>
      </c>
      <c r="AV75" s="71">
        <v>10</v>
      </c>
      <c r="AW75" s="72">
        <f t="shared" si="164"/>
        <v>19.614000000000001</v>
      </c>
      <c r="AX75" s="72">
        <f t="shared" si="99"/>
        <v>2.8088777377750662</v>
      </c>
      <c r="AY75" s="73">
        <f t="shared" si="165"/>
        <v>1405.0160000000003</v>
      </c>
      <c r="AZ75" s="192">
        <f t="shared" si="137"/>
        <v>2.8720713842044905</v>
      </c>
      <c r="BA75" s="1075"/>
      <c r="BB75" s="90">
        <f t="shared" si="154"/>
        <v>25868</v>
      </c>
      <c r="BC75" s="59"/>
      <c r="BD75" s="56">
        <v>19575</v>
      </c>
      <c r="BE75" s="56">
        <f t="shared" si="138"/>
        <v>6293</v>
      </c>
      <c r="BF75" s="58">
        <f t="shared" si="144"/>
        <v>42160</v>
      </c>
      <c r="BG75" s="58">
        <f t="shared" si="139"/>
        <v>86.181601887851315</v>
      </c>
      <c r="BH75" s="1133"/>
      <c r="BI75" s="63">
        <f t="shared" si="155"/>
        <v>1464</v>
      </c>
      <c r="BJ75" s="64"/>
      <c r="BK75" s="64">
        <v>1380</v>
      </c>
      <c r="BL75" s="64">
        <f t="shared" si="156"/>
        <v>84</v>
      </c>
      <c r="BM75" s="65">
        <f t="shared" si="109"/>
        <v>0.14606282440292473</v>
      </c>
      <c r="BN75" s="64">
        <f t="shared" si="157"/>
        <v>5472</v>
      </c>
      <c r="BO75" s="65">
        <f t="shared" si="110"/>
        <v>0.15066236096840435</v>
      </c>
      <c r="BP75" s="1071"/>
      <c r="BQ75" s="77">
        <f t="shared" si="158"/>
        <v>98857</v>
      </c>
      <c r="BR75" s="35"/>
      <c r="BS75" s="35">
        <f>2582+19420+3020+32000+38860</f>
        <v>95882</v>
      </c>
      <c r="BT75" s="35">
        <f t="shared" si="159"/>
        <v>2975</v>
      </c>
      <c r="BU75" s="74">
        <f t="shared" si="116"/>
        <v>426.04319720000109</v>
      </c>
      <c r="BV75" s="74">
        <f t="shared" si="160"/>
        <v>288522</v>
      </c>
      <c r="BW75" s="74">
        <f t="shared" si="101"/>
        <v>589.78387428573615</v>
      </c>
      <c r="BX75" s="1098"/>
    </row>
    <row r="76" spans="1:76">
      <c r="A76" s="107">
        <v>43293</v>
      </c>
      <c r="B76" s="114">
        <v>583338</v>
      </c>
      <c r="C76" s="1">
        <f t="shared" si="141"/>
        <v>36902960</v>
      </c>
      <c r="D76" s="115">
        <v>7857.6</v>
      </c>
      <c r="E76" s="91">
        <f t="shared" si="145"/>
        <v>497057.14000000007</v>
      </c>
      <c r="F76" s="244"/>
      <c r="G76" s="227"/>
      <c r="H76" s="227"/>
      <c r="I76" s="227"/>
      <c r="J76" s="227"/>
      <c r="K76" s="227"/>
      <c r="L76" s="227"/>
      <c r="M76" s="227"/>
      <c r="N76" s="227"/>
      <c r="O76" s="227"/>
      <c r="P76" s="77">
        <f t="shared" si="146"/>
        <v>19893</v>
      </c>
      <c r="Q76" s="35"/>
      <c r="R76" s="35">
        <v>16345</v>
      </c>
      <c r="S76" s="35">
        <f t="shared" si="147"/>
        <v>3548</v>
      </c>
      <c r="T76" s="36">
        <f t="shared" si="142"/>
        <v>6.0822370563892632</v>
      </c>
      <c r="U76" s="74">
        <f t="shared" si="148"/>
        <v>129364</v>
      </c>
      <c r="V76" s="36">
        <f t="shared" si="103"/>
        <v>3.5055182565300993</v>
      </c>
      <c r="W76" s="1136"/>
      <c r="X76" s="49">
        <f t="shared" si="149"/>
        <v>940</v>
      </c>
      <c r="Y76" s="50"/>
      <c r="Z76" s="50">
        <f>779+120</f>
        <v>899</v>
      </c>
      <c r="AA76" s="50">
        <f t="shared" si="161"/>
        <v>41</v>
      </c>
      <c r="AB76" s="51">
        <f t="shared" si="162"/>
        <v>7.0285152004498253E-2</v>
      </c>
      <c r="AC76" s="50">
        <f t="shared" si="150"/>
        <v>5647</v>
      </c>
      <c r="AD76" s="51">
        <f t="shared" si="104"/>
        <v>0.15302295534016783</v>
      </c>
      <c r="AE76" s="1047"/>
      <c r="AF76" s="40">
        <f t="shared" si="151"/>
        <v>1379</v>
      </c>
      <c r="AG76" s="41"/>
      <c r="AH76" s="41">
        <v>1347</v>
      </c>
      <c r="AI76" s="41">
        <f t="shared" si="152"/>
        <v>32</v>
      </c>
      <c r="AJ76" s="42">
        <f t="shared" si="140"/>
        <v>5.485670400351083E-2</v>
      </c>
      <c r="AK76" s="41">
        <f t="shared" si="153"/>
        <v>4213</v>
      </c>
      <c r="AL76" s="42">
        <f t="shared" si="107"/>
        <v>0.11416428384064585</v>
      </c>
      <c r="AM76" s="1058"/>
      <c r="AN76" s="67">
        <v>4.5</v>
      </c>
      <c r="AO76" s="67">
        <v>24</v>
      </c>
      <c r="AP76" s="68">
        <f t="shared" si="143"/>
        <v>57.24</v>
      </c>
      <c r="AQ76" s="68">
        <f t="shared" si="98"/>
        <v>7.2846670739156991</v>
      </c>
      <c r="AR76" s="69">
        <f t="shared" si="163"/>
        <v>4090.7976000000003</v>
      </c>
      <c r="AS76" s="140">
        <f t="shared" si="136"/>
        <v>8.2300348808992059</v>
      </c>
      <c r="AT76" s="1073"/>
      <c r="AU76" s="71">
        <v>5.2</v>
      </c>
      <c r="AV76" s="71">
        <v>10</v>
      </c>
      <c r="AW76" s="72">
        <f t="shared" si="164"/>
        <v>24.284000000000002</v>
      </c>
      <c r="AX76" s="72">
        <f t="shared" si="99"/>
        <v>3.0905110975361438</v>
      </c>
      <c r="AY76" s="73">
        <f t="shared" si="165"/>
        <v>1429.3000000000004</v>
      </c>
      <c r="AZ76" s="192">
        <f t="shared" si="137"/>
        <v>2.8755245322499547</v>
      </c>
      <c r="BA76" s="1075"/>
      <c r="BB76" s="90">
        <f t="shared" si="154"/>
        <v>19575</v>
      </c>
      <c r="BC76" s="59"/>
      <c r="BD76" s="56">
        <v>19575</v>
      </c>
      <c r="BE76" s="56"/>
      <c r="BF76" s="58">
        <f t="shared" si="144"/>
        <v>42160</v>
      </c>
      <c r="BG76" s="58">
        <f t="shared" si="139"/>
        <v>84.819222192442496</v>
      </c>
      <c r="BH76" s="1133"/>
      <c r="BI76" s="63">
        <f t="shared" si="155"/>
        <v>1380</v>
      </c>
      <c r="BJ76" s="64"/>
      <c r="BK76" s="64">
        <v>1224</v>
      </c>
      <c r="BL76" s="64">
        <f t="shared" si="156"/>
        <v>156</v>
      </c>
      <c r="BM76" s="65">
        <f t="shared" si="109"/>
        <v>0.2674264320171153</v>
      </c>
      <c r="BN76" s="64">
        <f t="shared" si="157"/>
        <v>5628</v>
      </c>
      <c r="BO76" s="65">
        <f t="shared" si="110"/>
        <v>0.1525080914918478</v>
      </c>
      <c r="BP76" s="1071"/>
      <c r="BQ76" s="77">
        <f t="shared" si="158"/>
        <v>95882</v>
      </c>
      <c r="BR76" s="35"/>
      <c r="BS76" s="35">
        <f>1430+19420+3020+32000+38860</f>
        <v>94730</v>
      </c>
      <c r="BT76" s="35">
        <f t="shared" si="159"/>
        <v>1152</v>
      </c>
      <c r="BU76" s="74">
        <f t="shared" si="116"/>
        <v>146.60965180207697</v>
      </c>
      <c r="BV76" s="74">
        <f t="shared" si="160"/>
        <v>289674</v>
      </c>
      <c r="BW76" s="74">
        <f t="shared" si="101"/>
        <v>582.77806853352911</v>
      </c>
      <c r="BX76" s="1098"/>
    </row>
    <row r="77" spans="1:76">
      <c r="A77" s="107">
        <v>43294</v>
      </c>
      <c r="B77" s="114">
        <v>584896</v>
      </c>
      <c r="C77" s="1">
        <f t="shared" si="141"/>
        <v>37487856</v>
      </c>
      <c r="D77" s="115">
        <v>5982.2</v>
      </c>
      <c r="E77" s="91">
        <f t="shared" si="145"/>
        <v>503039.34000000008</v>
      </c>
      <c r="F77" s="244"/>
      <c r="G77" s="227"/>
      <c r="H77" s="227"/>
      <c r="I77" s="227"/>
      <c r="J77" s="227"/>
      <c r="K77" s="227"/>
      <c r="L77" s="227"/>
      <c r="M77" s="227"/>
      <c r="N77" s="227"/>
      <c r="O77" s="227"/>
      <c r="P77" s="77">
        <f t="shared" si="146"/>
        <v>16345</v>
      </c>
      <c r="Q77" s="35">
        <v>31000</v>
      </c>
      <c r="R77" s="35">
        <v>43754</v>
      </c>
      <c r="S77" s="35">
        <f t="shared" si="147"/>
        <v>3591</v>
      </c>
      <c r="T77" s="36">
        <f t="shared" si="142"/>
        <v>6.1395530145530142</v>
      </c>
      <c r="U77" s="74">
        <f t="shared" si="148"/>
        <v>132955</v>
      </c>
      <c r="V77" s="36">
        <f t="shared" si="103"/>
        <v>3.5466152025338551</v>
      </c>
      <c r="W77" s="1136"/>
      <c r="X77" s="49">
        <f t="shared" si="149"/>
        <v>899</v>
      </c>
      <c r="Y77" s="50"/>
      <c r="Z77" s="50">
        <f>779+110</f>
        <v>889</v>
      </c>
      <c r="AA77" s="50">
        <f t="shared" si="161"/>
        <v>10</v>
      </c>
      <c r="AB77" s="51">
        <f t="shared" si="162"/>
        <v>1.709705657074078E-2</v>
      </c>
      <c r="AC77" s="50">
        <f t="shared" si="150"/>
        <v>5657</v>
      </c>
      <c r="AD77" s="51">
        <f t="shared" si="104"/>
        <v>0.15090220150226782</v>
      </c>
      <c r="AE77" s="1047"/>
      <c r="AF77" s="40">
        <f t="shared" si="151"/>
        <v>1347</v>
      </c>
      <c r="AG77" s="41"/>
      <c r="AH77" s="41">
        <v>1315</v>
      </c>
      <c r="AI77" s="41">
        <f t="shared" si="152"/>
        <v>32</v>
      </c>
      <c r="AJ77" s="42">
        <f t="shared" si="140"/>
        <v>5.4710581026370497E-2</v>
      </c>
      <c r="AK77" s="41">
        <f t="shared" si="153"/>
        <v>4245</v>
      </c>
      <c r="AL77" s="42">
        <f t="shared" si="107"/>
        <v>0.11323667056339524</v>
      </c>
      <c r="AM77" s="1058"/>
      <c r="AN77" s="67">
        <v>4</v>
      </c>
      <c r="AO77" s="67">
        <v>24</v>
      </c>
      <c r="AP77" s="68">
        <f t="shared" si="143"/>
        <v>50.88</v>
      </c>
      <c r="AQ77" s="68">
        <f t="shared" si="98"/>
        <v>8.5052321888268541</v>
      </c>
      <c r="AR77" s="69">
        <f t="shared" si="163"/>
        <v>4141.6776</v>
      </c>
      <c r="AS77" s="140">
        <f t="shared" si="136"/>
        <v>8.2333075580132551</v>
      </c>
      <c r="AT77" s="1073"/>
      <c r="AU77" s="71">
        <v>3</v>
      </c>
      <c r="AV77" s="71">
        <v>10</v>
      </c>
      <c r="AW77" s="72">
        <f t="shared" si="164"/>
        <v>14.010000000000002</v>
      </c>
      <c r="AX77" s="72">
        <f t="shared" si="99"/>
        <v>2.3419477784092813</v>
      </c>
      <c r="AY77" s="73">
        <f t="shared" si="165"/>
        <v>1443.3100000000004</v>
      </c>
      <c r="AZ77" s="192">
        <f t="shared" si="137"/>
        <v>2.8691791779147935</v>
      </c>
      <c r="BA77" s="1075"/>
      <c r="BB77" s="90">
        <f t="shared" si="154"/>
        <v>19575</v>
      </c>
      <c r="BC77" s="59"/>
      <c r="BD77" s="56">
        <v>19575</v>
      </c>
      <c r="BE77" s="56"/>
      <c r="BF77" s="58">
        <f t="shared" si="144"/>
        <v>42160</v>
      </c>
      <c r="BG77" s="58">
        <f t="shared" si="139"/>
        <v>83.810542531325666</v>
      </c>
      <c r="BH77" s="1133"/>
      <c r="BI77" s="63">
        <f t="shared" si="155"/>
        <v>1224</v>
      </c>
      <c r="BJ77" s="64"/>
      <c r="BK77" s="64">
        <v>1056</v>
      </c>
      <c r="BL77" s="64">
        <f t="shared" si="156"/>
        <v>168</v>
      </c>
      <c r="BM77" s="65">
        <f t="shared" si="109"/>
        <v>0.28723055038844514</v>
      </c>
      <c r="BN77" s="64">
        <f t="shared" si="157"/>
        <v>5796</v>
      </c>
      <c r="BO77" s="65">
        <f t="shared" si="110"/>
        <v>0.1546100689247206</v>
      </c>
      <c r="BP77" s="1071"/>
      <c r="BQ77" s="77">
        <f t="shared" si="158"/>
        <v>94730</v>
      </c>
      <c r="BR77" s="35"/>
      <c r="BS77" s="35">
        <f>756+19420+3020+32000+38860</f>
        <v>94056</v>
      </c>
      <c r="BT77" s="35">
        <f t="shared" si="159"/>
        <v>674</v>
      </c>
      <c r="BU77" s="74">
        <f t="shared" si="116"/>
        <v>112.6675804887834</v>
      </c>
      <c r="BV77" s="74">
        <f t="shared" si="160"/>
        <v>290348</v>
      </c>
      <c r="BW77" s="74">
        <f t="shared" si="101"/>
        <v>577.18746211777386</v>
      </c>
      <c r="BX77" s="1098"/>
    </row>
    <row r="78" spans="1:76">
      <c r="A78" s="107">
        <v>43295</v>
      </c>
      <c r="B78" s="114">
        <v>615447</v>
      </c>
      <c r="C78" s="1">
        <f t="shared" si="141"/>
        <v>38103303</v>
      </c>
      <c r="D78" s="115">
        <v>7011.62</v>
      </c>
      <c r="E78" s="91">
        <f t="shared" si="145"/>
        <v>510050.96000000008</v>
      </c>
      <c r="F78" s="244"/>
      <c r="G78" s="227"/>
      <c r="H78" s="227"/>
      <c r="I78" s="227"/>
      <c r="J78" s="227"/>
      <c r="K78" s="227"/>
      <c r="L78" s="227"/>
      <c r="M78" s="227"/>
      <c r="N78" s="227"/>
      <c r="O78" s="227"/>
      <c r="P78" s="77">
        <f t="shared" si="146"/>
        <v>43754</v>
      </c>
      <c r="Q78" s="35"/>
      <c r="R78" s="35">
        <v>41172</v>
      </c>
      <c r="S78" s="35">
        <f t="shared" si="147"/>
        <v>2582</v>
      </c>
      <c r="T78" s="36">
        <f t="shared" si="142"/>
        <v>4.1953246989586432</v>
      </c>
      <c r="U78" s="74">
        <f t="shared" si="148"/>
        <v>135537</v>
      </c>
      <c r="V78" s="36">
        <f t="shared" si="103"/>
        <v>3.557093200030454</v>
      </c>
      <c r="W78" s="1136"/>
      <c r="X78" s="49">
        <f t="shared" si="149"/>
        <v>889</v>
      </c>
      <c r="Y78" s="50"/>
      <c r="Z78" s="50">
        <f>779+80</f>
        <v>859</v>
      </c>
      <c r="AA78" s="50">
        <f t="shared" si="161"/>
        <v>30</v>
      </c>
      <c r="AB78" s="51">
        <f t="shared" si="162"/>
        <v>4.8745058469697636E-2</v>
      </c>
      <c r="AC78" s="50">
        <f t="shared" si="150"/>
        <v>5687</v>
      </c>
      <c r="AD78" s="51">
        <f t="shared" si="104"/>
        <v>0.14925215275956522</v>
      </c>
      <c r="AE78" s="1047"/>
      <c r="AF78" s="40">
        <f t="shared" si="151"/>
        <v>1315</v>
      </c>
      <c r="AG78" s="41"/>
      <c r="AH78" s="41">
        <v>1281</v>
      </c>
      <c r="AI78" s="41">
        <f t="shared" si="152"/>
        <v>34</v>
      </c>
      <c r="AJ78" s="42">
        <f t="shared" si="140"/>
        <v>5.5244399598990655E-2</v>
      </c>
      <c r="AK78" s="41">
        <f t="shared" si="153"/>
        <v>4279</v>
      </c>
      <c r="AL78" s="42">
        <f t="shared" si="107"/>
        <v>0.1122999756740249</v>
      </c>
      <c r="AM78" s="1058"/>
      <c r="AN78" s="67">
        <v>4.3</v>
      </c>
      <c r="AO78" s="67">
        <v>24</v>
      </c>
      <c r="AP78" s="68">
        <f t="shared" si="143"/>
        <v>54.695999999999998</v>
      </c>
      <c r="AQ78" s="68">
        <f t="shared" si="98"/>
        <v>7.8007650157880777</v>
      </c>
      <c r="AR78" s="69">
        <f t="shared" si="163"/>
        <v>4196.3735999999999</v>
      </c>
      <c r="AS78" s="140">
        <f t="shared" si="136"/>
        <v>8.2273614385511582</v>
      </c>
      <c r="AT78" s="1073"/>
      <c r="AU78" s="71">
        <v>4.4000000000000004</v>
      </c>
      <c r="AV78" s="71">
        <v>10</v>
      </c>
      <c r="AW78" s="72">
        <f t="shared" si="164"/>
        <v>20.548000000000002</v>
      </c>
      <c r="AX78" s="72">
        <f t="shared" si="99"/>
        <v>2.930563835461705</v>
      </c>
      <c r="AY78" s="73">
        <f t="shared" si="165"/>
        <v>1463.8580000000004</v>
      </c>
      <c r="AZ78" s="192">
        <f t="shared" si="137"/>
        <v>2.8700230267187425</v>
      </c>
      <c r="BA78" s="1075"/>
      <c r="BB78" s="90">
        <f t="shared" si="154"/>
        <v>19575</v>
      </c>
      <c r="BC78" s="59"/>
      <c r="BD78" s="56">
        <v>19575</v>
      </c>
      <c r="BE78" s="56"/>
      <c r="BF78" s="58">
        <f t="shared" si="144"/>
        <v>42160</v>
      </c>
      <c r="BG78" s="58">
        <f t="shared" si="139"/>
        <v>82.6584073089481</v>
      </c>
      <c r="BH78" s="1133"/>
      <c r="BI78" s="63">
        <f t="shared" si="155"/>
        <v>1056</v>
      </c>
      <c r="BJ78" s="64"/>
      <c r="BK78" s="64">
        <v>960</v>
      </c>
      <c r="BL78" s="64">
        <f t="shared" si="156"/>
        <v>96</v>
      </c>
      <c r="BM78" s="65">
        <f t="shared" si="109"/>
        <v>0.15598418710303244</v>
      </c>
      <c r="BN78" s="64">
        <f t="shared" si="157"/>
        <v>5892</v>
      </c>
      <c r="BO78" s="65">
        <f t="shared" si="110"/>
        <v>0.15463226376988892</v>
      </c>
      <c r="BP78" s="1071"/>
      <c r="BQ78" s="77">
        <f t="shared" si="158"/>
        <v>94056</v>
      </c>
      <c r="BR78" s="35"/>
      <c r="BS78" s="35">
        <f>547+19420+3020+32000+38860</f>
        <v>93847</v>
      </c>
      <c r="BT78" s="35">
        <f t="shared" si="159"/>
        <v>209</v>
      </c>
      <c r="BU78" s="74">
        <f t="shared" si="116"/>
        <v>29.807662137993788</v>
      </c>
      <c r="BV78" s="74">
        <f t="shared" si="160"/>
        <v>290557</v>
      </c>
      <c r="BW78" s="74">
        <f t="shared" si="101"/>
        <v>569.66268625393809</v>
      </c>
      <c r="BX78" s="1098"/>
    </row>
    <row r="79" spans="1:76">
      <c r="A79" s="107">
        <v>43296</v>
      </c>
      <c r="B79" s="114">
        <v>602139</v>
      </c>
      <c r="C79" s="1">
        <f t="shared" si="141"/>
        <v>38705442</v>
      </c>
      <c r="D79" s="115">
        <v>5169.68</v>
      </c>
      <c r="E79" s="91">
        <f t="shared" si="145"/>
        <v>515220.64000000007</v>
      </c>
      <c r="F79" s="244"/>
      <c r="G79" s="227"/>
      <c r="H79" s="227"/>
      <c r="I79" s="227"/>
      <c r="J79" s="227"/>
      <c r="K79" s="227"/>
      <c r="L79" s="227"/>
      <c r="M79" s="227"/>
      <c r="N79" s="227"/>
      <c r="O79" s="227"/>
      <c r="P79" s="77">
        <f t="shared" si="146"/>
        <v>41172</v>
      </c>
      <c r="Q79" s="35"/>
      <c r="R79" s="35">
        <v>37746</v>
      </c>
      <c r="S79" s="35">
        <f t="shared" si="147"/>
        <v>3426</v>
      </c>
      <c r="T79" s="36">
        <f t="shared" si="142"/>
        <v>5.6897161618828873</v>
      </c>
      <c r="U79" s="74">
        <f t="shared" si="148"/>
        <v>138963</v>
      </c>
      <c r="V79" s="36">
        <f t="shared" si="103"/>
        <v>3.5902703294280944</v>
      </c>
      <c r="W79" s="1136"/>
      <c r="X79" s="49">
        <f t="shared" si="149"/>
        <v>859</v>
      </c>
      <c r="Y79" s="50"/>
      <c r="Z79" s="50">
        <f>563+180</f>
        <v>743</v>
      </c>
      <c r="AA79" s="50">
        <f t="shared" si="161"/>
        <v>116</v>
      </c>
      <c r="AB79" s="51">
        <f t="shared" si="162"/>
        <v>0.19264654838832895</v>
      </c>
      <c r="AC79" s="50">
        <f t="shared" si="150"/>
        <v>5803</v>
      </c>
      <c r="AD79" s="51">
        <f t="shared" si="104"/>
        <v>0.14992723762203775</v>
      </c>
      <c r="AE79" s="1047"/>
      <c r="AF79" s="40">
        <f t="shared" si="151"/>
        <v>1281</v>
      </c>
      <c r="AG79" s="41"/>
      <c r="AH79" s="41">
        <v>1246</v>
      </c>
      <c r="AI79" s="41">
        <f t="shared" si="152"/>
        <v>35</v>
      </c>
      <c r="AJ79" s="42">
        <f t="shared" si="140"/>
        <v>5.8126113737857872E-2</v>
      </c>
      <c r="AK79" s="41">
        <f t="shared" si="153"/>
        <v>4314</v>
      </c>
      <c r="AL79" s="42">
        <f t="shared" si="107"/>
        <v>0.11145719508900066</v>
      </c>
      <c r="AM79" s="1058"/>
      <c r="AN79" s="67">
        <v>3.7</v>
      </c>
      <c r="AO79" s="67">
        <v>24</v>
      </c>
      <c r="AP79" s="68">
        <f t="shared" si="143"/>
        <v>47.064000000000007</v>
      </c>
      <c r="AQ79" s="68">
        <f t="shared" si="98"/>
        <v>9.1038516890794021</v>
      </c>
      <c r="AR79" s="69">
        <f t="shared" si="163"/>
        <v>4243.4376000000002</v>
      </c>
      <c r="AS79" s="140">
        <f t="shared" si="136"/>
        <v>8.2361560670395502</v>
      </c>
      <c r="AT79" s="1073"/>
      <c r="AU79" s="71">
        <v>3.3</v>
      </c>
      <c r="AV79" s="71">
        <v>10</v>
      </c>
      <c r="AW79" s="72">
        <f t="shared" si="164"/>
        <v>15.411000000000001</v>
      </c>
      <c r="AX79" s="72">
        <f t="shared" si="99"/>
        <v>2.9810355766701231</v>
      </c>
      <c r="AY79" s="73">
        <f t="shared" si="165"/>
        <v>1479.2690000000005</v>
      </c>
      <c r="AZ79" s="192">
        <f t="shared" si="137"/>
        <v>2.8711369171856163</v>
      </c>
      <c r="BA79" s="1075"/>
      <c r="BB79" s="90">
        <f t="shared" si="154"/>
        <v>19575</v>
      </c>
      <c r="BC79" s="59"/>
      <c r="BD79" s="56">
        <v>18690</v>
      </c>
      <c r="BE79" s="56">
        <f t="shared" si="138"/>
        <v>885</v>
      </c>
      <c r="BF79" s="58">
        <f t="shared" si="144"/>
        <v>43045</v>
      </c>
      <c r="BG79" s="58">
        <f t="shared" si="139"/>
        <v>83.546730581290362</v>
      </c>
      <c r="BH79" s="1133"/>
      <c r="BI79" s="63">
        <f t="shared" si="155"/>
        <v>960</v>
      </c>
      <c r="BJ79" s="64"/>
      <c r="BK79" s="64">
        <v>840</v>
      </c>
      <c r="BL79" s="64">
        <f t="shared" si="156"/>
        <v>120</v>
      </c>
      <c r="BM79" s="65">
        <f t="shared" si="109"/>
        <v>0.1992895328155127</v>
      </c>
      <c r="BN79" s="64">
        <f t="shared" si="157"/>
        <v>6012</v>
      </c>
      <c r="BO79" s="65">
        <f t="shared" si="110"/>
        <v>0.15532699510316922</v>
      </c>
      <c r="BP79" s="1071"/>
      <c r="BQ79" s="77">
        <f t="shared" ref="BQ79:BQ86" si="166">BS78</f>
        <v>93847</v>
      </c>
      <c r="BR79" s="35"/>
      <c r="BS79" s="35">
        <f>19420+3020+32000+38860</f>
        <v>93300</v>
      </c>
      <c r="BT79" s="35">
        <f t="shared" ref="BT79:BT86" si="167">BQ79-BS79+BR79</f>
        <v>547</v>
      </c>
      <c r="BU79" s="74">
        <f t="shared" si="116"/>
        <v>105.8092570526609</v>
      </c>
      <c r="BV79" s="74">
        <f t="shared" ref="BV79:BV86" si="168">BV78+BT79</f>
        <v>291104</v>
      </c>
      <c r="BW79" s="74">
        <f t="shared" si="101"/>
        <v>565.00842047011156</v>
      </c>
      <c r="BX79" s="1098"/>
    </row>
    <row r="80" spans="1:76">
      <c r="A80" s="107">
        <v>43297</v>
      </c>
      <c r="B80" s="114">
        <v>474503</v>
      </c>
      <c r="C80" s="1">
        <f t="shared" si="141"/>
        <v>39179945</v>
      </c>
      <c r="D80" s="115">
        <v>5099.08</v>
      </c>
      <c r="E80" s="91">
        <f t="shared" si="145"/>
        <v>520319.72000000009</v>
      </c>
      <c r="F80" s="244"/>
      <c r="G80" s="227"/>
      <c r="H80" s="227"/>
      <c r="I80" s="227"/>
      <c r="J80" s="227"/>
      <c r="K80" s="227"/>
      <c r="L80" s="227"/>
      <c r="M80" s="227"/>
      <c r="N80" s="227"/>
      <c r="O80" s="227"/>
      <c r="P80" s="77">
        <f t="shared" si="146"/>
        <v>37746</v>
      </c>
      <c r="Q80" s="35"/>
      <c r="R80" s="35">
        <v>36147</v>
      </c>
      <c r="S80" s="35">
        <f t="shared" si="147"/>
        <v>1599</v>
      </c>
      <c r="T80" s="36">
        <f t="shared" si="142"/>
        <v>3.3698417080608554</v>
      </c>
      <c r="U80" s="74">
        <f t="shared" si="148"/>
        <v>140562</v>
      </c>
      <c r="V80" s="36">
        <f t="shared" si="103"/>
        <v>3.5876007482909942</v>
      </c>
      <c r="W80" s="1136"/>
      <c r="X80" s="49">
        <f t="shared" si="149"/>
        <v>743</v>
      </c>
      <c r="Y80" s="50"/>
      <c r="Z80" s="50">
        <f>563+155</f>
        <v>718</v>
      </c>
      <c r="AA80" s="50">
        <f t="shared" si="161"/>
        <v>25</v>
      </c>
      <c r="AB80" s="51">
        <f t="shared" si="162"/>
        <v>5.268670587962563E-2</v>
      </c>
      <c r="AC80" s="50">
        <f t="shared" si="150"/>
        <v>5828</v>
      </c>
      <c r="AD80" s="51">
        <f t="shared" si="104"/>
        <v>0.14874957073063783</v>
      </c>
      <c r="AE80" s="1047"/>
      <c r="AF80" s="40">
        <f t="shared" si="151"/>
        <v>1246</v>
      </c>
      <c r="AG80" s="41"/>
      <c r="AH80" s="41">
        <v>1211</v>
      </c>
      <c r="AI80" s="41">
        <f t="shared" si="152"/>
        <v>35</v>
      </c>
      <c r="AJ80" s="42">
        <f t="shared" si="140"/>
        <v>7.3761388231475877E-2</v>
      </c>
      <c r="AK80" s="41">
        <f t="shared" si="153"/>
        <v>4349</v>
      </c>
      <c r="AL80" s="42">
        <f t="shared" si="107"/>
        <v>0.11100066628475359</v>
      </c>
      <c r="AM80" s="1058"/>
      <c r="AN80" s="67">
        <v>3.3</v>
      </c>
      <c r="AO80" s="67">
        <v>24</v>
      </c>
      <c r="AP80" s="68">
        <f t="shared" si="143"/>
        <v>41.975999999999999</v>
      </c>
      <c r="AQ80" s="68">
        <f t="shared" ref="AQ80:AQ97" si="169">AP80*1000/D80</f>
        <v>8.2320732367407459</v>
      </c>
      <c r="AR80" s="69">
        <f t="shared" si="163"/>
        <v>4285.4135999999999</v>
      </c>
      <c r="AS80" s="140">
        <f t="shared" si="136"/>
        <v>8.2361160557205082</v>
      </c>
      <c r="AT80" s="1073"/>
      <c r="AU80" s="71">
        <v>2.9</v>
      </c>
      <c r="AV80" s="71">
        <v>10</v>
      </c>
      <c r="AW80" s="72">
        <f t="shared" si="164"/>
        <v>13.543000000000001</v>
      </c>
      <c r="AX80" s="72">
        <f t="shared" ref="AX80:AX97" si="170">AW80*1000/D80</f>
        <v>2.6559693121112047</v>
      </c>
      <c r="AY80" s="73">
        <f t="shared" si="165"/>
        <v>1492.8120000000004</v>
      </c>
      <c r="AZ80" s="192">
        <f t="shared" si="137"/>
        <v>2.8690282966788194</v>
      </c>
      <c r="BA80" s="1075"/>
      <c r="BB80" s="90">
        <f t="shared" si="154"/>
        <v>18690</v>
      </c>
      <c r="BC80" s="59"/>
      <c r="BD80" s="56">
        <v>18690</v>
      </c>
      <c r="BE80" s="56"/>
      <c r="BF80" s="58">
        <f t="shared" si="144"/>
        <v>43045</v>
      </c>
      <c r="BG80" s="58">
        <f t="shared" si="139"/>
        <v>82.727981172806579</v>
      </c>
      <c r="BH80" s="1133"/>
      <c r="BI80" s="63">
        <f t="shared" si="155"/>
        <v>840</v>
      </c>
      <c r="BJ80" s="64"/>
      <c r="BK80" s="64">
        <v>720</v>
      </c>
      <c r="BL80" s="64">
        <f t="shared" si="156"/>
        <v>120</v>
      </c>
      <c r="BM80" s="65">
        <f t="shared" si="109"/>
        <v>0.252896188222203</v>
      </c>
      <c r="BN80" s="64">
        <f t="shared" si="157"/>
        <v>6132</v>
      </c>
      <c r="BO80" s="65">
        <f t="shared" si="110"/>
        <v>0.15650864236792572</v>
      </c>
      <c r="BP80" s="1071"/>
      <c r="BQ80" s="77">
        <f t="shared" si="166"/>
        <v>93300</v>
      </c>
      <c r="BR80" s="35"/>
      <c r="BS80" s="35">
        <f>19420+30000+38860</f>
        <v>88280</v>
      </c>
      <c r="BT80" s="35">
        <f t="shared" si="167"/>
        <v>5020</v>
      </c>
      <c r="BU80" s="74">
        <f t="shared" si="116"/>
        <v>984.49132000282407</v>
      </c>
      <c r="BV80" s="74">
        <f t="shared" si="168"/>
        <v>296124</v>
      </c>
      <c r="BW80" s="74">
        <f t="shared" si="101"/>
        <v>569.11930995042803</v>
      </c>
      <c r="BX80" s="1098"/>
    </row>
    <row r="81" spans="1:76">
      <c r="A81" s="107">
        <v>43298</v>
      </c>
      <c r="B81" s="114">
        <v>502623</v>
      </c>
      <c r="C81" s="1">
        <f t="shared" si="141"/>
        <v>39682568</v>
      </c>
      <c r="D81" s="115">
        <v>6719.96</v>
      </c>
      <c r="E81" s="91">
        <f t="shared" si="145"/>
        <v>527039.68000000005</v>
      </c>
      <c r="F81" s="244"/>
      <c r="G81" s="227"/>
      <c r="H81" s="227"/>
      <c r="I81" s="227"/>
      <c r="J81" s="227"/>
      <c r="K81" s="227"/>
      <c r="L81" s="227"/>
      <c r="M81" s="227"/>
      <c r="N81" s="227"/>
      <c r="O81" s="227"/>
      <c r="P81" s="77">
        <f t="shared" si="146"/>
        <v>36147</v>
      </c>
      <c r="Q81" s="35"/>
      <c r="R81" s="35">
        <v>34539</v>
      </c>
      <c r="S81" s="35">
        <f t="shared" si="147"/>
        <v>1608</v>
      </c>
      <c r="T81" s="36">
        <f t="shared" si="142"/>
        <v>3.1992169081001069</v>
      </c>
      <c r="U81" s="74">
        <f t="shared" si="148"/>
        <v>142170</v>
      </c>
      <c r="V81" s="36">
        <f t="shared" si="103"/>
        <v>3.5826814433985219</v>
      </c>
      <c r="W81" s="1136"/>
      <c r="X81" s="49">
        <f t="shared" si="149"/>
        <v>718</v>
      </c>
      <c r="Y81" s="50"/>
      <c r="Z81" s="50">
        <f>563+135</f>
        <v>698</v>
      </c>
      <c r="AA81" s="50">
        <f t="shared" si="161"/>
        <v>20</v>
      </c>
      <c r="AB81" s="51">
        <f t="shared" si="162"/>
        <v>3.9791255075871973E-2</v>
      </c>
      <c r="AC81" s="50">
        <f t="shared" si="150"/>
        <v>5848</v>
      </c>
      <c r="AD81" s="51">
        <f t="shared" si="104"/>
        <v>0.1473694948371285</v>
      </c>
      <c r="AE81" s="1047"/>
      <c r="AF81" s="40">
        <f t="shared" si="151"/>
        <v>1211</v>
      </c>
      <c r="AG81" s="41"/>
      <c r="AH81" s="41">
        <v>1211</v>
      </c>
      <c r="AI81" s="41"/>
      <c r="AJ81" s="42"/>
      <c r="AK81" s="41">
        <f t="shared" si="153"/>
        <v>4349</v>
      </c>
      <c r="AL81" s="42">
        <f t="shared" si="107"/>
        <v>0.10959472179320653</v>
      </c>
      <c r="AM81" s="1058"/>
      <c r="AN81" s="67">
        <v>4.7</v>
      </c>
      <c r="AO81" s="67">
        <v>24</v>
      </c>
      <c r="AP81" s="68">
        <f t="shared" si="143"/>
        <v>59.784000000000006</v>
      </c>
      <c r="AQ81" s="68">
        <f t="shared" si="169"/>
        <v>8.8964815266757551</v>
      </c>
      <c r="AR81" s="69">
        <f t="shared" si="163"/>
        <v>4345.1975999999995</v>
      </c>
      <c r="AS81" s="140">
        <f t="shared" si="136"/>
        <v>8.2445359711815236</v>
      </c>
      <c r="AT81" s="1073"/>
      <c r="AU81" s="71">
        <v>5</v>
      </c>
      <c r="AV81" s="71">
        <v>10</v>
      </c>
      <c r="AW81" s="72">
        <f t="shared" si="164"/>
        <v>23.35</v>
      </c>
      <c r="AX81" s="72">
        <f t="shared" si="170"/>
        <v>3.4747230638277609</v>
      </c>
      <c r="AY81" s="73">
        <f t="shared" si="165"/>
        <v>1516.1620000000003</v>
      </c>
      <c r="AZ81" s="192">
        <f t="shared" si="137"/>
        <v>2.8767511394967453</v>
      </c>
      <c r="BA81" s="1075"/>
      <c r="BB81" s="90">
        <f t="shared" si="154"/>
        <v>18690</v>
      </c>
      <c r="BC81" s="59"/>
      <c r="BD81" s="56">
        <v>18690</v>
      </c>
      <c r="BE81" s="56"/>
      <c r="BF81" s="58">
        <f t="shared" si="144"/>
        <v>43045</v>
      </c>
      <c r="BG81" s="58">
        <f t="shared" si="139"/>
        <v>81.673167378972295</v>
      </c>
      <c r="BH81" s="1133"/>
      <c r="BI81" s="63">
        <f t="shared" si="155"/>
        <v>720</v>
      </c>
      <c r="BJ81" s="64"/>
      <c r="BK81" s="64">
        <v>660</v>
      </c>
      <c r="BL81" s="64">
        <f t="shared" si="156"/>
        <v>60</v>
      </c>
      <c r="BM81" s="65">
        <f t="shared" si="109"/>
        <v>0.11937376522761593</v>
      </c>
      <c r="BN81" s="64">
        <f t="shared" si="157"/>
        <v>6192</v>
      </c>
      <c r="BO81" s="65">
        <f t="shared" si="110"/>
        <v>0.15603828865107722</v>
      </c>
      <c r="BP81" s="1071"/>
      <c r="BQ81" s="77">
        <f t="shared" si="166"/>
        <v>88280</v>
      </c>
      <c r="BR81" s="35"/>
      <c r="BS81" s="35">
        <f>19420+26000+38860</f>
        <v>84280</v>
      </c>
      <c r="BT81" s="35">
        <f t="shared" si="167"/>
        <v>4000</v>
      </c>
      <c r="BU81" s="74">
        <f t="shared" si="116"/>
        <v>595.24163834308536</v>
      </c>
      <c r="BV81" s="74">
        <f t="shared" si="168"/>
        <v>300124</v>
      </c>
      <c r="BW81" s="74">
        <f t="shared" ref="BW81:BW112" si="171">BV81*1000/E81</f>
        <v>569.45237975250734</v>
      </c>
      <c r="BX81" s="1098"/>
    </row>
    <row r="82" spans="1:76">
      <c r="A82" s="107">
        <v>43299</v>
      </c>
      <c r="B82" s="114">
        <v>548494</v>
      </c>
      <c r="C82" s="1">
        <f t="shared" si="141"/>
        <v>40231062</v>
      </c>
      <c r="D82" s="115">
        <v>6205.52</v>
      </c>
      <c r="E82" s="91">
        <f t="shared" si="145"/>
        <v>533245.20000000007</v>
      </c>
      <c r="F82" s="244"/>
      <c r="G82" s="227"/>
      <c r="H82" s="227"/>
      <c r="I82" s="227"/>
      <c r="J82" s="227"/>
      <c r="K82" s="227"/>
      <c r="L82" s="227"/>
      <c r="M82" s="227"/>
      <c r="N82" s="227"/>
      <c r="O82" s="227"/>
      <c r="P82" s="77">
        <f t="shared" si="146"/>
        <v>34539</v>
      </c>
      <c r="Q82" s="35"/>
      <c r="R82" s="35">
        <v>34539</v>
      </c>
      <c r="S82" s="35">
        <f t="shared" si="147"/>
        <v>0</v>
      </c>
      <c r="T82" s="36">
        <f t="shared" si="142"/>
        <v>0</v>
      </c>
      <c r="U82" s="74">
        <f t="shared" si="148"/>
        <v>142170</v>
      </c>
      <c r="V82" s="36">
        <f t="shared" si="103"/>
        <v>3.5338366160952948</v>
      </c>
      <c r="W82" s="1136"/>
      <c r="X82" s="49">
        <f t="shared" si="149"/>
        <v>698</v>
      </c>
      <c r="Y82" s="50"/>
      <c r="Z82" s="50">
        <f>563+93</f>
        <v>656</v>
      </c>
      <c r="AA82" s="50">
        <f t="shared" si="161"/>
        <v>42</v>
      </c>
      <c r="AB82" s="51"/>
      <c r="AC82" s="50">
        <f t="shared" si="150"/>
        <v>5890</v>
      </c>
      <c r="AD82" s="51">
        <f t="shared" si="104"/>
        <v>0.14640428830837227</v>
      </c>
      <c r="AE82" s="1047"/>
      <c r="AF82" s="40">
        <f t="shared" si="151"/>
        <v>1211</v>
      </c>
      <c r="AG82" s="41"/>
      <c r="AH82" s="41">
        <v>1211</v>
      </c>
      <c r="AI82" s="41"/>
      <c r="AJ82" s="42"/>
      <c r="AK82" s="41">
        <f t="shared" si="153"/>
        <v>4349</v>
      </c>
      <c r="AL82" s="42">
        <f t="shared" si="107"/>
        <v>0.1081005517577438</v>
      </c>
      <c r="AM82" s="1058"/>
      <c r="AN82" s="67">
        <v>4.7</v>
      </c>
      <c r="AO82" s="67">
        <v>24</v>
      </c>
      <c r="AP82" s="68">
        <f t="shared" si="143"/>
        <v>59.784000000000006</v>
      </c>
      <c r="AQ82" s="68">
        <f t="shared" si="169"/>
        <v>9.634003274503991</v>
      </c>
      <c r="AR82" s="69">
        <f t="shared" si="163"/>
        <v>4404.9815999999992</v>
      </c>
      <c r="AS82" s="140">
        <f t="shared" si="136"/>
        <v>8.2607055815973567</v>
      </c>
      <c r="AT82" s="1073"/>
      <c r="AU82" s="71">
        <v>3.9</v>
      </c>
      <c r="AV82" s="71">
        <v>10</v>
      </c>
      <c r="AW82" s="72">
        <f t="shared" si="164"/>
        <v>18.213000000000001</v>
      </c>
      <c r="AX82" s="72">
        <f t="shared" si="170"/>
        <v>2.9349675772537998</v>
      </c>
      <c r="AY82" s="73">
        <f t="shared" si="165"/>
        <v>1534.3750000000002</v>
      </c>
      <c r="AZ82" s="192">
        <f t="shared" si="137"/>
        <v>2.8774286200794683</v>
      </c>
      <c r="BA82" s="1075"/>
      <c r="BB82" s="90">
        <f t="shared" si="154"/>
        <v>18690</v>
      </c>
      <c r="BC82" s="59"/>
      <c r="BD82" s="56">
        <v>18690</v>
      </c>
      <c r="BE82" s="56"/>
      <c r="BF82" s="58">
        <f t="shared" si="144"/>
        <v>43045</v>
      </c>
      <c r="BG82" s="58">
        <f t="shared" si="139"/>
        <v>80.722714428559314</v>
      </c>
      <c r="BH82" s="1133"/>
      <c r="BI82" s="63">
        <f t="shared" si="155"/>
        <v>660</v>
      </c>
      <c r="BJ82" s="64"/>
      <c r="BK82" s="64">
        <v>660</v>
      </c>
      <c r="BL82" s="64">
        <f t="shared" si="156"/>
        <v>0</v>
      </c>
      <c r="BM82" s="65">
        <f t="shared" si="109"/>
        <v>0</v>
      </c>
      <c r="BN82" s="64">
        <f t="shared" si="157"/>
        <v>6192</v>
      </c>
      <c r="BO82" s="65">
        <f t="shared" si="110"/>
        <v>0.15391092584133126</v>
      </c>
      <c r="BP82" s="1071"/>
      <c r="BQ82" s="77">
        <f t="shared" si="166"/>
        <v>84280</v>
      </c>
      <c r="BR82" s="35"/>
      <c r="BS82" s="35">
        <f>19420+22000+38860</f>
        <v>80280</v>
      </c>
      <c r="BT82" s="35">
        <f t="shared" si="167"/>
        <v>4000</v>
      </c>
      <c r="BU82" s="74">
        <f t="shared" si="116"/>
        <v>644.58739960551247</v>
      </c>
      <c r="BV82" s="74">
        <f t="shared" si="168"/>
        <v>304124</v>
      </c>
      <c r="BW82" s="74">
        <f t="shared" si="171"/>
        <v>570.32674649485818</v>
      </c>
      <c r="BX82" s="1098"/>
    </row>
    <row r="83" spans="1:76">
      <c r="A83" s="107">
        <v>43300</v>
      </c>
      <c r="B83" s="114">
        <v>616937</v>
      </c>
      <c r="C83" s="1">
        <f t="shared" si="141"/>
        <v>40847999</v>
      </c>
      <c r="D83" s="115">
        <v>7542.4000000000005</v>
      </c>
      <c r="E83" s="91">
        <f t="shared" si="145"/>
        <v>540787.60000000009</v>
      </c>
      <c r="F83" s="244"/>
      <c r="G83" s="227"/>
      <c r="H83" s="227"/>
      <c r="I83" s="227"/>
      <c r="J83" s="227"/>
      <c r="K83" s="227"/>
      <c r="L83" s="227"/>
      <c r="M83" s="227"/>
      <c r="N83" s="227"/>
      <c r="O83" s="227"/>
      <c r="P83" s="77">
        <f t="shared" si="146"/>
        <v>34539</v>
      </c>
      <c r="Q83" s="35"/>
      <c r="R83" s="35">
        <v>29425</v>
      </c>
      <c r="S83" s="35">
        <f t="shared" si="147"/>
        <v>5114</v>
      </c>
      <c r="T83" s="36">
        <f t="shared" si="142"/>
        <v>8.2893391059378843</v>
      </c>
      <c r="U83" s="74">
        <f t="shared" si="148"/>
        <v>147284</v>
      </c>
      <c r="V83" s="36">
        <f t="shared" ref="V83:V114" si="172">U83*1000/C83</f>
        <v>3.6056600961040957</v>
      </c>
      <c r="W83" s="1136"/>
      <c r="X83" s="49">
        <f t="shared" si="149"/>
        <v>656</v>
      </c>
      <c r="Y83" s="50"/>
      <c r="Z83" s="50">
        <f>528+100</f>
        <v>628</v>
      </c>
      <c r="AA83" s="50">
        <f t="shared" si="161"/>
        <v>28</v>
      </c>
      <c r="AB83" s="51">
        <f t="shared" ref="AB83:AB91" si="173">AA83*1000/B83</f>
        <v>4.5385509379401785E-2</v>
      </c>
      <c r="AC83" s="50">
        <f t="shared" si="150"/>
        <v>5918</v>
      </c>
      <c r="AD83" s="51">
        <f t="shared" ref="AD83:AD114" si="174">AC83*1000/C83</f>
        <v>0.14487857777317317</v>
      </c>
      <c r="AE83" s="1047"/>
      <c r="AF83" s="40">
        <f t="shared" si="151"/>
        <v>1211</v>
      </c>
      <c r="AG83" s="41"/>
      <c r="AH83" s="41">
        <v>1193</v>
      </c>
      <c r="AI83" s="41">
        <f>AF83+AG83-AH83</f>
        <v>18</v>
      </c>
      <c r="AJ83" s="42">
        <f>AI83*1000/B83</f>
        <v>2.9176398886758291E-2</v>
      </c>
      <c r="AK83" s="41">
        <f t="shared" si="153"/>
        <v>4367</v>
      </c>
      <c r="AL83" s="42">
        <f t="shared" ref="AL83:AL114" si="175">AK83*1000/C83</f>
        <v>0.10690854159098466</v>
      </c>
      <c r="AM83" s="1058"/>
      <c r="AN83" s="67">
        <v>5.4</v>
      </c>
      <c r="AO83" s="67">
        <v>24</v>
      </c>
      <c r="AP83" s="68">
        <f t="shared" si="143"/>
        <v>68.688000000000017</v>
      </c>
      <c r="AQ83" s="68">
        <f t="shared" si="169"/>
        <v>9.1069155706406466</v>
      </c>
      <c r="AR83" s="69">
        <f t="shared" si="163"/>
        <v>4473.6695999999993</v>
      </c>
      <c r="AS83" s="140">
        <f t="shared" si="136"/>
        <v>8.272507727618013</v>
      </c>
      <c r="AT83" s="1073"/>
      <c r="AU83" s="71">
        <v>4.9000000000000004</v>
      </c>
      <c r="AV83" s="71">
        <v>10</v>
      </c>
      <c r="AW83" s="72">
        <f t="shared" si="164"/>
        <v>22.883000000000003</v>
      </c>
      <c r="AX83" s="72">
        <f t="shared" si="170"/>
        <v>3.0339149342384388</v>
      </c>
      <c r="AY83" s="73">
        <f t="shared" si="165"/>
        <v>1557.2580000000003</v>
      </c>
      <c r="AZ83" s="192">
        <f t="shared" si="137"/>
        <v>2.8796111449300983</v>
      </c>
      <c r="BA83" s="1075"/>
      <c r="BB83" s="90">
        <f t="shared" si="154"/>
        <v>18690</v>
      </c>
      <c r="BC83" s="59"/>
      <c r="BD83" s="56">
        <v>18031</v>
      </c>
      <c r="BE83" s="56">
        <f t="shared" si="138"/>
        <v>659</v>
      </c>
      <c r="BF83" s="58">
        <f t="shared" si="144"/>
        <v>43704</v>
      </c>
      <c r="BG83" s="58">
        <f t="shared" si="139"/>
        <v>80.815462484716718</v>
      </c>
      <c r="BH83" s="1133"/>
      <c r="BI83" s="63">
        <f t="shared" si="155"/>
        <v>660</v>
      </c>
      <c r="BJ83" s="64"/>
      <c r="BK83" s="64">
        <v>462</v>
      </c>
      <c r="BL83" s="64">
        <f t="shared" si="156"/>
        <v>198</v>
      </c>
      <c r="BM83" s="65">
        <f t="shared" si="109"/>
        <v>0.32094038775434119</v>
      </c>
      <c r="BN83" s="64">
        <f t="shared" si="157"/>
        <v>6390</v>
      </c>
      <c r="BO83" s="65">
        <f t="shared" ref="BO83:BO114" si="176">BN83*1000/C83</f>
        <v>0.15643361135021572</v>
      </c>
      <c r="BP83" s="1071"/>
      <c r="BQ83" s="77">
        <f t="shared" si="166"/>
        <v>80280</v>
      </c>
      <c r="BR83" s="35"/>
      <c r="BS83" s="35">
        <f>19420+17000+38860</f>
        <v>75280</v>
      </c>
      <c r="BT83" s="35">
        <f t="shared" si="167"/>
        <v>5000</v>
      </c>
      <c r="BU83" s="74">
        <f t="shared" si="116"/>
        <v>662.91896478574449</v>
      </c>
      <c r="BV83" s="74">
        <f t="shared" si="168"/>
        <v>309124</v>
      </c>
      <c r="BW83" s="74">
        <f t="shared" si="171"/>
        <v>571.6181362146616</v>
      </c>
      <c r="BX83" s="1098"/>
    </row>
    <row r="84" spans="1:76">
      <c r="A84" s="107">
        <v>43301</v>
      </c>
      <c r="B84" s="114">
        <v>590324</v>
      </c>
      <c r="C84" s="1">
        <f t="shared" si="141"/>
        <v>41438323</v>
      </c>
      <c r="D84" s="115">
        <v>6914.92</v>
      </c>
      <c r="E84" s="91">
        <f t="shared" si="145"/>
        <v>547702.52000000014</v>
      </c>
      <c r="F84" s="244"/>
      <c r="G84" s="227"/>
      <c r="H84" s="227"/>
      <c r="I84" s="227"/>
      <c r="J84" s="227"/>
      <c r="K84" s="227"/>
      <c r="L84" s="227"/>
      <c r="M84" s="227"/>
      <c r="N84" s="227"/>
      <c r="O84" s="227"/>
      <c r="P84" s="77">
        <f t="shared" ref="P84:P89" si="177">R83</f>
        <v>29425</v>
      </c>
      <c r="Q84" s="35"/>
      <c r="R84" s="35">
        <v>26206</v>
      </c>
      <c r="S84" s="35">
        <f t="shared" ref="S84:S89" si="178">P84-R84+Q84</f>
        <v>3219</v>
      </c>
      <c r="T84" s="36">
        <f t="shared" si="142"/>
        <v>5.4529377087836508</v>
      </c>
      <c r="U84" s="74">
        <f t="shared" ref="U84:U89" si="179">U83+S84</f>
        <v>150503</v>
      </c>
      <c r="V84" s="36">
        <f t="shared" si="172"/>
        <v>3.631976129922053</v>
      </c>
      <c r="W84" s="1136"/>
      <c r="X84" s="49">
        <f t="shared" ref="X84:X89" si="180">Z83</f>
        <v>628</v>
      </c>
      <c r="Y84" s="50"/>
      <c r="Z84" s="50">
        <f>458+110</f>
        <v>568</v>
      </c>
      <c r="AA84" s="50">
        <f t="shared" ref="AA84:AA89" si="181">X84+Y84-Z84</f>
        <v>60</v>
      </c>
      <c r="AB84" s="51">
        <f t="shared" si="173"/>
        <v>0.10163909988413143</v>
      </c>
      <c r="AC84" s="50">
        <f t="shared" ref="AC84:AC89" si="182">AC83+AA84</f>
        <v>5978</v>
      </c>
      <c r="AD84" s="51">
        <f t="shared" si="174"/>
        <v>0.14426259479660894</v>
      </c>
      <c r="AE84" s="1047"/>
      <c r="AF84" s="40">
        <f t="shared" ref="AF84:AF89" si="183">AH83</f>
        <v>1193</v>
      </c>
      <c r="AG84" s="41"/>
      <c r="AH84" s="41">
        <v>1174</v>
      </c>
      <c r="AI84" s="41">
        <f t="shared" ref="AI84:AI89" si="184">AF84+AG84-AH84</f>
        <v>19</v>
      </c>
      <c r="AJ84" s="42">
        <f>AI84*1000/B84</f>
        <v>3.2185714963308285E-2</v>
      </c>
      <c r="AK84" s="41">
        <f t="shared" ref="AK84:AK89" si="185">AK83+AI84</f>
        <v>4386</v>
      </c>
      <c r="AL84" s="42">
        <f t="shared" si="175"/>
        <v>0.10584405165237985</v>
      </c>
      <c r="AM84" s="1058"/>
      <c r="AN84" s="67">
        <v>4.8</v>
      </c>
      <c r="AO84" s="67">
        <v>24</v>
      </c>
      <c r="AP84" s="68">
        <f t="shared" si="143"/>
        <v>61.055999999999997</v>
      </c>
      <c r="AQ84" s="68">
        <f t="shared" si="169"/>
        <v>8.8296032347445816</v>
      </c>
      <c r="AR84" s="69">
        <f t="shared" si="163"/>
        <v>4534.7255999999988</v>
      </c>
      <c r="AS84" s="140">
        <f t="shared" si="136"/>
        <v>8.2795412370934454</v>
      </c>
      <c r="AT84" s="1073"/>
      <c r="AU84" s="71">
        <v>4.0999999999999996</v>
      </c>
      <c r="AV84" s="71">
        <v>10</v>
      </c>
      <c r="AW84" s="72">
        <f t="shared" si="164"/>
        <v>19.147000000000002</v>
      </c>
      <c r="AX84" s="72">
        <f t="shared" si="170"/>
        <v>2.7689402046589118</v>
      </c>
      <c r="AY84" s="73">
        <f t="shared" si="165"/>
        <v>1576.4050000000002</v>
      </c>
      <c r="AZ84" s="192">
        <f t="shared" si="137"/>
        <v>2.8782138888095674</v>
      </c>
      <c r="BA84" s="1075"/>
      <c r="BB84" s="90">
        <f t="shared" ref="BB84:BB89" si="186">BD83</f>
        <v>18031</v>
      </c>
      <c r="BC84" s="59"/>
      <c r="BD84" s="56">
        <v>18031</v>
      </c>
      <c r="BE84" s="56"/>
      <c r="BF84" s="58">
        <f t="shared" si="144"/>
        <v>43704</v>
      </c>
      <c r="BG84" s="58">
        <f t="shared" si="139"/>
        <v>79.79514134789811</v>
      </c>
      <c r="BH84" s="1133"/>
      <c r="BI84" s="63">
        <f t="shared" ref="BI84:BI89" si="187">BK83</f>
        <v>462</v>
      </c>
      <c r="BJ84" s="64"/>
      <c r="BK84" s="64">
        <v>336</v>
      </c>
      <c r="BL84" s="64">
        <f t="shared" ref="BL84:BL89" si="188">BI84+BJ84-BK84</f>
        <v>126</v>
      </c>
      <c r="BM84" s="65">
        <f t="shared" si="109"/>
        <v>0.21344210975667599</v>
      </c>
      <c r="BN84" s="64">
        <f t="shared" ref="BN84:BN89" si="189">BN83+BL84</f>
        <v>6516</v>
      </c>
      <c r="BO84" s="65">
        <f t="shared" si="176"/>
        <v>0.15724574568328936</v>
      </c>
      <c r="BP84" s="1071"/>
      <c r="BQ84" s="77">
        <f t="shared" si="166"/>
        <v>75280</v>
      </c>
      <c r="BR84" s="35"/>
      <c r="BS84" s="35">
        <f>8540+17000+38860</f>
        <v>64400</v>
      </c>
      <c r="BT84" s="35">
        <f t="shared" si="167"/>
        <v>10880</v>
      </c>
      <c r="BU84" s="74">
        <f t="shared" si="116"/>
        <v>1573.4093814534369</v>
      </c>
      <c r="BV84" s="74">
        <f t="shared" si="168"/>
        <v>320004</v>
      </c>
      <c r="BW84" s="74">
        <f t="shared" si="171"/>
        <v>584.26607202756691</v>
      </c>
      <c r="BX84" s="1098"/>
    </row>
    <row r="85" spans="1:76">
      <c r="A85" s="107">
        <v>43302</v>
      </c>
      <c r="B85" s="114">
        <v>611057</v>
      </c>
      <c r="C85" s="1">
        <f t="shared" si="141"/>
        <v>42049380</v>
      </c>
      <c r="D85" s="115">
        <v>7312.34</v>
      </c>
      <c r="E85" s="91">
        <f t="shared" si="145"/>
        <v>555014.8600000001</v>
      </c>
      <c r="F85" s="244"/>
      <c r="G85" s="227"/>
      <c r="H85" s="227"/>
      <c r="I85" s="227"/>
      <c r="J85" s="227"/>
      <c r="K85" s="227"/>
      <c r="L85" s="227"/>
      <c r="M85" s="227"/>
      <c r="N85" s="227"/>
      <c r="O85" s="227"/>
      <c r="P85" s="77">
        <f t="shared" si="177"/>
        <v>26206</v>
      </c>
      <c r="Q85" s="35"/>
      <c r="R85" s="35">
        <v>23021</v>
      </c>
      <c r="S85" s="35">
        <f t="shared" si="178"/>
        <v>3185</v>
      </c>
      <c r="T85" s="36">
        <f t="shared" si="142"/>
        <v>5.2122797054939225</v>
      </c>
      <c r="U85" s="74">
        <f t="shared" si="179"/>
        <v>153688</v>
      </c>
      <c r="V85" s="36">
        <f t="shared" si="172"/>
        <v>3.6549409289744581</v>
      </c>
      <c r="W85" s="1136"/>
      <c r="X85" s="49">
        <f t="shared" si="180"/>
        <v>568</v>
      </c>
      <c r="Y85" s="50"/>
      <c r="Z85" s="50">
        <f>390+155</f>
        <v>545</v>
      </c>
      <c r="AA85" s="50">
        <f t="shared" si="181"/>
        <v>23</v>
      </c>
      <c r="AB85" s="51">
        <f t="shared" si="173"/>
        <v>3.7639696460395673E-2</v>
      </c>
      <c r="AC85" s="50">
        <f t="shared" si="182"/>
        <v>6001</v>
      </c>
      <c r="AD85" s="51">
        <f t="shared" si="174"/>
        <v>0.14271316247706864</v>
      </c>
      <c r="AE85" s="1047"/>
      <c r="AF85" s="40">
        <f t="shared" si="183"/>
        <v>1174</v>
      </c>
      <c r="AG85" s="41"/>
      <c r="AH85" s="41">
        <v>1156</v>
      </c>
      <c r="AI85" s="41">
        <f t="shared" si="184"/>
        <v>18</v>
      </c>
      <c r="AJ85" s="42">
        <f>AI85*1000/B85</f>
        <v>2.9457153751614007E-2</v>
      </c>
      <c r="AK85" s="41">
        <f t="shared" si="185"/>
        <v>4404</v>
      </c>
      <c r="AL85" s="42">
        <f t="shared" si="175"/>
        <v>0.10473400559056995</v>
      </c>
      <c r="AM85" s="1058"/>
      <c r="AN85" s="67">
        <v>4.8</v>
      </c>
      <c r="AO85" s="67">
        <v>24</v>
      </c>
      <c r="AP85" s="68">
        <f t="shared" si="143"/>
        <v>61.055999999999997</v>
      </c>
      <c r="AQ85" s="68">
        <f t="shared" si="169"/>
        <v>8.3497211562919667</v>
      </c>
      <c r="AR85" s="69">
        <f t="shared" si="163"/>
        <v>4595.7815999999984</v>
      </c>
      <c r="AS85" s="140">
        <f t="shared" si="136"/>
        <v>8.2804658599591328</v>
      </c>
      <c r="AT85" s="1073"/>
      <c r="AU85" s="71">
        <v>4.3</v>
      </c>
      <c r="AV85" s="71">
        <v>10</v>
      </c>
      <c r="AW85" s="72">
        <f t="shared" si="164"/>
        <v>20.081</v>
      </c>
      <c r="AX85" s="72">
        <f t="shared" si="170"/>
        <v>2.7461797454713537</v>
      </c>
      <c r="AY85" s="73">
        <f t="shared" si="165"/>
        <v>1596.4860000000001</v>
      </c>
      <c r="AZ85" s="192">
        <f t="shared" si="137"/>
        <v>2.8764743343989019</v>
      </c>
      <c r="BA85" s="1075"/>
      <c r="BB85" s="90">
        <f t="shared" si="186"/>
        <v>18031</v>
      </c>
      <c r="BC85" s="59"/>
      <c r="BD85" s="56">
        <v>18031</v>
      </c>
      <c r="BE85" s="56"/>
      <c r="BF85" s="58">
        <f t="shared" si="144"/>
        <v>43704</v>
      </c>
      <c r="BG85" s="58">
        <f t="shared" si="139"/>
        <v>78.743837597429362</v>
      </c>
      <c r="BH85" s="1133"/>
      <c r="BI85" s="63">
        <f t="shared" si="187"/>
        <v>336</v>
      </c>
      <c r="BJ85" s="64"/>
      <c r="BK85" s="64">
        <v>240</v>
      </c>
      <c r="BL85" s="64">
        <f t="shared" si="188"/>
        <v>96</v>
      </c>
      <c r="BM85" s="65">
        <f t="shared" si="109"/>
        <v>0.15710482000860804</v>
      </c>
      <c r="BN85" s="64">
        <f t="shared" si="189"/>
        <v>6612</v>
      </c>
      <c r="BO85" s="65">
        <f t="shared" si="176"/>
        <v>0.1572436977667685</v>
      </c>
      <c r="BP85" s="1071"/>
      <c r="BQ85" s="77">
        <f t="shared" si="166"/>
        <v>64400</v>
      </c>
      <c r="BR85" s="35">
        <v>36600</v>
      </c>
      <c r="BS85" s="35">
        <f>7099+17000+38860+36000</f>
        <v>98959</v>
      </c>
      <c r="BT85" s="35">
        <f t="shared" si="167"/>
        <v>2041</v>
      </c>
      <c r="BU85" s="74">
        <f t="shared" si="116"/>
        <v>279.11721829127202</v>
      </c>
      <c r="BV85" s="74">
        <f t="shared" si="168"/>
        <v>322045</v>
      </c>
      <c r="BW85" s="74">
        <f t="shared" si="171"/>
        <v>580.24572531265187</v>
      </c>
      <c r="BX85" s="1098"/>
    </row>
    <row r="86" spans="1:76">
      <c r="A86" s="107">
        <v>43303</v>
      </c>
      <c r="B86" s="114">
        <v>614156</v>
      </c>
      <c r="C86" s="1">
        <f t="shared" si="141"/>
        <v>42663536</v>
      </c>
      <c r="D86" s="115">
        <v>7079.68</v>
      </c>
      <c r="E86" s="91">
        <f t="shared" si="145"/>
        <v>562094.54000000015</v>
      </c>
      <c r="F86" s="244"/>
      <c r="G86" s="227"/>
      <c r="H86" s="227"/>
      <c r="I86" s="227"/>
      <c r="J86" s="227"/>
      <c r="K86" s="227"/>
      <c r="L86" s="227"/>
      <c r="M86" s="227"/>
      <c r="N86" s="227"/>
      <c r="O86" s="227"/>
      <c r="P86" s="77">
        <f t="shared" si="177"/>
        <v>23021</v>
      </c>
      <c r="Q86" s="35"/>
      <c r="R86" s="35">
        <v>18611</v>
      </c>
      <c r="S86" s="35">
        <f t="shared" si="178"/>
        <v>4410</v>
      </c>
      <c r="T86" s="36">
        <f t="shared" si="142"/>
        <v>7.1805860400289179</v>
      </c>
      <c r="U86" s="74">
        <f t="shared" si="179"/>
        <v>158098</v>
      </c>
      <c r="V86" s="36">
        <f t="shared" si="172"/>
        <v>3.7056937802811283</v>
      </c>
      <c r="W86" s="1136"/>
      <c r="X86" s="49">
        <f t="shared" si="180"/>
        <v>545</v>
      </c>
      <c r="Y86" s="50">
        <v>900</v>
      </c>
      <c r="Z86" s="50">
        <f>1241+110</f>
        <v>1351</v>
      </c>
      <c r="AA86" s="50">
        <f t="shared" si="181"/>
        <v>94</v>
      </c>
      <c r="AB86" s="51">
        <f t="shared" si="173"/>
        <v>0.1530555754563987</v>
      </c>
      <c r="AC86" s="50">
        <f t="shared" si="182"/>
        <v>6095</v>
      </c>
      <c r="AD86" s="51">
        <f t="shared" si="174"/>
        <v>0.14286204500255206</v>
      </c>
      <c r="AE86" s="1047"/>
      <c r="AF86" s="40">
        <f t="shared" si="183"/>
        <v>1156</v>
      </c>
      <c r="AG86" s="41"/>
      <c r="AH86" s="41">
        <v>1137</v>
      </c>
      <c r="AI86" s="41">
        <f t="shared" si="184"/>
        <v>19</v>
      </c>
      <c r="AJ86" s="42">
        <f>AI86*1000/B86</f>
        <v>3.093676525182527E-2</v>
      </c>
      <c r="AK86" s="41">
        <f t="shared" si="185"/>
        <v>4423</v>
      </c>
      <c r="AL86" s="42">
        <f t="shared" si="175"/>
        <v>0.10367166940874287</v>
      </c>
      <c r="AM86" s="1058"/>
      <c r="AN86" s="67">
        <v>4.8</v>
      </c>
      <c r="AO86" s="67">
        <v>24</v>
      </c>
      <c r="AP86" s="68">
        <f t="shared" si="143"/>
        <v>61.055999999999997</v>
      </c>
      <c r="AQ86" s="68">
        <f t="shared" si="169"/>
        <v>8.6241186042306985</v>
      </c>
      <c r="AR86" s="69">
        <f t="shared" si="163"/>
        <v>4656.837599999998</v>
      </c>
      <c r="AS86" s="140">
        <f t="shared" si="136"/>
        <v>8.2847942269640207</v>
      </c>
      <c r="AT86" s="1073"/>
      <c r="AU86" s="71">
        <v>4.4000000000000004</v>
      </c>
      <c r="AV86" s="71">
        <v>10</v>
      </c>
      <c r="AW86" s="72">
        <f t="shared" si="164"/>
        <v>20.548000000000002</v>
      </c>
      <c r="AX86" s="72">
        <f t="shared" si="170"/>
        <v>2.9023910685228711</v>
      </c>
      <c r="AY86" s="73">
        <f t="shared" si="165"/>
        <v>1617.0340000000001</v>
      </c>
      <c r="AZ86" s="192">
        <f t="shared" si="137"/>
        <v>2.8768007602422174</v>
      </c>
      <c r="BA86" s="1075"/>
      <c r="BB86" s="90">
        <f t="shared" si="186"/>
        <v>18031</v>
      </c>
      <c r="BC86" s="59"/>
      <c r="BD86" s="56">
        <v>17593</v>
      </c>
      <c r="BE86" s="56">
        <f t="shared" si="138"/>
        <v>438</v>
      </c>
      <c r="BF86" s="58">
        <f t="shared" si="144"/>
        <v>44142</v>
      </c>
      <c r="BG86" s="58">
        <f t="shared" si="139"/>
        <v>78.531273404648246</v>
      </c>
      <c r="BH86" s="1133"/>
      <c r="BI86" s="63">
        <f t="shared" si="187"/>
        <v>240</v>
      </c>
      <c r="BJ86" s="64"/>
      <c r="BK86" s="64">
        <v>120</v>
      </c>
      <c r="BL86" s="64">
        <f t="shared" si="188"/>
        <v>120</v>
      </c>
      <c r="BM86" s="65">
        <f t="shared" si="109"/>
        <v>0.19539009632731749</v>
      </c>
      <c r="BN86" s="64">
        <f t="shared" si="189"/>
        <v>6732</v>
      </c>
      <c r="BO86" s="65">
        <f t="shared" si="176"/>
        <v>0.15779282804875808</v>
      </c>
      <c r="BP86" s="1071"/>
      <c r="BQ86" s="77">
        <f t="shared" si="166"/>
        <v>98959</v>
      </c>
      <c r="BR86" s="35"/>
      <c r="BS86" s="35">
        <f>2097+9000+38860+36000</f>
        <v>85957</v>
      </c>
      <c r="BT86" s="35">
        <f t="shared" si="167"/>
        <v>13002</v>
      </c>
      <c r="BU86" s="74">
        <f t="shared" si="116"/>
        <v>1836.5236846863133</v>
      </c>
      <c r="BV86" s="74">
        <f t="shared" si="168"/>
        <v>335047</v>
      </c>
      <c r="BW86" s="74">
        <f t="shared" si="171"/>
        <v>596.06876807591811</v>
      </c>
      <c r="BX86" s="1098"/>
    </row>
    <row r="87" spans="1:76">
      <c r="A87" s="107">
        <v>43304</v>
      </c>
      <c r="B87" s="114">
        <v>605356</v>
      </c>
      <c r="C87" s="1">
        <f t="shared" si="141"/>
        <v>43268892</v>
      </c>
      <c r="D87" s="115">
        <v>6443.46</v>
      </c>
      <c r="E87" s="91">
        <f t="shared" si="145"/>
        <v>568538.00000000012</v>
      </c>
      <c r="F87" s="244"/>
      <c r="G87" s="227"/>
      <c r="H87" s="227"/>
      <c r="I87" s="227"/>
      <c r="J87" s="227"/>
      <c r="K87" s="227"/>
      <c r="L87" s="227"/>
      <c r="M87" s="227"/>
      <c r="N87" s="227"/>
      <c r="O87" s="227"/>
      <c r="P87" s="77">
        <f t="shared" si="177"/>
        <v>18611</v>
      </c>
      <c r="Q87" s="35"/>
      <c r="R87" s="35">
        <v>13184</v>
      </c>
      <c r="S87" s="35">
        <f t="shared" si="178"/>
        <v>5427</v>
      </c>
      <c r="T87" s="36">
        <f t="shared" si="142"/>
        <v>8.9649726772345524</v>
      </c>
      <c r="U87" s="74">
        <f t="shared" si="179"/>
        <v>163525</v>
      </c>
      <c r="V87" s="36">
        <f t="shared" si="172"/>
        <v>3.7792740336406117</v>
      </c>
      <c r="W87" s="1136"/>
      <c r="X87" s="49">
        <f t="shared" si="180"/>
        <v>1351</v>
      </c>
      <c r="Y87" s="50"/>
      <c r="Z87" s="50">
        <f>1168+120</f>
        <v>1288</v>
      </c>
      <c r="AA87" s="50">
        <f t="shared" si="181"/>
        <v>63</v>
      </c>
      <c r="AB87" s="51">
        <f t="shared" si="173"/>
        <v>0.10407099293638784</v>
      </c>
      <c r="AC87" s="50">
        <f t="shared" si="182"/>
        <v>6158</v>
      </c>
      <c r="AD87" s="51">
        <f t="shared" si="174"/>
        <v>0.14231933648774736</v>
      </c>
      <c r="AE87" s="1047"/>
      <c r="AF87" s="40">
        <f t="shared" si="183"/>
        <v>1137</v>
      </c>
      <c r="AG87" s="41"/>
      <c r="AH87" s="41">
        <v>1119</v>
      </c>
      <c r="AI87" s="41">
        <f t="shared" si="184"/>
        <v>18</v>
      </c>
      <c r="AJ87" s="42">
        <f>AI87*1000/B87</f>
        <v>2.9734569410396528E-2</v>
      </c>
      <c r="AK87" s="41">
        <f t="shared" si="185"/>
        <v>4441</v>
      </c>
      <c r="AL87" s="42">
        <f t="shared" si="175"/>
        <v>0.10263724802567166</v>
      </c>
      <c r="AM87" s="1058"/>
      <c r="AN87" s="67">
        <v>4.8</v>
      </c>
      <c r="AO87" s="67">
        <v>24</v>
      </c>
      <c r="AP87" s="68">
        <f t="shared" si="143"/>
        <v>61.055999999999997</v>
      </c>
      <c r="AQ87" s="68">
        <f t="shared" si="169"/>
        <v>9.4756543844456242</v>
      </c>
      <c r="AR87" s="69">
        <f t="shared" ref="AR87:AR110" si="190">AR86+AP87</f>
        <v>4717.8935999999976</v>
      </c>
      <c r="AS87" s="140">
        <f t="shared" si="136"/>
        <v>8.2982907035237687</v>
      </c>
      <c r="AT87" s="1073"/>
      <c r="AU87" s="71">
        <v>4.5</v>
      </c>
      <c r="AV87" s="71">
        <v>10</v>
      </c>
      <c r="AW87" s="72">
        <f t="shared" ref="AW87:AW95" si="191">AU87*AV87*0.467</f>
        <v>21.015000000000001</v>
      </c>
      <c r="AX87" s="72">
        <f t="shared" si="170"/>
        <v>3.2614464899293236</v>
      </c>
      <c r="AY87" s="73">
        <f t="shared" ref="AY87:AY95" si="192">AY86+AW87</f>
        <v>1638.0490000000002</v>
      </c>
      <c r="AZ87" s="192">
        <f t="shared" si="137"/>
        <v>2.8811600983575416</v>
      </c>
      <c r="BA87" s="1075"/>
      <c r="BB87" s="90">
        <f t="shared" si="186"/>
        <v>17593</v>
      </c>
      <c r="BC87" s="59"/>
      <c r="BD87" s="56">
        <v>15646</v>
      </c>
      <c r="BE87" s="56">
        <f t="shared" si="138"/>
        <v>1947</v>
      </c>
      <c r="BF87" s="58">
        <f t="shared" si="144"/>
        <v>46089</v>
      </c>
      <c r="BG87" s="58">
        <f t="shared" si="139"/>
        <v>81.065821457844493</v>
      </c>
      <c r="BH87" s="1133"/>
      <c r="BI87" s="63">
        <f t="shared" si="187"/>
        <v>120</v>
      </c>
      <c r="BJ87" s="64"/>
      <c r="BK87" s="64">
        <v>12</v>
      </c>
      <c r="BL87" s="64">
        <f t="shared" si="188"/>
        <v>108</v>
      </c>
      <c r="BM87" s="65">
        <f t="shared" si="109"/>
        <v>0.17840741646237918</v>
      </c>
      <c r="BN87" s="64">
        <f t="shared" si="189"/>
        <v>6840</v>
      </c>
      <c r="BO87" s="65">
        <f t="shared" si="176"/>
        <v>0.15808123767070348</v>
      </c>
      <c r="BP87" s="1071"/>
      <c r="BQ87" s="77">
        <f t="shared" ref="BQ87:BQ107" si="193">BS86</f>
        <v>85957</v>
      </c>
      <c r="BR87" s="35"/>
      <c r="BS87" s="35">
        <f>2097+9000+38860+36000</f>
        <v>85957</v>
      </c>
      <c r="BT87" s="35"/>
      <c r="BU87" s="74"/>
      <c r="BV87" s="74">
        <f t="shared" ref="BV87:BV95" si="194">BV86+BT87</f>
        <v>335047</v>
      </c>
      <c r="BW87" s="74">
        <f t="shared" si="171"/>
        <v>589.31329128395976</v>
      </c>
      <c r="BX87" s="1098"/>
    </row>
    <row r="88" spans="1:76">
      <c r="A88" s="107">
        <v>43305</v>
      </c>
      <c r="B88" s="114">
        <v>589375</v>
      </c>
      <c r="C88" s="1">
        <f t="shared" si="141"/>
        <v>43858267</v>
      </c>
      <c r="D88" s="115">
        <v>5319.28</v>
      </c>
      <c r="E88" s="91">
        <f t="shared" si="145"/>
        <v>573857.28000000014</v>
      </c>
      <c r="F88" s="244"/>
      <c r="G88" s="227"/>
      <c r="H88" s="227"/>
      <c r="I88" s="227"/>
      <c r="J88" s="227"/>
      <c r="K88" s="227"/>
      <c r="L88" s="227"/>
      <c r="M88" s="227"/>
      <c r="N88" s="227"/>
      <c r="O88" s="227"/>
      <c r="P88" s="77">
        <f t="shared" si="177"/>
        <v>13184</v>
      </c>
      <c r="Q88" s="35">
        <v>36760</v>
      </c>
      <c r="R88" s="35">
        <v>49944</v>
      </c>
      <c r="S88" s="35">
        <f t="shared" si="178"/>
        <v>0</v>
      </c>
      <c r="T88" s="36">
        <f t="shared" si="142"/>
        <v>0</v>
      </c>
      <c r="U88" s="74">
        <f t="shared" si="179"/>
        <v>163525</v>
      </c>
      <c r="V88" s="36">
        <f t="shared" si="172"/>
        <v>3.7284874935892929</v>
      </c>
      <c r="W88" s="1136"/>
      <c r="X88" s="49">
        <f t="shared" si="180"/>
        <v>1288</v>
      </c>
      <c r="Y88" s="50"/>
      <c r="Z88" s="50">
        <f>1153+70</f>
        <v>1223</v>
      </c>
      <c r="AA88" s="50">
        <f t="shared" si="181"/>
        <v>65</v>
      </c>
      <c r="AB88" s="51">
        <f t="shared" si="173"/>
        <v>0.11028632025450689</v>
      </c>
      <c r="AC88" s="50">
        <f t="shared" si="182"/>
        <v>6223</v>
      </c>
      <c r="AD88" s="51">
        <f t="shared" si="174"/>
        <v>0.14188887125886665</v>
      </c>
      <c r="AE88" s="1047"/>
      <c r="AF88" s="40">
        <f t="shared" si="183"/>
        <v>1119</v>
      </c>
      <c r="AG88" s="41"/>
      <c r="AH88" s="41">
        <v>1119</v>
      </c>
      <c r="AI88" s="41"/>
      <c r="AJ88" s="42"/>
      <c r="AK88" s="41">
        <f t="shared" si="185"/>
        <v>4441</v>
      </c>
      <c r="AL88" s="42">
        <f t="shared" si="175"/>
        <v>0.10125799088231188</v>
      </c>
      <c r="AM88" s="1058"/>
      <c r="AN88" s="67">
        <v>4</v>
      </c>
      <c r="AO88" s="67">
        <v>24</v>
      </c>
      <c r="AP88" s="68">
        <f t="shared" si="143"/>
        <v>50.88</v>
      </c>
      <c r="AQ88" s="68">
        <f t="shared" si="169"/>
        <v>9.5652043133657187</v>
      </c>
      <c r="AR88" s="69">
        <f t="shared" si="190"/>
        <v>4768.7735999999977</v>
      </c>
      <c r="AS88" s="140">
        <f t="shared" si="136"/>
        <v>8.3100341604100532</v>
      </c>
      <c r="AT88" s="1073"/>
      <c r="AU88" s="71">
        <v>3.5</v>
      </c>
      <c r="AV88" s="71">
        <v>10</v>
      </c>
      <c r="AW88" s="72">
        <f t="shared" si="191"/>
        <v>16.345000000000002</v>
      </c>
      <c r="AX88" s="72">
        <f t="shared" si="170"/>
        <v>3.0727842865951787</v>
      </c>
      <c r="AY88" s="73">
        <f t="shared" si="192"/>
        <v>1654.3940000000002</v>
      </c>
      <c r="AZ88" s="192">
        <f t="shared" si="137"/>
        <v>2.882936328698313</v>
      </c>
      <c r="BA88" s="1075"/>
      <c r="BB88" s="90">
        <f t="shared" si="186"/>
        <v>15646</v>
      </c>
      <c r="BC88" s="59"/>
      <c r="BD88" s="56">
        <v>15432</v>
      </c>
      <c r="BE88" s="56">
        <f t="shared" si="138"/>
        <v>214</v>
      </c>
      <c r="BF88" s="58">
        <f t="shared" si="144"/>
        <v>46303</v>
      </c>
      <c r="BG88" s="58">
        <f t="shared" si="139"/>
        <v>80.687309569375842</v>
      </c>
      <c r="BH88" s="1133"/>
      <c r="BI88" s="63">
        <f t="shared" si="187"/>
        <v>12</v>
      </c>
      <c r="BJ88" s="64">
        <v>1100</v>
      </c>
      <c r="BK88" s="64">
        <v>1080</v>
      </c>
      <c r="BL88" s="64">
        <f t="shared" si="188"/>
        <v>32</v>
      </c>
      <c r="BM88" s="65">
        <f t="shared" si="109"/>
        <v>5.429480381760339E-2</v>
      </c>
      <c r="BN88" s="64">
        <f t="shared" si="189"/>
        <v>6872</v>
      </c>
      <c r="BO88" s="65">
        <f t="shared" si="176"/>
        <v>0.15668653756884648</v>
      </c>
      <c r="BP88" s="1071"/>
      <c r="BQ88" s="77">
        <f t="shared" si="193"/>
        <v>85957</v>
      </c>
      <c r="BR88" s="35"/>
      <c r="BS88" s="35">
        <f>8540+33746+36000</f>
        <v>78286</v>
      </c>
      <c r="BT88" s="35">
        <f t="shared" ref="BT88:BT95" si="195">BQ88-BS88+BR88</f>
        <v>7671</v>
      </c>
      <c r="BU88" s="74">
        <f>BT88*1000/D88</f>
        <v>1442.1124663488292</v>
      </c>
      <c r="BV88" s="74">
        <f t="shared" si="194"/>
        <v>342718</v>
      </c>
      <c r="BW88" s="74">
        <f t="shared" si="171"/>
        <v>597.21817940516485</v>
      </c>
      <c r="BX88" s="1098"/>
    </row>
    <row r="89" spans="1:76">
      <c r="A89" s="107">
        <v>43306</v>
      </c>
      <c r="B89" s="114">
        <v>536292</v>
      </c>
      <c r="C89" s="1">
        <f t="shared" si="141"/>
        <v>44394559</v>
      </c>
      <c r="D89" s="115">
        <v>5384.9400000000005</v>
      </c>
      <c r="E89" s="91">
        <f t="shared" si="145"/>
        <v>579242.22000000009</v>
      </c>
      <c r="F89" s="244"/>
      <c r="G89" s="227"/>
      <c r="H89" s="227"/>
      <c r="I89" s="227"/>
      <c r="J89" s="227"/>
      <c r="K89" s="227"/>
      <c r="L89" s="227"/>
      <c r="M89" s="227"/>
      <c r="N89" s="227"/>
      <c r="O89" s="227"/>
      <c r="P89" s="77">
        <f t="shared" si="177"/>
        <v>49944</v>
      </c>
      <c r="Q89" s="35"/>
      <c r="R89" s="35">
        <v>47263</v>
      </c>
      <c r="S89" s="35">
        <f t="shared" si="178"/>
        <v>2681</v>
      </c>
      <c r="T89" s="36">
        <f t="shared" si="142"/>
        <v>4.9991422583219594</v>
      </c>
      <c r="U89" s="74">
        <f t="shared" si="179"/>
        <v>166206</v>
      </c>
      <c r="V89" s="36">
        <f t="shared" si="172"/>
        <v>3.7438371670726585</v>
      </c>
      <c r="W89" s="1136"/>
      <c r="X89" s="49">
        <f t="shared" si="180"/>
        <v>1223</v>
      </c>
      <c r="Y89" s="50"/>
      <c r="Z89" s="50">
        <f>1073+80</f>
        <v>1153</v>
      </c>
      <c r="AA89" s="50">
        <f t="shared" si="181"/>
        <v>70</v>
      </c>
      <c r="AB89" s="51">
        <f t="shared" si="173"/>
        <v>0.13052590752798848</v>
      </c>
      <c r="AC89" s="50">
        <f t="shared" si="182"/>
        <v>6293</v>
      </c>
      <c r="AD89" s="51">
        <f t="shared" si="174"/>
        <v>0.14175160519107757</v>
      </c>
      <c r="AE89" s="1047"/>
      <c r="AF89" s="40">
        <f t="shared" si="183"/>
        <v>1119</v>
      </c>
      <c r="AG89" s="41"/>
      <c r="AH89" s="41">
        <v>1100</v>
      </c>
      <c r="AI89" s="41">
        <f t="shared" si="184"/>
        <v>19</v>
      </c>
      <c r="AJ89" s="42">
        <f>AI89*1000/B89</f>
        <v>3.5428460614739733E-2</v>
      </c>
      <c r="AK89" s="41">
        <f t="shared" si="185"/>
        <v>4460</v>
      </c>
      <c r="AL89" s="42">
        <f t="shared" si="175"/>
        <v>0.10046276166410392</v>
      </c>
      <c r="AM89" s="1058"/>
      <c r="AN89" s="67">
        <v>4</v>
      </c>
      <c r="AO89" s="67">
        <v>24</v>
      </c>
      <c r="AP89" s="68">
        <f t="shared" si="143"/>
        <v>50.88</v>
      </c>
      <c r="AQ89" s="68">
        <f t="shared" si="169"/>
        <v>9.4485732431559111</v>
      </c>
      <c r="AR89" s="69">
        <f t="shared" si="190"/>
        <v>4819.6535999999978</v>
      </c>
      <c r="AS89" s="140">
        <f t="shared" si="136"/>
        <v>8.3206186178901067</v>
      </c>
      <c r="AT89" s="1073"/>
      <c r="AU89" s="71">
        <v>3.5</v>
      </c>
      <c r="AV89" s="71">
        <v>10</v>
      </c>
      <c r="AW89" s="72">
        <f t="shared" si="191"/>
        <v>16.345000000000002</v>
      </c>
      <c r="AX89" s="72">
        <f t="shared" si="170"/>
        <v>3.0353170137457428</v>
      </c>
      <c r="AY89" s="73">
        <f t="shared" si="192"/>
        <v>1670.7390000000003</v>
      </c>
      <c r="AZ89" s="192">
        <f t="shared" si="137"/>
        <v>2.8843529396044367</v>
      </c>
      <c r="BA89" s="1075"/>
      <c r="BB89" s="90">
        <f t="shared" si="186"/>
        <v>15432</v>
      </c>
      <c r="BC89" s="59"/>
      <c r="BD89" s="56">
        <v>15432</v>
      </c>
      <c r="BE89" s="56"/>
      <c r="BF89" s="58">
        <f t="shared" si="144"/>
        <v>46303</v>
      </c>
      <c r="BG89" s="58">
        <f t="shared" si="139"/>
        <v>79.9371979480363</v>
      </c>
      <c r="BH89" s="1133"/>
      <c r="BI89" s="63">
        <f t="shared" si="187"/>
        <v>1080</v>
      </c>
      <c r="BJ89" s="64"/>
      <c r="BK89" s="64">
        <v>972</v>
      </c>
      <c r="BL89" s="64">
        <f t="shared" si="188"/>
        <v>108</v>
      </c>
      <c r="BM89" s="65">
        <f t="shared" si="109"/>
        <v>0.20138282875746794</v>
      </c>
      <c r="BN89" s="64">
        <f t="shared" si="189"/>
        <v>6980</v>
      </c>
      <c r="BO89" s="65">
        <f t="shared" si="176"/>
        <v>0.15722647453261107</v>
      </c>
      <c r="BP89" s="1071"/>
      <c r="BQ89" s="77">
        <f t="shared" si="193"/>
        <v>78286</v>
      </c>
      <c r="BR89" s="35"/>
      <c r="BS89" s="35">
        <f>4225+33746+36000</f>
        <v>73971</v>
      </c>
      <c r="BT89" s="35">
        <f t="shared" si="195"/>
        <v>4315</v>
      </c>
      <c r="BU89" s="74">
        <f>BT89*1000/D89</f>
        <v>801.30883538163835</v>
      </c>
      <c r="BV89" s="74">
        <f t="shared" si="194"/>
        <v>347033</v>
      </c>
      <c r="BW89" s="74">
        <f t="shared" si="171"/>
        <v>599.11551336848333</v>
      </c>
      <c r="BX89" s="1098"/>
    </row>
    <row r="90" spans="1:76">
      <c r="A90" s="107">
        <v>43307</v>
      </c>
      <c r="B90" s="114">
        <v>477838</v>
      </c>
      <c r="C90" s="1">
        <f t="shared" si="141"/>
        <v>44872397</v>
      </c>
      <c r="D90" s="115">
        <v>5445</v>
      </c>
      <c r="E90" s="91">
        <f t="shared" si="145"/>
        <v>584687.22000000009</v>
      </c>
      <c r="F90" s="244"/>
      <c r="G90" s="227"/>
      <c r="H90" s="227"/>
      <c r="I90" s="227"/>
      <c r="J90" s="227"/>
      <c r="K90" s="227"/>
      <c r="L90" s="227"/>
      <c r="M90" s="227"/>
      <c r="N90" s="227"/>
      <c r="O90" s="227"/>
      <c r="P90" s="77">
        <f t="shared" ref="P90:P95" si="196">R89</f>
        <v>47263</v>
      </c>
      <c r="Q90" s="35"/>
      <c r="R90" s="35">
        <v>44771</v>
      </c>
      <c r="S90" s="35">
        <f t="shared" ref="S90:S95" si="197">P90-R90+Q90</f>
        <v>2492</v>
      </c>
      <c r="T90" s="36">
        <f t="shared" si="142"/>
        <v>5.2151566011911985</v>
      </c>
      <c r="U90" s="74">
        <f t="shared" ref="U90:U95" si="198">U89+S90</f>
        <v>168698</v>
      </c>
      <c r="V90" s="36">
        <f t="shared" si="172"/>
        <v>3.7595049803111698</v>
      </c>
      <c r="W90" s="1136"/>
      <c r="X90" s="49">
        <f t="shared" ref="X90:X95" si="199">Z89</f>
        <v>1153</v>
      </c>
      <c r="Y90" s="50"/>
      <c r="Z90" s="50">
        <f>1024+110</f>
        <v>1134</v>
      </c>
      <c r="AA90" s="50">
        <f>X90+Y90-Z90</f>
        <v>19</v>
      </c>
      <c r="AB90" s="51">
        <f t="shared" si="173"/>
        <v>3.9762429944876714E-2</v>
      </c>
      <c r="AC90" s="50">
        <f t="shared" ref="AC90:AC95" si="200">AC89+AA90</f>
        <v>6312</v>
      </c>
      <c r="AD90" s="51">
        <f t="shared" si="174"/>
        <v>0.14066554100062897</v>
      </c>
      <c r="AE90" s="1047"/>
      <c r="AF90" s="40">
        <f t="shared" ref="AF90:AF95" si="201">AH89</f>
        <v>1100</v>
      </c>
      <c r="AG90" s="41"/>
      <c r="AH90" s="41">
        <v>1081</v>
      </c>
      <c r="AI90" s="41">
        <f>AF90+AG90-AH90</f>
        <v>19</v>
      </c>
      <c r="AJ90" s="42">
        <f>AI90*1000/B90</f>
        <v>3.9762429944876714E-2</v>
      </c>
      <c r="AK90" s="41">
        <f t="shared" ref="AK90:AK95" si="202">AK89+AI90</f>
        <v>4479</v>
      </c>
      <c r="AL90" s="42">
        <f t="shared" si="175"/>
        <v>9.9816374864039464E-2</v>
      </c>
      <c r="AM90" s="1058"/>
      <c r="AN90" s="67">
        <v>3.8</v>
      </c>
      <c r="AO90" s="67">
        <v>24</v>
      </c>
      <c r="AP90" s="68">
        <f t="shared" si="143"/>
        <v>48.335999999999999</v>
      </c>
      <c r="AQ90" s="68">
        <f t="shared" si="169"/>
        <v>8.8771349862258955</v>
      </c>
      <c r="AR90" s="69">
        <f t="shared" si="190"/>
        <v>4867.9895999999981</v>
      </c>
      <c r="AS90" s="140">
        <f t="shared" si="136"/>
        <v>8.3258012720031687</v>
      </c>
      <c r="AT90" s="1073"/>
      <c r="AU90" s="71">
        <v>3.3</v>
      </c>
      <c r="AV90" s="71">
        <v>10</v>
      </c>
      <c r="AW90" s="72">
        <f t="shared" si="191"/>
        <v>15.411000000000001</v>
      </c>
      <c r="AX90" s="72">
        <f t="shared" si="170"/>
        <v>2.8303030303030305</v>
      </c>
      <c r="AY90" s="73">
        <f t="shared" si="192"/>
        <v>1686.1500000000003</v>
      </c>
      <c r="AZ90" s="192">
        <f t="shared" si="137"/>
        <v>2.8838495905554424</v>
      </c>
      <c r="BA90" s="1075"/>
      <c r="BB90" s="90">
        <f t="shared" ref="BB90:BB95" si="203">BD89</f>
        <v>15432</v>
      </c>
      <c r="BC90" s="56">
        <v>34831</v>
      </c>
      <c r="BD90" s="56">
        <v>47755</v>
      </c>
      <c r="BE90" s="56">
        <f t="shared" si="138"/>
        <v>2508</v>
      </c>
      <c r="BF90" s="58">
        <f t="shared" si="144"/>
        <v>48811</v>
      </c>
      <c r="BG90" s="58">
        <f t="shared" si="139"/>
        <v>83.482242009667999</v>
      </c>
      <c r="BH90" s="1133"/>
      <c r="BI90" s="63">
        <f t="shared" ref="BI90:BI95" si="204">BK89</f>
        <v>972</v>
      </c>
      <c r="BJ90" s="64"/>
      <c r="BK90" s="64">
        <v>852</v>
      </c>
      <c r="BL90" s="64">
        <f t="shared" ref="BL90:BL95" si="205">BI90+BJ90-BK90</f>
        <v>120</v>
      </c>
      <c r="BM90" s="65">
        <f t="shared" si="109"/>
        <v>0.25113113649395818</v>
      </c>
      <c r="BN90" s="64">
        <f t="shared" ref="BN90:BN95" si="206">BN89+BL90</f>
        <v>7100</v>
      </c>
      <c r="BO90" s="65">
        <f t="shared" si="176"/>
        <v>0.15822644821046666</v>
      </c>
      <c r="BP90" s="1071"/>
      <c r="BQ90" s="77">
        <f t="shared" si="193"/>
        <v>73971</v>
      </c>
      <c r="BR90" s="35"/>
      <c r="BS90" s="35">
        <f>8540+29385+36000</f>
        <v>73925</v>
      </c>
      <c r="BT90" s="35">
        <f t="shared" si="195"/>
        <v>46</v>
      </c>
      <c r="BU90" s="74">
        <f>BT90*1000/D90</f>
        <v>8.4481175390266294</v>
      </c>
      <c r="BV90" s="74">
        <f t="shared" si="194"/>
        <v>347079</v>
      </c>
      <c r="BW90" s="74">
        <f t="shared" si="171"/>
        <v>593.61482195557471</v>
      </c>
      <c r="BX90" s="1098"/>
    </row>
    <row r="91" spans="1:76">
      <c r="A91" s="107">
        <v>43308</v>
      </c>
      <c r="B91" s="114">
        <v>457327</v>
      </c>
      <c r="C91" s="1">
        <f t="shared" si="141"/>
        <v>45329724</v>
      </c>
      <c r="D91" s="115">
        <v>5862.4000000000005</v>
      </c>
      <c r="E91" s="91">
        <f t="shared" si="145"/>
        <v>590549.62000000011</v>
      </c>
      <c r="F91" s="244"/>
      <c r="G91" s="227"/>
      <c r="H91" s="227"/>
      <c r="I91" s="227"/>
      <c r="J91" s="227"/>
      <c r="K91" s="227"/>
      <c r="L91" s="227"/>
      <c r="M91" s="227"/>
      <c r="N91" s="227"/>
      <c r="O91" s="227"/>
      <c r="P91" s="77">
        <f t="shared" si="196"/>
        <v>44771</v>
      </c>
      <c r="Q91" s="35"/>
      <c r="R91" s="35">
        <v>41952</v>
      </c>
      <c r="S91" s="35">
        <f t="shared" si="197"/>
        <v>2819</v>
      </c>
      <c r="T91" s="36">
        <f t="shared" si="142"/>
        <v>6.1640795317136314</v>
      </c>
      <c r="U91" s="74">
        <f t="shared" si="198"/>
        <v>171517</v>
      </c>
      <c r="V91" s="36">
        <f t="shared" si="172"/>
        <v>3.7837644897198137</v>
      </c>
      <c r="W91" s="1136"/>
      <c r="X91" s="49">
        <f t="shared" si="199"/>
        <v>1134</v>
      </c>
      <c r="Y91" s="50"/>
      <c r="Z91" s="50">
        <f>990+75</f>
        <v>1065</v>
      </c>
      <c r="AA91" s="50">
        <f>X91+Y91-Z91</f>
        <v>69</v>
      </c>
      <c r="AB91" s="51">
        <f t="shared" si="173"/>
        <v>0.15087672496922333</v>
      </c>
      <c r="AC91" s="50">
        <f t="shared" si="200"/>
        <v>6381</v>
      </c>
      <c r="AD91" s="51">
        <f t="shared" si="174"/>
        <v>0.14076856060275153</v>
      </c>
      <c r="AE91" s="1047"/>
      <c r="AF91" s="40">
        <f t="shared" si="201"/>
        <v>1081</v>
      </c>
      <c r="AG91" s="41"/>
      <c r="AH91" s="41">
        <v>1081</v>
      </c>
      <c r="AI91" s="41"/>
      <c r="AJ91" s="42"/>
      <c r="AK91" s="41">
        <f t="shared" si="202"/>
        <v>4479</v>
      </c>
      <c r="AL91" s="42">
        <f t="shared" si="175"/>
        <v>9.8809337555198884E-2</v>
      </c>
      <c r="AM91" s="1058"/>
      <c r="AN91" s="67">
        <v>3.8</v>
      </c>
      <c r="AO91" s="67">
        <v>24</v>
      </c>
      <c r="AP91" s="68">
        <f t="shared" si="143"/>
        <v>48.335999999999999</v>
      </c>
      <c r="AQ91" s="68">
        <f t="shared" si="169"/>
        <v>8.2450873362445414</v>
      </c>
      <c r="AR91" s="69">
        <f t="shared" si="190"/>
        <v>4916.3255999999983</v>
      </c>
      <c r="AS91" s="140">
        <f t="shared" si="136"/>
        <v>8.3250000228600562</v>
      </c>
      <c r="AT91" s="1073"/>
      <c r="AU91" s="71">
        <v>3.6</v>
      </c>
      <c r="AV91" s="71">
        <v>10</v>
      </c>
      <c r="AW91" s="72">
        <f t="shared" si="191"/>
        <v>16.812000000000001</v>
      </c>
      <c r="AX91" s="72">
        <f t="shared" si="170"/>
        <v>2.8677674672489082</v>
      </c>
      <c r="AY91" s="73">
        <f t="shared" si="192"/>
        <v>1702.9620000000002</v>
      </c>
      <c r="AZ91" s="192">
        <f t="shared" si="137"/>
        <v>2.8836899429382412</v>
      </c>
      <c r="BA91" s="1075"/>
      <c r="BB91" s="90">
        <f t="shared" si="203"/>
        <v>47755</v>
      </c>
      <c r="BC91" s="59"/>
      <c r="BD91" s="56">
        <v>47593</v>
      </c>
      <c r="BE91" s="56">
        <f t="shared" si="138"/>
        <v>162</v>
      </c>
      <c r="BF91" s="58">
        <f t="shared" si="144"/>
        <v>48973</v>
      </c>
      <c r="BG91" s="58">
        <f t="shared" si="139"/>
        <v>82.927832550294397</v>
      </c>
      <c r="BH91" s="1133"/>
      <c r="BI91" s="63">
        <f t="shared" si="204"/>
        <v>852</v>
      </c>
      <c r="BJ91" s="64"/>
      <c r="BK91" s="64">
        <v>768</v>
      </c>
      <c r="BL91" s="64">
        <f t="shared" si="205"/>
        <v>84</v>
      </c>
      <c r="BM91" s="65">
        <f t="shared" si="109"/>
        <v>0.18367601300601102</v>
      </c>
      <c r="BN91" s="64">
        <f t="shared" si="206"/>
        <v>7184</v>
      </c>
      <c r="BO91" s="65">
        <f t="shared" si="176"/>
        <v>0.15848320629527768</v>
      </c>
      <c r="BP91" s="1071"/>
      <c r="BQ91" s="77">
        <f t="shared" si="193"/>
        <v>73925</v>
      </c>
      <c r="BR91" s="35">
        <v>20000</v>
      </c>
      <c r="BS91" s="35">
        <f>24179+33746+36000</f>
        <v>93925</v>
      </c>
      <c r="BT91" s="35"/>
      <c r="BU91" s="74"/>
      <c r="BV91" s="74">
        <f t="shared" si="194"/>
        <v>347079</v>
      </c>
      <c r="BW91" s="74">
        <f t="shared" si="171"/>
        <v>587.72199362349932</v>
      </c>
      <c r="BX91" s="1098"/>
    </row>
    <row r="92" spans="1:76">
      <c r="A92" s="107">
        <v>43309</v>
      </c>
      <c r="B92" s="114">
        <v>494156</v>
      </c>
      <c r="C92" s="1">
        <f t="shared" si="141"/>
        <v>45823880</v>
      </c>
      <c r="D92" s="115">
        <v>4254.3999999999996</v>
      </c>
      <c r="E92" s="91">
        <f t="shared" si="145"/>
        <v>594804.02000000014</v>
      </c>
      <c r="F92" s="244"/>
      <c r="G92" s="227"/>
      <c r="H92" s="227"/>
      <c r="I92" s="227"/>
      <c r="J92" s="227"/>
      <c r="K92" s="227"/>
      <c r="L92" s="227"/>
      <c r="M92" s="227"/>
      <c r="N92" s="227"/>
      <c r="O92" s="227"/>
      <c r="P92" s="77">
        <f t="shared" si="196"/>
        <v>41952</v>
      </c>
      <c r="Q92" s="35"/>
      <c r="R92" s="35">
        <v>40125</v>
      </c>
      <c r="S92" s="35">
        <f t="shared" si="197"/>
        <v>1827</v>
      </c>
      <c r="T92" s="36">
        <f t="shared" si="142"/>
        <v>3.6972130258460889</v>
      </c>
      <c r="U92" s="74">
        <f t="shared" si="198"/>
        <v>173344</v>
      </c>
      <c r="V92" s="36">
        <f t="shared" si="172"/>
        <v>3.7828311352072324</v>
      </c>
      <c r="W92" s="1136"/>
      <c r="X92" s="49">
        <f t="shared" si="199"/>
        <v>1065</v>
      </c>
      <c r="Y92" s="50"/>
      <c r="Z92" s="50">
        <f>955+110</f>
        <v>1065</v>
      </c>
      <c r="AA92" s="50"/>
      <c r="AB92" s="51"/>
      <c r="AC92" s="50">
        <f t="shared" si="200"/>
        <v>6381</v>
      </c>
      <c r="AD92" s="51">
        <f t="shared" si="174"/>
        <v>0.13925053923849312</v>
      </c>
      <c r="AE92" s="1047"/>
      <c r="AF92" s="40">
        <f t="shared" si="201"/>
        <v>1081</v>
      </c>
      <c r="AG92" s="41"/>
      <c r="AH92" s="41">
        <v>1042</v>
      </c>
      <c r="AI92" s="41">
        <f>AF92+AG92-AH92</f>
        <v>39</v>
      </c>
      <c r="AJ92" s="42">
        <f>AI92*1000/B92</f>
        <v>7.8922445543512576E-2</v>
      </c>
      <c r="AK92" s="41">
        <f t="shared" si="202"/>
        <v>4518</v>
      </c>
      <c r="AL92" s="42">
        <f t="shared" si="175"/>
        <v>9.8594881096930251E-2</v>
      </c>
      <c r="AM92" s="1058"/>
      <c r="AN92" s="67">
        <v>3.3</v>
      </c>
      <c r="AO92" s="67">
        <v>24</v>
      </c>
      <c r="AP92" s="68">
        <f t="shared" si="143"/>
        <v>41.975999999999999</v>
      </c>
      <c r="AQ92" s="68">
        <f t="shared" si="169"/>
        <v>9.8664911620910125</v>
      </c>
      <c r="AR92" s="69">
        <f t="shared" si="190"/>
        <v>4958.301599999998</v>
      </c>
      <c r="AS92" s="140">
        <f t="shared" si="136"/>
        <v>8.33602570473548</v>
      </c>
      <c r="AT92" s="1073"/>
      <c r="AU92" s="71">
        <v>2.6</v>
      </c>
      <c r="AV92" s="71">
        <v>10</v>
      </c>
      <c r="AW92" s="72">
        <f t="shared" si="191"/>
        <v>12.142000000000001</v>
      </c>
      <c r="AX92" s="72">
        <f t="shared" si="170"/>
        <v>2.8539864610755932</v>
      </c>
      <c r="AY92" s="73">
        <f t="shared" si="192"/>
        <v>1715.1040000000003</v>
      </c>
      <c r="AZ92" s="192">
        <f t="shared" si="137"/>
        <v>2.8834774855758369</v>
      </c>
      <c r="BA92" s="1075"/>
      <c r="BB92" s="90">
        <f t="shared" si="203"/>
        <v>47593</v>
      </c>
      <c r="BC92" s="59"/>
      <c r="BD92" s="56">
        <v>47593</v>
      </c>
      <c r="BE92" s="56"/>
      <c r="BF92" s="58">
        <f t="shared" si="144"/>
        <v>48973</v>
      </c>
      <c r="BG92" s="58">
        <f t="shared" si="139"/>
        <v>82.334682270640997</v>
      </c>
      <c r="BH92" s="1133"/>
      <c r="BI92" s="63">
        <f t="shared" si="204"/>
        <v>768</v>
      </c>
      <c r="BJ92" s="64"/>
      <c r="BK92" s="64">
        <v>672</v>
      </c>
      <c r="BL92" s="64">
        <f t="shared" si="205"/>
        <v>96</v>
      </c>
      <c r="BM92" s="65">
        <f t="shared" si="109"/>
        <v>0.19427063518403095</v>
      </c>
      <c r="BN92" s="64">
        <f t="shared" si="206"/>
        <v>7280</v>
      </c>
      <c r="BO92" s="65">
        <f t="shared" si="176"/>
        <v>0.15886913111678888</v>
      </c>
      <c r="BP92" s="1071"/>
      <c r="BQ92" s="77">
        <f t="shared" si="193"/>
        <v>93925</v>
      </c>
      <c r="BR92" s="35"/>
      <c r="BS92" s="35">
        <f>18236+33746+36000</f>
        <v>87982</v>
      </c>
      <c r="BT92" s="35">
        <f t="shared" si="195"/>
        <v>5943</v>
      </c>
      <c r="BU92" s="74">
        <f>BT92*1000/D92</f>
        <v>1396.9067318540806</v>
      </c>
      <c r="BV92" s="74">
        <f t="shared" si="194"/>
        <v>353022</v>
      </c>
      <c r="BW92" s="74">
        <f t="shared" si="171"/>
        <v>593.50977486668626</v>
      </c>
      <c r="BX92" s="1098"/>
    </row>
    <row r="93" spans="1:76">
      <c r="A93" s="107">
        <v>43310</v>
      </c>
      <c r="B93" s="114">
        <v>451428</v>
      </c>
      <c r="C93" s="1">
        <f t="shared" si="141"/>
        <v>46275308</v>
      </c>
      <c r="D93" s="115">
        <v>5361.78</v>
      </c>
      <c r="E93" s="91">
        <f t="shared" si="145"/>
        <v>600165.80000000016</v>
      </c>
      <c r="F93" s="244"/>
      <c r="G93" s="227"/>
      <c r="H93" s="227"/>
      <c r="I93" s="227"/>
      <c r="J93" s="227"/>
      <c r="K93" s="227"/>
      <c r="L93" s="227"/>
      <c r="M93" s="227"/>
      <c r="N93" s="227"/>
      <c r="O93" s="227"/>
      <c r="P93" s="77">
        <f t="shared" si="196"/>
        <v>40125</v>
      </c>
      <c r="Q93" s="35"/>
      <c r="R93" s="35">
        <v>38012</v>
      </c>
      <c r="S93" s="35">
        <f t="shared" si="197"/>
        <v>2113</v>
      </c>
      <c r="T93" s="36">
        <f t="shared" si="142"/>
        <v>4.6807021274710472</v>
      </c>
      <c r="U93" s="74">
        <f t="shared" si="198"/>
        <v>175457</v>
      </c>
      <c r="V93" s="36">
        <f t="shared" si="172"/>
        <v>3.7915901067584468</v>
      </c>
      <c r="W93" s="1136"/>
      <c r="X93" s="49">
        <f t="shared" si="199"/>
        <v>1065</v>
      </c>
      <c r="Y93" s="50"/>
      <c r="Z93" s="50">
        <f>921+120</f>
        <v>1041</v>
      </c>
      <c r="AA93" s="50">
        <f>X93+Y93-Z93</f>
        <v>24</v>
      </c>
      <c r="AB93" s="51">
        <f>AA93*1000/B93</f>
        <v>5.3164624259018051E-2</v>
      </c>
      <c r="AC93" s="50">
        <f t="shared" si="200"/>
        <v>6405</v>
      </c>
      <c r="AD93" s="51">
        <f t="shared" si="174"/>
        <v>0.13841074812511242</v>
      </c>
      <c r="AE93" s="1047"/>
      <c r="AF93" s="40">
        <f t="shared" si="201"/>
        <v>1042</v>
      </c>
      <c r="AG93" s="41"/>
      <c r="AH93" s="41">
        <v>1042</v>
      </c>
      <c r="AI93" s="41"/>
      <c r="AJ93" s="42"/>
      <c r="AK93" s="41">
        <f t="shared" si="202"/>
        <v>4518</v>
      </c>
      <c r="AL93" s="42">
        <f t="shared" si="175"/>
        <v>9.7633061675137855E-2</v>
      </c>
      <c r="AM93" s="1058"/>
      <c r="AN93" s="67">
        <v>3</v>
      </c>
      <c r="AO93" s="67">
        <v>24</v>
      </c>
      <c r="AP93" s="68">
        <f t="shared" si="143"/>
        <v>38.160000000000004</v>
      </c>
      <c r="AQ93" s="68">
        <f t="shared" si="169"/>
        <v>7.1170394906169241</v>
      </c>
      <c r="AR93" s="69">
        <f t="shared" si="190"/>
        <v>4996.4615999999978</v>
      </c>
      <c r="AS93" s="140">
        <f t="shared" si="136"/>
        <v>8.3251354875602654</v>
      </c>
      <c r="AT93" s="1073"/>
      <c r="AU93" s="71">
        <v>3.2</v>
      </c>
      <c r="AV93" s="71">
        <v>10</v>
      </c>
      <c r="AW93" s="72">
        <f t="shared" si="191"/>
        <v>14.944000000000001</v>
      </c>
      <c r="AX93" s="72">
        <f t="shared" si="170"/>
        <v>2.7871341233694782</v>
      </c>
      <c r="AY93" s="73">
        <f t="shared" si="192"/>
        <v>1730.0480000000002</v>
      </c>
      <c r="AZ93" s="192">
        <f t="shared" si="137"/>
        <v>2.8826167702324921</v>
      </c>
      <c r="BA93" s="1075"/>
      <c r="BB93" s="90">
        <f t="shared" si="203"/>
        <v>47593</v>
      </c>
      <c r="BC93" s="59"/>
      <c r="BD93" s="56">
        <v>47099</v>
      </c>
      <c r="BE93" s="56">
        <f t="shared" si="138"/>
        <v>494</v>
      </c>
      <c r="BF93" s="58">
        <f t="shared" si="144"/>
        <v>49467</v>
      </c>
      <c r="BG93" s="58">
        <f t="shared" si="139"/>
        <v>82.422223992103497</v>
      </c>
      <c r="BH93" s="1133"/>
      <c r="BI93" s="63">
        <f t="shared" si="204"/>
        <v>672</v>
      </c>
      <c r="BJ93" s="64"/>
      <c r="BK93" s="64">
        <v>552</v>
      </c>
      <c r="BL93" s="64">
        <f t="shared" si="205"/>
        <v>120</v>
      </c>
      <c r="BM93" s="65">
        <f t="shared" si="109"/>
        <v>0.26582312129509023</v>
      </c>
      <c r="BN93" s="64">
        <f t="shared" si="206"/>
        <v>7400</v>
      </c>
      <c r="BO93" s="65">
        <f t="shared" si="176"/>
        <v>0.15991249588225323</v>
      </c>
      <c r="BP93" s="1071"/>
      <c r="BQ93" s="77">
        <f t="shared" si="193"/>
        <v>87982</v>
      </c>
      <c r="BR93" s="35"/>
      <c r="BS93" s="35">
        <f>11767+33746+36000</f>
        <v>81513</v>
      </c>
      <c r="BT93" s="35">
        <f t="shared" si="195"/>
        <v>6469</v>
      </c>
      <c r="BU93" s="74">
        <f>BT93*1000/D93</f>
        <v>1206.5023182599809</v>
      </c>
      <c r="BV93" s="74">
        <f t="shared" si="194"/>
        <v>359491</v>
      </c>
      <c r="BW93" s="74">
        <f t="shared" si="171"/>
        <v>598.98614682809296</v>
      </c>
      <c r="BX93" s="1098"/>
    </row>
    <row r="94" spans="1:76">
      <c r="A94" s="107">
        <v>43311</v>
      </c>
      <c r="B94" s="114">
        <v>421570</v>
      </c>
      <c r="C94" s="1">
        <f t="shared" si="141"/>
        <v>46696878</v>
      </c>
      <c r="D94" s="115">
        <v>5028.87</v>
      </c>
      <c r="E94" s="91">
        <f t="shared" si="145"/>
        <v>605194.67000000016</v>
      </c>
      <c r="F94" s="244"/>
      <c r="G94" s="227"/>
      <c r="H94" s="227"/>
      <c r="I94" s="227"/>
      <c r="J94" s="227"/>
      <c r="K94" s="227"/>
      <c r="L94" s="227"/>
      <c r="M94" s="227"/>
      <c r="N94" s="227"/>
      <c r="O94" s="227"/>
      <c r="P94" s="77">
        <f t="shared" si="196"/>
        <v>38012</v>
      </c>
      <c r="Q94" s="35"/>
      <c r="R94" s="35">
        <v>36147</v>
      </c>
      <c r="S94" s="35">
        <f t="shared" si="197"/>
        <v>1865</v>
      </c>
      <c r="T94" s="36">
        <f t="shared" si="142"/>
        <v>4.4239390848494908</v>
      </c>
      <c r="U94" s="74">
        <f t="shared" si="198"/>
        <v>177322</v>
      </c>
      <c r="V94" s="36">
        <f t="shared" si="172"/>
        <v>3.7972988258444174</v>
      </c>
      <c r="W94" s="1136"/>
      <c r="X94" s="49">
        <f t="shared" si="199"/>
        <v>1041</v>
      </c>
      <c r="Y94" s="50"/>
      <c r="Z94" s="50">
        <f>868+80</f>
        <v>948</v>
      </c>
      <c r="AA94" s="50">
        <f>X94+Y94-Z94</f>
        <v>93</v>
      </c>
      <c r="AB94" s="51">
        <f>AA94*1000/B94</f>
        <v>0.22060393291742772</v>
      </c>
      <c r="AC94" s="50">
        <f t="shared" si="200"/>
        <v>6498</v>
      </c>
      <c r="AD94" s="51">
        <f t="shared" si="174"/>
        <v>0.13915277162640294</v>
      </c>
      <c r="AE94" s="1047"/>
      <c r="AF94" s="40">
        <f t="shared" si="201"/>
        <v>1042</v>
      </c>
      <c r="AG94" s="41"/>
      <c r="AH94" s="41">
        <v>1023</v>
      </c>
      <c r="AI94" s="41">
        <f>AF94+AG94-AH94</f>
        <v>19</v>
      </c>
      <c r="AJ94" s="42">
        <f>AI94*1000/B94</f>
        <v>4.5069620703560499E-2</v>
      </c>
      <c r="AK94" s="41">
        <f t="shared" si="202"/>
        <v>4537</v>
      </c>
      <c r="AL94" s="42">
        <f t="shared" si="175"/>
        <v>9.7158529527391527E-2</v>
      </c>
      <c r="AM94" s="1058"/>
      <c r="AN94" s="67">
        <v>3.6</v>
      </c>
      <c r="AO94" s="67">
        <v>24</v>
      </c>
      <c r="AP94" s="68">
        <f t="shared" si="143"/>
        <v>45.792000000000009</v>
      </c>
      <c r="AQ94" s="68">
        <f t="shared" si="169"/>
        <v>9.1058229781243121</v>
      </c>
      <c r="AR94" s="69">
        <f t="shared" si="190"/>
        <v>5042.2535999999982</v>
      </c>
      <c r="AS94" s="140">
        <f t="shared" si="136"/>
        <v>8.3316226165706251</v>
      </c>
      <c r="AT94" s="1073"/>
      <c r="AU94" s="71">
        <v>4.2</v>
      </c>
      <c r="AV94" s="71">
        <v>10</v>
      </c>
      <c r="AW94" s="72">
        <f t="shared" si="191"/>
        <v>19.614000000000001</v>
      </c>
      <c r="AX94" s="72">
        <f t="shared" si="170"/>
        <v>3.9002797845241575</v>
      </c>
      <c r="AY94" s="73">
        <f t="shared" si="192"/>
        <v>1749.6620000000003</v>
      </c>
      <c r="AZ94" s="192">
        <f t="shared" si="137"/>
        <v>2.8910730492718977</v>
      </c>
      <c r="BA94" s="1075"/>
      <c r="BB94" s="90">
        <f t="shared" si="203"/>
        <v>47099</v>
      </c>
      <c r="BC94" s="59"/>
      <c r="BD94" s="56">
        <v>47099</v>
      </c>
      <c r="BE94" s="56"/>
      <c r="BF94" s="58">
        <f t="shared" si="144"/>
        <v>49467</v>
      </c>
      <c r="BG94" s="58">
        <f t="shared" si="139"/>
        <v>81.737335855915561</v>
      </c>
      <c r="BH94" s="1133"/>
      <c r="BI94" s="63">
        <f t="shared" si="204"/>
        <v>552</v>
      </c>
      <c r="BJ94" s="64"/>
      <c r="BK94" s="64">
        <v>456</v>
      </c>
      <c r="BL94" s="64">
        <f t="shared" si="205"/>
        <v>96</v>
      </c>
      <c r="BM94" s="65">
        <f t="shared" si="109"/>
        <v>0.22772018881798989</v>
      </c>
      <c r="BN94" s="64">
        <f t="shared" si="206"/>
        <v>7496</v>
      </c>
      <c r="BO94" s="65">
        <f t="shared" si="176"/>
        <v>0.16052465006332972</v>
      </c>
      <c r="BP94" s="1071"/>
      <c r="BQ94" s="77">
        <f t="shared" si="193"/>
        <v>81513</v>
      </c>
      <c r="BR94" s="35"/>
      <c r="BS94" s="35">
        <f>11767+33746+36000</f>
        <v>81513</v>
      </c>
      <c r="BT94" s="35"/>
      <c r="BU94" s="74"/>
      <c r="BV94" s="74">
        <f t="shared" si="194"/>
        <v>359491</v>
      </c>
      <c r="BW94" s="74">
        <f t="shared" si="171"/>
        <v>594.0088666015514</v>
      </c>
      <c r="BX94" s="1098"/>
    </row>
    <row r="95" spans="1:76" ht="15.75" thickBot="1">
      <c r="A95" s="170">
        <v>43312</v>
      </c>
      <c r="B95" s="171">
        <v>379014</v>
      </c>
      <c r="C95" s="78">
        <f t="shared" si="141"/>
        <v>47075892</v>
      </c>
      <c r="D95" s="172">
        <v>4661.5600000000004</v>
      </c>
      <c r="E95" s="110">
        <f t="shared" si="145"/>
        <v>609856.23000000021</v>
      </c>
      <c r="F95" s="256"/>
      <c r="G95" s="228"/>
      <c r="H95" s="228"/>
      <c r="I95" s="228"/>
      <c r="J95" s="228"/>
      <c r="K95" s="228"/>
      <c r="L95" s="228"/>
      <c r="M95" s="228"/>
      <c r="N95" s="228"/>
      <c r="O95" s="228"/>
      <c r="P95" s="79">
        <f t="shared" si="196"/>
        <v>36147</v>
      </c>
      <c r="Q95" s="76"/>
      <c r="R95" s="76">
        <v>34002</v>
      </c>
      <c r="S95" s="76">
        <f t="shared" si="197"/>
        <v>2145</v>
      </c>
      <c r="T95" s="80">
        <f t="shared" si="142"/>
        <v>5.6594215517104907</v>
      </c>
      <c r="U95" s="81">
        <f t="shared" si="198"/>
        <v>179467</v>
      </c>
      <c r="V95" s="80">
        <f t="shared" si="172"/>
        <v>3.8122910129881342</v>
      </c>
      <c r="W95" s="1137"/>
      <c r="X95" s="83">
        <f t="shared" si="199"/>
        <v>948</v>
      </c>
      <c r="Y95" s="82"/>
      <c r="Z95" s="82">
        <f>761+115</f>
        <v>876</v>
      </c>
      <c r="AA95" s="82">
        <f>X95+Y95-Z95</f>
        <v>72</v>
      </c>
      <c r="AB95" s="84">
        <f>AA95*1000/B95</f>
        <v>0.18996659753993256</v>
      </c>
      <c r="AC95" s="82">
        <f t="shared" si="200"/>
        <v>6570</v>
      </c>
      <c r="AD95" s="84">
        <f t="shared" si="174"/>
        <v>0.13956188020823906</v>
      </c>
      <c r="AE95" s="1048"/>
      <c r="AF95" s="95">
        <f t="shared" si="201"/>
        <v>1023</v>
      </c>
      <c r="AG95" s="96"/>
      <c r="AH95" s="96">
        <v>1023</v>
      </c>
      <c r="AI95" s="96"/>
      <c r="AJ95" s="97"/>
      <c r="AK95" s="96">
        <f t="shared" si="202"/>
        <v>4537</v>
      </c>
      <c r="AL95" s="97">
        <f t="shared" si="175"/>
        <v>9.6376293836344093E-2</v>
      </c>
      <c r="AM95" s="1059"/>
      <c r="AN95" s="215">
        <v>3.8</v>
      </c>
      <c r="AO95" s="101">
        <v>24</v>
      </c>
      <c r="AP95" s="111">
        <f t="shared" si="143"/>
        <v>48.335999999999999</v>
      </c>
      <c r="AQ95" s="111">
        <f t="shared" si="169"/>
        <v>10.369061001038277</v>
      </c>
      <c r="AR95" s="112">
        <f t="shared" si="190"/>
        <v>5090.5895999999984</v>
      </c>
      <c r="AS95" s="181">
        <f t="shared" si="136"/>
        <v>8.3471961908136887</v>
      </c>
      <c r="AT95" s="1074"/>
      <c r="AU95" s="113">
        <v>3</v>
      </c>
      <c r="AV95" s="104">
        <v>10</v>
      </c>
      <c r="AW95" s="72">
        <f t="shared" si="191"/>
        <v>14.010000000000002</v>
      </c>
      <c r="AX95" s="72">
        <f t="shared" si="170"/>
        <v>3.0054316580715472</v>
      </c>
      <c r="AY95" s="73">
        <f t="shared" si="192"/>
        <v>1763.6720000000003</v>
      </c>
      <c r="AZ95" s="192">
        <f t="shared" si="137"/>
        <v>2.8919471725327783</v>
      </c>
      <c r="BA95" s="1076"/>
      <c r="BB95" s="87">
        <f t="shared" si="203"/>
        <v>47099</v>
      </c>
      <c r="BC95" s="100"/>
      <c r="BD95" s="88">
        <v>40755</v>
      </c>
      <c r="BE95" s="88">
        <f t="shared" si="138"/>
        <v>6344</v>
      </c>
      <c r="BF95" s="89">
        <f t="shared" si="144"/>
        <v>55811</v>
      </c>
      <c r="BG95" s="89">
        <f t="shared" si="139"/>
        <v>91.515011661027032</v>
      </c>
      <c r="BH95" s="1134"/>
      <c r="BI95" s="207">
        <f t="shared" si="204"/>
        <v>456</v>
      </c>
      <c r="BJ95" s="85"/>
      <c r="BK95" s="85">
        <v>354</v>
      </c>
      <c r="BL95" s="85">
        <f t="shared" si="205"/>
        <v>102</v>
      </c>
      <c r="BM95" s="86">
        <f t="shared" si="109"/>
        <v>0.26911934651490449</v>
      </c>
      <c r="BN95" s="85">
        <f t="shared" si="206"/>
        <v>7598</v>
      </c>
      <c r="BO95" s="86">
        <f t="shared" si="176"/>
        <v>0.16139895979028926</v>
      </c>
      <c r="BP95" s="1072"/>
      <c r="BQ95" s="79">
        <f t="shared" si="193"/>
        <v>81513</v>
      </c>
      <c r="BR95" s="76"/>
      <c r="BS95" s="76">
        <f>8540+33746+36000</f>
        <v>78286</v>
      </c>
      <c r="BT95" s="76">
        <f t="shared" si="195"/>
        <v>3227</v>
      </c>
      <c r="BU95" s="81">
        <f>BT95*1000/D95</f>
        <v>692.25752752297512</v>
      </c>
      <c r="BV95" s="81">
        <f t="shared" si="194"/>
        <v>362718</v>
      </c>
      <c r="BW95" s="81">
        <f t="shared" si="171"/>
        <v>594.75985020272708</v>
      </c>
      <c r="BX95" s="1099"/>
    </row>
    <row r="96" spans="1:76">
      <c r="A96" s="261">
        <v>43313</v>
      </c>
      <c r="B96" s="114">
        <v>510846</v>
      </c>
      <c r="C96" s="206">
        <f t="shared" si="141"/>
        <v>47586738</v>
      </c>
      <c r="D96" s="115">
        <v>4865.68</v>
      </c>
      <c r="E96" s="205">
        <f t="shared" si="145"/>
        <v>614721.91000000027</v>
      </c>
      <c r="F96" s="229"/>
      <c r="G96" s="229"/>
      <c r="H96" s="229"/>
      <c r="I96" s="229"/>
      <c r="J96" s="229"/>
      <c r="K96" s="229"/>
      <c r="L96" s="229"/>
      <c r="M96" s="229"/>
      <c r="N96" s="229"/>
      <c r="O96" s="229"/>
      <c r="P96" s="117">
        <f t="shared" ref="P96:P107" si="207">R95</f>
        <v>34002</v>
      </c>
      <c r="Q96" s="118"/>
      <c r="R96" s="35">
        <v>32118</v>
      </c>
      <c r="S96" s="118">
        <f>P96-R96+Q96</f>
        <v>1884</v>
      </c>
      <c r="T96" s="119">
        <f t="shared" si="142"/>
        <v>3.6879999060382191</v>
      </c>
      <c r="U96" s="120">
        <f t="shared" ref="U96:U107" si="208">U95+S96</f>
        <v>181351</v>
      </c>
      <c r="V96" s="119">
        <f t="shared" si="172"/>
        <v>3.8109567417712054</v>
      </c>
      <c r="W96" s="1178">
        <f>1000*SUM(S96:S126)/SUM(B96:B126)</f>
        <v>5.8338780260738972</v>
      </c>
      <c r="X96" s="121">
        <f t="shared" ref="X96:X107" si="209">Z95</f>
        <v>876</v>
      </c>
      <c r="Y96" s="122"/>
      <c r="Z96" s="50">
        <f>743+110</f>
        <v>853</v>
      </c>
      <c r="AA96" s="122">
        <f>X96+Y96-Z96</f>
        <v>23</v>
      </c>
      <c r="AB96" s="123">
        <f>AA96*1000/B96</f>
        <v>4.502335341766403E-2</v>
      </c>
      <c r="AC96" s="122">
        <f t="shared" ref="AC96:AC107" si="210">AC95+AA96</f>
        <v>6593</v>
      </c>
      <c r="AD96" s="123">
        <f t="shared" si="174"/>
        <v>0.1385470044195927</v>
      </c>
      <c r="AE96" s="1049">
        <f>1000*SUM(AA96:AA126)/SUM(B96:B126)</f>
        <v>0.12599175028906301</v>
      </c>
      <c r="AF96" s="124">
        <f t="shared" ref="AF96:AF107" si="211">AH95</f>
        <v>1023</v>
      </c>
      <c r="AG96" s="125"/>
      <c r="AH96" s="41">
        <v>1023</v>
      </c>
      <c r="AI96" s="125"/>
      <c r="AJ96" s="126"/>
      <c r="AK96" s="125">
        <f t="shared" ref="AK96:AK107" si="212">AK95+AI96</f>
        <v>4537</v>
      </c>
      <c r="AL96" s="126">
        <f t="shared" si="175"/>
        <v>9.5341689527027471E-2</v>
      </c>
      <c r="AM96" s="1057">
        <f>1000*SUM(AI96:AI117)/SUM(B96:B117)</f>
        <v>5.8037723550317895E-2</v>
      </c>
      <c r="AN96" s="67">
        <v>3.5</v>
      </c>
      <c r="AO96" s="67">
        <v>24</v>
      </c>
      <c r="AP96" s="68">
        <f t="shared" si="143"/>
        <v>44.52</v>
      </c>
      <c r="AQ96" s="68">
        <f t="shared" si="169"/>
        <v>9.149800233471991</v>
      </c>
      <c r="AR96" s="69">
        <f t="shared" si="190"/>
        <v>5135.1095999999989</v>
      </c>
      <c r="AS96" s="140">
        <f t="shared" si="136"/>
        <v>8.3535490055983139</v>
      </c>
      <c r="AT96" s="1064">
        <f>1000*SUM(AP96:AP126)/SUM(D96:D126)</f>
        <v>10.362070991266858</v>
      </c>
      <c r="AU96" s="70">
        <v>2.9</v>
      </c>
      <c r="AV96" s="71">
        <v>10</v>
      </c>
      <c r="AW96" s="138">
        <f>AU96*AV96*0.467</f>
        <v>13.543000000000001</v>
      </c>
      <c r="AX96" s="138">
        <f t="shared" si="170"/>
        <v>2.7833725193600896</v>
      </c>
      <c r="AY96" s="139">
        <f>AY95+AW96</f>
        <v>1777.2150000000001</v>
      </c>
      <c r="AZ96" s="194">
        <f t="shared" si="137"/>
        <v>2.8910877765850245</v>
      </c>
      <c r="BA96" s="1065">
        <f>1000*SUM(AW96:AW126)/SUM(D96:D126)</f>
        <v>3.237107936664104</v>
      </c>
      <c r="BB96" s="90">
        <f t="shared" ref="BB96:BB107" si="213">BD95</f>
        <v>40755</v>
      </c>
      <c r="BC96" s="59"/>
      <c r="BD96" s="56">
        <v>39732</v>
      </c>
      <c r="BE96" s="56">
        <f>BB96+BC96-BD96</f>
        <v>1023</v>
      </c>
      <c r="BF96" s="58">
        <f t="shared" si="144"/>
        <v>56834</v>
      </c>
      <c r="BG96" s="58">
        <f t="shared" si="139"/>
        <v>92.45481424275242</v>
      </c>
      <c r="BH96" s="1132">
        <f>1000*SUM(BE96:BE126)/SUM(D96:D126)</f>
        <v>210.75646691826802</v>
      </c>
      <c r="BI96" s="63">
        <f t="shared" ref="BI96:BI107" si="214">BK95</f>
        <v>354</v>
      </c>
      <c r="BJ96" s="64"/>
      <c r="BK96" s="64">
        <v>240</v>
      </c>
      <c r="BL96" s="64">
        <f>BI96+BJ96-BK96</f>
        <v>114</v>
      </c>
      <c r="BM96" s="65">
        <f t="shared" si="109"/>
        <v>0.22315922998320434</v>
      </c>
      <c r="BN96" s="64">
        <f t="shared" ref="BN96:BN107" si="215">BN95+BL96</f>
        <v>7712</v>
      </c>
      <c r="BO96" s="65">
        <f t="shared" si="176"/>
        <v>0.16206195936355208</v>
      </c>
      <c r="BP96" s="1067">
        <f>1000*SUM(BL96:BL126)/SUM(B96:B126)</f>
        <v>0.23134015057528753</v>
      </c>
      <c r="BQ96" s="118">
        <f t="shared" si="193"/>
        <v>78286</v>
      </c>
      <c r="BR96" s="35"/>
      <c r="BS96" s="35">
        <f>7099+33746+36000</f>
        <v>76845</v>
      </c>
      <c r="BT96" s="118">
        <f>BQ96-BS96+BR96</f>
        <v>1441</v>
      </c>
      <c r="BU96" s="120">
        <f>BT96*1000/D96</f>
        <v>296.15593298367338</v>
      </c>
      <c r="BV96" s="120">
        <f t="shared" ref="BV96:BV107" si="216">BV95+BT96</f>
        <v>364159</v>
      </c>
      <c r="BW96" s="120">
        <f t="shared" si="171"/>
        <v>592.39632438023864</v>
      </c>
      <c r="BX96" s="1063">
        <f>1000*SUM(BT96:BT126)/SUM(D96:D126)</f>
        <v>564.77163374071176</v>
      </c>
    </row>
    <row r="97" spans="1:76">
      <c r="A97" s="262">
        <v>43314</v>
      </c>
      <c r="B97" s="114">
        <v>386767</v>
      </c>
      <c r="C97" s="1">
        <f t="shared" si="141"/>
        <v>47973505</v>
      </c>
      <c r="D97" s="115">
        <v>4207.3599999999997</v>
      </c>
      <c r="E97" s="93">
        <f t="shared" si="145"/>
        <v>618929.27000000025</v>
      </c>
      <c r="F97" s="227"/>
      <c r="G97" s="227"/>
      <c r="H97" s="227"/>
      <c r="I97" s="227"/>
      <c r="J97" s="227"/>
      <c r="K97" s="227"/>
      <c r="L97" s="227"/>
      <c r="M97" s="227"/>
      <c r="N97" s="227"/>
      <c r="O97" s="227"/>
      <c r="P97" s="77">
        <f t="shared" si="207"/>
        <v>32118</v>
      </c>
      <c r="Q97" s="35"/>
      <c r="R97" s="35">
        <v>29964</v>
      </c>
      <c r="S97" s="35">
        <f>P97-R97+Q97</f>
        <v>2154</v>
      </c>
      <c r="T97" s="36">
        <f t="shared" si="142"/>
        <v>5.5692445322377555</v>
      </c>
      <c r="U97" s="74">
        <f t="shared" si="208"/>
        <v>183505</v>
      </c>
      <c r="V97" s="36">
        <f t="shared" si="172"/>
        <v>3.8251322266321797</v>
      </c>
      <c r="W97" s="1179"/>
      <c r="X97" s="49">
        <f t="shared" si="209"/>
        <v>853</v>
      </c>
      <c r="Y97" s="50"/>
      <c r="Z97" s="50">
        <f>743+110</f>
        <v>853</v>
      </c>
      <c r="AA97" s="50"/>
      <c r="AB97" s="51"/>
      <c r="AC97" s="50">
        <f t="shared" si="210"/>
        <v>6593</v>
      </c>
      <c r="AD97" s="51">
        <f t="shared" si="174"/>
        <v>0.13743002517743907</v>
      </c>
      <c r="AE97" s="1050"/>
      <c r="AF97" s="40">
        <f t="shared" si="211"/>
        <v>1023</v>
      </c>
      <c r="AG97" s="41"/>
      <c r="AH97" s="41">
        <v>1004</v>
      </c>
      <c r="AI97" s="41">
        <f>AF97+AG97-AH97</f>
        <v>19</v>
      </c>
      <c r="AJ97" s="42">
        <f>AI97*1000/B97</f>
        <v>4.9125183896247614E-2</v>
      </c>
      <c r="AK97" s="41">
        <f t="shared" si="212"/>
        <v>4556</v>
      </c>
      <c r="AL97" s="42">
        <f t="shared" si="175"/>
        <v>9.4969087624512741E-2</v>
      </c>
      <c r="AM97" s="1058"/>
      <c r="AN97" s="67">
        <v>3.4</v>
      </c>
      <c r="AO97" s="67">
        <v>24</v>
      </c>
      <c r="AP97" s="68">
        <f t="shared" si="143"/>
        <v>43.247999999999998</v>
      </c>
      <c r="AQ97" s="68">
        <f t="shared" si="169"/>
        <v>10.279129905689079</v>
      </c>
      <c r="AR97" s="69">
        <f t="shared" si="190"/>
        <v>5178.3575999999985</v>
      </c>
      <c r="AS97" s="140">
        <f t="shared" si="136"/>
        <v>8.3666387275560528</v>
      </c>
      <c r="AT97" s="1073"/>
      <c r="AU97" s="70">
        <v>2.5</v>
      </c>
      <c r="AV97" s="71">
        <v>10</v>
      </c>
      <c r="AW97" s="72">
        <f>AU97*AV97*0.467</f>
        <v>11.675000000000001</v>
      </c>
      <c r="AX97" s="72">
        <f t="shared" si="170"/>
        <v>2.7748992242166111</v>
      </c>
      <c r="AY97" s="73">
        <f>AY96+AW97</f>
        <v>1788.89</v>
      </c>
      <c r="AZ97" s="192">
        <f t="shared" si="137"/>
        <v>2.890297949554073</v>
      </c>
      <c r="BA97" s="1075"/>
      <c r="BB97" s="90">
        <f t="shared" si="213"/>
        <v>39732</v>
      </c>
      <c r="BC97" s="59"/>
      <c r="BD97" s="56">
        <v>39732</v>
      </c>
      <c r="BE97" s="56"/>
      <c r="BF97" s="58">
        <f t="shared" si="144"/>
        <v>56834</v>
      </c>
      <c r="BG97" s="58">
        <f t="shared" si="139"/>
        <v>91.826324516854697</v>
      </c>
      <c r="BH97" s="1133"/>
      <c r="BI97" s="63">
        <f t="shared" si="214"/>
        <v>240</v>
      </c>
      <c r="BJ97" s="64"/>
      <c r="BK97" s="64">
        <v>120</v>
      </c>
      <c r="BL97" s="64">
        <f>BI97+BJ97-BK97</f>
        <v>120</v>
      </c>
      <c r="BM97" s="65">
        <f t="shared" si="109"/>
        <v>0.31026431934472176</v>
      </c>
      <c r="BN97" s="64">
        <f t="shared" si="215"/>
        <v>7832</v>
      </c>
      <c r="BO97" s="65">
        <f t="shared" si="176"/>
        <v>0.16325678100860047</v>
      </c>
      <c r="BP97" s="1071"/>
      <c r="BQ97" s="35">
        <f t="shared" si="193"/>
        <v>76845</v>
      </c>
      <c r="BR97" s="35"/>
      <c r="BS97" s="35">
        <f>2582+33746+36000</f>
        <v>72328</v>
      </c>
      <c r="BT97" s="35">
        <f>BQ97-BS97+BR97</f>
        <v>4517</v>
      </c>
      <c r="BU97" s="74">
        <f>BT97*1000/D97</f>
        <v>1073.5948433221783</v>
      </c>
      <c r="BV97" s="74">
        <f t="shared" si="216"/>
        <v>368676</v>
      </c>
      <c r="BW97" s="74">
        <f t="shared" si="171"/>
        <v>595.66741770024839</v>
      </c>
      <c r="BX97" s="1098"/>
    </row>
    <row r="98" spans="1:76">
      <c r="A98" s="262">
        <v>43315</v>
      </c>
      <c r="B98" s="114">
        <v>247314</v>
      </c>
      <c r="C98" s="1">
        <f t="shared" si="141"/>
        <v>48220819</v>
      </c>
      <c r="E98" s="93">
        <f t="shared" si="145"/>
        <v>618929.27000000025</v>
      </c>
      <c r="F98" s="227"/>
      <c r="G98" s="227"/>
      <c r="H98" s="227"/>
      <c r="I98" s="227"/>
      <c r="J98" s="227"/>
      <c r="K98" s="227"/>
      <c r="L98" s="227"/>
      <c r="M98" s="227"/>
      <c r="N98" s="227"/>
      <c r="O98" s="227"/>
      <c r="P98" s="77">
        <f t="shared" si="207"/>
        <v>29964</v>
      </c>
      <c r="Q98" s="35"/>
      <c r="R98" s="35">
        <v>29964</v>
      </c>
      <c r="S98" s="35"/>
      <c r="T98" s="36"/>
      <c r="U98" s="74">
        <f t="shared" si="208"/>
        <v>183505</v>
      </c>
      <c r="V98" s="36">
        <f t="shared" si="172"/>
        <v>3.8055139627553816</v>
      </c>
      <c r="W98" s="1179"/>
      <c r="X98" s="49">
        <f t="shared" si="209"/>
        <v>853</v>
      </c>
      <c r="Y98" s="50"/>
      <c r="Z98" s="50">
        <f>671+110</f>
        <v>781</v>
      </c>
      <c r="AA98" s="50">
        <f>X98+Y98-Z98</f>
        <v>72</v>
      </c>
      <c r="AB98" s="51">
        <f>AA98*1000/B98</f>
        <v>0.29112787792037653</v>
      </c>
      <c r="AC98" s="50">
        <f t="shared" si="210"/>
        <v>6665</v>
      </c>
      <c r="AD98" s="51">
        <f t="shared" si="174"/>
        <v>0.1382183077396508</v>
      </c>
      <c r="AE98" s="1050"/>
      <c r="AF98" s="40">
        <f t="shared" si="211"/>
        <v>1004</v>
      </c>
      <c r="AG98" s="41"/>
      <c r="AH98" s="41">
        <v>1004</v>
      </c>
      <c r="AI98" s="41"/>
      <c r="AJ98" s="42"/>
      <c r="AK98" s="41">
        <f t="shared" si="212"/>
        <v>4556</v>
      </c>
      <c r="AL98" s="42">
        <f t="shared" si="175"/>
        <v>9.4482012012280417E-2</v>
      </c>
      <c r="AM98" s="1058"/>
      <c r="AN98" s="67">
        <v>1.1000000000000001</v>
      </c>
      <c r="AO98" s="67">
        <v>24</v>
      </c>
      <c r="AP98" s="68">
        <f t="shared" si="143"/>
        <v>13.992000000000003</v>
      </c>
      <c r="AQ98" s="68"/>
      <c r="AR98" s="69">
        <f t="shared" si="190"/>
        <v>5192.3495999999986</v>
      </c>
      <c r="AS98" s="140">
        <f t="shared" si="136"/>
        <v>8.3892455110419917</v>
      </c>
      <c r="AT98" s="1073"/>
      <c r="AU98" s="70">
        <v>0.2</v>
      </c>
      <c r="AV98" s="71">
        <v>10</v>
      </c>
      <c r="AW98" s="72">
        <f>AU98*AV98*0.467</f>
        <v>0.93400000000000005</v>
      </c>
      <c r="AX98" s="72"/>
      <c r="AY98" s="73">
        <f>AY97+AW98</f>
        <v>1789.8240000000001</v>
      </c>
      <c r="AZ98" s="192">
        <f t="shared" si="137"/>
        <v>2.8918070072853386</v>
      </c>
      <c r="BA98" s="1075"/>
      <c r="BB98" s="90">
        <f t="shared" si="213"/>
        <v>39732</v>
      </c>
      <c r="BC98" s="59"/>
      <c r="BD98" s="56">
        <v>39732</v>
      </c>
      <c r="BE98" s="56"/>
      <c r="BF98" s="58">
        <f t="shared" si="144"/>
        <v>56834</v>
      </c>
      <c r="BG98" s="58">
        <f t="shared" si="139"/>
        <v>91.826324516854697</v>
      </c>
      <c r="BH98" s="1133"/>
      <c r="BI98" s="63">
        <f t="shared" si="214"/>
        <v>120</v>
      </c>
      <c r="BJ98" s="64"/>
      <c r="BK98" s="64">
        <v>120</v>
      </c>
      <c r="BL98" s="64"/>
      <c r="BM98" s="65"/>
      <c r="BN98" s="64">
        <f t="shared" si="215"/>
        <v>7832</v>
      </c>
      <c r="BO98" s="65">
        <f t="shared" si="176"/>
        <v>0.16241947280074193</v>
      </c>
      <c r="BP98" s="1071"/>
      <c r="BQ98" s="35">
        <f t="shared" si="193"/>
        <v>72328</v>
      </c>
      <c r="BR98" s="35"/>
      <c r="BS98" s="35">
        <v>72328</v>
      </c>
      <c r="BT98" s="35"/>
      <c r="BU98" s="74"/>
      <c r="BV98" s="74">
        <f t="shared" si="216"/>
        <v>368676</v>
      </c>
      <c r="BW98" s="74">
        <f t="shared" si="171"/>
        <v>595.66741770024839</v>
      </c>
      <c r="BX98" s="1098"/>
    </row>
    <row r="99" spans="1:76">
      <c r="A99" s="262">
        <v>43316</v>
      </c>
      <c r="C99" s="1">
        <f t="shared" si="141"/>
        <v>48220819</v>
      </c>
      <c r="E99" s="93">
        <f t="shared" si="145"/>
        <v>618929.27000000025</v>
      </c>
      <c r="F99" s="227"/>
      <c r="G99" s="227"/>
      <c r="H99" s="227"/>
      <c r="I99" s="227"/>
      <c r="J99" s="227"/>
      <c r="K99" s="227"/>
      <c r="L99" s="227"/>
      <c r="M99" s="227"/>
      <c r="N99" s="227"/>
      <c r="O99" s="227"/>
      <c r="P99" s="77">
        <f t="shared" si="207"/>
        <v>29964</v>
      </c>
      <c r="Q99" s="35"/>
      <c r="R99" s="35">
        <v>29964</v>
      </c>
      <c r="S99" s="35"/>
      <c r="T99" s="36"/>
      <c r="U99" s="74">
        <f t="shared" si="208"/>
        <v>183505</v>
      </c>
      <c r="V99" s="36">
        <f t="shared" si="172"/>
        <v>3.8055139627553816</v>
      </c>
      <c r="W99" s="1179"/>
      <c r="X99" s="49">
        <f t="shared" si="209"/>
        <v>781</v>
      </c>
      <c r="Y99" s="50"/>
      <c r="Z99" s="50">
        <f t="shared" ref="Z99:Z106" si="217">671+110</f>
        <v>781</v>
      </c>
      <c r="AA99" s="50"/>
      <c r="AB99" s="51"/>
      <c r="AC99" s="50">
        <f t="shared" si="210"/>
        <v>6665</v>
      </c>
      <c r="AD99" s="51">
        <f t="shared" si="174"/>
        <v>0.1382183077396508</v>
      </c>
      <c r="AE99" s="1050"/>
      <c r="AF99" s="40">
        <f t="shared" si="211"/>
        <v>1004</v>
      </c>
      <c r="AG99" s="41"/>
      <c r="AH99" s="41">
        <v>1004</v>
      </c>
      <c r="AI99" s="41"/>
      <c r="AJ99" s="42"/>
      <c r="AK99" s="41">
        <f t="shared" si="212"/>
        <v>4556</v>
      </c>
      <c r="AL99" s="42">
        <f t="shared" si="175"/>
        <v>9.4482012012280417E-2</v>
      </c>
      <c r="AM99" s="1058"/>
      <c r="AN99" s="67">
        <v>0</v>
      </c>
      <c r="AO99" s="67">
        <v>24</v>
      </c>
      <c r="AP99" s="68">
        <f t="shared" si="143"/>
        <v>0</v>
      </c>
      <c r="AQ99" s="68"/>
      <c r="AR99" s="69">
        <f t="shared" si="190"/>
        <v>5192.3495999999986</v>
      </c>
      <c r="AS99" s="140">
        <f t="shared" ref="AS99:AS130" si="218">AR99*1000/E99</f>
        <v>8.3892455110419917</v>
      </c>
      <c r="AT99" s="1073"/>
      <c r="AU99" s="70"/>
      <c r="AV99" s="71">
        <v>10</v>
      </c>
      <c r="AW99" s="72"/>
      <c r="AX99" s="72"/>
      <c r="AY99" s="73">
        <f t="shared" ref="AY99:AY126" si="219">AY98+AW99</f>
        <v>1789.8240000000001</v>
      </c>
      <c r="AZ99" s="192">
        <f t="shared" ref="AZ99:AZ130" si="220">AY99*1000/E99</f>
        <v>2.8918070072853386</v>
      </c>
      <c r="BA99" s="1075"/>
      <c r="BB99" s="90">
        <f t="shared" si="213"/>
        <v>39732</v>
      </c>
      <c r="BC99" s="59"/>
      <c r="BD99" s="56">
        <v>39732</v>
      </c>
      <c r="BE99" s="56"/>
      <c r="BF99" s="58">
        <f t="shared" si="144"/>
        <v>56834</v>
      </c>
      <c r="BG99" s="58">
        <f t="shared" ref="BG99:BG130" si="221">BF99*1000/E99</f>
        <v>91.826324516854697</v>
      </c>
      <c r="BH99" s="1133"/>
      <c r="BI99" s="63">
        <f t="shared" si="214"/>
        <v>120</v>
      </c>
      <c r="BJ99" s="64"/>
      <c r="BK99" s="64">
        <v>120</v>
      </c>
      <c r="BL99" s="64"/>
      <c r="BM99" s="65"/>
      <c r="BN99" s="64">
        <f t="shared" si="215"/>
        <v>7832</v>
      </c>
      <c r="BO99" s="65">
        <f t="shared" si="176"/>
        <v>0.16241947280074193</v>
      </c>
      <c r="BP99" s="1071"/>
      <c r="BQ99" s="35">
        <f t="shared" si="193"/>
        <v>72328</v>
      </c>
      <c r="BR99" s="35"/>
      <c r="BS99" s="35">
        <f t="shared" ref="BS99:BS104" si="222">2582+33746+36000</f>
        <v>72328</v>
      </c>
      <c r="BT99" s="35"/>
      <c r="BU99" s="74"/>
      <c r="BV99" s="74">
        <f t="shared" si="216"/>
        <v>368676</v>
      </c>
      <c r="BW99" s="74">
        <f t="shared" si="171"/>
        <v>595.66741770024839</v>
      </c>
      <c r="BX99" s="1098"/>
    </row>
    <row r="100" spans="1:76">
      <c r="A100" s="262">
        <v>43317</v>
      </c>
      <c r="C100" s="1">
        <f t="shared" si="141"/>
        <v>48220819</v>
      </c>
      <c r="E100" s="93">
        <f t="shared" si="145"/>
        <v>618929.27000000025</v>
      </c>
      <c r="F100" s="227"/>
      <c r="G100" s="227"/>
      <c r="H100" s="227"/>
      <c r="I100" s="227"/>
      <c r="J100" s="227"/>
      <c r="K100" s="227"/>
      <c r="L100" s="227"/>
      <c r="M100" s="227"/>
      <c r="N100" s="227"/>
      <c r="O100" s="227"/>
      <c r="P100" s="77">
        <f t="shared" si="207"/>
        <v>29964</v>
      </c>
      <c r="Q100" s="35"/>
      <c r="R100" s="35">
        <v>29964</v>
      </c>
      <c r="S100" s="35"/>
      <c r="T100" s="36"/>
      <c r="U100" s="74">
        <f t="shared" si="208"/>
        <v>183505</v>
      </c>
      <c r="V100" s="36">
        <f t="shared" si="172"/>
        <v>3.8055139627553816</v>
      </c>
      <c r="W100" s="1179"/>
      <c r="X100" s="49">
        <f t="shared" si="209"/>
        <v>781</v>
      </c>
      <c r="Y100" s="50"/>
      <c r="Z100" s="50">
        <f t="shared" si="217"/>
        <v>781</v>
      </c>
      <c r="AA100" s="50"/>
      <c r="AB100" s="51"/>
      <c r="AC100" s="50">
        <f t="shared" si="210"/>
        <v>6665</v>
      </c>
      <c r="AD100" s="51">
        <f t="shared" si="174"/>
        <v>0.1382183077396508</v>
      </c>
      <c r="AE100" s="1050"/>
      <c r="AF100" s="40">
        <f t="shared" si="211"/>
        <v>1004</v>
      </c>
      <c r="AG100" s="41"/>
      <c r="AH100" s="41">
        <v>1004</v>
      </c>
      <c r="AI100" s="41"/>
      <c r="AJ100" s="42"/>
      <c r="AK100" s="41">
        <f t="shared" si="212"/>
        <v>4556</v>
      </c>
      <c r="AL100" s="42">
        <f t="shared" si="175"/>
        <v>9.4482012012280417E-2</v>
      </c>
      <c r="AM100" s="1058"/>
      <c r="AN100" s="67">
        <v>0</v>
      </c>
      <c r="AO100" s="67">
        <v>24</v>
      </c>
      <c r="AP100" s="68">
        <f t="shared" si="143"/>
        <v>0</v>
      </c>
      <c r="AQ100" s="68"/>
      <c r="AR100" s="69">
        <f t="shared" si="190"/>
        <v>5192.3495999999986</v>
      </c>
      <c r="AS100" s="140">
        <f t="shared" si="218"/>
        <v>8.3892455110419917</v>
      </c>
      <c r="AT100" s="1073"/>
      <c r="AU100" s="70"/>
      <c r="AV100" s="71">
        <v>10</v>
      </c>
      <c r="AW100" s="72"/>
      <c r="AX100" s="72"/>
      <c r="AY100" s="73">
        <f t="shared" si="219"/>
        <v>1789.8240000000001</v>
      </c>
      <c r="AZ100" s="192">
        <f t="shared" si="220"/>
        <v>2.8918070072853386</v>
      </c>
      <c r="BA100" s="1075"/>
      <c r="BB100" s="90">
        <f t="shared" si="213"/>
        <v>39732</v>
      </c>
      <c r="BC100" s="59"/>
      <c r="BD100" s="56">
        <v>39732</v>
      </c>
      <c r="BE100" s="56"/>
      <c r="BF100" s="58">
        <f t="shared" si="144"/>
        <v>56834</v>
      </c>
      <c r="BG100" s="58">
        <f t="shared" si="221"/>
        <v>91.826324516854697</v>
      </c>
      <c r="BH100" s="1133"/>
      <c r="BI100" s="63">
        <f t="shared" si="214"/>
        <v>120</v>
      </c>
      <c r="BJ100" s="64"/>
      <c r="BK100" s="64">
        <v>120</v>
      </c>
      <c r="BL100" s="64"/>
      <c r="BM100" s="65"/>
      <c r="BN100" s="64">
        <f t="shared" si="215"/>
        <v>7832</v>
      </c>
      <c r="BO100" s="65">
        <f t="shared" si="176"/>
        <v>0.16241947280074193</v>
      </c>
      <c r="BP100" s="1071"/>
      <c r="BQ100" s="35">
        <f t="shared" si="193"/>
        <v>72328</v>
      </c>
      <c r="BR100" s="35"/>
      <c r="BS100" s="35">
        <f t="shared" si="222"/>
        <v>72328</v>
      </c>
      <c r="BT100" s="35"/>
      <c r="BU100" s="74"/>
      <c r="BV100" s="74">
        <f t="shared" si="216"/>
        <v>368676</v>
      </c>
      <c r="BW100" s="74">
        <f t="shared" si="171"/>
        <v>595.66741770024839</v>
      </c>
      <c r="BX100" s="1098"/>
    </row>
    <row r="101" spans="1:76">
      <c r="A101" s="262">
        <v>43318</v>
      </c>
      <c r="C101" s="1">
        <f t="shared" si="141"/>
        <v>48220819</v>
      </c>
      <c r="E101" s="93">
        <f t="shared" si="145"/>
        <v>618929.27000000025</v>
      </c>
      <c r="F101" s="227"/>
      <c r="G101" s="227"/>
      <c r="H101" s="227"/>
      <c r="I101" s="227"/>
      <c r="J101" s="227"/>
      <c r="K101" s="227"/>
      <c r="L101" s="227"/>
      <c r="M101" s="227"/>
      <c r="N101" s="227"/>
      <c r="O101" s="227"/>
      <c r="P101" s="77">
        <f t="shared" si="207"/>
        <v>29964</v>
      </c>
      <c r="Q101" s="35"/>
      <c r="R101" s="35">
        <v>29964</v>
      </c>
      <c r="S101" s="35"/>
      <c r="T101" s="36"/>
      <c r="U101" s="74">
        <f t="shared" si="208"/>
        <v>183505</v>
      </c>
      <c r="V101" s="36">
        <f t="shared" si="172"/>
        <v>3.8055139627553816</v>
      </c>
      <c r="W101" s="1179"/>
      <c r="X101" s="49">
        <f t="shared" si="209"/>
        <v>781</v>
      </c>
      <c r="Y101" s="50"/>
      <c r="Z101" s="50">
        <f t="shared" si="217"/>
        <v>781</v>
      </c>
      <c r="AA101" s="50"/>
      <c r="AB101" s="51"/>
      <c r="AC101" s="50">
        <f t="shared" si="210"/>
        <v>6665</v>
      </c>
      <c r="AD101" s="51">
        <f t="shared" si="174"/>
        <v>0.1382183077396508</v>
      </c>
      <c r="AE101" s="1050"/>
      <c r="AF101" s="40">
        <f t="shared" si="211"/>
        <v>1004</v>
      </c>
      <c r="AG101" s="41"/>
      <c r="AH101" s="41">
        <v>1004</v>
      </c>
      <c r="AI101" s="41"/>
      <c r="AJ101" s="42"/>
      <c r="AK101" s="41">
        <f t="shared" si="212"/>
        <v>4556</v>
      </c>
      <c r="AL101" s="42">
        <f t="shared" si="175"/>
        <v>9.4482012012280417E-2</v>
      </c>
      <c r="AM101" s="1058"/>
      <c r="AN101" s="67">
        <v>0</v>
      </c>
      <c r="AO101" s="67">
        <v>24</v>
      </c>
      <c r="AP101" s="68">
        <f t="shared" si="143"/>
        <v>0</v>
      </c>
      <c r="AQ101" s="68"/>
      <c r="AR101" s="69">
        <f t="shared" si="190"/>
        <v>5192.3495999999986</v>
      </c>
      <c r="AS101" s="140">
        <f t="shared" si="218"/>
        <v>8.3892455110419917</v>
      </c>
      <c r="AT101" s="1073"/>
      <c r="AU101" s="70"/>
      <c r="AV101" s="71">
        <v>10</v>
      </c>
      <c r="AW101" s="72"/>
      <c r="AX101" s="72"/>
      <c r="AY101" s="73">
        <f t="shared" si="219"/>
        <v>1789.8240000000001</v>
      </c>
      <c r="AZ101" s="192">
        <f t="shared" si="220"/>
        <v>2.8918070072853386</v>
      </c>
      <c r="BA101" s="1075"/>
      <c r="BB101" s="90">
        <f t="shared" si="213"/>
        <v>39732</v>
      </c>
      <c r="BC101" s="59"/>
      <c r="BD101" s="56">
        <v>39732</v>
      </c>
      <c r="BE101" s="56"/>
      <c r="BF101" s="58">
        <f t="shared" ref="BF101:BF110" si="223">BF100+BE101</f>
        <v>56834</v>
      </c>
      <c r="BG101" s="58">
        <f t="shared" si="221"/>
        <v>91.826324516854697</v>
      </c>
      <c r="BH101" s="1133"/>
      <c r="BI101" s="63">
        <f t="shared" si="214"/>
        <v>120</v>
      </c>
      <c r="BJ101" s="64"/>
      <c r="BK101" s="64">
        <v>120</v>
      </c>
      <c r="BL101" s="64"/>
      <c r="BM101" s="65"/>
      <c r="BN101" s="64">
        <f t="shared" si="215"/>
        <v>7832</v>
      </c>
      <c r="BO101" s="65">
        <f t="shared" si="176"/>
        <v>0.16241947280074193</v>
      </c>
      <c r="BP101" s="1071"/>
      <c r="BQ101" s="35">
        <f t="shared" si="193"/>
        <v>72328</v>
      </c>
      <c r="BR101" s="35"/>
      <c r="BS101" s="35">
        <f t="shared" si="222"/>
        <v>72328</v>
      </c>
      <c r="BT101" s="35"/>
      <c r="BU101" s="74"/>
      <c r="BV101" s="74">
        <f t="shared" si="216"/>
        <v>368676</v>
      </c>
      <c r="BW101" s="74">
        <f t="shared" si="171"/>
        <v>595.66741770024839</v>
      </c>
      <c r="BX101" s="1098"/>
    </row>
    <row r="102" spans="1:76">
      <c r="A102" s="262">
        <v>43319</v>
      </c>
      <c r="C102" s="1">
        <f t="shared" si="141"/>
        <v>48220819</v>
      </c>
      <c r="E102" s="93">
        <f t="shared" si="145"/>
        <v>618929.27000000025</v>
      </c>
      <c r="F102" s="227"/>
      <c r="G102" s="227"/>
      <c r="H102" s="227"/>
      <c r="I102" s="227"/>
      <c r="J102" s="227"/>
      <c r="K102" s="227"/>
      <c r="L102" s="227"/>
      <c r="M102" s="227"/>
      <c r="N102" s="227"/>
      <c r="O102" s="227"/>
      <c r="P102" s="77">
        <f t="shared" si="207"/>
        <v>29964</v>
      </c>
      <c r="Q102" s="35"/>
      <c r="R102" s="35">
        <v>29964</v>
      </c>
      <c r="S102" s="35"/>
      <c r="T102" s="36"/>
      <c r="U102" s="74">
        <f t="shared" si="208"/>
        <v>183505</v>
      </c>
      <c r="V102" s="36">
        <f t="shared" si="172"/>
        <v>3.8055139627553816</v>
      </c>
      <c r="W102" s="1179"/>
      <c r="X102" s="49">
        <f t="shared" si="209"/>
        <v>781</v>
      </c>
      <c r="Y102" s="50"/>
      <c r="Z102" s="50">
        <f t="shared" si="217"/>
        <v>781</v>
      </c>
      <c r="AA102" s="50"/>
      <c r="AB102" s="51"/>
      <c r="AC102" s="50">
        <f t="shared" si="210"/>
        <v>6665</v>
      </c>
      <c r="AD102" s="51">
        <f t="shared" si="174"/>
        <v>0.1382183077396508</v>
      </c>
      <c r="AE102" s="1050"/>
      <c r="AF102" s="40">
        <f t="shared" si="211"/>
        <v>1004</v>
      </c>
      <c r="AG102" s="41"/>
      <c r="AH102" s="41">
        <v>1004</v>
      </c>
      <c r="AI102" s="41"/>
      <c r="AJ102" s="42"/>
      <c r="AK102" s="41">
        <f t="shared" si="212"/>
        <v>4556</v>
      </c>
      <c r="AL102" s="42">
        <f t="shared" si="175"/>
        <v>9.4482012012280417E-2</v>
      </c>
      <c r="AM102" s="1058"/>
      <c r="AN102" s="67">
        <v>0</v>
      </c>
      <c r="AO102" s="67">
        <v>24</v>
      </c>
      <c r="AP102" s="68">
        <f t="shared" si="143"/>
        <v>0</v>
      </c>
      <c r="AQ102" s="68"/>
      <c r="AR102" s="69">
        <f t="shared" si="190"/>
        <v>5192.3495999999986</v>
      </c>
      <c r="AS102" s="140">
        <f t="shared" si="218"/>
        <v>8.3892455110419917</v>
      </c>
      <c r="AT102" s="1073"/>
      <c r="AU102" s="70"/>
      <c r="AV102" s="71">
        <v>10</v>
      </c>
      <c r="AW102" s="72"/>
      <c r="AX102" s="72"/>
      <c r="AY102" s="73">
        <f t="shared" si="219"/>
        <v>1789.8240000000001</v>
      </c>
      <c r="AZ102" s="192">
        <f t="shared" si="220"/>
        <v>2.8918070072853386</v>
      </c>
      <c r="BA102" s="1075"/>
      <c r="BB102" s="90">
        <f t="shared" si="213"/>
        <v>39732</v>
      </c>
      <c r="BC102" s="59"/>
      <c r="BD102" s="56">
        <v>39732</v>
      </c>
      <c r="BE102" s="56"/>
      <c r="BF102" s="58">
        <f t="shared" si="223"/>
        <v>56834</v>
      </c>
      <c r="BG102" s="58">
        <f t="shared" si="221"/>
        <v>91.826324516854697</v>
      </c>
      <c r="BH102" s="1133"/>
      <c r="BI102" s="63">
        <f t="shared" si="214"/>
        <v>120</v>
      </c>
      <c r="BJ102" s="64"/>
      <c r="BK102" s="64">
        <v>120</v>
      </c>
      <c r="BL102" s="64"/>
      <c r="BM102" s="65"/>
      <c r="BN102" s="64">
        <f t="shared" si="215"/>
        <v>7832</v>
      </c>
      <c r="BO102" s="65">
        <f t="shared" si="176"/>
        <v>0.16241947280074193</v>
      </c>
      <c r="BP102" s="1071"/>
      <c r="BQ102" s="35">
        <f t="shared" si="193"/>
        <v>72328</v>
      </c>
      <c r="BR102" s="35"/>
      <c r="BS102" s="35">
        <f t="shared" si="222"/>
        <v>72328</v>
      </c>
      <c r="BT102" s="35"/>
      <c r="BU102" s="74"/>
      <c r="BV102" s="74">
        <f t="shared" si="216"/>
        <v>368676</v>
      </c>
      <c r="BW102" s="74">
        <f t="shared" si="171"/>
        <v>595.66741770024839</v>
      </c>
      <c r="BX102" s="1098"/>
    </row>
    <row r="103" spans="1:76">
      <c r="A103" s="262">
        <v>43320</v>
      </c>
      <c r="C103" s="1">
        <f t="shared" si="141"/>
        <v>48220819</v>
      </c>
      <c r="E103" s="93">
        <f t="shared" si="145"/>
        <v>618929.27000000025</v>
      </c>
      <c r="F103" s="227"/>
      <c r="G103" s="227"/>
      <c r="H103" s="227"/>
      <c r="I103" s="227"/>
      <c r="J103" s="227"/>
      <c r="K103" s="227"/>
      <c r="L103" s="227"/>
      <c r="M103" s="227"/>
      <c r="N103" s="227"/>
      <c r="O103" s="227"/>
      <c r="P103" s="77">
        <f t="shared" si="207"/>
        <v>29964</v>
      </c>
      <c r="Q103" s="35"/>
      <c r="R103" s="35">
        <v>29964</v>
      </c>
      <c r="S103" s="35"/>
      <c r="T103" s="36"/>
      <c r="U103" s="74">
        <f t="shared" si="208"/>
        <v>183505</v>
      </c>
      <c r="V103" s="36">
        <f t="shared" si="172"/>
        <v>3.8055139627553816</v>
      </c>
      <c r="W103" s="1179"/>
      <c r="X103" s="49">
        <f t="shared" si="209"/>
        <v>781</v>
      </c>
      <c r="Y103" s="50"/>
      <c r="Z103" s="50">
        <f t="shared" si="217"/>
        <v>781</v>
      </c>
      <c r="AA103" s="50"/>
      <c r="AB103" s="51"/>
      <c r="AC103" s="50">
        <f t="shared" si="210"/>
        <v>6665</v>
      </c>
      <c r="AD103" s="51">
        <f t="shared" si="174"/>
        <v>0.1382183077396508</v>
      </c>
      <c r="AE103" s="1050"/>
      <c r="AF103" s="40">
        <f t="shared" si="211"/>
        <v>1004</v>
      </c>
      <c r="AG103" s="41"/>
      <c r="AH103" s="41">
        <v>1004</v>
      </c>
      <c r="AI103" s="41"/>
      <c r="AJ103" s="42"/>
      <c r="AK103" s="41">
        <f t="shared" si="212"/>
        <v>4556</v>
      </c>
      <c r="AL103" s="42">
        <f t="shared" si="175"/>
        <v>9.4482012012280417E-2</v>
      </c>
      <c r="AM103" s="1058"/>
      <c r="AN103" s="67">
        <v>0</v>
      </c>
      <c r="AO103" s="67">
        <v>24</v>
      </c>
      <c r="AP103" s="68">
        <f t="shared" si="143"/>
        <v>0</v>
      </c>
      <c r="AQ103" s="68"/>
      <c r="AR103" s="69">
        <f t="shared" si="190"/>
        <v>5192.3495999999986</v>
      </c>
      <c r="AS103" s="140">
        <f t="shared" si="218"/>
        <v>8.3892455110419917</v>
      </c>
      <c r="AT103" s="1073"/>
      <c r="AU103" s="70"/>
      <c r="AV103" s="71">
        <v>10</v>
      </c>
      <c r="AW103" s="72"/>
      <c r="AX103" s="72"/>
      <c r="AY103" s="73">
        <f t="shared" si="219"/>
        <v>1789.8240000000001</v>
      </c>
      <c r="AZ103" s="192">
        <f t="shared" si="220"/>
        <v>2.8918070072853386</v>
      </c>
      <c r="BA103" s="1075"/>
      <c r="BB103" s="90">
        <f t="shared" si="213"/>
        <v>39732</v>
      </c>
      <c r="BC103" s="59"/>
      <c r="BD103" s="56">
        <v>39732</v>
      </c>
      <c r="BE103" s="56"/>
      <c r="BF103" s="58">
        <f t="shared" si="223"/>
        <v>56834</v>
      </c>
      <c r="BG103" s="58">
        <f t="shared" si="221"/>
        <v>91.826324516854697</v>
      </c>
      <c r="BH103" s="1133"/>
      <c r="BI103" s="63">
        <f t="shared" si="214"/>
        <v>120</v>
      </c>
      <c r="BJ103" s="64"/>
      <c r="BK103" s="64">
        <v>120</v>
      </c>
      <c r="BL103" s="64"/>
      <c r="BM103" s="65"/>
      <c r="BN103" s="64">
        <f t="shared" si="215"/>
        <v>7832</v>
      </c>
      <c r="BO103" s="65">
        <f t="shared" si="176"/>
        <v>0.16241947280074193</v>
      </c>
      <c r="BP103" s="1071"/>
      <c r="BQ103" s="35">
        <f t="shared" si="193"/>
        <v>72328</v>
      </c>
      <c r="BR103" s="35"/>
      <c r="BS103" s="35">
        <f t="shared" si="222"/>
        <v>72328</v>
      </c>
      <c r="BT103" s="35"/>
      <c r="BU103" s="74"/>
      <c r="BV103" s="74">
        <f t="shared" si="216"/>
        <v>368676</v>
      </c>
      <c r="BW103" s="74">
        <f t="shared" si="171"/>
        <v>595.66741770024839</v>
      </c>
      <c r="BX103" s="1098"/>
    </row>
    <row r="104" spans="1:76">
      <c r="A104" s="262">
        <v>43321</v>
      </c>
      <c r="C104" s="1">
        <f t="shared" si="141"/>
        <v>48220819</v>
      </c>
      <c r="D104">
        <v>953.56000000000006</v>
      </c>
      <c r="E104" s="93">
        <f t="shared" si="145"/>
        <v>619882.83000000031</v>
      </c>
      <c r="F104" s="227"/>
      <c r="G104" s="227"/>
      <c r="H104" s="227"/>
      <c r="I104" s="227"/>
      <c r="J104" s="227"/>
      <c r="K104" s="227"/>
      <c r="L104" s="227"/>
      <c r="M104" s="227"/>
      <c r="N104" s="227"/>
      <c r="O104" s="227"/>
      <c r="P104" s="77">
        <f t="shared" si="207"/>
        <v>29964</v>
      </c>
      <c r="Q104" s="35"/>
      <c r="R104" s="35">
        <v>29964</v>
      </c>
      <c r="S104" s="35"/>
      <c r="T104" s="36"/>
      <c r="U104" s="74">
        <f t="shared" si="208"/>
        <v>183505</v>
      </c>
      <c r="V104" s="36">
        <f t="shared" si="172"/>
        <v>3.8055139627553816</v>
      </c>
      <c r="W104" s="1179"/>
      <c r="X104" s="49">
        <f t="shared" si="209"/>
        <v>781</v>
      </c>
      <c r="Y104" s="50"/>
      <c r="Z104" s="50">
        <f t="shared" si="217"/>
        <v>781</v>
      </c>
      <c r="AA104" s="50"/>
      <c r="AB104" s="51"/>
      <c r="AC104" s="50">
        <f t="shared" si="210"/>
        <v>6665</v>
      </c>
      <c r="AD104" s="51">
        <f t="shared" si="174"/>
        <v>0.1382183077396508</v>
      </c>
      <c r="AE104" s="1050"/>
      <c r="AF104" s="40">
        <f t="shared" si="211"/>
        <v>1004</v>
      </c>
      <c r="AG104" s="41"/>
      <c r="AH104" s="41">
        <v>1004</v>
      </c>
      <c r="AI104" s="41"/>
      <c r="AJ104" s="42"/>
      <c r="AK104" s="41">
        <f t="shared" si="212"/>
        <v>4556</v>
      </c>
      <c r="AL104" s="42">
        <f t="shared" si="175"/>
        <v>9.4482012012280417E-2</v>
      </c>
      <c r="AM104" s="1058"/>
      <c r="AN104" s="67">
        <v>1</v>
      </c>
      <c r="AO104" s="67">
        <v>24</v>
      </c>
      <c r="AP104" s="68">
        <f t="shared" si="143"/>
        <v>12.72</v>
      </c>
      <c r="AQ104" s="68">
        <f>AP104*1000/D104</f>
        <v>13.339485716682747</v>
      </c>
      <c r="AR104" s="69">
        <f t="shared" si="190"/>
        <v>5205.0695999999989</v>
      </c>
      <c r="AS104" s="140">
        <f t="shared" si="218"/>
        <v>8.3968604195731569</v>
      </c>
      <c r="AT104" s="1073"/>
      <c r="AU104" s="70">
        <v>1.5</v>
      </c>
      <c r="AV104" s="71">
        <v>10</v>
      </c>
      <c r="AW104" s="72">
        <f t="shared" ref="AW104:AW126" si="224">AU104*AV104*0.467</f>
        <v>7.0050000000000008</v>
      </c>
      <c r="AX104" s="72">
        <f>AW104*1000/D104</f>
        <v>7.3461554595410883</v>
      </c>
      <c r="AY104" s="73">
        <f t="shared" si="219"/>
        <v>1796.8290000000002</v>
      </c>
      <c r="AZ104" s="192">
        <f t="shared" si="220"/>
        <v>2.8986590901380498</v>
      </c>
      <c r="BA104" s="1075"/>
      <c r="BB104" s="90">
        <f t="shared" si="213"/>
        <v>39732</v>
      </c>
      <c r="BC104" s="59"/>
      <c r="BD104" s="56">
        <v>39732</v>
      </c>
      <c r="BE104" s="56"/>
      <c r="BF104" s="58">
        <f t="shared" si="223"/>
        <v>56834</v>
      </c>
      <c r="BG104" s="58">
        <f t="shared" si="221"/>
        <v>91.685068934721059</v>
      </c>
      <c r="BH104" s="1133"/>
      <c r="BI104" s="63">
        <f t="shared" si="214"/>
        <v>120</v>
      </c>
      <c r="BJ104" s="64"/>
      <c r="BK104" s="64">
        <v>120</v>
      </c>
      <c r="BL104" s="64"/>
      <c r="BM104" s="65"/>
      <c r="BN104" s="64">
        <f t="shared" si="215"/>
        <v>7832</v>
      </c>
      <c r="BO104" s="65">
        <f t="shared" si="176"/>
        <v>0.16241947280074193</v>
      </c>
      <c r="BP104" s="1071"/>
      <c r="BQ104" s="35">
        <f t="shared" si="193"/>
        <v>72328</v>
      </c>
      <c r="BR104" s="35"/>
      <c r="BS104" s="35">
        <f t="shared" si="222"/>
        <v>72328</v>
      </c>
      <c r="BT104" s="35"/>
      <c r="BU104" s="74"/>
      <c r="BV104" s="74">
        <f t="shared" si="216"/>
        <v>368676</v>
      </c>
      <c r="BW104" s="74">
        <f t="shared" si="171"/>
        <v>594.75110804407961</v>
      </c>
      <c r="BX104" s="1098"/>
    </row>
    <row r="105" spans="1:76">
      <c r="A105" s="262">
        <v>43322</v>
      </c>
      <c r="C105" s="1">
        <f t="shared" si="141"/>
        <v>48220819</v>
      </c>
      <c r="E105" s="93">
        <f t="shared" si="145"/>
        <v>619882.83000000031</v>
      </c>
      <c r="F105" s="227"/>
      <c r="G105" s="227"/>
      <c r="H105" s="227"/>
      <c r="I105" s="227"/>
      <c r="J105" s="227"/>
      <c r="K105" s="227"/>
      <c r="L105" s="227"/>
      <c r="M105" s="227"/>
      <c r="N105" s="227"/>
      <c r="O105" s="227"/>
      <c r="P105" s="77">
        <f t="shared" si="207"/>
        <v>29964</v>
      </c>
      <c r="Q105" s="35"/>
      <c r="R105" s="35">
        <v>29964</v>
      </c>
      <c r="S105" s="35"/>
      <c r="T105" s="36"/>
      <c r="U105" s="74">
        <f t="shared" si="208"/>
        <v>183505</v>
      </c>
      <c r="V105" s="36">
        <f t="shared" si="172"/>
        <v>3.8055139627553816</v>
      </c>
      <c r="W105" s="1179"/>
      <c r="X105" s="49">
        <f t="shared" si="209"/>
        <v>781</v>
      </c>
      <c r="Y105" s="50"/>
      <c r="Z105" s="50">
        <f t="shared" si="217"/>
        <v>781</v>
      </c>
      <c r="AA105" s="50"/>
      <c r="AB105" s="51"/>
      <c r="AC105" s="50">
        <f t="shared" si="210"/>
        <v>6665</v>
      </c>
      <c r="AD105" s="51">
        <f t="shared" si="174"/>
        <v>0.1382183077396508</v>
      </c>
      <c r="AE105" s="1050"/>
      <c r="AF105" s="40">
        <f t="shared" si="211"/>
        <v>1004</v>
      </c>
      <c r="AG105" s="41"/>
      <c r="AH105" s="41">
        <v>1004</v>
      </c>
      <c r="AI105" s="41"/>
      <c r="AJ105" s="42"/>
      <c r="AK105" s="41">
        <f t="shared" si="212"/>
        <v>4556</v>
      </c>
      <c r="AL105" s="42">
        <f t="shared" si="175"/>
        <v>9.4482012012280417E-2</v>
      </c>
      <c r="AM105" s="1058"/>
      <c r="AN105" s="67">
        <v>0</v>
      </c>
      <c r="AO105" s="67">
        <v>24</v>
      </c>
      <c r="AP105" s="68">
        <f t="shared" si="143"/>
        <v>0</v>
      </c>
      <c r="AQ105" s="68"/>
      <c r="AR105" s="69">
        <f t="shared" si="190"/>
        <v>5205.0695999999989</v>
      </c>
      <c r="AS105" s="140">
        <f t="shared" si="218"/>
        <v>8.3968604195731569</v>
      </c>
      <c r="AT105" s="1073"/>
      <c r="AU105" s="70"/>
      <c r="AV105" s="71">
        <v>10</v>
      </c>
      <c r="AW105" s="72"/>
      <c r="AX105" s="72"/>
      <c r="AY105" s="73">
        <f t="shared" si="219"/>
        <v>1796.8290000000002</v>
      </c>
      <c r="AZ105" s="192">
        <f t="shared" si="220"/>
        <v>2.8986590901380498</v>
      </c>
      <c r="BA105" s="1075"/>
      <c r="BB105" s="90">
        <f t="shared" si="213"/>
        <v>39732</v>
      </c>
      <c r="BC105" s="59"/>
      <c r="BD105" s="56">
        <v>39732</v>
      </c>
      <c r="BE105" s="56"/>
      <c r="BF105" s="58">
        <f t="shared" si="223"/>
        <v>56834</v>
      </c>
      <c r="BG105" s="58">
        <f t="shared" si="221"/>
        <v>91.685068934721059</v>
      </c>
      <c r="BH105" s="1133"/>
      <c r="BI105" s="63">
        <f t="shared" si="214"/>
        <v>120</v>
      </c>
      <c r="BJ105" s="64"/>
      <c r="BK105" s="64">
        <v>120</v>
      </c>
      <c r="BL105" s="64"/>
      <c r="BM105" s="65"/>
      <c r="BN105" s="64">
        <f t="shared" si="215"/>
        <v>7832</v>
      </c>
      <c r="BO105" s="65">
        <f t="shared" si="176"/>
        <v>0.16241947280074193</v>
      </c>
      <c r="BP105" s="1071"/>
      <c r="BQ105" s="35">
        <f t="shared" si="193"/>
        <v>72328</v>
      </c>
      <c r="BR105" s="35">
        <f>37000+37600</f>
        <v>74600</v>
      </c>
      <c r="BS105" s="35">
        <f>2582+33746+36000+37000+37600</f>
        <v>146928</v>
      </c>
      <c r="BT105" s="35"/>
      <c r="BU105" s="74"/>
      <c r="BV105" s="74">
        <f t="shared" si="216"/>
        <v>368676</v>
      </c>
      <c r="BW105" s="74">
        <f t="shared" si="171"/>
        <v>594.75110804407961</v>
      </c>
      <c r="BX105" s="1098"/>
    </row>
    <row r="106" spans="1:76">
      <c r="A106" s="262">
        <v>43323</v>
      </c>
      <c r="B106" s="1">
        <v>136505</v>
      </c>
      <c r="C106" s="1">
        <f t="shared" si="141"/>
        <v>48357324</v>
      </c>
      <c r="D106">
        <v>3350.88</v>
      </c>
      <c r="E106" s="93">
        <f t="shared" si="145"/>
        <v>623233.71000000031</v>
      </c>
      <c r="F106" s="227"/>
      <c r="G106" s="227"/>
      <c r="H106" s="227"/>
      <c r="I106" s="227"/>
      <c r="J106" s="227"/>
      <c r="K106" s="227"/>
      <c r="L106" s="227"/>
      <c r="M106" s="227"/>
      <c r="N106" s="227"/>
      <c r="O106" s="227"/>
      <c r="P106" s="77">
        <f t="shared" si="207"/>
        <v>29964</v>
      </c>
      <c r="Q106" s="35"/>
      <c r="R106" s="35">
        <v>29694</v>
      </c>
      <c r="S106" s="35">
        <f t="shared" ref="S106:S117" si="225">P106-R106+Q106</f>
        <v>270</v>
      </c>
      <c r="T106" s="36">
        <f t="shared" ref="T106:T119" si="226">S106*1000/B106</f>
        <v>1.9779495256584008</v>
      </c>
      <c r="U106" s="74">
        <f t="shared" si="208"/>
        <v>183775</v>
      </c>
      <c r="V106" s="36">
        <f t="shared" si="172"/>
        <v>3.8003550403243986</v>
      </c>
      <c r="W106" s="1179"/>
      <c r="X106" s="49">
        <f t="shared" si="209"/>
        <v>781</v>
      </c>
      <c r="Y106" s="50"/>
      <c r="Z106" s="50">
        <f t="shared" si="217"/>
        <v>781</v>
      </c>
      <c r="AA106" s="50"/>
      <c r="AB106" s="51"/>
      <c r="AC106" s="50">
        <f t="shared" si="210"/>
        <v>6665</v>
      </c>
      <c r="AD106" s="51">
        <f t="shared" si="174"/>
        <v>0.13782813953890419</v>
      </c>
      <c r="AE106" s="1050"/>
      <c r="AF106" s="40">
        <f t="shared" si="211"/>
        <v>1004</v>
      </c>
      <c r="AG106" s="41"/>
      <c r="AH106" s="41">
        <v>984</v>
      </c>
      <c r="AI106" s="41">
        <f t="shared" ref="AI106:AI117" si="227">AF106+AG106-AH106</f>
        <v>20</v>
      </c>
      <c r="AJ106" s="42">
        <f t="shared" ref="AJ106:AJ118" si="228">AI106*1000/B106</f>
        <v>0.14651477967840007</v>
      </c>
      <c r="AK106" s="41">
        <f t="shared" si="212"/>
        <v>4576</v>
      </c>
      <c r="AL106" s="42">
        <f t="shared" si="175"/>
        <v>9.4628892202554465E-2</v>
      </c>
      <c r="AM106" s="1058"/>
      <c r="AN106" s="67">
        <v>3</v>
      </c>
      <c r="AO106" s="67">
        <v>24</v>
      </c>
      <c r="AP106" s="68">
        <f t="shared" si="143"/>
        <v>38.160000000000004</v>
      </c>
      <c r="AQ106" s="68">
        <f t="shared" ref="AQ106:AQ119" si="229">AP106*1000/D106</f>
        <v>11.38805328749463</v>
      </c>
      <c r="AR106" s="69">
        <f t="shared" si="190"/>
        <v>5243.2295999999988</v>
      </c>
      <c r="AS106" s="140">
        <f t="shared" si="218"/>
        <v>8.4129428749930675</v>
      </c>
      <c r="AT106" s="1073"/>
      <c r="AU106" s="70">
        <v>2.2000000000000002</v>
      </c>
      <c r="AV106" s="71">
        <v>10</v>
      </c>
      <c r="AW106" s="72">
        <f t="shared" si="224"/>
        <v>10.274000000000001</v>
      </c>
      <c r="AX106" s="72">
        <f t="shared" ref="AX106:AX119" si="230">AW106*1000/D106</f>
        <v>3.0660602587976888</v>
      </c>
      <c r="AY106" s="73">
        <f t="shared" si="219"/>
        <v>1807.1030000000001</v>
      </c>
      <c r="AZ106" s="192">
        <f t="shared" si="220"/>
        <v>2.8995591397005773</v>
      </c>
      <c r="BA106" s="1075"/>
      <c r="BB106" s="90">
        <f t="shared" si="213"/>
        <v>39732</v>
      </c>
      <c r="BC106" s="59"/>
      <c r="BD106" s="56">
        <v>39526</v>
      </c>
      <c r="BE106" s="56">
        <f>BB106+BC106-BD106</f>
        <v>206</v>
      </c>
      <c r="BF106" s="58">
        <f t="shared" si="223"/>
        <v>57040</v>
      </c>
      <c r="BG106" s="58">
        <f t="shared" si="221"/>
        <v>91.522648863136709</v>
      </c>
      <c r="BH106" s="1133"/>
      <c r="BI106" s="63">
        <f t="shared" si="214"/>
        <v>120</v>
      </c>
      <c r="BJ106" s="64"/>
      <c r="BK106" s="64">
        <v>120</v>
      </c>
      <c r="BL106" s="64"/>
      <c r="BM106" s="65"/>
      <c r="BN106" s="64">
        <f t="shared" si="215"/>
        <v>7832</v>
      </c>
      <c r="BO106" s="65">
        <f t="shared" si="176"/>
        <v>0.16196098857744901</v>
      </c>
      <c r="BP106" s="1071"/>
      <c r="BQ106" s="35">
        <f t="shared" si="193"/>
        <v>146928</v>
      </c>
      <c r="BR106" s="35"/>
      <c r="BS106" s="35">
        <f>2582+33746+36000+37000+37600</f>
        <v>146928</v>
      </c>
      <c r="BT106" s="35"/>
      <c r="BU106" s="74"/>
      <c r="BV106" s="74">
        <f t="shared" si="216"/>
        <v>368676</v>
      </c>
      <c r="BW106" s="74">
        <f t="shared" si="171"/>
        <v>591.55336767646895</v>
      </c>
      <c r="BX106" s="1098"/>
    </row>
    <row r="107" spans="1:76">
      <c r="A107" s="262">
        <v>43324</v>
      </c>
      <c r="B107" s="1">
        <v>397473</v>
      </c>
      <c r="C107" s="1">
        <f t="shared" si="141"/>
        <v>48754797</v>
      </c>
      <c r="D107">
        <v>5658.74</v>
      </c>
      <c r="E107" s="93">
        <f t="shared" si="145"/>
        <v>628892.4500000003</v>
      </c>
      <c r="F107" s="227"/>
      <c r="G107" s="227"/>
      <c r="H107" s="227"/>
      <c r="I107" s="227"/>
      <c r="J107" s="227"/>
      <c r="K107" s="227"/>
      <c r="L107" s="227"/>
      <c r="M107" s="227"/>
      <c r="N107" s="227"/>
      <c r="O107" s="227"/>
      <c r="P107" s="77">
        <f t="shared" si="207"/>
        <v>29694</v>
      </c>
      <c r="Q107" s="35"/>
      <c r="R107" s="35">
        <v>24874</v>
      </c>
      <c r="S107" s="35">
        <f t="shared" si="225"/>
        <v>4820</v>
      </c>
      <c r="T107" s="36">
        <f t="shared" si="226"/>
        <v>12.126609857776502</v>
      </c>
      <c r="U107" s="74">
        <f t="shared" si="208"/>
        <v>188595</v>
      </c>
      <c r="V107" s="36">
        <f t="shared" si="172"/>
        <v>3.8682347503159535</v>
      </c>
      <c r="W107" s="1179"/>
      <c r="X107" s="49">
        <f t="shared" si="209"/>
        <v>781</v>
      </c>
      <c r="Y107" s="50"/>
      <c r="Z107" s="50">
        <f>617+60</f>
        <v>677</v>
      </c>
      <c r="AA107" s="50">
        <f>X107+Y107-Z107</f>
        <v>104</v>
      </c>
      <c r="AB107" s="51">
        <f>AA107*1000/B107</f>
        <v>0.26165299278189963</v>
      </c>
      <c r="AC107" s="50">
        <f t="shared" si="210"/>
        <v>6769</v>
      </c>
      <c r="AD107" s="51">
        <f t="shared" si="174"/>
        <v>0.13883762042943179</v>
      </c>
      <c r="AE107" s="1050"/>
      <c r="AF107" s="40">
        <f t="shared" si="211"/>
        <v>984</v>
      </c>
      <c r="AG107" s="41"/>
      <c r="AH107" s="41">
        <v>964</v>
      </c>
      <c r="AI107" s="41">
        <f t="shared" si="227"/>
        <v>20</v>
      </c>
      <c r="AJ107" s="42">
        <f t="shared" si="228"/>
        <v>5.0317883227288397E-2</v>
      </c>
      <c r="AK107" s="41">
        <f t="shared" si="212"/>
        <v>4596</v>
      </c>
      <c r="AL107" s="42">
        <f t="shared" si="175"/>
        <v>9.4267647140444458E-2</v>
      </c>
      <c r="AM107" s="1058"/>
      <c r="AN107" s="67">
        <v>4.5</v>
      </c>
      <c r="AO107" s="67">
        <v>24</v>
      </c>
      <c r="AP107" s="68">
        <f t="shared" si="143"/>
        <v>57.24</v>
      </c>
      <c r="AQ107" s="68">
        <f t="shared" si="229"/>
        <v>10.115326026641974</v>
      </c>
      <c r="AR107" s="69">
        <f t="shared" si="190"/>
        <v>5300.4695999999985</v>
      </c>
      <c r="AS107" s="140">
        <f t="shared" si="218"/>
        <v>8.428260825837544</v>
      </c>
      <c r="AT107" s="1073"/>
      <c r="AU107" s="70">
        <v>4</v>
      </c>
      <c r="AV107" s="71">
        <v>10</v>
      </c>
      <c r="AW107" s="72">
        <f t="shared" si="224"/>
        <v>18.68</v>
      </c>
      <c r="AX107" s="72">
        <f t="shared" si="230"/>
        <v>3.3010882281214546</v>
      </c>
      <c r="AY107" s="73">
        <f t="shared" si="219"/>
        <v>1825.7830000000001</v>
      </c>
      <c r="AZ107" s="192">
        <f t="shared" si="220"/>
        <v>2.9031720765609434</v>
      </c>
      <c r="BA107" s="1075"/>
      <c r="BB107" s="90">
        <f t="shared" si="213"/>
        <v>39526</v>
      </c>
      <c r="BC107" s="59"/>
      <c r="BD107" s="56">
        <v>37489</v>
      </c>
      <c r="BE107" s="56">
        <f>BB107+BC107-BD107</f>
        <v>2037</v>
      </c>
      <c r="BF107" s="58">
        <f t="shared" si="223"/>
        <v>59077</v>
      </c>
      <c r="BG107" s="58">
        <f t="shared" si="221"/>
        <v>93.938160650521354</v>
      </c>
      <c r="BH107" s="1133"/>
      <c r="BI107" s="63">
        <f t="shared" si="214"/>
        <v>120</v>
      </c>
      <c r="BJ107" s="64"/>
      <c r="BK107" s="64">
        <v>120</v>
      </c>
      <c r="BL107" s="64"/>
      <c r="BM107" s="65"/>
      <c r="BN107" s="64">
        <f t="shared" si="215"/>
        <v>7832</v>
      </c>
      <c r="BO107" s="65">
        <f t="shared" si="176"/>
        <v>0.16064060322105331</v>
      </c>
      <c r="BP107" s="1071"/>
      <c r="BQ107" s="35">
        <f t="shared" si="193"/>
        <v>146928</v>
      </c>
      <c r="BR107" s="35"/>
      <c r="BS107" s="35">
        <f>2252+33746+36000+37000+37600</f>
        <v>146598</v>
      </c>
      <c r="BT107" s="35">
        <f>BQ107-BS107+BR107</f>
        <v>330</v>
      </c>
      <c r="BU107" s="74">
        <f t="shared" ref="BU107:BU119" si="231">BT107*1000/D107</f>
        <v>58.316869126342617</v>
      </c>
      <c r="BV107" s="74">
        <f t="shared" si="216"/>
        <v>369006</v>
      </c>
      <c r="BW107" s="74">
        <f t="shared" si="171"/>
        <v>586.75533471581639</v>
      </c>
      <c r="BX107" s="1098"/>
    </row>
    <row r="108" spans="1:76">
      <c r="A108" s="262">
        <v>43325</v>
      </c>
      <c r="B108" s="1">
        <v>512619</v>
      </c>
      <c r="C108" s="1">
        <f t="shared" si="141"/>
        <v>49267416</v>
      </c>
      <c r="D108">
        <v>5413.58</v>
      </c>
      <c r="E108" s="93">
        <f t="shared" si="145"/>
        <v>634306.03000000026</v>
      </c>
      <c r="F108" s="227"/>
      <c r="G108" s="227"/>
      <c r="H108" s="227"/>
      <c r="I108" s="227"/>
      <c r="J108" s="227"/>
      <c r="K108" s="227"/>
      <c r="L108" s="227"/>
      <c r="M108" s="227"/>
      <c r="N108" s="227"/>
      <c r="O108" s="227"/>
      <c r="P108" s="77">
        <f t="shared" ref="P108:P117" si="232">R107</f>
        <v>24874</v>
      </c>
      <c r="Q108" s="35"/>
      <c r="R108" s="35">
        <v>23021</v>
      </c>
      <c r="S108" s="35">
        <f t="shared" si="225"/>
        <v>1853</v>
      </c>
      <c r="T108" s="36">
        <f t="shared" si="226"/>
        <v>3.614770424038126</v>
      </c>
      <c r="U108" s="74">
        <f t="shared" ref="U108:U117" si="233">U107+S108</f>
        <v>190448</v>
      </c>
      <c r="V108" s="36">
        <f t="shared" si="172"/>
        <v>3.8655974975427978</v>
      </c>
      <c r="W108" s="1179"/>
      <c r="X108" s="49">
        <f t="shared" ref="X108:X117" si="234">Z107</f>
        <v>677</v>
      </c>
      <c r="Y108" s="50"/>
      <c r="Z108" s="50">
        <f>581+96</f>
        <v>677</v>
      </c>
      <c r="AA108" s="50"/>
      <c r="AB108" s="51"/>
      <c r="AC108" s="50">
        <f t="shared" ref="AC108:AC117" si="235">AC107+AA108</f>
        <v>6769</v>
      </c>
      <c r="AD108" s="51">
        <f t="shared" si="174"/>
        <v>0.13739303883930101</v>
      </c>
      <c r="AE108" s="1050"/>
      <c r="AF108" s="40">
        <f t="shared" ref="AF108:AF117" si="236">AH107</f>
        <v>964</v>
      </c>
      <c r="AG108" s="41"/>
      <c r="AH108" s="41">
        <v>945</v>
      </c>
      <c r="AI108" s="41">
        <f t="shared" si="227"/>
        <v>19</v>
      </c>
      <c r="AJ108" s="42">
        <f t="shared" si="228"/>
        <v>3.7064564520628382E-2</v>
      </c>
      <c r="AK108" s="41">
        <f t="shared" ref="AK108:AK117" si="237">AK107+AI108</f>
        <v>4615</v>
      </c>
      <c r="AL108" s="42">
        <f t="shared" si="175"/>
        <v>9.3672458892506152E-2</v>
      </c>
      <c r="AM108" s="1058"/>
      <c r="AN108" s="67">
        <v>3.9</v>
      </c>
      <c r="AO108" s="67">
        <v>24</v>
      </c>
      <c r="AP108" s="68">
        <f t="shared" si="143"/>
        <v>49.607999999999997</v>
      </c>
      <c r="AQ108" s="68">
        <f t="shared" si="229"/>
        <v>9.1636218546691843</v>
      </c>
      <c r="AR108" s="69">
        <f t="shared" si="190"/>
        <v>5350.0775999999987</v>
      </c>
      <c r="AS108" s="140">
        <f t="shared" si="218"/>
        <v>8.434536874889865</v>
      </c>
      <c r="AT108" s="1073"/>
      <c r="AU108" s="70">
        <v>3.8</v>
      </c>
      <c r="AV108" s="71">
        <v>10</v>
      </c>
      <c r="AW108" s="72">
        <f t="shared" si="224"/>
        <v>17.746000000000002</v>
      </c>
      <c r="AX108" s="72">
        <f t="shared" si="230"/>
        <v>3.2780526010514306</v>
      </c>
      <c r="AY108" s="73">
        <f t="shared" si="219"/>
        <v>1843.5290000000002</v>
      </c>
      <c r="AZ108" s="192">
        <f t="shared" si="220"/>
        <v>2.9063715506535535</v>
      </c>
      <c r="BA108" s="1075"/>
      <c r="BB108" s="90">
        <f>BD107</f>
        <v>37489</v>
      </c>
      <c r="BC108" s="59"/>
      <c r="BD108" s="56">
        <v>33731</v>
      </c>
      <c r="BE108" s="56">
        <f t="shared" ref="BE108:BE126" si="238">BB108+BC108-BD108</f>
        <v>3758</v>
      </c>
      <c r="BF108" s="58">
        <f t="shared" si="223"/>
        <v>62835</v>
      </c>
      <c r="BG108" s="58">
        <f t="shared" si="221"/>
        <v>99.061016336231219</v>
      </c>
      <c r="BH108" s="1133"/>
      <c r="BI108" s="63">
        <f>BK107</f>
        <v>120</v>
      </c>
      <c r="BJ108" s="64">
        <v>1100</v>
      </c>
      <c r="BK108" s="64">
        <v>1100</v>
      </c>
      <c r="BL108" s="64">
        <f>BI108+BJ108-BK108</f>
        <v>120</v>
      </c>
      <c r="BM108" s="65">
        <f t="shared" ref="BM108:BM119" si="239">BL108*1000/B108</f>
        <v>0.23409198644607399</v>
      </c>
      <c r="BN108" s="64">
        <f>BN107+BL108</f>
        <v>7952</v>
      </c>
      <c r="BO108" s="65">
        <f t="shared" si="176"/>
        <v>0.16140485224554907</v>
      </c>
      <c r="BP108" s="1071"/>
      <c r="BQ108" s="35">
        <f>BS107</f>
        <v>146598</v>
      </c>
      <c r="BR108" s="35"/>
      <c r="BS108" s="35">
        <f>3136+33746+32000+37000+37600</f>
        <v>143482</v>
      </c>
      <c r="BT108" s="35">
        <f>BQ108-BS108+BR108</f>
        <v>3116</v>
      </c>
      <c r="BU108" s="74">
        <f t="shared" si="231"/>
        <v>575.58953594479067</v>
      </c>
      <c r="BV108" s="74">
        <f>BV107+BT108</f>
        <v>372122</v>
      </c>
      <c r="BW108" s="74">
        <f t="shared" si="171"/>
        <v>586.6600385306125</v>
      </c>
      <c r="BX108" s="1098"/>
    </row>
    <row r="109" spans="1:76">
      <c r="A109" s="262">
        <v>43326</v>
      </c>
      <c r="B109" s="1">
        <v>491204</v>
      </c>
      <c r="C109" s="1">
        <f t="shared" si="141"/>
        <v>49758620</v>
      </c>
      <c r="D109">
        <v>6270.2</v>
      </c>
      <c r="E109" s="93">
        <f t="shared" si="145"/>
        <v>640576.23000000021</v>
      </c>
      <c r="F109" s="227"/>
      <c r="G109" s="227"/>
      <c r="H109" s="227"/>
      <c r="I109" s="227"/>
      <c r="J109" s="227"/>
      <c r="K109" s="227"/>
      <c r="L109" s="227"/>
      <c r="M109" s="227"/>
      <c r="N109" s="227"/>
      <c r="O109" s="227"/>
      <c r="P109" s="77">
        <f t="shared" si="232"/>
        <v>23021</v>
      </c>
      <c r="Q109" s="35">
        <v>32380</v>
      </c>
      <c r="R109" s="35">
        <v>51531</v>
      </c>
      <c r="S109" s="35">
        <f t="shared" si="225"/>
        <v>3870</v>
      </c>
      <c r="T109" s="36">
        <f t="shared" si="226"/>
        <v>7.8786003371308055</v>
      </c>
      <c r="U109" s="74">
        <f t="shared" si="233"/>
        <v>194318</v>
      </c>
      <c r="V109" s="36">
        <f t="shared" si="172"/>
        <v>3.9052128053390547</v>
      </c>
      <c r="W109" s="1179"/>
      <c r="X109" s="49">
        <f t="shared" si="234"/>
        <v>677</v>
      </c>
      <c r="Y109" s="50"/>
      <c r="Z109" s="50">
        <f>581+96</f>
        <v>677</v>
      </c>
      <c r="AA109" s="50"/>
      <c r="AB109" s="51"/>
      <c r="AC109" s="50">
        <f t="shared" si="235"/>
        <v>6769</v>
      </c>
      <c r="AD109" s="51">
        <f t="shared" si="174"/>
        <v>0.13603673092220001</v>
      </c>
      <c r="AE109" s="1050"/>
      <c r="AF109" s="40">
        <f t="shared" si="236"/>
        <v>945</v>
      </c>
      <c r="AG109" s="41"/>
      <c r="AH109" s="41">
        <v>905</v>
      </c>
      <c r="AI109" s="41">
        <f t="shared" si="227"/>
        <v>40</v>
      </c>
      <c r="AJ109" s="42">
        <f t="shared" si="228"/>
        <v>8.1432561624091016E-2</v>
      </c>
      <c r="AK109" s="41">
        <f t="shared" si="237"/>
        <v>4655</v>
      </c>
      <c r="AL109" s="42">
        <f t="shared" si="175"/>
        <v>9.3551629848255435E-2</v>
      </c>
      <c r="AM109" s="1058"/>
      <c r="AN109" s="67">
        <v>4.2</v>
      </c>
      <c r="AO109" s="67">
        <v>24</v>
      </c>
      <c r="AP109" s="68">
        <f t="shared" si="143"/>
        <v>53.424000000000007</v>
      </c>
      <c r="AQ109" s="68">
        <f t="shared" si="229"/>
        <v>8.5203023826991178</v>
      </c>
      <c r="AR109" s="69">
        <f t="shared" si="190"/>
        <v>5403.5015999999987</v>
      </c>
      <c r="AS109" s="140">
        <f t="shared" si="218"/>
        <v>8.4353763797947927</v>
      </c>
      <c r="AT109" s="1073"/>
      <c r="AU109" s="70">
        <v>4.7</v>
      </c>
      <c r="AV109" s="71">
        <v>10</v>
      </c>
      <c r="AW109" s="72">
        <f t="shared" si="224"/>
        <v>21.949000000000002</v>
      </c>
      <c r="AX109" s="72">
        <f t="shared" si="230"/>
        <v>3.5005262990016268</v>
      </c>
      <c r="AY109" s="73">
        <f t="shared" si="219"/>
        <v>1865.4780000000003</v>
      </c>
      <c r="AZ109" s="192">
        <f t="shared" si="220"/>
        <v>2.912187359808839</v>
      </c>
      <c r="BA109" s="1075"/>
      <c r="BB109" s="90">
        <f>BD108</f>
        <v>33731</v>
      </c>
      <c r="BC109" s="59"/>
      <c r="BD109" s="56">
        <v>33731</v>
      </c>
      <c r="BE109" s="56"/>
      <c r="BF109" s="58">
        <f t="shared" si="223"/>
        <v>62835</v>
      </c>
      <c r="BG109" s="58">
        <f t="shared" si="221"/>
        <v>98.091370015400003</v>
      </c>
      <c r="BH109" s="1133"/>
      <c r="BI109" s="63">
        <f>BK108</f>
        <v>1100</v>
      </c>
      <c r="BJ109" s="64"/>
      <c r="BK109" s="64">
        <v>840</v>
      </c>
      <c r="BL109" s="64">
        <f>BI109+BJ109-BK109</f>
        <v>260</v>
      </c>
      <c r="BM109" s="65">
        <f t="shared" si="239"/>
        <v>0.52931165055659157</v>
      </c>
      <c r="BN109" s="64">
        <f>BN108+BL109</f>
        <v>8212</v>
      </c>
      <c r="BO109" s="65">
        <f t="shared" si="176"/>
        <v>0.16503673132414043</v>
      </c>
      <c r="BP109" s="1071"/>
      <c r="BQ109" s="35">
        <f>BS108</f>
        <v>143482</v>
      </c>
      <c r="BR109" s="35"/>
      <c r="BS109" s="35">
        <f>2413+33746+32000+37000+37600</f>
        <v>142759</v>
      </c>
      <c r="BT109" s="35">
        <f>BQ109-BS109+BR109</f>
        <v>723</v>
      </c>
      <c r="BU109" s="74">
        <f t="shared" si="231"/>
        <v>115.30732672004083</v>
      </c>
      <c r="BV109" s="74">
        <f>BV108+BT109</f>
        <v>372845</v>
      </c>
      <c r="BW109" s="74">
        <f t="shared" si="171"/>
        <v>582.04626169160201</v>
      </c>
      <c r="BX109" s="1098"/>
    </row>
    <row r="110" spans="1:76">
      <c r="A110" s="262">
        <v>43327</v>
      </c>
      <c r="B110" s="1">
        <v>572161</v>
      </c>
      <c r="C110" s="1">
        <f t="shared" si="141"/>
        <v>50330781</v>
      </c>
      <c r="D110">
        <v>4961.68</v>
      </c>
      <c r="E110" s="93">
        <f t="shared" si="145"/>
        <v>645537.91000000027</v>
      </c>
      <c r="F110" s="227"/>
      <c r="G110" s="227"/>
      <c r="H110" s="227"/>
      <c r="I110" s="227"/>
      <c r="J110" s="227"/>
      <c r="K110" s="227"/>
      <c r="L110" s="227"/>
      <c r="M110" s="227"/>
      <c r="N110" s="227"/>
      <c r="O110" s="227"/>
      <c r="P110" s="77">
        <f t="shared" si="232"/>
        <v>51531</v>
      </c>
      <c r="Q110" s="35"/>
      <c r="R110" s="35">
        <v>48480</v>
      </c>
      <c r="S110" s="35">
        <f t="shared" si="225"/>
        <v>3051</v>
      </c>
      <c r="T110" s="36">
        <f t="shared" si="226"/>
        <v>5.3324151768470767</v>
      </c>
      <c r="U110" s="74">
        <f t="shared" si="233"/>
        <v>197369</v>
      </c>
      <c r="V110" s="36">
        <f t="shared" si="172"/>
        <v>3.921437261225889</v>
      </c>
      <c r="W110" s="1179"/>
      <c r="X110" s="49">
        <f t="shared" si="234"/>
        <v>677</v>
      </c>
      <c r="Y110" s="50"/>
      <c r="Z110" s="50">
        <f>458+50</f>
        <v>508</v>
      </c>
      <c r="AA110" s="50">
        <f t="shared" ref="AA110:AA118" si="240">X110+Y110-Z110</f>
        <v>169</v>
      </c>
      <c r="AB110" s="51">
        <f t="shared" ref="AB110:AB118" si="241">AA110*1000/B110</f>
        <v>0.29537140769818288</v>
      </c>
      <c r="AC110" s="50">
        <f t="shared" si="235"/>
        <v>6938</v>
      </c>
      <c r="AD110" s="51">
        <f t="shared" si="174"/>
        <v>0.13784804968553935</v>
      </c>
      <c r="AE110" s="1050"/>
      <c r="AF110" s="40">
        <f t="shared" si="236"/>
        <v>905</v>
      </c>
      <c r="AG110" s="41"/>
      <c r="AH110" s="41">
        <v>885</v>
      </c>
      <c r="AI110" s="41">
        <f t="shared" si="227"/>
        <v>20</v>
      </c>
      <c r="AJ110" s="42">
        <f t="shared" si="228"/>
        <v>3.4955196177299745E-2</v>
      </c>
      <c r="AK110" s="41">
        <f t="shared" si="237"/>
        <v>4675</v>
      </c>
      <c r="AL110" s="42">
        <f t="shared" si="175"/>
        <v>9.2885504796756488E-2</v>
      </c>
      <c r="AM110" s="1058"/>
      <c r="AN110" s="67">
        <v>4</v>
      </c>
      <c r="AO110" s="67">
        <v>24</v>
      </c>
      <c r="AP110" s="68">
        <f t="shared" si="143"/>
        <v>50.88</v>
      </c>
      <c r="AQ110" s="68">
        <f t="shared" si="229"/>
        <v>10.254591186856064</v>
      </c>
      <c r="AR110" s="69">
        <f t="shared" si="190"/>
        <v>5454.3815999999988</v>
      </c>
      <c r="AS110" s="140">
        <f t="shared" si="218"/>
        <v>8.4493590779199881</v>
      </c>
      <c r="AT110" s="1073"/>
      <c r="AU110" s="70">
        <v>3.9</v>
      </c>
      <c r="AV110" s="71">
        <v>10</v>
      </c>
      <c r="AW110" s="72">
        <f t="shared" si="224"/>
        <v>18.213000000000001</v>
      </c>
      <c r="AX110" s="72">
        <f t="shared" si="230"/>
        <v>3.6707324938327339</v>
      </c>
      <c r="AY110" s="73">
        <f t="shared" si="219"/>
        <v>1883.6910000000003</v>
      </c>
      <c r="AZ110" s="192">
        <f t="shared" si="220"/>
        <v>2.9180176265713031</v>
      </c>
      <c r="BA110" s="1075"/>
      <c r="BB110" s="90">
        <f>BD109</f>
        <v>33731</v>
      </c>
      <c r="BC110" s="59"/>
      <c r="BD110" s="56">
        <v>33289</v>
      </c>
      <c r="BE110" s="56">
        <f t="shared" si="238"/>
        <v>442</v>
      </c>
      <c r="BF110" s="58">
        <f t="shared" si="223"/>
        <v>63277</v>
      </c>
      <c r="BG110" s="58">
        <f t="shared" si="221"/>
        <v>98.022128553224661</v>
      </c>
      <c r="BH110" s="1133"/>
      <c r="BI110" s="63">
        <f>BK109</f>
        <v>840</v>
      </c>
      <c r="BJ110" s="64"/>
      <c r="BK110" s="64">
        <v>780</v>
      </c>
      <c r="BL110" s="64">
        <f>BI110+BJ110-BK110</f>
        <v>60</v>
      </c>
      <c r="BM110" s="65">
        <f t="shared" si="239"/>
        <v>0.10486558853189924</v>
      </c>
      <c r="BN110" s="64">
        <f>BN109+BL110</f>
        <v>8272</v>
      </c>
      <c r="BO110" s="65">
        <f t="shared" si="176"/>
        <v>0.16435270495802559</v>
      </c>
      <c r="BP110" s="1071"/>
      <c r="BQ110" s="35">
        <f>BS109</f>
        <v>142759</v>
      </c>
      <c r="BR110" s="35"/>
      <c r="BS110" s="35">
        <f>1950+33746+32000+37000+37600</f>
        <v>142296</v>
      </c>
      <c r="BT110" s="35">
        <f>BQ110-BS110+BR110</f>
        <v>463</v>
      </c>
      <c r="BU110" s="74">
        <f t="shared" si="231"/>
        <v>93.315167443285333</v>
      </c>
      <c r="BV110" s="74">
        <f>BV109+BT110</f>
        <v>373308</v>
      </c>
      <c r="BW110" s="74">
        <f t="shared" si="171"/>
        <v>578.28981724713867</v>
      </c>
      <c r="BX110" s="1098"/>
    </row>
    <row r="111" spans="1:76">
      <c r="A111" s="262">
        <v>43328</v>
      </c>
      <c r="B111" s="114">
        <v>446064</v>
      </c>
      <c r="C111" s="1">
        <f t="shared" si="141"/>
        <v>50776845</v>
      </c>
      <c r="D111" s="115">
        <v>5240.0600000000004</v>
      </c>
      <c r="E111" s="93">
        <f t="shared" si="145"/>
        <v>650777.97000000032</v>
      </c>
      <c r="F111" s="227"/>
      <c r="G111" s="227"/>
      <c r="H111" s="227"/>
      <c r="I111" s="227"/>
      <c r="J111" s="227"/>
      <c r="K111" s="227"/>
      <c r="L111" s="227"/>
      <c r="M111" s="227"/>
      <c r="N111" s="227"/>
      <c r="O111" s="227"/>
      <c r="P111" s="77">
        <f t="shared" si="232"/>
        <v>48480</v>
      </c>
      <c r="Q111" s="35"/>
      <c r="R111" s="35">
        <v>45776</v>
      </c>
      <c r="S111" s="35">
        <f t="shared" si="225"/>
        <v>2704</v>
      </c>
      <c r="T111" s="36">
        <f t="shared" si="226"/>
        <v>6.0619103985078375</v>
      </c>
      <c r="U111" s="74">
        <f t="shared" si="233"/>
        <v>200073</v>
      </c>
      <c r="V111" s="36">
        <f t="shared" si="172"/>
        <v>3.9402408716020068</v>
      </c>
      <c r="W111" s="1179"/>
      <c r="X111" s="49">
        <f t="shared" si="234"/>
        <v>508</v>
      </c>
      <c r="Y111" s="50"/>
      <c r="Z111" s="50">
        <f>407+50</f>
        <v>457</v>
      </c>
      <c r="AA111" s="50">
        <f t="shared" si="240"/>
        <v>51</v>
      </c>
      <c r="AB111" s="51">
        <f t="shared" si="241"/>
        <v>0.11433336920262563</v>
      </c>
      <c r="AC111" s="50">
        <f t="shared" si="235"/>
        <v>6989</v>
      </c>
      <c r="AD111" s="51">
        <f t="shared" si="174"/>
        <v>0.13764147811861882</v>
      </c>
      <c r="AE111" s="1050"/>
      <c r="AF111" s="40">
        <f t="shared" si="236"/>
        <v>885</v>
      </c>
      <c r="AG111" s="41"/>
      <c r="AH111" s="41">
        <v>825</v>
      </c>
      <c r="AI111" s="41">
        <f t="shared" si="227"/>
        <v>60</v>
      </c>
      <c r="AJ111" s="42">
        <f t="shared" si="228"/>
        <v>0.13450984612073605</v>
      </c>
      <c r="AK111" s="41">
        <f t="shared" si="237"/>
        <v>4735</v>
      </c>
      <c r="AL111" s="42">
        <f t="shared" si="175"/>
        <v>9.3251165959602256E-2</v>
      </c>
      <c r="AM111" s="1058"/>
      <c r="AN111" s="67">
        <v>4.05</v>
      </c>
      <c r="AO111" s="67">
        <v>24</v>
      </c>
      <c r="AP111" s="68">
        <f t="shared" si="143"/>
        <v>51.515999999999998</v>
      </c>
      <c r="AQ111" s="68">
        <f t="shared" si="229"/>
        <v>9.8311851391014606</v>
      </c>
      <c r="AR111" s="69">
        <f>AR110+AP111</f>
        <v>5505.8975999999984</v>
      </c>
      <c r="AS111" s="140">
        <f t="shared" si="218"/>
        <v>8.4604855324159107</v>
      </c>
      <c r="AT111" s="1073"/>
      <c r="AU111" s="70">
        <v>3.9</v>
      </c>
      <c r="AV111" s="71">
        <v>10</v>
      </c>
      <c r="AW111" s="72">
        <f t="shared" si="224"/>
        <v>18.213000000000001</v>
      </c>
      <c r="AX111" s="72">
        <f t="shared" si="230"/>
        <v>3.4757235604172467</v>
      </c>
      <c r="AY111" s="73">
        <f t="shared" si="219"/>
        <v>1901.9040000000002</v>
      </c>
      <c r="AZ111" s="192">
        <f t="shared" si="220"/>
        <v>2.9225082711389252</v>
      </c>
      <c r="BA111" s="1075"/>
      <c r="BB111" s="90">
        <f t="shared" ref="BB111:BB125" si="242">BD110</f>
        <v>33289</v>
      </c>
      <c r="BC111" s="59"/>
      <c r="BD111" s="56">
        <v>32846</v>
      </c>
      <c r="BE111" s="56">
        <f t="shared" si="238"/>
        <v>443</v>
      </c>
      <c r="BF111" s="58">
        <f t="shared" ref="BF111:BF126" si="243">BF110+BE111</f>
        <v>63720</v>
      </c>
      <c r="BG111" s="58">
        <f t="shared" si="221"/>
        <v>97.913578727933839</v>
      </c>
      <c r="BH111" s="1133"/>
      <c r="BI111" s="63">
        <f t="shared" ref="BI111:BI126" si="244">BK110</f>
        <v>780</v>
      </c>
      <c r="BJ111" s="64"/>
      <c r="BK111" s="64">
        <v>744</v>
      </c>
      <c r="BL111" s="64">
        <f t="shared" ref="BL111:BL126" si="245">BI111+BJ111-BK111</f>
        <v>36</v>
      </c>
      <c r="BM111" s="65">
        <f t="shared" si="239"/>
        <v>8.0705907672441624E-2</v>
      </c>
      <c r="BN111" s="64">
        <f t="shared" ref="BN111:BN126" si="246">BN110+BL111</f>
        <v>8308</v>
      </c>
      <c r="BO111" s="65">
        <f t="shared" si="176"/>
        <v>0.1636178852782208</v>
      </c>
      <c r="BP111" s="1071"/>
      <c r="BQ111" s="35">
        <f t="shared" ref="BQ111:BQ126" si="247">BS110</f>
        <v>142296</v>
      </c>
      <c r="BR111" s="35"/>
      <c r="BS111" s="35">
        <f>8540+20452+32000+37000+37600</f>
        <v>135592</v>
      </c>
      <c r="BT111" s="35">
        <f t="shared" ref="BT111:BT126" si="248">BQ111-BS111+BR111</f>
        <v>6704</v>
      </c>
      <c r="BU111" s="74">
        <f t="shared" si="231"/>
        <v>1279.3746636488895</v>
      </c>
      <c r="BV111" s="74">
        <f t="shared" ref="BV111:BV126" si="249">BV110+BT111</f>
        <v>380012</v>
      </c>
      <c r="BW111" s="74">
        <f t="shared" si="171"/>
        <v>583.93494789013801</v>
      </c>
      <c r="BX111" s="1098"/>
    </row>
    <row r="112" spans="1:76">
      <c r="A112" s="262">
        <v>43329</v>
      </c>
      <c r="B112" s="114">
        <v>433934</v>
      </c>
      <c r="C112" s="1">
        <f t="shared" si="141"/>
        <v>51210779</v>
      </c>
      <c r="D112" s="115">
        <v>4151.18</v>
      </c>
      <c r="E112" s="93">
        <f t="shared" si="145"/>
        <v>654929.15000000037</v>
      </c>
      <c r="F112" s="227"/>
      <c r="G112" s="227"/>
      <c r="H112" s="227"/>
      <c r="I112" s="227"/>
      <c r="J112" s="227"/>
      <c r="K112" s="227"/>
      <c r="L112" s="227"/>
      <c r="M112" s="227"/>
      <c r="N112" s="227"/>
      <c r="O112" s="227"/>
      <c r="P112" s="77">
        <f t="shared" si="232"/>
        <v>45776</v>
      </c>
      <c r="Q112" s="35"/>
      <c r="R112" s="35">
        <v>43498</v>
      </c>
      <c r="S112" s="35">
        <f t="shared" si="225"/>
        <v>2278</v>
      </c>
      <c r="T112" s="36">
        <f t="shared" si="226"/>
        <v>5.2496462595694275</v>
      </c>
      <c r="U112" s="74">
        <f t="shared" si="233"/>
        <v>202351</v>
      </c>
      <c r="V112" s="36">
        <f t="shared" si="172"/>
        <v>3.9513361044556654</v>
      </c>
      <c r="W112" s="1179"/>
      <c r="X112" s="49">
        <f t="shared" si="234"/>
        <v>457</v>
      </c>
      <c r="Y112" s="50"/>
      <c r="Z112" s="50">
        <f>324+100</f>
        <v>424</v>
      </c>
      <c r="AA112" s="50">
        <f t="shared" si="240"/>
        <v>33</v>
      </c>
      <c r="AB112" s="51">
        <f t="shared" si="241"/>
        <v>7.6048431328266511E-2</v>
      </c>
      <c r="AC112" s="50">
        <f t="shared" si="235"/>
        <v>7022</v>
      </c>
      <c r="AD112" s="51">
        <f t="shared" si="174"/>
        <v>0.13711957008113468</v>
      </c>
      <c r="AE112" s="1050"/>
      <c r="AF112" s="40">
        <f t="shared" si="236"/>
        <v>825</v>
      </c>
      <c r="AG112" s="41"/>
      <c r="AH112" s="41">
        <v>795</v>
      </c>
      <c r="AI112" s="41">
        <f t="shared" si="227"/>
        <v>30</v>
      </c>
      <c r="AJ112" s="42">
        <f t="shared" si="228"/>
        <v>6.913493757115137E-2</v>
      </c>
      <c r="AK112" s="41">
        <f t="shared" si="237"/>
        <v>4765</v>
      </c>
      <c r="AL112" s="42">
        <f t="shared" si="175"/>
        <v>9.3046817350698766E-2</v>
      </c>
      <c r="AM112" s="1058"/>
      <c r="AN112" s="67">
        <v>4</v>
      </c>
      <c r="AO112" s="67">
        <v>24</v>
      </c>
      <c r="AP112" s="68">
        <f t="shared" si="143"/>
        <v>50.88</v>
      </c>
      <c r="AQ112" s="68">
        <f t="shared" si="229"/>
        <v>12.256755910367653</v>
      </c>
      <c r="AR112" s="69">
        <f>AR111+AP112</f>
        <v>5556.7775999999985</v>
      </c>
      <c r="AS112" s="140">
        <f t="shared" si="218"/>
        <v>8.4845476796993928</v>
      </c>
      <c r="AT112" s="1073"/>
      <c r="AU112" s="70">
        <v>2.8</v>
      </c>
      <c r="AV112" s="71">
        <v>10</v>
      </c>
      <c r="AW112" s="72">
        <f t="shared" si="224"/>
        <v>13.076000000000001</v>
      </c>
      <c r="AX112" s="72">
        <f t="shared" si="230"/>
        <v>3.1499477257069071</v>
      </c>
      <c r="AY112" s="73">
        <f t="shared" si="219"/>
        <v>1914.9800000000002</v>
      </c>
      <c r="AZ112" s="192">
        <f t="shared" si="220"/>
        <v>2.9239498654167386</v>
      </c>
      <c r="BA112" s="1075"/>
      <c r="BB112" s="90">
        <f t="shared" si="242"/>
        <v>32846</v>
      </c>
      <c r="BC112" s="59"/>
      <c r="BD112" s="56">
        <v>31955</v>
      </c>
      <c r="BE112" s="56">
        <f t="shared" si="238"/>
        <v>891</v>
      </c>
      <c r="BF112" s="58">
        <f t="shared" si="243"/>
        <v>64611</v>
      </c>
      <c r="BG112" s="58">
        <f t="shared" si="221"/>
        <v>98.653419228629488</v>
      </c>
      <c r="BH112" s="1133"/>
      <c r="BI112" s="63">
        <f t="shared" si="244"/>
        <v>744</v>
      </c>
      <c r="BJ112" s="64"/>
      <c r="BK112" s="64">
        <v>720</v>
      </c>
      <c r="BL112" s="64">
        <f t="shared" si="245"/>
        <v>24</v>
      </c>
      <c r="BM112" s="65">
        <f t="shared" si="239"/>
        <v>5.5307950056921101E-2</v>
      </c>
      <c r="BN112" s="64">
        <f t="shared" si="246"/>
        <v>8332</v>
      </c>
      <c r="BO112" s="65">
        <f t="shared" si="176"/>
        <v>0.1627001221754506</v>
      </c>
      <c r="BP112" s="1071"/>
      <c r="BQ112" s="35">
        <f t="shared" si="247"/>
        <v>135592</v>
      </c>
      <c r="BR112" s="35"/>
      <c r="BS112" s="35">
        <f>4722+20452+32000+37000+37600</f>
        <v>131774</v>
      </c>
      <c r="BT112" s="35">
        <f t="shared" si="248"/>
        <v>3818</v>
      </c>
      <c r="BU112" s="74">
        <f t="shared" si="231"/>
        <v>919.73848399732117</v>
      </c>
      <c r="BV112" s="74">
        <f t="shared" si="249"/>
        <v>383830</v>
      </c>
      <c r="BW112" s="74">
        <f t="shared" si="171"/>
        <v>586.06339326933266</v>
      </c>
      <c r="BX112" s="1098"/>
    </row>
    <row r="113" spans="1:76">
      <c r="A113" s="262">
        <v>43330</v>
      </c>
      <c r="B113" s="114">
        <v>362989</v>
      </c>
      <c r="C113" s="1">
        <f t="shared" si="141"/>
        <v>51573768</v>
      </c>
      <c r="D113" s="115">
        <v>4389.4400000000005</v>
      </c>
      <c r="E113" s="93">
        <f t="shared" si="145"/>
        <v>659318.59000000032</v>
      </c>
      <c r="F113" s="227"/>
      <c r="G113" s="227"/>
      <c r="H113" s="227"/>
      <c r="I113" s="227"/>
      <c r="J113" s="227"/>
      <c r="K113" s="227"/>
      <c r="L113" s="227"/>
      <c r="M113" s="227"/>
      <c r="N113" s="227"/>
      <c r="O113" s="227"/>
      <c r="P113" s="77">
        <f t="shared" si="232"/>
        <v>43498</v>
      </c>
      <c r="Q113" s="35"/>
      <c r="R113" s="35">
        <v>40911</v>
      </c>
      <c r="S113" s="35">
        <f t="shared" si="225"/>
        <v>2587</v>
      </c>
      <c r="T113" s="36">
        <f t="shared" si="226"/>
        <v>7.1269377308954267</v>
      </c>
      <c r="U113" s="74">
        <f t="shared" si="233"/>
        <v>204938</v>
      </c>
      <c r="V113" s="36">
        <f t="shared" si="172"/>
        <v>3.9736867781310838</v>
      </c>
      <c r="W113" s="1179"/>
      <c r="X113" s="49">
        <f t="shared" si="234"/>
        <v>424</v>
      </c>
      <c r="Y113" s="50"/>
      <c r="Z113" s="50">
        <f>292+100</f>
        <v>392</v>
      </c>
      <c r="AA113" s="50">
        <f t="shared" si="240"/>
        <v>32</v>
      </c>
      <c r="AB113" s="51">
        <f t="shared" si="241"/>
        <v>8.8156941394918309E-2</v>
      </c>
      <c r="AC113" s="50">
        <f t="shared" si="235"/>
        <v>7054</v>
      </c>
      <c r="AD113" s="51">
        <f t="shared" si="174"/>
        <v>0.13677495892873293</v>
      </c>
      <c r="AE113" s="1050"/>
      <c r="AF113" s="40">
        <f t="shared" si="236"/>
        <v>795</v>
      </c>
      <c r="AG113" s="41"/>
      <c r="AH113" s="41">
        <v>785</v>
      </c>
      <c r="AI113" s="41">
        <f t="shared" si="227"/>
        <v>10</v>
      </c>
      <c r="AJ113" s="42">
        <f t="shared" si="228"/>
        <v>2.7549044185911968E-2</v>
      </c>
      <c r="AK113" s="41">
        <f t="shared" si="237"/>
        <v>4775</v>
      </c>
      <c r="AL113" s="42">
        <f t="shared" si="175"/>
        <v>9.2585827740955445E-2</v>
      </c>
      <c r="AM113" s="1058"/>
      <c r="AN113" s="67">
        <v>4.2</v>
      </c>
      <c r="AO113" s="67">
        <v>24</v>
      </c>
      <c r="AP113" s="68">
        <f t="shared" si="143"/>
        <v>53.424000000000007</v>
      </c>
      <c r="AQ113" s="68">
        <f t="shared" si="229"/>
        <v>12.171028650579572</v>
      </c>
      <c r="AR113" s="69">
        <f>AR112+AP113</f>
        <v>5610.2015999999985</v>
      </c>
      <c r="AS113" s="140">
        <f t="shared" si="218"/>
        <v>8.5090905748615331</v>
      </c>
      <c r="AT113" s="1073"/>
      <c r="AU113" s="70">
        <v>2.2999999999999998</v>
      </c>
      <c r="AV113" s="71">
        <v>10</v>
      </c>
      <c r="AW113" s="72">
        <f t="shared" si="224"/>
        <v>10.741000000000001</v>
      </c>
      <c r="AX113" s="72">
        <f t="shared" si="230"/>
        <v>2.4470091856820004</v>
      </c>
      <c r="AY113" s="73">
        <f t="shared" si="219"/>
        <v>1925.7210000000002</v>
      </c>
      <c r="AZ113" s="192">
        <f t="shared" si="220"/>
        <v>2.9207746136810724</v>
      </c>
      <c r="BA113" s="1075"/>
      <c r="BB113" s="90">
        <f t="shared" si="242"/>
        <v>31955</v>
      </c>
      <c r="BC113" s="59"/>
      <c r="BD113" s="56">
        <v>31955</v>
      </c>
      <c r="BE113" s="56"/>
      <c r="BF113" s="58">
        <f t="shared" si="243"/>
        <v>64611</v>
      </c>
      <c r="BG113" s="58">
        <f t="shared" si="221"/>
        <v>97.996630126870784</v>
      </c>
      <c r="BH113" s="1133"/>
      <c r="BI113" s="63">
        <f t="shared" si="244"/>
        <v>720</v>
      </c>
      <c r="BJ113" s="64"/>
      <c r="BK113" s="64">
        <v>576</v>
      </c>
      <c r="BL113" s="64">
        <f t="shared" si="245"/>
        <v>144</v>
      </c>
      <c r="BM113" s="65">
        <f t="shared" si="239"/>
        <v>0.39670623627713236</v>
      </c>
      <c r="BN113" s="64">
        <f t="shared" si="246"/>
        <v>8476</v>
      </c>
      <c r="BO113" s="65">
        <f t="shared" si="176"/>
        <v>0.16434711537850016</v>
      </c>
      <c r="BP113" s="1071"/>
      <c r="BQ113" s="35">
        <f t="shared" si="247"/>
        <v>131774</v>
      </c>
      <c r="BR113" s="35"/>
      <c r="BS113" s="35">
        <f>3337+20452+32000+37000+37600</f>
        <v>130389</v>
      </c>
      <c r="BT113" s="35">
        <f t="shared" si="248"/>
        <v>1385</v>
      </c>
      <c r="BU113" s="74">
        <f t="shared" si="231"/>
        <v>315.52999927097756</v>
      </c>
      <c r="BV113" s="74">
        <f t="shared" si="249"/>
        <v>385215</v>
      </c>
      <c r="BW113" s="74">
        <f t="shared" ref="BW113:BW144" si="250">BV113*1000/E113</f>
        <v>584.26230633054013</v>
      </c>
      <c r="BX113" s="1098"/>
    </row>
    <row r="114" spans="1:76">
      <c r="A114" s="262">
        <v>43331</v>
      </c>
      <c r="B114" s="114">
        <v>374465</v>
      </c>
      <c r="C114" s="1">
        <f t="shared" si="141"/>
        <v>51948233</v>
      </c>
      <c r="D114" s="115">
        <v>4234.6000000000004</v>
      </c>
      <c r="E114" s="93">
        <f t="shared" si="145"/>
        <v>663553.19000000029</v>
      </c>
      <c r="F114" s="227"/>
      <c r="G114" s="227"/>
      <c r="H114" s="227"/>
      <c r="I114" s="227"/>
      <c r="J114" s="227"/>
      <c r="K114" s="227"/>
      <c r="L114" s="227"/>
      <c r="M114" s="227"/>
      <c r="N114" s="227"/>
      <c r="O114" s="227"/>
      <c r="P114" s="77">
        <f t="shared" si="232"/>
        <v>40911</v>
      </c>
      <c r="Q114" s="35"/>
      <c r="R114" s="35">
        <v>39071</v>
      </c>
      <c r="S114" s="35">
        <f t="shared" si="225"/>
        <v>1840</v>
      </c>
      <c r="T114" s="36">
        <f t="shared" si="226"/>
        <v>4.9136768456331028</v>
      </c>
      <c r="U114" s="74">
        <f t="shared" si="233"/>
        <v>206778</v>
      </c>
      <c r="V114" s="36">
        <f t="shared" si="172"/>
        <v>3.9804626270926291</v>
      </c>
      <c r="W114" s="1179"/>
      <c r="X114" s="49">
        <f t="shared" si="234"/>
        <v>392</v>
      </c>
      <c r="Y114" s="50"/>
      <c r="Z114" s="50">
        <f>261+100</f>
        <v>361</v>
      </c>
      <c r="AA114" s="50">
        <f t="shared" si="240"/>
        <v>31</v>
      </c>
      <c r="AB114" s="51">
        <f t="shared" si="241"/>
        <v>8.2784772942731635E-2</v>
      </c>
      <c r="AC114" s="50">
        <f t="shared" si="235"/>
        <v>7085</v>
      </c>
      <c r="AD114" s="51">
        <f t="shared" si="174"/>
        <v>0.13638577466147886</v>
      </c>
      <c r="AE114" s="1050"/>
      <c r="AF114" s="40">
        <f t="shared" si="236"/>
        <v>785</v>
      </c>
      <c r="AG114" s="41"/>
      <c r="AH114" s="41">
        <v>745</v>
      </c>
      <c r="AI114" s="41">
        <f t="shared" si="227"/>
        <v>40</v>
      </c>
      <c r="AJ114" s="42">
        <f t="shared" si="228"/>
        <v>0.1068190618615892</v>
      </c>
      <c r="AK114" s="41">
        <f t="shared" si="237"/>
        <v>4815</v>
      </c>
      <c r="AL114" s="42">
        <f t="shared" si="175"/>
        <v>9.2688426957659942E-2</v>
      </c>
      <c r="AM114" s="1058"/>
      <c r="AN114" s="67">
        <v>4.2</v>
      </c>
      <c r="AO114" s="67">
        <v>24</v>
      </c>
      <c r="AP114" s="68">
        <f t="shared" si="143"/>
        <v>53.424000000000007</v>
      </c>
      <c r="AQ114" s="68">
        <f t="shared" si="229"/>
        <v>12.616067633306571</v>
      </c>
      <c r="AR114" s="69">
        <f>AR113+AP114</f>
        <v>5663.6255999999985</v>
      </c>
      <c r="AS114" s="140">
        <f t="shared" si="218"/>
        <v>8.5353000864934376</v>
      </c>
      <c r="AT114" s="1073"/>
      <c r="AU114" s="70">
        <v>2.9</v>
      </c>
      <c r="AV114" s="71">
        <v>10</v>
      </c>
      <c r="AW114" s="72">
        <f t="shared" si="224"/>
        <v>13.543000000000001</v>
      </c>
      <c r="AX114" s="72">
        <f t="shared" si="230"/>
        <v>3.1981769234402306</v>
      </c>
      <c r="AY114" s="73">
        <f t="shared" si="219"/>
        <v>1939.2640000000001</v>
      </c>
      <c r="AZ114" s="192">
        <f t="shared" si="220"/>
        <v>2.9225449130912917</v>
      </c>
      <c r="BA114" s="1075"/>
      <c r="BB114" s="90">
        <f t="shared" si="242"/>
        <v>31955</v>
      </c>
      <c r="BC114" s="59"/>
      <c r="BD114" s="56">
        <v>31955</v>
      </c>
      <c r="BE114" s="56"/>
      <c r="BF114" s="58">
        <f t="shared" si="243"/>
        <v>64611</v>
      </c>
      <c r="BG114" s="58">
        <f t="shared" si="221"/>
        <v>97.371244647320538</v>
      </c>
      <c r="BH114" s="1133"/>
      <c r="BI114" s="63">
        <f t="shared" si="244"/>
        <v>576</v>
      </c>
      <c r="BJ114" s="64"/>
      <c r="BK114" s="64">
        <v>396</v>
      </c>
      <c r="BL114" s="64">
        <f t="shared" si="245"/>
        <v>180</v>
      </c>
      <c r="BM114" s="65">
        <f t="shared" si="239"/>
        <v>0.48068577837715143</v>
      </c>
      <c r="BN114" s="64">
        <f t="shared" si="246"/>
        <v>8656</v>
      </c>
      <c r="BO114" s="65">
        <f t="shared" si="176"/>
        <v>0.16662741926178701</v>
      </c>
      <c r="BP114" s="1071"/>
      <c r="BQ114" s="35">
        <f t="shared" si="247"/>
        <v>130389</v>
      </c>
      <c r="BR114" s="35"/>
      <c r="BS114" s="35">
        <f>15463-877+9203+32000+37000+37600</f>
        <v>130389</v>
      </c>
      <c r="BT114" s="35">
        <f t="shared" si="248"/>
        <v>0</v>
      </c>
      <c r="BU114" s="74">
        <f t="shared" si="231"/>
        <v>0</v>
      </c>
      <c r="BV114" s="74">
        <f t="shared" si="249"/>
        <v>385215</v>
      </c>
      <c r="BW114" s="74">
        <f t="shared" si="250"/>
        <v>580.5337172744205</v>
      </c>
      <c r="BX114" s="1098"/>
    </row>
    <row r="115" spans="1:76">
      <c r="A115" s="262">
        <v>43332</v>
      </c>
      <c r="B115" s="114">
        <v>288061</v>
      </c>
      <c r="C115" s="1">
        <f t="shared" si="141"/>
        <v>52236294</v>
      </c>
      <c r="D115" s="115">
        <v>2862.54</v>
      </c>
      <c r="E115" s="93">
        <f t="shared" si="145"/>
        <v>666415.73000000033</v>
      </c>
      <c r="F115" s="227"/>
      <c r="G115" s="227"/>
      <c r="H115" s="227"/>
      <c r="I115" s="227"/>
      <c r="J115" s="227"/>
      <c r="K115" s="227"/>
      <c r="L115" s="227"/>
      <c r="M115" s="227"/>
      <c r="N115" s="227"/>
      <c r="O115" s="227"/>
      <c r="P115" s="77">
        <f t="shared" si="232"/>
        <v>39071</v>
      </c>
      <c r="Q115" s="35"/>
      <c r="R115" s="35">
        <v>35344</v>
      </c>
      <c r="S115" s="35">
        <f t="shared" si="225"/>
        <v>3727</v>
      </c>
      <c r="T115" s="36">
        <f t="shared" si="226"/>
        <v>12.938231832840961</v>
      </c>
      <c r="U115" s="74">
        <f t="shared" si="233"/>
        <v>210505</v>
      </c>
      <c r="V115" s="36">
        <f t="shared" ref="V115:V146" si="251">U115*1000/C115</f>
        <v>4.0298609239009187</v>
      </c>
      <c r="W115" s="1179"/>
      <c r="X115" s="49">
        <f t="shared" si="234"/>
        <v>361</v>
      </c>
      <c r="Y115" s="50">
        <v>900</v>
      </c>
      <c r="Z115" s="50">
        <f>1090+100</f>
        <v>1190</v>
      </c>
      <c r="AA115" s="50">
        <f t="shared" si="240"/>
        <v>71</v>
      </c>
      <c r="AB115" s="51">
        <f t="shared" si="241"/>
        <v>0.24647557288213259</v>
      </c>
      <c r="AC115" s="50">
        <f t="shared" si="235"/>
        <v>7156</v>
      </c>
      <c r="AD115" s="51">
        <f t="shared" ref="AD115:AD146" si="252">AC115*1000/C115</f>
        <v>0.13699287319272688</v>
      </c>
      <c r="AE115" s="1050"/>
      <c r="AF115" s="40">
        <f t="shared" si="236"/>
        <v>745</v>
      </c>
      <c r="AG115" s="41">
        <v>800</v>
      </c>
      <c r="AH115" s="41">
        <f>1532</f>
        <v>1532</v>
      </c>
      <c r="AI115" s="41">
        <f t="shared" si="227"/>
        <v>13</v>
      </c>
      <c r="AJ115" s="42">
        <f t="shared" si="228"/>
        <v>4.512933024602428E-2</v>
      </c>
      <c r="AK115" s="41">
        <f t="shared" si="237"/>
        <v>4828</v>
      </c>
      <c r="AL115" s="42">
        <f t="shared" ref="AL115:AL146" si="253">AK115*1000/C115</f>
        <v>9.2426158716389789E-2</v>
      </c>
      <c r="AM115" s="1058"/>
      <c r="AN115" s="67">
        <v>3.2</v>
      </c>
      <c r="AO115" s="67">
        <v>24</v>
      </c>
      <c r="AP115" s="68">
        <f t="shared" si="143"/>
        <v>40.704000000000008</v>
      </c>
      <c r="AQ115" s="68">
        <f t="shared" si="229"/>
        <v>14.219539290280663</v>
      </c>
      <c r="AR115" s="69">
        <f t="shared" ref="AR115:AR126" si="254">AR114+AP115</f>
        <v>5704.3295999999982</v>
      </c>
      <c r="AS115" s="140">
        <f t="shared" si="218"/>
        <v>8.5597163200214297</v>
      </c>
      <c r="AT115" s="1073"/>
      <c r="AU115" s="70">
        <v>1.6</v>
      </c>
      <c r="AV115" s="71">
        <v>10</v>
      </c>
      <c r="AW115" s="72">
        <f t="shared" si="224"/>
        <v>7.4720000000000004</v>
      </c>
      <c r="AX115" s="72">
        <f t="shared" si="230"/>
        <v>2.6102692014784075</v>
      </c>
      <c r="AY115" s="73">
        <f t="shared" si="219"/>
        <v>1946.7360000000001</v>
      </c>
      <c r="AZ115" s="192">
        <f t="shared" si="220"/>
        <v>2.9212035556243534</v>
      </c>
      <c r="BA115" s="1075"/>
      <c r="BB115" s="90">
        <f t="shared" si="242"/>
        <v>31955</v>
      </c>
      <c r="BC115" s="59"/>
      <c r="BD115" s="56">
        <v>31732</v>
      </c>
      <c r="BE115" s="56">
        <f t="shared" si="238"/>
        <v>223</v>
      </c>
      <c r="BF115" s="58">
        <f t="shared" si="243"/>
        <v>64834</v>
      </c>
      <c r="BG115" s="58">
        <f t="shared" si="221"/>
        <v>97.287619546435323</v>
      </c>
      <c r="BH115" s="1133"/>
      <c r="BI115" s="63">
        <f t="shared" si="244"/>
        <v>396</v>
      </c>
      <c r="BJ115" s="64"/>
      <c r="BK115" s="64">
        <v>372</v>
      </c>
      <c r="BL115" s="64">
        <f t="shared" si="245"/>
        <v>24</v>
      </c>
      <c r="BM115" s="65">
        <f t="shared" si="239"/>
        <v>8.3315686608044823E-2</v>
      </c>
      <c r="BN115" s="64">
        <f t="shared" si="246"/>
        <v>8680</v>
      </c>
      <c r="BO115" s="65">
        <f t="shared" ref="BO115:BO146" si="255">BN115*1000/C115</f>
        <v>0.16616799040146302</v>
      </c>
      <c r="BP115" s="1071"/>
      <c r="BQ115" s="35">
        <f t="shared" si="247"/>
        <v>130389</v>
      </c>
      <c r="BR115" s="35"/>
      <c r="BS115" s="35">
        <f>7797+9203+32000+37000+37600</f>
        <v>123600</v>
      </c>
      <c r="BT115" s="35">
        <f t="shared" si="248"/>
        <v>6789</v>
      </c>
      <c r="BU115" s="74">
        <f t="shared" si="231"/>
        <v>2371.6699155295646</v>
      </c>
      <c r="BV115" s="74">
        <f t="shared" si="249"/>
        <v>392004</v>
      </c>
      <c r="BW115" s="74">
        <f t="shared" si="250"/>
        <v>588.22741173891529</v>
      </c>
      <c r="BX115" s="1098"/>
    </row>
    <row r="116" spans="1:76">
      <c r="A116" s="262">
        <v>43333</v>
      </c>
      <c r="B116" s="114">
        <v>450407</v>
      </c>
      <c r="C116" s="1">
        <f t="shared" si="141"/>
        <v>52686701</v>
      </c>
      <c r="D116" s="115">
        <v>6740.24</v>
      </c>
      <c r="E116" s="93">
        <f t="shared" si="145"/>
        <v>673155.97000000032</v>
      </c>
      <c r="F116" s="227"/>
      <c r="G116" s="227"/>
      <c r="H116" s="227"/>
      <c r="I116" s="227"/>
      <c r="J116" s="227"/>
      <c r="K116" s="227"/>
      <c r="L116" s="227"/>
      <c r="M116" s="227"/>
      <c r="N116" s="227"/>
      <c r="O116" s="227"/>
      <c r="P116" s="77">
        <f t="shared" si="232"/>
        <v>35344</v>
      </c>
      <c r="Q116" s="35"/>
      <c r="R116" s="35">
        <v>32121</v>
      </c>
      <c r="S116" s="35">
        <f t="shared" si="225"/>
        <v>3223</v>
      </c>
      <c r="T116" s="36">
        <f t="shared" si="226"/>
        <v>7.1557502436685043</v>
      </c>
      <c r="U116" s="74">
        <f t="shared" si="233"/>
        <v>213728</v>
      </c>
      <c r="V116" s="36">
        <f t="shared" si="251"/>
        <v>4.0565834630640474</v>
      </c>
      <c r="W116" s="1179"/>
      <c r="X116" s="49">
        <f t="shared" si="234"/>
        <v>1190</v>
      </c>
      <c r="Y116" s="50"/>
      <c r="Z116" s="50">
        <f>1073+50</f>
        <v>1123</v>
      </c>
      <c r="AA116" s="50">
        <f t="shared" si="240"/>
        <v>67</v>
      </c>
      <c r="AB116" s="51">
        <f t="shared" si="241"/>
        <v>0.14875434884448954</v>
      </c>
      <c r="AC116" s="50">
        <f t="shared" si="235"/>
        <v>7223</v>
      </c>
      <c r="AD116" s="51">
        <f t="shared" si="252"/>
        <v>0.13709341945702769</v>
      </c>
      <c r="AE116" s="1050"/>
      <c r="AF116" s="40">
        <f t="shared" si="236"/>
        <v>1532</v>
      </c>
      <c r="AG116" s="41"/>
      <c r="AH116" s="41">
        <f>1501</f>
        <v>1501</v>
      </c>
      <c r="AI116" s="41">
        <f t="shared" si="227"/>
        <v>31</v>
      </c>
      <c r="AJ116" s="42">
        <f t="shared" si="228"/>
        <v>6.8826639017599639E-2</v>
      </c>
      <c r="AK116" s="41">
        <f t="shared" si="237"/>
        <v>4859</v>
      </c>
      <c r="AL116" s="42">
        <f t="shared" si="253"/>
        <v>9.222441162144504E-2</v>
      </c>
      <c r="AM116" s="1058"/>
      <c r="AN116" s="67">
        <v>3.9</v>
      </c>
      <c r="AO116" s="67">
        <v>24</v>
      </c>
      <c r="AP116" s="68">
        <f t="shared" si="143"/>
        <v>49.607999999999997</v>
      </c>
      <c r="AQ116" s="68">
        <f t="shared" si="229"/>
        <v>7.3599753124517822</v>
      </c>
      <c r="AR116" s="69">
        <f t="shared" si="254"/>
        <v>5753.9375999999984</v>
      </c>
      <c r="AS116" s="140">
        <f t="shared" si="218"/>
        <v>8.5477034393678419</v>
      </c>
      <c r="AT116" s="1073"/>
      <c r="AU116" s="70">
        <v>4.5999999999999996</v>
      </c>
      <c r="AV116" s="71">
        <v>10</v>
      </c>
      <c r="AW116" s="72">
        <f t="shared" si="224"/>
        <v>21.482000000000003</v>
      </c>
      <c r="AX116" s="72">
        <f t="shared" si="230"/>
        <v>3.1871268678860107</v>
      </c>
      <c r="AY116" s="73">
        <f t="shared" si="219"/>
        <v>1968.2180000000001</v>
      </c>
      <c r="AZ116" s="192">
        <f t="shared" si="220"/>
        <v>2.9238662178098176</v>
      </c>
      <c r="BA116" s="1075"/>
      <c r="BB116" s="90">
        <f t="shared" si="242"/>
        <v>31732</v>
      </c>
      <c r="BC116" s="59"/>
      <c r="BD116" s="56">
        <v>25642</v>
      </c>
      <c r="BE116" s="56">
        <f t="shared" si="238"/>
        <v>6090</v>
      </c>
      <c r="BF116" s="58">
        <f t="shared" si="243"/>
        <v>70924</v>
      </c>
      <c r="BG116" s="58">
        <f t="shared" si="221"/>
        <v>105.36042635111735</v>
      </c>
      <c r="BH116" s="1133"/>
      <c r="BI116" s="63">
        <f t="shared" si="244"/>
        <v>372</v>
      </c>
      <c r="BJ116" s="64"/>
      <c r="BK116" s="64">
        <v>228</v>
      </c>
      <c r="BL116" s="64">
        <f t="shared" si="245"/>
        <v>144</v>
      </c>
      <c r="BM116" s="65">
        <f t="shared" si="239"/>
        <v>0.31971083930755961</v>
      </c>
      <c r="BN116" s="64">
        <f t="shared" si="246"/>
        <v>8824</v>
      </c>
      <c r="BO116" s="65">
        <f t="shared" si="255"/>
        <v>0.16748059439136262</v>
      </c>
      <c r="BP116" s="1071"/>
      <c r="BQ116" s="35">
        <f t="shared" si="247"/>
        <v>123600</v>
      </c>
      <c r="BR116" s="35"/>
      <c r="BS116" s="35">
        <f>5257+9203+32000+37000+37600</f>
        <v>121060</v>
      </c>
      <c r="BT116" s="35">
        <f t="shared" si="248"/>
        <v>2540</v>
      </c>
      <c r="BU116" s="74">
        <f t="shared" si="231"/>
        <v>376.84118072946961</v>
      </c>
      <c r="BV116" s="74">
        <f t="shared" si="249"/>
        <v>394544</v>
      </c>
      <c r="BW116" s="74">
        <f t="shared" si="250"/>
        <v>586.11082361789022</v>
      </c>
      <c r="BX116" s="1098"/>
    </row>
    <row r="117" spans="1:76">
      <c r="A117" s="262">
        <v>43334</v>
      </c>
      <c r="B117" s="114">
        <v>574823</v>
      </c>
      <c r="C117" s="1">
        <f t="shared" si="141"/>
        <v>53261524</v>
      </c>
      <c r="D117" s="115">
        <v>5185.74</v>
      </c>
      <c r="E117" s="93">
        <f t="shared" si="145"/>
        <v>678341.71000000031</v>
      </c>
      <c r="F117" s="227"/>
      <c r="G117" s="227"/>
      <c r="H117" s="227"/>
      <c r="I117" s="227"/>
      <c r="J117" s="227"/>
      <c r="K117" s="227"/>
      <c r="L117" s="227"/>
      <c r="M117" s="227"/>
      <c r="N117" s="227"/>
      <c r="O117" s="227"/>
      <c r="P117" s="77">
        <f t="shared" si="232"/>
        <v>32121</v>
      </c>
      <c r="Q117" s="35"/>
      <c r="R117" s="35">
        <v>28350</v>
      </c>
      <c r="S117" s="35">
        <f t="shared" si="225"/>
        <v>3771</v>
      </c>
      <c r="T117" s="36">
        <f t="shared" si="226"/>
        <v>6.5602802949777583</v>
      </c>
      <c r="U117" s="74">
        <f t="shared" si="233"/>
        <v>217499</v>
      </c>
      <c r="V117" s="36">
        <f t="shared" si="251"/>
        <v>4.0836045172120876</v>
      </c>
      <c r="W117" s="1179"/>
      <c r="X117" s="49">
        <f t="shared" si="234"/>
        <v>1123</v>
      </c>
      <c r="Y117" s="50"/>
      <c r="Z117" s="50">
        <f>1007+60</f>
        <v>1067</v>
      </c>
      <c r="AA117" s="50">
        <f t="shared" si="240"/>
        <v>56</v>
      </c>
      <c r="AB117" s="51">
        <f t="shared" si="241"/>
        <v>9.7421293163286779E-2</v>
      </c>
      <c r="AC117" s="50">
        <f t="shared" si="235"/>
        <v>7279</v>
      </c>
      <c r="AD117" s="51">
        <f t="shared" si="252"/>
        <v>0.13666525952205197</v>
      </c>
      <c r="AE117" s="1050"/>
      <c r="AF117" s="40">
        <f t="shared" si="236"/>
        <v>1501</v>
      </c>
      <c r="AG117" s="41"/>
      <c r="AH117" s="41">
        <f>1464</f>
        <v>1464</v>
      </c>
      <c r="AI117" s="41">
        <f t="shared" si="227"/>
        <v>37</v>
      </c>
      <c r="AJ117" s="42">
        <f t="shared" si="228"/>
        <v>6.4367640125743059E-2</v>
      </c>
      <c r="AK117" s="41">
        <f t="shared" si="237"/>
        <v>4896</v>
      </c>
      <c r="AL117" s="42">
        <f t="shared" si="253"/>
        <v>9.1923768459948693E-2</v>
      </c>
      <c r="AM117" s="1058"/>
      <c r="AN117" s="67">
        <v>4.7</v>
      </c>
      <c r="AO117" s="67">
        <v>24</v>
      </c>
      <c r="AP117" s="68">
        <f t="shared" si="143"/>
        <v>59.784000000000006</v>
      </c>
      <c r="AQ117" s="68">
        <f t="shared" si="229"/>
        <v>11.528537875018804</v>
      </c>
      <c r="AR117" s="69">
        <f t="shared" si="254"/>
        <v>5813.721599999998</v>
      </c>
      <c r="AS117" s="140">
        <f t="shared" si="218"/>
        <v>8.5704911172276219</v>
      </c>
      <c r="AT117" s="1073"/>
      <c r="AU117" s="70">
        <v>3.8</v>
      </c>
      <c r="AV117" s="71">
        <v>10</v>
      </c>
      <c r="AW117" s="72">
        <f t="shared" si="224"/>
        <v>17.746000000000002</v>
      </c>
      <c r="AX117" s="72">
        <f t="shared" si="230"/>
        <v>3.4220766949364996</v>
      </c>
      <c r="AY117" s="73">
        <f t="shared" si="219"/>
        <v>1985.9640000000002</v>
      </c>
      <c r="AZ117" s="192">
        <f t="shared" si="220"/>
        <v>2.9276749029629907</v>
      </c>
      <c r="BA117" s="1075"/>
      <c r="BB117" s="90">
        <f t="shared" si="242"/>
        <v>25642</v>
      </c>
      <c r="BC117" s="59"/>
      <c r="BD117" s="56">
        <v>25415</v>
      </c>
      <c r="BE117" s="56">
        <f t="shared" si="238"/>
        <v>227</v>
      </c>
      <c r="BF117" s="58">
        <f t="shared" si="243"/>
        <v>71151</v>
      </c>
      <c r="BG117" s="58">
        <f t="shared" si="221"/>
        <v>104.88961382014968</v>
      </c>
      <c r="BH117" s="1133"/>
      <c r="BI117" s="63">
        <f t="shared" si="244"/>
        <v>228</v>
      </c>
      <c r="BJ117" s="64">
        <v>1100</v>
      </c>
      <c r="BK117" s="64">
        <v>1320</v>
      </c>
      <c r="BL117" s="64">
        <f t="shared" si="245"/>
        <v>8</v>
      </c>
      <c r="BM117" s="65">
        <f t="shared" si="239"/>
        <v>1.3917327594755256E-2</v>
      </c>
      <c r="BN117" s="64">
        <f t="shared" si="246"/>
        <v>8832</v>
      </c>
      <c r="BO117" s="65">
        <f t="shared" si="255"/>
        <v>0.16582326859441723</v>
      </c>
      <c r="BP117" s="1071"/>
      <c r="BQ117" s="35">
        <f t="shared" si="247"/>
        <v>121060</v>
      </c>
      <c r="BR117" s="35"/>
      <c r="BS117" s="35">
        <f>30250-790+17000+37000+37600</f>
        <v>121060</v>
      </c>
      <c r="BT117" s="35">
        <f t="shared" si="248"/>
        <v>0</v>
      </c>
      <c r="BU117" s="74">
        <f t="shared" si="231"/>
        <v>0</v>
      </c>
      <c r="BV117" s="74">
        <f t="shared" si="249"/>
        <v>394544</v>
      </c>
      <c r="BW117" s="74">
        <f t="shared" si="250"/>
        <v>581.63016394790145</v>
      </c>
      <c r="BX117" s="1098"/>
    </row>
    <row r="118" spans="1:76">
      <c r="A118" s="262">
        <v>43335</v>
      </c>
      <c r="B118" s="114">
        <v>460516</v>
      </c>
      <c r="C118" s="1">
        <f t="shared" si="141"/>
        <v>53722040</v>
      </c>
      <c r="D118" s="115">
        <v>5194.7</v>
      </c>
      <c r="E118" s="93">
        <f t="shared" si="145"/>
        <v>683536.41000000027</v>
      </c>
      <c r="F118" s="227"/>
      <c r="G118" s="227"/>
      <c r="H118" s="227"/>
      <c r="I118" s="227"/>
      <c r="J118" s="227"/>
      <c r="K118" s="227"/>
      <c r="L118" s="227"/>
      <c r="M118" s="227"/>
      <c r="N118" s="227"/>
      <c r="O118" s="227"/>
      <c r="P118" s="77">
        <f t="shared" ref="P118:P125" si="256">R117</f>
        <v>28350</v>
      </c>
      <c r="Q118" s="35"/>
      <c r="R118" s="35">
        <v>25673</v>
      </c>
      <c r="S118" s="35">
        <f t="shared" ref="S118:S125" si="257">P118-R118+Q118</f>
        <v>2677</v>
      </c>
      <c r="T118" s="36">
        <f t="shared" si="226"/>
        <v>5.8130444979110392</v>
      </c>
      <c r="U118" s="74">
        <f t="shared" ref="U118:U125" si="258">U117+S118</f>
        <v>220176</v>
      </c>
      <c r="V118" s="36">
        <f t="shared" si="251"/>
        <v>4.0984296203197053</v>
      </c>
      <c r="W118" s="1179"/>
      <c r="X118" s="49">
        <f t="shared" ref="X118:X123" si="259">Z117</f>
        <v>1067</v>
      </c>
      <c r="Y118" s="50"/>
      <c r="Z118" s="50">
        <f>956+55</f>
        <v>1011</v>
      </c>
      <c r="AA118" s="50">
        <f t="shared" si="240"/>
        <v>56</v>
      </c>
      <c r="AB118" s="51">
        <f t="shared" si="241"/>
        <v>0.12160272390101538</v>
      </c>
      <c r="AC118" s="50">
        <f t="shared" ref="AC118:AC123" si="260">AC117+AA118</f>
        <v>7335</v>
      </c>
      <c r="AD118" s="51">
        <f t="shared" si="252"/>
        <v>0.13653614047418899</v>
      </c>
      <c r="AE118" s="1050"/>
      <c r="AF118" s="40">
        <f t="shared" ref="AF118:AF126" si="261">AH117</f>
        <v>1464</v>
      </c>
      <c r="AG118" s="41"/>
      <c r="AH118" s="41">
        <v>1409</v>
      </c>
      <c r="AI118" s="41">
        <f t="shared" ref="AI118:AI126" si="262">AF118+AG118-AH118</f>
        <v>55</v>
      </c>
      <c r="AJ118" s="42">
        <f t="shared" si="228"/>
        <v>0.11943124668849725</v>
      </c>
      <c r="AK118" s="41">
        <f t="shared" ref="AK118:AK126" si="263">AK117+AI118</f>
        <v>4951</v>
      </c>
      <c r="AL118" s="42">
        <f t="shared" si="253"/>
        <v>9.2159568028317609E-2</v>
      </c>
      <c r="AM118" s="1058"/>
      <c r="AN118" s="67">
        <v>4.5999999999999996</v>
      </c>
      <c r="AO118" s="67">
        <v>24</v>
      </c>
      <c r="AP118" s="68">
        <f t="shared" si="143"/>
        <v>58.512</v>
      </c>
      <c r="AQ118" s="68">
        <f t="shared" si="229"/>
        <v>11.263788091708857</v>
      </c>
      <c r="AR118" s="69">
        <f t="shared" si="254"/>
        <v>5872.2335999999978</v>
      </c>
      <c r="AS118" s="140">
        <f t="shared" si="218"/>
        <v>8.5909594779303635</v>
      </c>
      <c r="AT118" s="1073"/>
      <c r="AU118" s="70">
        <v>3.1</v>
      </c>
      <c r="AV118" s="71">
        <v>10</v>
      </c>
      <c r="AW118" s="72">
        <f t="shared" si="224"/>
        <v>14.477</v>
      </c>
      <c r="AX118" s="72">
        <f t="shared" si="230"/>
        <v>2.7868789342984197</v>
      </c>
      <c r="AY118" s="73">
        <f t="shared" si="219"/>
        <v>2000.4410000000003</v>
      </c>
      <c r="AZ118" s="192">
        <f t="shared" si="220"/>
        <v>2.9266048900013963</v>
      </c>
      <c r="BA118" s="1075"/>
      <c r="BB118" s="90">
        <f t="shared" si="242"/>
        <v>25415</v>
      </c>
      <c r="BC118" s="59"/>
      <c r="BD118" s="56">
        <v>24963</v>
      </c>
      <c r="BE118" s="56">
        <f t="shared" si="238"/>
        <v>452</v>
      </c>
      <c r="BF118" s="58">
        <f t="shared" si="243"/>
        <v>71603</v>
      </c>
      <c r="BG118" s="58">
        <f t="shared" si="221"/>
        <v>104.7537467682226</v>
      </c>
      <c r="BH118" s="1133"/>
      <c r="BI118" s="63">
        <f t="shared" si="244"/>
        <v>1320</v>
      </c>
      <c r="BJ118" s="64"/>
      <c r="BK118" s="64">
        <v>1200</v>
      </c>
      <c r="BL118" s="64">
        <f t="shared" si="245"/>
        <v>120</v>
      </c>
      <c r="BM118" s="65">
        <f t="shared" si="239"/>
        <v>0.2605772655021758</v>
      </c>
      <c r="BN118" s="64">
        <f t="shared" si="246"/>
        <v>8952</v>
      </c>
      <c r="BO118" s="65">
        <f t="shared" si="255"/>
        <v>0.1666355186809734</v>
      </c>
      <c r="BP118" s="1071"/>
      <c r="BQ118" s="35">
        <f t="shared" si="247"/>
        <v>121060</v>
      </c>
      <c r="BR118" s="35"/>
      <c r="BS118" s="35">
        <f>23781+17000+37000+37600</f>
        <v>115381</v>
      </c>
      <c r="BT118" s="35">
        <f t="shared" si="248"/>
        <v>5679</v>
      </c>
      <c r="BU118" s="74">
        <f t="shared" si="231"/>
        <v>1093.2296379001675</v>
      </c>
      <c r="BV118" s="74">
        <f t="shared" si="249"/>
        <v>400223</v>
      </c>
      <c r="BW118" s="74">
        <f t="shared" si="250"/>
        <v>585.51818768512976</v>
      </c>
      <c r="BX118" s="1098"/>
    </row>
    <row r="119" spans="1:76">
      <c r="A119" s="262">
        <v>43336</v>
      </c>
      <c r="B119" s="114">
        <v>357712</v>
      </c>
      <c r="C119" s="1">
        <f t="shared" si="141"/>
        <v>54079752</v>
      </c>
      <c r="D119" s="115">
        <v>2029.4</v>
      </c>
      <c r="E119" s="93">
        <f t="shared" si="145"/>
        <v>685565.81000000029</v>
      </c>
      <c r="F119" s="227"/>
      <c r="G119" s="227"/>
      <c r="H119" s="227"/>
      <c r="I119" s="227"/>
      <c r="J119" s="227"/>
      <c r="K119" s="227"/>
      <c r="L119" s="227"/>
      <c r="M119" s="227"/>
      <c r="N119" s="227"/>
      <c r="O119" s="227"/>
      <c r="P119" s="77">
        <f t="shared" si="256"/>
        <v>25673</v>
      </c>
      <c r="Q119" s="35"/>
      <c r="R119" s="35">
        <v>25140</v>
      </c>
      <c r="S119" s="35">
        <f t="shared" si="257"/>
        <v>533</v>
      </c>
      <c r="T119" s="36">
        <f t="shared" si="226"/>
        <v>1.4900254953705774</v>
      </c>
      <c r="U119" s="74">
        <f t="shared" si="258"/>
        <v>220709</v>
      </c>
      <c r="V119" s="36">
        <f t="shared" si="251"/>
        <v>4.0811762598319605</v>
      </c>
      <c r="W119" s="1179"/>
      <c r="X119" s="49">
        <f t="shared" si="259"/>
        <v>1011</v>
      </c>
      <c r="Y119" s="50"/>
      <c r="Z119" s="50">
        <f>921+90</f>
        <v>1011</v>
      </c>
      <c r="AA119" s="50"/>
      <c r="AB119" s="51"/>
      <c r="AC119" s="50">
        <f t="shared" si="260"/>
        <v>7335</v>
      </c>
      <c r="AD119" s="51">
        <f t="shared" si="252"/>
        <v>0.13563301843543957</v>
      </c>
      <c r="AE119" s="1050"/>
      <c r="AF119" s="40">
        <f t="shared" si="261"/>
        <v>1409</v>
      </c>
      <c r="AG119" s="41"/>
      <c r="AH119" s="41">
        <v>1409</v>
      </c>
      <c r="AI119" s="41"/>
      <c r="AJ119" s="42"/>
      <c r="AK119" s="41">
        <f t="shared" si="263"/>
        <v>4951</v>
      </c>
      <c r="AL119" s="42">
        <f t="shared" si="253"/>
        <v>9.1549976042789541E-2</v>
      </c>
      <c r="AM119" s="1058"/>
      <c r="AN119" s="67">
        <v>2.6</v>
      </c>
      <c r="AO119" s="67">
        <v>24</v>
      </c>
      <c r="AP119" s="68">
        <f t="shared" si="143"/>
        <v>33.072000000000003</v>
      </c>
      <c r="AQ119" s="68">
        <f t="shared" si="229"/>
        <v>16.29644229821622</v>
      </c>
      <c r="AR119" s="69">
        <f t="shared" si="254"/>
        <v>5905.3055999999979</v>
      </c>
      <c r="AS119" s="140">
        <f t="shared" si="218"/>
        <v>8.6137691143028192</v>
      </c>
      <c r="AT119" s="1073"/>
      <c r="AU119" s="70">
        <v>1.4</v>
      </c>
      <c r="AV119" s="71">
        <v>10</v>
      </c>
      <c r="AW119" s="72">
        <f t="shared" si="224"/>
        <v>6.5380000000000003</v>
      </c>
      <c r="AX119" s="72">
        <f t="shared" si="230"/>
        <v>3.2216418645905192</v>
      </c>
      <c r="AY119" s="73">
        <f t="shared" si="219"/>
        <v>2006.9790000000003</v>
      </c>
      <c r="AZ119" s="192">
        <f t="shared" si="220"/>
        <v>2.9274782533277137</v>
      </c>
      <c r="BA119" s="1075"/>
      <c r="BB119" s="90">
        <f t="shared" si="242"/>
        <v>24963</v>
      </c>
      <c r="BC119" s="59"/>
      <c r="BD119" s="56">
        <v>24737</v>
      </c>
      <c r="BE119" s="56">
        <f t="shared" si="238"/>
        <v>226</v>
      </c>
      <c r="BF119" s="58">
        <f t="shared" si="243"/>
        <v>71829</v>
      </c>
      <c r="BG119" s="58">
        <f t="shared" si="221"/>
        <v>104.77331125949814</v>
      </c>
      <c r="BH119" s="1133"/>
      <c r="BI119" s="63">
        <f t="shared" si="244"/>
        <v>1200</v>
      </c>
      <c r="BJ119" s="64"/>
      <c r="BK119" s="64">
        <v>1128</v>
      </c>
      <c r="BL119" s="64">
        <f t="shared" si="245"/>
        <v>72</v>
      </c>
      <c r="BM119" s="65">
        <f t="shared" si="239"/>
        <v>0.20127924140090353</v>
      </c>
      <c r="BN119" s="64">
        <f t="shared" si="246"/>
        <v>9024</v>
      </c>
      <c r="BO119" s="65">
        <f t="shared" si="255"/>
        <v>0.16686467053325243</v>
      </c>
      <c r="BP119" s="1071"/>
      <c r="BQ119" s="35">
        <f t="shared" si="247"/>
        <v>115381</v>
      </c>
      <c r="BR119" s="35"/>
      <c r="BS119" s="35">
        <f>36719+3000+37000+37600</f>
        <v>114319</v>
      </c>
      <c r="BT119" s="35">
        <f t="shared" si="248"/>
        <v>1062</v>
      </c>
      <c r="BU119" s="74">
        <f t="shared" si="231"/>
        <v>523.30738149206661</v>
      </c>
      <c r="BV119" s="74">
        <f t="shared" si="249"/>
        <v>401285</v>
      </c>
      <c r="BW119" s="74">
        <f t="shared" si="250"/>
        <v>585.33403233746424</v>
      </c>
      <c r="BX119" s="1098"/>
    </row>
    <row r="120" spans="1:76">
      <c r="A120" s="262">
        <v>43337</v>
      </c>
      <c r="C120" s="1">
        <f t="shared" si="141"/>
        <v>54079752</v>
      </c>
      <c r="E120" s="93">
        <f t="shared" si="145"/>
        <v>685565.81000000029</v>
      </c>
      <c r="F120" s="227"/>
      <c r="G120" s="227"/>
      <c r="H120" s="227"/>
      <c r="I120" s="227"/>
      <c r="J120" s="227"/>
      <c r="K120" s="227"/>
      <c r="L120" s="227"/>
      <c r="M120" s="227"/>
      <c r="N120" s="227"/>
      <c r="O120" s="227"/>
      <c r="P120" s="77">
        <f t="shared" si="256"/>
        <v>25140</v>
      </c>
      <c r="Q120" s="35"/>
      <c r="R120" s="35">
        <v>25140</v>
      </c>
      <c r="S120" s="35">
        <f t="shared" si="257"/>
        <v>0</v>
      </c>
      <c r="T120" s="36"/>
      <c r="U120" s="74">
        <f t="shared" si="258"/>
        <v>220709</v>
      </c>
      <c r="V120" s="36">
        <f t="shared" si="251"/>
        <v>4.0811762598319605</v>
      </c>
      <c r="W120" s="1179"/>
      <c r="X120" s="49">
        <f t="shared" si="259"/>
        <v>1011</v>
      </c>
      <c r="Y120" s="50"/>
      <c r="Z120" s="50">
        <f>921+90</f>
        <v>1011</v>
      </c>
      <c r="AA120" s="50"/>
      <c r="AB120" s="51"/>
      <c r="AC120" s="50">
        <f t="shared" si="260"/>
        <v>7335</v>
      </c>
      <c r="AD120" s="51">
        <f t="shared" si="252"/>
        <v>0.13563301843543957</v>
      </c>
      <c r="AE120" s="1050"/>
      <c r="AF120" s="40">
        <f t="shared" si="261"/>
        <v>1409</v>
      </c>
      <c r="AG120" s="41"/>
      <c r="AH120" s="41">
        <v>1409</v>
      </c>
      <c r="AI120" s="41"/>
      <c r="AJ120" s="42"/>
      <c r="AK120" s="41">
        <f t="shared" si="263"/>
        <v>4951</v>
      </c>
      <c r="AL120" s="42">
        <f t="shared" si="253"/>
        <v>9.1549976042789541E-2</v>
      </c>
      <c r="AM120" s="1058"/>
      <c r="AN120" s="67">
        <v>0</v>
      </c>
      <c r="AO120" s="67">
        <v>24</v>
      </c>
      <c r="AP120" s="68">
        <f t="shared" si="143"/>
        <v>0</v>
      </c>
      <c r="AQ120" s="68"/>
      <c r="AR120" s="69">
        <f t="shared" si="254"/>
        <v>5905.3055999999979</v>
      </c>
      <c r="AS120" s="140">
        <f t="shared" si="218"/>
        <v>8.6137691143028192</v>
      </c>
      <c r="AT120" s="1073"/>
      <c r="AU120" s="70"/>
      <c r="AV120" s="71">
        <v>10</v>
      </c>
      <c r="AW120" s="72"/>
      <c r="AX120" s="72"/>
      <c r="AY120" s="73">
        <f t="shared" si="219"/>
        <v>2006.9790000000003</v>
      </c>
      <c r="AZ120" s="192">
        <f t="shared" si="220"/>
        <v>2.9274782533277137</v>
      </c>
      <c r="BA120" s="1075"/>
      <c r="BB120" s="90">
        <f t="shared" si="242"/>
        <v>24737</v>
      </c>
      <c r="BC120" s="59"/>
      <c r="BD120" s="56">
        <v>24737</v>
      </c>
      <c r="BE120" s="56"/>
      <c r="BF120" s="58">
        <f t="shared" si="243"/>
        <v>71829</v>
      </c>
      <c r="BG120" s="58">
        <f t="shared" si="221"/>
        <v>104.77331125949814</v>
      </c>
      <c r="BH120" s="1133"/>
      <c r="BI120" s="63">
        <f t="shared" si="244"/>
        <v>1128</v>
      </c>
      <c r="BJ120" s="64"/>
      <c r="BK120" s="64">
        <v>1128</v>
      </c>
      <c r="BL120" s="64"/>
      <c r="BM120" s="65"/>
      <c r="BN120" s="64">
        <f t="shared" si="246"/>
        <v>9024</v>
      </c>
      <c r="BO120" s="65">
        <f t="shared" si="255"/>
        <v>0.16686467053325243</v>
      </c>
      <c r="BP120" s="1071"/>
      <c r="BQ120" s="35">
        <f t="shared" si="247"/>
        <v>114319</v>
      </c>
      <c r="BR120" s="35"/>
      <c r="BS120" s="35">
        <f>36719+3000+37000+37600</f>
        <v>114319</v>
      </c>
      <c r="BT120" s="35"/>
      <c r="BU120" s="74"/>
      <c r="BV120" s="74">
        <f t="shared" si="249"/>
        <v>401285</v>
      </c>
      <c r="BW120" s="74">
        <f t="shared" si="250"/>
        <v>585.33403233746424</v>
      </c>
      <c r="BX120" s="1098"/>
    </row>
    <row r="121" spans="1:76">
      <c r="A121" s="262">
        <v>43338</v>
      </c>
      <c r="B121" s="114"/>
      <c r="C121" s="1">
        <f t="shared" si="141"/>
        <v>54079752</v>
      </c>
      <c r="D121" s="115"/>
      <c r="E121" s="93">
        <f t="shared" si="145"/>
        <v>685565.81000000029</v>
      </c>
      <c r="F121" s="227"/>
      <c r="G121" s="227"/>
      <c r="H121" s="227"/>
      <c r="I121" s="227"/>
      <c r="J121" s="227"/>
      <c r="K121" s="227"/>
      <c r="L121" s="227"/>
      <c r="M121" s="227"/>
      <c r="N121" s="227"/>
      <c r="O121" s="227"/>
      <c r="P121" s="77">
        <f t="shared" si="256"/>
        <v>25140</v>
      </c>
      <c r="Q121" s="35"/>
      <c r="R121" s="35">
        <v>25140</v>
      </c>
      <c r="S121" s="35">
        <f t="shared" si="257"/>
        <v>0</v>
      </c>
      <c r="T121" s="36"/>
      <c r="U121" s="74">
        <f t="shared" si="258"/>
        <v>220709</v>
      </c>
      <c r="V121" s="36">
        <f t="shared" si="251"/>
        <v>4.0811762598319605</v>
      </c>
      <c r="W121" s="1179"/>
      <c r="X121" s="49">
        <f t="shared" si="259"/>
        <v>1011</v>
      </c>
      <c r="Y121" s="50"/>
      <c r="Z121" s="50">
        <f>921+90</f>
        <v>1011</v>
      </c>
      <c r="AA121" s="50"/>
      <c r="AB121" s="51"/>
      <c r="AC121" s="50">
        <f t="shared" si="260"/>
        <v>7335</v>
      </c>
      <c r="AD121" s="51">
        <f t="shared" si="252"/>
        <v>0.13563301843543957</v>
      </c>
      <c r="AE121" s="1050"/>
      <c r="AF121" s="40">
        <f t="shared" si="261"/>
        <v>1409</v>
      </c>
      <c r="AG121" s="41"/>
      <c r="AH121" s="41">
        <v>1409</v>
      </c>
      <c r="AI121" s="41"/>
      <c r="AJ121" s="42"/>
      <c r="AK121" s="41">
        <f t="shared" si="263"/>
        <v>4951</v>
      </c>
      <c r="AL121" s="42">
        <f t="shared" si="253"/>
        <v>9.1549976042789541E-2</v>
      </c>
      <c r="AM121" s="1058"/>
      <c r="AN121" s="67">
        <v>0</v>
      </c>
      <c r="AO121" s="67">
        <v>24</v>
      </c>
      <c r="AP121" s="68">
        <f t="shared" si="143"/>
        <v>0</v>
      </c>
      <c r="AQ121" s="68"/>
      <c r="AR121" s="69">
        <f t="shared" si="254"/>
        <v>5905.3055999999979</v>
      </c>
      <c r="AS121" s="140">
        <f t="shared" si="218"/>
        <v>8.6137691143028192</v>
      </c>
      <c r="AT121" s="1073"/>
      <c r="AU121" s="70"/>
      <c r="AV121" s="71">
        <v>10</v>
      </c>
      <c r="AW121" s="72"/>
      <c r="AX121" s="72"/>
      <c r="AY121" s="73">
        <f t="shared" si="219"/>
        <v>2006.9790000000003</v>
      </c>
      <c r="AZ121" s="192">
        <f t="shared" si="220"/>
        <v>2.9274782533277137</v>
      </c>
      <c r="BA121" s="1075"/>
      <c r="BB121" s="90">
        <f t="shared" si="242"/>
        <v>24737</v>
      </c>
      <c r="BC121" s="59"/>
      <c r="BD121" s="56">
        <v>24737</v>
      </c>
      <c r="BE121" s="56"/>
      <c r="BF121" s="58">
        <f t="shared" si="243"/>
        <v>71829</v>
      </c>
      <c r="BG121" s="58">
        <f t="shared" si="221"/>
        <v>104.77331125949814</v>
      </c>
      <c r="BH121" s="1133"/>
      <c r="BI121" s="63">
        <f t="shared" si="244"/>
        <v>1128</v>
      </c>
      <c r="BJ121" s="64"/>
      <c r="BK121" s="64">
        <v>1128</v>
      </c>
      <c r="BL121" s="64"/>
      <c r="BM121" s="65"/>
      <c r="BN121" s="64">
        <f t="shared" si="246"/>
        <v>9024</v>
      </c>
      <c r="BO121" s="65">
        <f t="shared" si="255"/>
        <v>0.16686467053325243</v>
      </c>
      <c r="BP121" s="1071"/>
      <c r="BQ121" s="35">
        <f t="shared" si="247"/>
        <v>114319</v>
      </c>
      <c r="BR121" s="35"/>
      <c r="BS121" s="35">
        <f>36719+3000+37000+37600</f>
        <v>114319</v>
      </c>
      <c r="BT121" s="35"/>
      <c r="BU121" s="74"/>
      <c r="BV121" s="74">
        <f t="shared" si="249"/>
        <v>401285</v>
      </c>
      <c r="BW121" s="74">
        <f t="shared" si="250"/>
        <v>585.33403233746424</v>
      </c>
      <c r="BX121" s="1098"/>
    </row>
    <row r="122" spans="1:76">
      <c r="A122" s="262">
        <v>43339</v>
      </c>
      <c r="B122" s="114">
        <v>32255</v>
      </c>
      <c r="C122" s="1">
        <f t="shared" si="141"/>
        <v>54112007</v>
      </c>
      <c r="D122" s="115">
        <v>1541.16</v>
      </c>
      <c r="E122" s="93">
        <f t="shared" si="145"/>
        <v>687106.97000000032</v>
      </c>
      <c r="F122" s="227"/>
      <c r="G122" s="227"/>
      <c r="H122" s="227"/>
      <c r="I122" s="227"/>
      <c r="J122" s="227"/>
      <c r="K122" s="227"/>
      <c r="L122" s="227"/>
      <c r="M122" s="227"/>
      <c r="N122" s="227"/>
      <c r="O122" s="227"/>
      <c r="P122" s="77">
        <f t="shared" si="256"/>
        <v>25140</v>
      </c>
      <c r="Q122" s="35"/>
      <c r="R122" s="35">
        <v>24874</v>
      </c>
      <c r="S122" s="35">
        <f t="shared" si="257"/>
        <v>266</v>
      </c>
      <c r="T122" s="36">
        <f>S122*1000/B122</f>
        <v>8.246783444427221</v>
      </c>
      <c r="U122" s="74">
        <f t="shared" si="258"/>
        <v>220975</v>
      </c>
      <c r="V122" s="36">
        <f t="shared" si="251"/>
        <v>4.0836592884089473</v>
      </c>
      <c r="W122" s="1179"/>
      <c r="X122" s="49">
        <f t="shared" si="259"/>
        <v>1011</v>
      </c>
      <c r="Y122" s="50"/>
      <c r="Z122" s="50">
        <f>921+90</f>
        <v>1011</v>
      </c>
      <c r="AA122" s="50"/>
      <c r="AB122" s="51"/>
      <c r="AC122" s="50">
        <f t="shared" si="260"/>
        <v>7335</v>
      </c>
      <c r="AD122" s="51">
        <f t="shared" si="252"/>
        <v>0.13555217051919735</v>
      </c>
      <c r="AE122" s="1050"/>
      <c r="AF122" s="40">
        <f t="shared" si="261"/>
        <v>1409</v>
      </c>
      <c r="AG122" s="41"/>
      <c r="AH122" s="41">
        <v>1394</v>
      </c>
      <c r="AI122" s="41">
        <f t="shared" si="262"/>
        <v>15</v>
      </c>
      <c r="AJ122" s="42">
        <f>AI122*1000/B122</f>
        <v>0.46504417919702373</v>
      </c>
      <c r="AK122" s="41">
        <f t="shared" si="263"/>
        <v>4966</v>
      </c>
      <c r="AL122" s="42">
        <f t="shared" si="253"/>
        <v>9.1772607879800128E-2</v>
      </c>
      <c r="AM122" s="1058"/>
      <c r="AN122" s="67">
        <v>0.3</v>
      </c>
      <c r="AO122" s="67">
        <v>24</v>
      </c>
      <c r="AP122" s="68">
        <f t="shared" si="143"/>
        <v>3.8159999999999998</v>
      </c>
      <c r="AQ122" s="68">
        <f t="shared" ref="AQ122:AQ140" si="264">AP122*1000/D122</f>
        <v>2.4760569960289649</v>
      </c>
      <c r="AR122" s="69">
        <f t="shared" si="254"/>
        <v>5909.1215999999977</v>
      </c>
      <c r="AS122" s="140">
        <f t="shared" si="218"/>
        <v>8.6000024130158295</v>
      </c>
      <c r="AT122" s="1073"/>
      <c r="AU122" s="70">
        <v>1.7</v>
      </c>
      <c r="AV122" s="71">
        <v>10</v>
      </c>
      <c r="AW122" s="72">
        <f t="shared" si="224"/>
        <v>7.9390000000000001</v>
      </c>
      <c r="AX122" s="72">
        <f t="shared" ref="AX122:AX140" si="265">AW122*1000/D122</f>
        <v>5.1513145942017697</v>
      </c>
      <c r="AY122" s="73">
        <f t="shared" si="219"/>
        <v>2014.9180000000003</v>
      </c>
      <c r="AZ122" s="192">
        <f t="shared" si="220"/>
        <v>2.932466250487896</v>
      </c>
      <c r="BA122" s="1075"/>
      <c r="BB122" s="90">
        <f t="shared" si="242"/>
        <v>24737</v>
      </c>
      <c r="BC122" s="59"/>
      <c r="BD122" s="56">
        <v>24511</v>
      </c>
      <c r="BE122" s="56">
        <f t="shared" si="238"/>
        <v>226</v>
      </c>
      <c r="BF122" s="58">
        <f t="shared" si="243"/>
        <v>72055</v>
      </c>
      <c r="BG122" s="58">
        <f t="shared" si="221"/>
        <v>104.86722322144391</v>
      </c>
      <c r="BH122" s="1133"/>
      <c r="BI122" s="63">
        <f t="shared" si="244"/>
        <v>1128</v>
      </c>
      <c r="BJ122" s="64"/>
      <c r="BK122" s="64">
        <v>1128</v>
      </c>
      <c r="BL122" s="64"/>
      <c r="BM122" s="65"/>
      <c r="BN122" s="64">
        <f t="shared" si="246"/>
        <v>9024</v>
      </c>
      <c r="BO122" s="65">
        <f t="shared" si="255"/>
        <v>0.16676520610296344</v>
      </c>
      <c r="BP122" s="1071"/>
      <c r="BQ122" s="35">
        <f t="shared" si="247"/>
        <v>114319</v>
      </c>
      <c r="BR122" s="35"/>
      <c r="BS122" s="35">
        <f>36719+3000+37000+37600</f>
        <v>114319</v>
      </c>
      <c r="BT122" s="35"/>
      <c r="BU122" s="74"/>
      <c r="BV122" s="74">
        <f t="shared" si="249"/>
        <v>401285</v>
      </c>
      <c r="BW122" s="74">
        <f t="shared" si="250"/>
        <v>584.02114593598117</v>
      </c>
      <c r="BX122" s="1098"/>
    </row>
    <row r="123" spans="1:76">
      <c r="A123" s="262">
        <v>43340</v>
      </c>
      <c r="B123" s="114">
        <v>423016</v>
      </c>
      <c r="C123" s="1">
        <f t="shared" si="141"/>
        <v>54535023</v>
      </c>
      <c r="D123" s="115">
        <v>6978.38</v>
      </c>
      <c r="E123" s="93">
        <f t="shared" si="145"/>
        <v>694085.35000000033</v>
      </c>
      <c r="F123" s="227"/>
      <c r="G123" s="227"/>
      <c r="H123" s="227"/>
      <c r="I123" s="227"/>
      <c r="J123" s="227"/>
      <c r="K123" s="227"/>
      <c r="L123" s="227"/>
      <c r="M123" s="227"/>
      <c r="N123" s="227"/>
      <c r="O123" s="227"/>
      <c r="P123" s="77">
        <f t="shared" si="256"/>
        <v>24874</v>
      </c>
      <c r="Q123" s="35">
        <v>35290</v>
      </c>
      <c r="R123" s="35">
        <v>56420</v>
      </c>
      <c r="S123" s="35">
        <f t="shared" si="257"/>
        <v>3744</v>
      </c>
      <c r="T123" s="36">
        <f>S123*1000/B123</f>
        <v>8.850729050437808</v>
      </c>
      <c r="U123" s="74">
        <f t="shared" si="258"/>
        <v>224719</v>
      </c>
      <c r="V123" s="36">
        <f t="shared" si="251"/>
        <v>4.1206363844386757</v>
      </c>
      <c r="W123" s="1179"/>
      <c r="X123" s="49">
        <f t="shared" si="259"/>
        <v>1011</v>
      </c>
      <c r="Y123" s="50"/>
      <c r="Z123" s="50">
        <f>903+90</f>
        <v>993</v>
      </c>
      <c r="AA123" s="50">
        <f>X123+Y123-Z123</f>
        <v>18</v>
      </c>
      <c r="AB123" s="51">
        <f>AA123*1000/B123</f>
        <v>4.2551581973258694E-2</v>
      </c>
      <c r="AC123" s="50">
        <f t="shared" si="260"/>
        <v>7353</v>
      </c>
      <c r="AD123" s="51">
        <f t="shared" si="252"/>
        <v>0.13483078571361379</v>
      </c>
      <c r="AE123" s="1050"/>
      <c r="AF123" s="40">
        <f t="shared" si="261"/>
        <v>1394</v>
      </c>
      <c r="AG123" s="41"/>
      <c r="AH123" s="41">
        <v>1379</v>
      </c>
      <c r="AI123" s="41">
        <f t="shared" si="262"/>
        <v>15</v>
      </c>
      <c r="AJ123" s="42">
        <f>AI123*1000/B123</f>
        <v>3.5459651644382244E-2</v>
      </c>
      <c r="AK123" s="41">
        <f t="shared" si="263"/>
        <v>4981</v>
      </c>
      <c r="AL123" s="42">
        <f t="shared" si="253"/>
        <v>9.1335800848566615E-2</v>
      </c>
      <c r="AM123" s="1058"/>
      <c r="AN123" s="67">
        <v>4.0999999999999996</v>
      </c>
      <c r="AO123" s="67">
        <v>24</v>
      </c>
      <c r="AP123" s="68">
        <f t="shared" si="143"/>
        <v>52.152000000000001</v>
      </c>
      <c r="AQ123" s="68">
        <f t="shared" si="264"/>
        <v>7.4733677443762021</v>
      </c>
      <c r="AR123" s="69">
        <f t="shared" si="254"/>
        <v>5961.2735999999977</v>
      </c>
      <c r="AS123" s="140">
        <f t="shared" si="218"/>
        <v>8.5886751535672019</v>
      </c>
      <c r="AT123" s="1073"/>
      <c r="AU123" s="70">
        <v>4.7</v>
      </c>
      <c r="AV123" s="71">
        <v>10</v>
      </c>
      <c r="AW123" s="72">
        <f t="shared" si="224"/>
        <v>21.949000000000002</v>
      </c>
      <c r="AX123" s="72">
        <f t="shared" si="265"/>
        <v>3.1452858686399994</v>
      </c>
      <c r="AY123" s="73">
        <f t="shared" si="219"/>
        <v>2036.8670000000004</v>
      </c>
      <c r="AZ123" s="192">
        <f t="shared" si="220"/>
        <v>2.9346059529998718</v>
      </c>
      <c r="BA123" s="1075"/>
      <c r="BB123" s="90">
        <f t="shared" si="242"/>
        <v>24511</v>
      </c>
      <c r="BC123" s="59"/>
      <c r="BD123" s="56">
        <v>24284</v>
      </c>
      <c r="BE123" s="56">
        <f t="shared" si="238"/>
        <v>227</v>
      </c>
      <c r="BF123" s="58">
        <f t="shared" si="243"/>
        <v>72282</v>
      </c>
      <c r="BG123" s="58">
        <f t="shared" si="221"/>
        <v>104.13993034141978</v>
      </c>
      <c r="BH123" s="1133"/>
      <c r="BI123" s="63">
        <f t="shared" si="244"/>
        <v>1128</v>
      </c>
      <c r="BJ123" s="64"/>
      <c r="BK123" s="64">
        <v>996</v>
      </c>
      <c r="BL123" s="64">
        <f t="shared" si="245"/>
        <v>132</v>
      </c>
      <c r="BM123" s="65">
        <f>BL123*1000/B123</f>
        <v>0.31204493447056375</v>
      </c>
      <c r="BN123" s="64">
        <f t="shared" si="246"/>
        <v>9156</v>
      </c>
      <c r="BO123" s="65">
        <f t="shared" si="255"/>
        <v>0.1678921085262951</v>
      </c>
      <c r="BP123" s="1071"/>
      <c r="BQ123" s="35">
        <f t="shared" si="247"/>
        <v>114319</v>
      </c>
      <c r="BR123" s="35"/>
      <c r="BS123" s="35">
        <f>44113+26000+37600</f>
        <v>107713</v>
      </c>
      <c r="BT123" s="35">
        <f t="shared" si="248"/>
        <v>6606</v>
      </c>
      <c r="BU123" s="74">
        <f t="shared" ref="BU123:BU130" si="266">BT123*1000/D123</f>
        <v>946.63804493306463</v>
      </c>
      <c r="BV123" s="74">
        <f t="shared" si="249"/>
        <v>407891</v>
      </c>
      <c r="BW123" s="74">
        <f t="shared" si="250"/>
        <v>587.66692021377457</v>
      </c>
      <c r="BX123" s="1098"/>
    </row>
    <row r="124" spans="1:76">
      <c r="A124" s="262">
        <v>43341</v>
      </c>
      <c r="B124" s="114">
        <v>586298</v>
      </c>
      <c r="C124" s="1">
        <f t="shared" si="141"/>
        <v>55121321</v>
      </c>
      <c r="D124" s="115">
        <v>5202.88</v>
      </c>
      <c r="E124" s="93">
        <f t="shared" si="145"/>
        <v>699288.23000000033</v>
      </c>
      <c r="F124" s="227"/>
      <c r="G124" s="227"/>
      <c r="H124" s="227"/>
      <c r="I124" s="227"/>
      <c r="J124" s="227"/>
      <c r="K124" s="227"/>
      <c r="L124" s="227"/>
      <c r="M124" s="227"/>
      <c r="N124" s="227"/>
      <c r="O124" s="227"/>
      <c r="P124" s="77">
        <f t="shared" si="256"/>
        <v>56420</v>
      </c>
      <c r="Q124" s="35"/>
      <c r="R124" s="35">
        <v>56420</v>
      </c>
      <c r="S124" s="35"/>
      <c r="T124" s="36"/>
      <c r="U124" s="74">
        <f t="shared" si="258"/>
        <v>224719</v>
      </c>
      <c r="V124" s="36">
        <f t="shared" si="251"/>
        <v>4.0768072303637277</v>
      </c>
      <c r="W124" s="1179"/>
      <c r="X124" s="49">
        <f t="shared" ref="X124:X131" si="267">Z123</f>
        <v>993</v>
      </c>
      <c r="Y124" s="50"/>
      <c r="Z124" s="50">
        <f>903+90</f>
        <v>993</v>
      </c>
      <c r="AA124" s="50"/>
      <c r="AB124" s="51"/>
      <c r="AC124" s="50">
        <f t="shared" ref="AC124:AC131" si="268">AC123+AA124</f>
        <v>7353</v>
      </c>
      <c r="AD124" s="51">
        <f t="shared" si="252"/>
        <v>0.13339665789214306</v>
      </c>
      <c r="AE124" s="1050"/>
      <c r="AF124" s="40">
        <f t="shared" si="261"/>
        <v>1379</v>
      </c>
      <c r="AG124" s="41"/>
      <c r="AH124" s="41">
        <v>1379</v>
      </c>
      <c r="AI124" s="41"/>
      <c r="AJ124" s="42"/>
      <c r="AK124" s="41">
        <f t="shared" si="263"/>
        <v>4981</v>
      </c>
      <c r="AL124" s="42">
        <f t="shared" si="253"/>
        <v>9.0364307488204065E-2</v>
      </c>
      <c r="AM124" s="1058"/>
      <c r="AN124" s="67">
        <v>4.4000000000000004</v>
      </c>
      <c r="AO124" s="67">
        <v>24</v>
      </c>
      <c r="AP124" s="68">
        <f t="shared" si="143"/>
        <v>55.968000000000011</v>
      </c>
      <c r="AQ124" s="68">
        <f t="shared" si="264"/>
        <v>10.757119134018083</v>
      </c>
      <c r="AR124" s="69">
        <f t="shared" si="254"/>
        <v>6017.2415999999976</v>
      </c>
      <c r="AS124" s="140">
        <f t="shared" si="218"/>
        <v>8.6048089212083472</v>
      </c>
      <c r="AT124" s="1073"/>
      <c r="AU124" s="70">
        <v>3.5</v>
      </c>
      <c r="AV124" s="71">
        <v>10</v>
      </c>
      <c r="AW124" s="72">
        <f t="shared" si="224"/>
        <v>16.345000000000002</v>
      </c>
      <c r="AX124" s="72">
        <f t="shared" si="265"/>
        <v>3.1415293068454395</v>
      </c>
      <c r="AY124" s="73">
        <f t="shared" si="219"/>
        <v>2053.2120000000004</v>
      </c>
      <c r="AZ124" s="192">
        <f t="shared" si="220"/>
        <v>2.9361455147042865</v>
      </c>
      <c r="BA124" s="1075"/>
      <c r="BB124" s="90">
        <f t="shared" si="242"/>
        <v>24284</v>
      </c>
      <c r="BC124" s="59"/>
      <c r="BD124" s="56">
        <v>24284</v>
      </c>
      <c r="BE124" s="56"/>
      <c r="BF124" s="58">
        <f t="shared" si="243"/>
        <v>72282</v>
      </c>
      <c r="BG124" s="58">
        <f t="shared" si="221"/>
        <v>103.36510311349008</v>
      </c>
      <c r="BH124" s="1133"/>
      <c r="BI124" s="63">
        <f t="shared" si="244"/>
        <v>996</v>
      </c>
      <c r="BJ124" s="64"/>
      <c r="BK124" s="64">
        <v>996</v>
      </c>
      <c r="BL124" s="64"/>
      <c r="BM124" s="65"/>
      <c r="BN124" s="64">
        <f t="shared" si="246"/>
        <v>9156</v>
      </c>
      <c r="BO124" s="65">
        <f t="shared" si="255"/>
        <v>0.16610632390323157</v>
      </c>
      <c r="BP124" s="1071"/>
      <c r="BQ124" s="35">
        <f t="shared" si="247"/>
        <v>107713</v>
      </c>
      <c r="BR124" s="35"/>
      <c r="BS124" s="35">
        <f>55203-8090+23000+37600</f>
        <v>107713</v>
      </c>
      <c r="BT124" s="35">
        <f t="shared" si="248"/>
        <v>0</v>
      </c>
      <c r="BU124" s="74">
        <f t="shared" si="266"/>
        <v>0</v>
      </c>
      <c r="BV124" s="74">
        <f t="shared" si="249"/>
        <v>407891</v>
      </c>
      <c r="BW124" s="74">
        <f t="shared" si="250"/>
        <v>583.29453078310758</v>
      </c>
      <c r="BX124" s="1098"/>
    </row>
    <row r="125" spans="1:76">
      <c r="A125" s="262">
        <v>43342</v>
      </c>
      <c r="B125" s="114">
        <v>454855</v>
      </c>
      <c r="C125" s="1">
        <f t="shared" si="141"/>
        <v>55576176</v>
      </c>
      <c r="D125" s="115">
        <v>4994.92</v>
      </c>
      <c r="E125" s="93">
        <f t="shared" si="145"/>
        <v>704283.15000000037</v>
      </c>
      <c r="F125" s="227"/>
      <c r="G125" s="227"/>
      <c r="H125" s="227"/>
      <c r="I125" s="227"/>
      <c r="J125" s="227"/>
      <c r="K125" s="227"/>
      <c r="L125" s="227"/>
      <c r="M125" s="227"/>
      <c r="N125" s="227"/>
      <c r="O125" s="227"/>
      <c r="P125" s="77">
        <f t="shared" si="256"/>
        <v>56420</v>
      </c>
      <c r="Q125" s="35"/>
      <c r="R125" s="35">
        <v>51302</v>
      </c>
      <c r="S125" s="35">
        <f t="shared" si="257"/>
        <v>5118</v>
      </c>
      <c r="T125" s="36">
        <f t="shared" ref="T125:T139" si="269">S125*1000/B125</f>
        <v>11.251937430609754</v>
      </c>
      <c r="U125" s="74">
        <f t="shared" si="258"/>
        <v>229837</v>
      </c>
      <c r="V125" s="36">
        <f t="shared" si="251"/>
        <v>4.1355310232211728</v>
      </c>
      <c r="W125" s="1179"/>
      <c r="X125" s="49">
        <f t="shared" si="267"/>
        <v>993</v>
      </c>
      <c r="Y125" s="50"/>
      <c r="Z125" s="50">
        <f>903+90</f>
        <v>993</v>
      </c>
      <c r="AA125" s="50"/>
      <c r="AB125" s="51"/>
      <c r="AC125" s="50">
        <f t="shared" si="268"/>
        <v>7353</v>
      </c>
      <c r="AD125" s="51">
        <f t="shared" si="252"/>
        <v>0.13230489265760206</v>
      </c>
      <c r="AE125" s="1050"/>
      <c r="AF125" s="40">
        <f t="shared" si="261"/>
        <v>1379</v>
      </c>
      <c r="AG125" s="41"/>
      <c r="AH125" s="41">
        <v>1379</v>
      </c>
      <c r="AI125" s="41"/>
      <c r="AJ125" s="42"/>
      <c r="AK125" s="41">
        <f t="shared" si="263"/>
        <v>4981</v>
      </c>
      <c r="AL125" s="42">
        <f t="shared" si="253"/>
        <v>8.9624734166668829E-2</v>
      </c>
      <c r="AM125" s="1058"/>
      <c r="AN125" s="67">
        <v>3.8</v>
      </c>
      <c r="AO125" s="67">
        <v>24</v>
      </c>
      <c r="AP125" s="68">
        <f t="shared" si="143"/>
        <v>48.335999999999999</v>
      </c>
      <c r="AQ125" s="68">
        <f t="shared" si="264"/>
        <v>9.6770318643742037</v>
      </c>
      <c r="AR125" s="69">
        <f t="shared" si="254"/>
        <v>6065.5775999999978</v>
      </c>
      <c r="AS125" s="140">
        <f t="shared" si="218"/>
        <v>8.6124133453994958</v>
      </c>
      <c r="AT125" s="1073"/>
      <c r="AU125" s="70">
        <v>3.6</v>
      </c>
      <c r="AV125" s="71">
        <v>10</v>
      </c>
      <c r="AW125" s="72">
        <f t="shared" si="224"/>
        <v>16.812000000000001</v>
      </c>
      <c r="AX125" s="72">
        <f t="shared" si="265"/>
        <v>3.365819672787552</v>
      </c>
      <c r="AY125" s="73">
        <f t="shared" si="219"/>
        <v>2070.0240000000003</v>
      </c>
      <c r="AZ125" s="192">
        <f t="shared" si="220"/>
        <v>2.9391928516250871</v>
      </c>
      <c r="BA125" s="1075"/>
      <c r="BB125" s="90">
        <f t="shared" si="242"/>
        <v>24284</v>
      </c>
      <c r="BC125" s="59"/>
      <c r="BD125" s="56">
        <v>24284</v>
      </c>
      <c r="BE125" s="56"/>
      <c r="BF125" s="58">
        <f t="shared" si="243"/>
        <v>72282</v>
      </c>
      <c r="BG125" s="58">
        <f t="shared" si="221"/>
        <v>102.63201668249476</v>
      </c>
      <c r="BH125" s="1133"/>
      <c r="BI125" s="63">
        <f t="shared" si="244"/>
        <v>996</v>
      </c>
      <c r="BJ125" s="64"/>
      <c r="BK125" s="64">
        <v>996</v>
      </c>
      <c r="BL125" s="64"/>
      <c r="BM125" s="65"/>
      <c r="BN125" s="64">
        <f t="shared" si="246"/>
        <v>9156</v>
      </c>
      <c r="BO125" s="65">
        <f t="shared" si="255"/>
        <v>0.16474685124071869</v>
      </c>
      <c r="BP125" s="1071"/>
      <c r="BQ125" s="35">
        <f t="shared" si="247"/>
        <v>107713</v>
      </c>
      <c r="BR125" s="35"/>
      <c r="BS125" s="35">
        <f>38568+23000+37600</f>
        <v>99168</v>
      </c>
      <c r="BT125" s="35">
        <f t="shared" si="248"/>
        <v>8545</v>
      </c>
      <c r="BU125" s="74">
        <f t="shared" si="266"/>
        <v>1710.7381099196784</v>
      </c>
      <c r="BV125" s="74">
        <f t="shared" si="249"/>
        <v>416436</v>
      </c>
      <c r="BW125" s="74">
        <f t="shared" si="250"/>
        <v>591.290591007324</v>
      </c>
      <c r="BX125" s="1098"/>
    </row>
    <row r="126" spans="1:76" ht="15.75" thickBot="1">
      <c r="A126" s="262">
        <v>43343</v>
      </c>
      <c r="B126" s="114">
        <v>412998</v>
      </c>
      <c r="C126" s="1">
        <f t="shared" si="141"/>
        <v>55989174</v>
      </c>
      <c r="D126" s="115">
        <v>3961.52</v>
      </c>
      <c r="E126" s="93">
        <f t="shared" si="145"/>
        <v>708244.67000000039</v>
      </c>
      <c r="F126" s="227"/>
      <c r="G126" s="227"/>
      <c r="H126" s="227"/>
      <c r="I126" s="227"/>
      <c r="J126" s="227"/>
      <c r="K126" s="227"/>
      <c r="L126" s="227"/>
      <c r="M126" s="227"/>
      <c r="N126" s="227"/>
      <c r="O126" s="227"/>
      <c r="P126" s="77">
        <f t="shared" ref="P126:P131" si="270">R125</f>
        <v>51302</v>
      </c>
      <c r="Q126" s="35"/>
      <c r="R126" s="35">
        <v>49673</v>
      </c>
      <c r="S126" s="35">
        <f t="shared" ref="S126:S131" si="271">P126-R126+Q126</f>
        <v>1629</v>
      </c>
      <c r="T126" s="36">
        <f t="shared" si="269"/>
        <v>3.9443290282277395</v>
      </c>
      <c r="U126" s="74">
        <f t="shared" ref="U126:U131" si="272">U125+S126</f>
        <v>231466</v>
      </c>
      <c r="V126" s="36">
        <f t="shared" si="251"/>
        <v>4.1341206426799584</v>
      </c>
      <c r="W126" s="1179"/>
      <c r="X126" s="49">
        <f t="shared" si="267"/>
        <v>993</v>
      </c>
      <c r="Y126" s="50"/>
      <c r="Z126" s="50">
        <f>653</f>
        <v>653</v>
      </c>
      <c r="AA126" s="50">
        <f>X126+Y126-Z126</f>
        <v>340</v>
      </c>
      <c r="AB126" s="51">
        <f>AA126*1000/B126</f>
        <v>0.82324853873384374</v>
      </c>
      <c r="AC126" s="50">
        <f t="shared" si="268"/>
        <v>7693</v>
      </c>
      <c r="AD126" s="51">
        <f t="shared" si="252"/>
        <v>0.13740156266638262</v>
      </c>
      <c r="AE126" s="1050"/>
      <c r="AF126" s="40">
        <f t="shared" si="261"/>
        <v>1379</v>
      </c>
      <c r="AG126" s="41">
        <v>200</v>
      </c>
      <c r="AH126" s="41">
        <v>1423</v>
      </c>
      <c r="AI126" s="41">
        <f t="shared" si="262"/>
        <v>156</v>
      </c>
      <c r="AJ126" s="42">
        <f t="shared" ref="AJ126:AJ131" si="273">AI126*1000/B126</f>
        <v>0.37772580012494006</v>
      </c>
      <c r="AK126" s="41">
        <f t="shared" si="263"/>
        <v>5137</v>
      </c>
      <c r="AL126" s="42">
        <f t="shared" si="253"/>
        <v>9.1749880075030224E-2</v>
      </c>
      <c r="AM126" s="1058"/>
      <c r="AN126" s="67">
        <v>3.5</v>
      </c>
      <c r="AO126" s="67">
        <v>24</v>
      </c>
      <c r="AP126" s="68">
        <f t="shared" si="143"/>
        <v>44.52</v>
      </c>
      <c r="AQ126" s="68">
        <f t="shared" si="264"/>
        <v>11.23811062420485</v>
      </c>
      <c r="AR126" s="69">
        <f t="shared" si="254"/>
        <v>6110.0975999999982</v>
      </c>
      <c r="AS126" s="140">
        <f t="shared" si="218"/>
        <v>8.6271000105090732</v>
      </c>
      <c r="AT126" s="1074"/>
      <c r="AU126" s="113">
        <v>2.6</v>
      </c>
      <c r="AV126" s="104">
        <v>10</v>
      </c>
      <c r="AW126" s="105">
        <f t="shared" si="224"/>
        <v>12.142000000000001</v>
      </c>
      <c r="AX126" s="105">
        <f t="shared" si="265"/>
        <v>3.0649851572123836</v>
      </c>
      <c r="AY126" s="106">
        <f t="shared" si="219"/>
        <v>2082.1660000000002</v>
      </c>
      <c r="AZ126" s="193">
        <f t="shared" si="220"/>
        <v>2.9398964626165123</v>
      </c>
      <c r="BA126" s="1076"/>
      <c r="BB126" s="90">
        <f t="shared" ref="BB126:BB131" si="274">BD125</f>
        <v>24284</v>
      </c>
      <c r="BC126" s="59"/>
      <c r="BD126" s="56">
        <v>20019</v>
      </c>
      <c r="BE126" s="56">
        <f t="shared" si="238"/>
        <v>4265</v>
      </c>
      <c r="BF126" s="58">
        <f t="shared" si="243"/>
        <v>76547</v>
      </c>
      <c r="BG126" s="58">
        <f t="shared" si="221"/>
        <v>108.0798814906718</v>
      </c>
      <c r="BH126" s="1134"/>
      <c r="BI126" s="63">
        <f t="shared" si="244"/>
        <v>996</v>
      </c>
      <c r="BJ126" s="64"/>
      <c r="BK126" s="64">
        <v>492</v>
      </c>
      <c r="BL126" s="64">
        <f t="shared" si="245"/>
        <v>504</v>
      </c>
      <c r="BM126" s="65">
        <f>BL126*1000/B126</f>
        <v>1.2203448927113449</v>
      </c>
      <c r="BN126" s="64">
        <f t="shared" si="246"/>
        <v>9660</v>
      </c>
      <c r="BO126" s="65">
        <f t="shared" si="255"/>
        <v>0.17253335439454778</v>
      </c>
      <c r="BP126" s="1072"/>
      <c r="BQ126" s="35">
        <f t="shared" si="247"/>
        <v>99168</v>
      </c>
      <c r="BR126" s="35"/>
      <c r="BS126" s="35">
        <f>36719+23000+37600</f>
        <v>97319</v>
      </c>
      <c r="BT126" s="35">
        <f t="shared" si="248"/>
        <v>1849</v>
      </c>
      <c r="BU126" s="74">
        <f t="shared" si="266"/>
        <v>466.74003917688162</v>
      </c>
      <c r="BV126" s="74">
        <f t="shared" si="249"/>
        <v>418285</v>
      </c>
      <c r="BW126" s="74">
        <f t="shared" si="250"/>
        <v>590.59392568390206</v>
      </c>
      <c r="BX126" s="1099"/>
    </row>
    <row r="127" spans="1:76">
      <c r="A127" s="261">
        <v>43344</v>
      </c>
      <c r="B127" s="217">
        <v>411864</v>
      </c>
      <c r="C127" s="206">
        <f t="shared" si="141"/>
        <v>56401038</v>
      </c>
      <c r="D127" s="218">
        <v>6145.4800000000005</v>
      </c>
      <c r="E127" s="205">
        <f t="shared" si="145"/>
        <v>714390.15000000037</v>
      </c>
      <c r="F127" s="229"/>
      <c r="G127" s="229"/>
      <c r="H127" s="229"/>
      <c r="I127" s="229"/>
      <c r="J127" s="229"/>
      <c r="K127" s="229"/>
      <c r="L127" s="229"/>
      <c r="M127" s="229"/>
      <c r="N127" s="1052">
        <f>1000*I156/SUM(B127:B156)</f>
        <v>6.0944466772622254</v>
      </c>
      <c r="O127" s="1083">
        <f>N127*0.12/0.98</f>
        <v>0.74625877680761943</v>
      </c>
      <c r="P127" s="117">
        <f t="shared" si="270"/>
        <v>49673</v>
      </c>
      <c r="Q127" s="118"/>
      <c r="R127" s="118">
        <v>47263</v>
      </c>
      <c r="S127" s="118">
        <f t="shared" si="271"/>
        <v>2410</v>
      </c>
      <c r="T127" s="119">
        <f t="shared" si="269"/>
        <v>5.85144610842414</v>
      </c>
      <c r="U127" s="120">
        <f t="shared" si="272"/>
        <v>233876</v>
      </c>
      <c r="V127" s="119">
        <f t="shared" si="251"/>
        <v>4.1466612724397018</v>
      </c>
      <c r="W127" s="1135">
        <f>1000*SUM(S127:S153)/SUM(B127:B153)</f>
        <v>3.6259003101649809</v>
      </c>
      <c r="X127" s="121">
        <f t="shared" si="267"/>
        <v>653</v>
      </c>
      <c r="Y127" s="122"/>
      <c r="Z127" s="122">
        <f>581+70</f>
        <v>651</v>
      </c>
      <c r="AA127" s="122">
        <f>X127+Y127-Z127</f>
        <v>2</v>
      </c>
      <c r="AB127" s="123"/>
      <c r="AC127" s="122">
        <f t="shared" si="268"/>
        <v>7695</v>
      </c>
      <c r="AD127" s="123">
        <f t="shared" si="252"/>
        <v>0.13643365925286693</v>
      </c>
      <c r="AE127" s="1046">
        <f>1000*SUM(AA127:AA156)/SUM(B127:B156)</f>
        <v>0.11349887311000779</v>
      </c>
      <c r="AF127" s="124">
        <f>AH126</f>
        <v>1423</v>
      </c>
      <c r="AG127" s="125"/>
      <c r="AH127" s="125">
        <v>1394</v>
      </c>
      <c r="AI127" s="125">
        <f>AF127+AG127-AH127</f>
        <v>29</v>
      </c>
      <c r="AJ127" s="126">
        <f t="shared" si="273"/>
        <v>7.0411592176058121E-2</v>
      </c>
      <c r="AK127" s="125">
        <f>AK126+AI127</f>
        <v>5166</v>
      </c>
      <c r="AL127" s="126">
        <f t="shared" si="253"/>
        <v>9.1594058960404234E-2</v>
      </c>
      <c r="AM127" s="1057">
        <f>1000*SUM(AI127:AI156)/SUM(B127:B156)</f>
        <v>6.0361823686841926E-2</v>
      </c>
      <c r="AN127" s="219">
        <v>3.8</v>
      </c>
      <c r="AO127" s="135">
        <v>24</v>
      </c>
      <c r="AP127" s="102">
        <f t="shared" si="143"/>
        <v>48.335999999999999</v>
      </c>
      <c r="AQ127" s="102">
        <f t="shared" si="264"/>
        <v>7.8652928656508516</v>
      </c>
      <c r="AR127" s="103">
        <f>AR126+AP127</f>
        <v>6158.4335999999985</v>
      </c>
      <c r="AS127" s="136">
        <f t="shared" si="218"/>
        <v>8.6205466298772393</v>
      </c>
      <c r="AT127" s="1064">
        <f>1000*SUM(AP127:AP156)/SUM(D127:D156)</f>
        <v>10.87012055231858</v>
      </c>
      <c r="AU127" s="70">
        <v>3.9</v>
      </c>
      <c r="AV127" s="71">
        <v>10</v>
      </c>
      <c r="AW127" s="72">
        <f>AU127*AV127*0.467</f>
        <v>18.213000000000001</v>
      </c>
      <c r="AX127" s="72">
        <f t="shared" si="265"/>
        <v>2.9636415707153874</v>
      </c>
      <c r="AY127" s="73">
        <f>AY126+AW127</f>
        <v>2100.3790000000004</v>
      </c>
      <c r="AZ127" s="192">
        <f t="shared" si="220"/>
        <v>2.940100727872577</v>
      </c>
      <c r="BA127" s="1065">
        <f>1000*SUM(AW127:AW156)/SUM(D127:D156)</f>
        <v>3.2297725806931328</v>
      </c>
      <c r="BB127" s="127">
        <f t="shared" si="274"/>
        <v>20019</v>
      </c>
      <c r="BC127" s="128"/>
      <c r="BD127" s="129">
        <v>19797</v>
      </c>
      <c r="BE127" s="129">
        <f>BB127+BC127-BD127</f>
        <v>222</v>
      </c>
      <c r="BF127" s="130">
        <f>BF126+BE127</f>
        <v>76769</v>
      </c>
      <c r="BG127" s="130">
        <f t="shared" si="221"/>
        <v>107.46088814354448</v>
      </c>
      <c r="BH127" s="1132">
        <f>1000*SUM(BE127:BE156)/SUM(D127:D156)</f>
        <v>82.82904581998514</v>
      </c>
      <c r="BI127" s="131">
        <f>BK126</f>
        <v>492</v>
      </c>
      <c r="BJ127" s="132"/>
      <c r="BK127" s="132">
        <v>300</v>
      </c>
      <c r="BL127" s="132">
        <f>BI127+BJ127-BK127</f>
        <v>192</v>
      </c>
      <c r="BM127" s="134">
        <f>BL127*1000/B127</f>
        <v>0.46617329992424683</v>
      </c>
      <c r="BN127" s="132">
        <f>BN126+BL127</f>
        <v>9852</v>
      </c>
      <c r="BO127" s="134">
        <f t="shared" si="255"/>
        <v>0.17467763625201366</v>
      </c>
      <c r="BP127" s="1067">
        <f>1000*SUM(BL127:BL156)/SUM(B127:B156)</f>
        <v>0.22699774622001559</v>
      </c>
      <c r="BQ127" s="117">
        <f t="shared" ref="BQ127:BQ132" si="275">BS126</f>
        <v>97319</v>
      </c>
      <c r="BR127" s="118"/>
      <c r="BS127" s="118">
        <f>33947+23000+37600</f>
        <v>94547</v>
      </c>
      <c r="BT127" s="118">
        <f>BQ127-BS127+BR127</f>
        <v>2772</v>
      </c>
      <c r="BU127" s="120">
        <f t="shared" si="266"/>
        <v>451.06322044819927</v>
      </c>
      <c r="BV127" s="120">
        <f t="shared" ref="BV127:BV132" si="276">BV126+BT127</f>
        <v>421057</v>
      </c>
      <c r="BW127" s="120">
        <f t="shared" si="250"/>
        <v>589.39362475812379</v>
      </c>
      <c r="BX127" s="1063">
        <f>1000*SUM(BT127:BT156)/SUM(D127:D156)</f>
        <v>563.37399819837651</v>
      </c>
    </row>
    <row r="128" spans="1:76">
      <c r="A128" s="262">
        <v>43345</v>
      </c>
      <c r="B128" s="114">
        <v>514971</v>
      </c>
      <c r="C128" s="1">
        <f t="shared" si="141"/>
        <v>56916009</v>
      </c>
      <c r="D128" s="115">
        <v>5090</v>
      </c>
      <c r="E128" s="93">
        <f t="shared" si="145"/>
        <v>719480.15000000037</v>
      </c>
      <c r="F128" s="227"/>
      <c r="G128" s="227"/>
      <c r="H128" s="227"/>
      <c r="I128" s="227"/>
      <c r="J128" s="227"/>
      <c r="K128" s="227"/>
      <c r="L128" s="227"/>
      <c r="M128" s="227"/>
      <c r="N128" s="1089"/>
      <c r="O128" s="1084"/>
      <c r="P128" s="77">
        <f t="shared" si="270"/>
        <v>47263</v>
      </c>
      <c r="Q128" s="35"/>
      <c r="R128" s="35">
        <v>45526</v>
      </c>
      <c r="S128" s="35">
        <f t="shared" si="271"/>
        <v>1737</v>
      </c>
      <c r="T128" s="36">
        <f t="shared" si="269"/>
        <v>3.373005470210944</v>
      </c>
      <c r="U128" s="74">
        <f t="shared" si="272"/>
        <v>235613</v>
      </c>
      <c r="V128" s="36">
        <f t="shared" si="251"/>
        <v>4.1396613033777543</v>
      </c>
      <c r="W128" s="1136"/>
      <c r="X128" s="49">
        <f t="shared" si="267"/>
        <v>651</v>
      </c>
      <c r="Y128" s="50"/>
      <c r="Z128" s="50">
        <f>493+70</f>
        <v>563</v>
      </c>
      <c r="AA128" s="50">
        <f>X128+Y128-Z128</f>
        <v>88</v>
      </c>
      <c r="AB128" s="51">
        <f>AA128*1000/B128</f>
        <v>0.17088340896866036</v>
      </c>
      <c r="AC128" s="50">
        <f t="shared" si="268"/>
        <v>7783</v>
      </c>
      <c r="AD128" s="51">
        <f t="shared" si="252"/>
        <v>0.13674535753200825</v>
      </c>
      <c r="AE128" s="1047"/>
      <c r="AF128" s="40">
        <f>AH127</f>
        <v>1394</v>
      </c>
      <c r="AG128" s="41"/>
      <c r="AH128" s="41">
        <v>1347</v>
      </c>
      <c r="AI128" s="41">
        <f>AF128+AG128-AH128</f>
        <v>47</v>
      </c>
      <c r="AJ128" s="42">
        <f t="shared" si="273"/>
        <v>9.1267275244625426E-2</v>
      </c>
      <c r="AK128" s="41">
        <f>AK127+AI128</f>
        <v>5213</v>
      </c>
      <c r="AL128" s="42">
        <f t="shared" si="253"/>
        <v>9.1591102250335232E-2</v>
      </c>
      <c r="AM128" s="1058"/>
      <c r="AN128" s="220">
        <v>4</v>
      </c>
      <c r="AO128" s="67">
        <v>24</v>
      </c>
      <c r="AP128" s="68">
        <f t="shared" si="143"/>
        <v>50.88</v>
      </c>
      <c r="AQ128" s="68">
        <f t="shared" si="264"/>
        <v>9.9960707269155211</v>
      </c>
      <c r="AR128" s="69">
        <f>AR127+AP128</f>
        <v>6209.3135999999986</v>
      </c>
      <c r="AS128" s="140">
        <f t="shared" si="218"/>
        <v>8.630277847137263</v>
      </c>
      <c r="AT128" s="1073"/>
      <c r="AU128" s="70">
        <v>3.7</v>
      </c>
      <c r="AV128" s="71">
        <v>10</v>
      </c>
      <c r="AW128" s="72">
        <f>AU128*AV128*0.467</f>
        <v>17.279</v>
      </c>
      <c r="AX128" s="72">
        <f t="shared" si="265"/>
        <v>3.3946954813359529</v>
      </c>
      <c r="AY128" s="73">
        <f>AY127+AW128</f>
        <v>2117.6580000000004</v>
      </c>
      <c r="AZ128" s="192">
        <f t="shared" si="220"/>
        <v>2.9433167822628592</v>
      </c>
      <c r="BA128" s="1075"/>
      <c r="BB128" s="90">
        <f t="shared" si="274"/>
        <v>19797</v>
      </c>
      <c r="BC128" s="59"/>
      <c r="BD128" s="56">
        <v>19797</v>
      </c>
      <c r="BE128" s="56"/>
      <c r="BF128" s="58">
        <f>BF127+BE128</f>
        <v>76769</v>
      </c>
      <c r="BG128" s="58">
        <f t="shared" si="221"/>
        <v>106.7006504626986</v>
      </c>
      <c r="BH128" s="1133"/>
      <c r="BI128" s="63">
        <f>BK127</f>
        <v>300</v>
      </c>
      <c r="BJ128" s="64"/>
      <c r="BK128" s="64">
        <v>120</v>
      </c>
      <c r="BL128" s="64">
        <f>BI128+BJ128-BK128</f>
        <v>180</v>
      </c>
      <c r="BM128" s="65">
        <f>BL128*1000/B128</f>
        <v>0.3495342456177144</v>
      </c>
      <c r="BN128" s="64">
        <f>BN127+BL128</f>
        <v>10032</v>
      </c>
      <c r="BO128" s="65">
        <f t="shared" si="255"/>
        <v>0.17625972334075637</v>
      </c>
      <c r="BP128" s="1071"/>
      <c r="BQ128" s="35">
        <f t="shared" si="275"/>
        <v>94547</v>
      </c>
      <c r="BR128" s="35"/>
      <c r="BS128" s="35">
        <f>33023+23000+37600</f>
        <v>93623</v>
      </c>
      <c r="BT128" s="35">
        <f>BQ128-BS128+BR128</f>
        <v>924</v>
      </c>
      <c r="BU128" s="74">
        <f t="shared" si="266"/>
        <v>181.53241650294694</v>
      </c>
      <c r="BV128" s="74">
        <f t="shared" si="276"/>
        <v>421981</v>
      </c>
      <c r="BW128" s="74">
        <f t="shared" si="250"/>
        <v>586.5081892808297</v>
      </c>
      <c r="BX128" s="1098"/>
    </row>
    <row r="129" spans="1:76">
      <c r="A129" s="262">
        <v>43346</v>
      </c>
      <c r="B129" s="114">
        <v>378167</v>
      </c>
      <c r="C129" s="1">
        <f t="shared" si="141"/>
        <v>57294176</v>
      </c>
      <c r="D129" s="115">
        <v>4321.08</v>
      </c>
      <c r="E129" s="93">
        <f t="shared" si="145"/>
        <v>723801.23000000033</v>
      </c>
      <c r="F129" s="227"/>
      <c r="G129" s="227"/>
      <c r="H129" s="227"/>
      <c r="I129" s="227"/>
      <c r="J129" s="227"/>
      <c r="K129" s="227"/>
      <c r="L129" s="227"/>
      <c r="M129" s="227"/>
      <c r="N129" s="1089"/>
      <c r="O129" s="1084"/>
      <c r="P129" s="77">
        <f t="shared" si="270"/>
        <v>45526</v>
      </c>
      <c r="Q129" s="35"/>
      <c r="R129" s="35">
        <v>43498</v>
      </c>
      <c r="S129" s="35">
        <f t="shared" si="271"/>
        <v>2028</v>
      </c>
      <c r="T129" s="36">
        <f t="shared" si="269"/>
        <v>5.3627101254207794</v>
      </c>
      <c r="U129" s="74">
        <f t="shared" si="272"/>
        <v>237641</v>
      </c>
      <c r="V129" s="36">
        <f t="shared" si="251"/>
        <v>4.1477339686323438</v>
      </c>
      <c r="W129" s="1136"/>
      <c r="X129" s="49">
        <f t="shared" si="267"/>
        <v>563</v>
      </c>
      <c r="Y129" s="50"/>
      <c r="Z129" s="50">
        <f>476+87</f>
        <v>563</v>
      </c>
      <c r="AA129" s="50"/>
      <c r="AB129" s="51"/>
      <c r="AC129" s="50">
        <f t="shared" si="268"/>
        <v>7783</v>
      </c>
      <c r="AD129" s="51">
        <f t="shared" si="252"/>
        <v>0.13584277745786935</v>
      </c>
      <c r="AE129" s="1047"/>
      <c r="AF129" s="40">
        <f>AH128</f>
        <v>1347</v>
      </c>
      <c r="AG129" s="41"/>
      <c r="AH129" s="41">
        <v>1315</v>
      </c>
      <c r="AI129" s="41">
        <f>AF129+AG129-AH129</f>
        <v>32</v>
      </c>
      <c r="AJ129" s="42">
        <f t="shared" si="273"/>
        <v>8.4618700203878183E-2</v>
      </c>
      <c r="AK129" s="41">
        <f>AK128+AI129</f>
        <v>5245</v>
      </c>
      <c r="AL129" s="42">
        <f t="shared" si="253"/>
        <v>9.1545081301108167E-2</v>
      </c>
      <c r="AM129" s="1058"/>
      <c r="AN129" s="220">
        <v>4.9000000000000004</v>
      </c>
      <c r="AO129" s="67">
        <v>24</v>
      </c>
      <c r="AP129" s="68">
        <f t="shared" si="143"/>
        <v>62.32800000000001</v>
      </c>
      <c r="AQ129" s="68">
        <f t="shared" si="264"/>
        <v>14.424171734844069</v>
      </c>
      <c r="AR129" s="69">
        <f>AR128+AP129</f>
        <v>6271.641599999999</v>
      </c>
      <c r="AS129" s="140">
        <f t="shared" si="218"/>
        <v>8.6648672868378469</v>
      </c>
      <c r="AT129" s="1073"/>
      <c r="AU129" s="70">
        <v>3.2</v>
      </c>
      <c r="AV129" s="71">
        <v>10</v>
      </c>
      <c r="AW129" s="72">
        <f>AU129*AV129*0.467</f>
        <v>14.944000000000001</v>
      </c>
      <c r="AX129" s="72">
        <f t="shared" si="265"/>
        <v>3.4583946605941107</v>
      </c>
      <c r="AY129" s="73">
        <f>AY128+AW129</f>
        <v>2132.6020000000003</v>
      </c>
      <c r="AZ129" s="192">
        <f t="shared" si="220"/>
        <v>2.9463917877011614</v>
      </c>
      <c r="BA129" s="1075"/>
      <c r="BB129" s="90">
        <f t="shared" si="274"/>
        <v>19797</v>
      </c>
      <c r="BC129" s="59"/>
      <c r="BD129" s="56">
        <v>19575</v>
      </c>
      <c r="BE129" s="56">
        <f>BB129+BC129-BD129</f>
        <v>222</v>
      </c>
      <c r="BF129" s="58">
        <f>BF128+BE129</f>
        <v>76991</v>
      </c>
      <c r="BG129" s="58">
        <f t="shared" si="221"/>
        <v>106.37036358725166</v>
      </c>
      <c r="BH129" s="1133"/>
      <c r="BI129" s="63">
        <f>BK128</f>
        <v>120</v>
      </c>
      <c r="BJ129" s="64"/>
      <c r="BK129" s="64">
        <v>120</v>
      </c>
      <c r="BL129" s="64"/>
      <c r="BM129" s="65"/>
      <c r="BN129" s="64">
        <f>BN128+BL129</f>
        <v>10032</v>
      </c>
      <c r="BO129" s="65">
        <f t="shared" si="255"/>
        <v>0.17509633090804902</v>
      </c>
      <c r="BP129" s="1071"/>
      <c r="BQ129" s="35">
        <f t="shared" si="275"/>
        <v>93623</v>
      </c>
      <c r="BR129" s="35"/>
      <c r="BS129" s="35">
        <f>27478+23000+37600</f>
        <v>88078</v>
      </c>
      <c r="BT129" s="35">
        <f>BQ129-BS129+BR129</f>
        <v>5545</v>
      </c>
      <c r="BU129" s="74">
        <f t="shared" si="266"/>
        <v>1283.2440038138614</v>
      </c>
      <c r="BV129" s="74">
        <f t="shared" si="276"/>
        <v>427526</v>
      </c>
      <c r="BW129" s="74">
        <f t="shared" si="250"/>
        <v>590.66768924943631</v>
      </c>
      <c r="BX129" s="1098"/>
    </row>
    <row r="130" spans="1:76">
      <c r="A130" s="262">
        <v>43347</v>
      </c>
      <c r="B130" s="114">
        <v>391332</v>
      </c>
      <c r="C130" s="1">
        <f t="shared" si="141"/>
        <v>57685508</v>
      </c>
      <c r="D130" s="115">
        <v>4921.54</v>
      </c>
      <c r="E130" s="93">
        <f t="shared" si="145"/>
        <v>728722.77000000037</v>
      </c>
      <c r="F130" s="227"/>
      <c r="G130" s="227"/>
      <c r="H130" s="227"/>
      <c r="I130" s="227"/>
      <c r="J130" s="227"/>
      <c r="K130" s="227"/>
      <c r="L130" s="227"/>
      <c r="M130" s="227"/>
      <c r="N130" s="1089"/>
      <c r="O130" s="1084"/>
      <c r="P130" s="77">
        <f t="shared" si="270"/>
        <v>43498</v>
      </c>
      <c r="Q130" s="35"/>
      <c r="R130" s="35">
        <v>41172</v>
      </c>
      <c r="S130" s="35">
        <f t="shared" si="271"/>
        <v>2326</v>
      </c>
      <c r="T130" s="36">
        <f t="shared" si="269"/>
        <v>5.9438021935338794</v>
      </c>
      <c r="U130" s="74">
        <f t="shared" si="272"/>
        <v>239967</v>
      </c>
      <c r="V130" s="36">
        <f t="shared" si="251"/>
        <v>4.1599182935166317</v>
      </c>
      <c r="W130" s="1136"/>
      <c r="X130" s="49">
        <f t="shared" si="267"/>
        <v>563</v>
      </c>
      <c r="Y130" s="50">
        <v>900</v>
      </c>
      <c r="Z130" s="50">
        <f>1073+0</f>
        <v>1073</v>
      </c>
      <c r="AA130" s="50">
        <f>X130+Y130-Z130</f>
        <v>390</v>
      </c>
      <c r="AB130" s="51">
        <f>AA130*1000/B130</f>
        <v>0.99659624053233575</v>
      </c>
      <c r="AC130" s="50">
        <f t="shared" si="268"/>
        <v>8173</v>
      </c>
      <c r="AD130" s="51">
        <f t="shared" si="252"/>
        <v>0.14168203216655387</v>
      </c>
      <c r="AE130" s="1047"/>
      <c r="AF130" s="40">
        <f>AH129</f>
        <v>1315</v>
      </c>
      <c r="AG130" s="41"/>
      <c r="AH130" s="41">
        <v>1246</v>
      </c>
      <c r="AI130" s="41">
        <f>AF130+AG130-AH130</f>
        <v>69</v>
      </c>
      <c r="AJ130" s="42">
        <f t="shared" si="273"/>
        <v>0.17632087332495169</v>
      </c>
      <c r="AK130" s="41">
        <f>AK129+AI130</f>
        <v>5314</v>
      </c>
      <c r="AL130" s="42">
        <f t="shared" si="253"/>
        <v>9.2120190741841093E-2</v>
      </c>
      <c r="AM130" s="1058"/>
      <c r="AN130" s="220">
        <v>4.5999999999999996</v>
      </c>
      <c r="AO130" s="67">
        <v>24</v>
      </c>
      <c r="AP130" s="68">
        <f t="shared" si="143"/>
        <v>58.512</v>
      </c>
      <c r="AQ130" s="68">
        <f t="shared" si="264"/>
        <v>11.888961585194878</v>
      </c>
      <c r="AR130" s="69">
        <f>AR129+AP130</f>
        <v>6330.1535999999987</v>
      </c>
      <c r="AS130" s="140">
        <f t="shared" si="218"/>
        <v>8.6866416977748546</v>
      </c>
      <c r="AT130" s="1073"/>
      <c r="AU130" s="70">
        <v>4</v>
      </c>
      <c r="AV130" s="71">
        <v>10</v>
      </c>
      <c r="AW130" s="72">
        <f>AU130*AV130*0.467</f>
        <v>18.68</v>
      </c>
      <c r="AX130" s="72">
        <f t="shared" si="265"/>
        <v>3.7955599263645121</v>
      </c>
      <c r="AY130" s="73">
        <f>AY129+AW130</f>
        <v>2151.2820000000002</v>
      </c>
      <c r="AZ130" s="192">
        <f t="shared" si="220"/>
        <v>2.9521267738072723</v>
      </c>
      <c r="BA130" s="1075"/>
      <c r="BB130" s="90">
        <f t="shared" si="274"/>
        <v>19575</v>
      </c>
      <c r="BC130" s="59"/>
      <c r="BD130" s="56">
        <v>19132</v>
      </c>
      <c r="BE130" s="56">
        <f>BB130+BC130-BD130</f>
        <v>443</v>
      </c>
      <c r="BF130" s="58">
        <f>BF129+BE130</f>
        <v>77434</v>
      </c>
      <c r="BG130" s="58">
        <f t="shared" si="221"/>
        <v>106.25988810532154</v>
      </c>
      <c r="BH130" s="1133"/>
      <c r="BI130" s="63">
        <f>BK129</f>
        <v>120</v>
      </c>
      <c r="BJ130" s="64">
        <v>1100</v>
      </c>
      <c r="BK130" s="64">
        <v>1200</v>
      </c>
      <c r="BL130" s="64">
        <f>BI130+BJ130-BK130</f>
        <v>20</v>
      </c>
      <c r="BM130" s="65">
        <f>BL130*1000/B130</f>
        <v>5.1107499514478752E-2</v>
      </c>
      <c r="BN130" s="64">
        <f>BN129+BL130</f>
        <v>10052</v>
      </c>
      <c r="BO130" s="65">
        <f t="shared" si="255"/>
        <v>0.17425520461742314</v>
      </c>
      <c r="BP130" s="1071"/>
      <c r="BQ130" s="35">
        <f t="shared" si="275"/>
        <v>88078</v>
      </c>
      <c r="BR130" s="35"/>
      <c r="BS130" s="35">
        <f>22857+23000+37600</f>
        <v>83457</v>
      </c>
      <c r="BT130" s="35">
        <f>BQ130-BS130+BR130</f>
        <v>4621</v>
      </c>
      <c r="BU130" s="74">
        <f t="shared" si="266"/>
        <v>938.93374837957231</v>
      </c>
      <c r="BV130" s="74">
        <f t="shared" si="276"/>
        <v>432147</v>
      </c>
      <c r="BW130" s="74">
        <f t="shared" si="250"/>
        <v>593.01975701953131</v>
      </c>
      <c r="BX130" s="1098"/>
    </row>
    <row r="131" spans="1:76">
      <c r="A131" s="262">
        <v>43348</v>
      </c>
      <c r="B131" s="114">
        <v>409510</v>
      </c>
      <c r="C131" s="1">
        <f t="shared" si="141"/>
        <v>58095018</v>
      </c>
      <c r="D131" s="115">
        <v>5167.92</v>
      </c>
      <c r="E131" s="93">
        <f t="shared" si="145"/>
        <v>733890.69000000041</v>
      </c>
      <c r="F131" s="227"/>
      <c r="G131" s="227"/>
      <c r="H131" s="227"/>
      <c r="I131" s="227"/>
      <c r="J131" s="227"/>
      <c r="K131" s="227"/>
      <c r="L131" s="227"/>
      <c r="M131" s="227"/>
      <c r="N131" s="1089"/>
      <c r="O131" s="1084"/>
      <c r="P131" s="77">
        <f t="shared" si="270"/>
        <v>41172</v>
      </c>
      <c r="Q131" s="35"/>
      <c r="R131" s="35">
        <v>38807</v>
      </c>
      <c r="S131" s="35">
        <f t="shared" si="271"/>
        <v>2365</v>
      </c>
      <c r="T131" s="36">
        <f t="shared" si="269"/>
        <v>5.7751947449390739</v>
      </c>
      <c r="U131" s="74">
        <f t="shared" si="272"/>
        <v>242332</v>
      </c>
      <c r="V131" s="36">
        <f t="shared" si="251"/>
        <v>4.1713043276791826</v>
      </c>
      <c r="W131" s="1136"/>
      <c r="X131" s="49">
        <f t="shared" si="267"/>
        <v>1073</v>
      </c>
      <c r="Y131" s="50"/>
      <c r="Z131" s="50">
        <f>1073+0</f>
        <v>1073</v>
      </c>
      <c r="AA131" s="50"/>
      <c r="AB131" s="51"/>
      <c r="AC131" s="50">
        <f t="shared" si="268"/>
        <v>8173</v>
      </c>
      <c r="AD131" s="51">
        <f t="shared" si="252"/>
        <v>0.14068331986746266</v>
      </c>
      <c r="AE131" s="1047"/>
      <c r="AF131" s="40">
        <f>AH130</f>
        <v>1246</v>
      </c>
      <c r="AG131" s="41"/>
      <c r="AH131" s="41">
        <v>1211</v>
      </c>
      <c r="AI131" s="41">
        <f>AF131+AG131-AH131</f>
        <v>35</v>
      </c>
      <c r="AJ131" s="42">
        <f t="shared" si="273"/>
        <v>8.5467998339478893E-2</v>
      </c>
      <c r="AK131" s="41">
        <f>AK130+AI131</f>
        <v>5349</v>
      </c>
      <c r="AL131" s="42">
        <f t="shared" si="253"/>
        <v>9.2073299641631925E-2</v>
      </c>
      <c r="AM131" s="1058"/>
      <c r="AN131" s="220">
        <v>5</v>
      </c>
      <c r="AO131" s="67">
        <v>24</v>
      </c>
      <c r="AP131" s="68">
        <f t="shared" si="143"/>
        <v>63.6</v>
      </c>
      <c r="AQ131" s="68">
        <f t="shared" si="264"/>
        <v>12.306692054056564</v>
      </c>
      <c r="AR131" s="69">
        <f>AR130+AP131</f>
        <v>6393.7535999999991</v>
      </c>
      <c r="AS131" s="140">
        <f t="shared" ref="AS131:AS156" si="277">AR131*1000/E131</f>
        <v>8.7121334104946815</v>
      </c>
      <c r="AT131" s="1073"/>
      <c r="AU131" s="70">
        <v>4.0999999999999996</v>
      </c>
      <c r="AV131" s="71">
        <v>10</v>
      </c>
      <c r="AW131" s="72">
        <f>AU131*AV131*0.467</f>
        <v>19.147000000000002</v>
      </c>
      <c r="AX131" s="72">
        <f t="shared" si="265"/>
        <v>3.7049722131921552</v>
      </c>
      <c r="AY131" s="73">
        <f>AY130+AW131</f>
        <v>2170.4290000000001</v>
      </c>
      <c r="AZ131" s="192">
        <f t="shared" ref="AZ131:AZ156" si="278">AY131*1000/E131</f>
        <v>2.9574281695820379</v>
      </c>
      <c r="BA131" s="1075"/>
      <c r="BB131" s="90">
        <f t="shared" si="274"/>
        <v>19132</v>
      </c>
      <c r="BC131" s="59"/>
      <c r="BD131" s="56">
        <v>19132</v>
      </c>
      <c r="BE131" s="56"/>
      <c r="BF131" s="58">
        <f>BF130+BE131</f>
        <v>77434</v>
      </c>
      <c r="BG131" s="58">
        <f t="shared" ref="BG131:BG158" si="279">BF131*1000/E131</f>
        <v>105.51162598887848</v>
      </c>
      <c r="BH131" s="1133"/>
      <c r="BI131" s="63">
        <f>BK130</f>
        <v>1200</v>
      </c>
      <c r="BJ131" s="64"/>
      <c r="BK131" s="64">
        <v>1200</v>
      </c>
      <c r="BL131" s="64"/>
      <c r="BM131" s="65"/>
      <c r="BN131" s="64">
        <f>BN130+BL131</f>
        <v>10052</v>
      </c>
      <c r="BO131" s="65">
        <f t="shared" si="255"/>
        <v>0.1730268850248054</v>
      </c>
      <c r="BP131" s="1071"/>
      <c r="BQ131" s="35">
        <f t="shared" si="275"/>
        <v>83457</v>
      </c>
      <c r="BR131" s="35"/>
      <c r="BS131" s="35">
        <f>55203-15346+6000+37600</f>
        <v>83457</v>
      </c>
      <c r="BT131" s="35"/>
      <c r="BU131" s="74"/>
      <c r="BV131" s="74">
        <f t="shared" si="276"/>
        <v>432147</v>
      </c>
      <c r="BW131" s="74">
        <f t="shared" si="250"/>
        <v>588.8438235944916</v>
      </c>
      <c r="BX131" s="1098"/>
    </row>
    <row r="132" spans="1:76">
      <c r="A132" s="262">
        <v>43349</v>
      </c>
      <c r="B132" s="114">
        <v>510710</v>
      </c>
      <c r="C132" s="1">
        <f t="shared" si="141"/>
        <v>58605728</v>
      </c>
      <c r="D132" s="115">
        <v>5472</v>
      </c>
      <c r="E132" s="93">
        <f t="shared" si="145"/>
        <v>739362.69000000041</v>
      </c>
      <c r="F132" s="227"/>
      <c r="G132" s="227"/>
      <c r="H132" s="227"/>
      <c r="I132" s="227"/>
      <c r="J132" s="227"/>
      <c r="K132" s="227"/>
      <c r="L132" s="227"/>
      <c r="M132" s="227"/>
      <c r="N132" s="1089"/>
      <c r="O132" s="1084"/>
      <c r="P132" s="77">
        <f t="shared" ref="P132:P151" si="280">R131</f>
        <v>38807</v>
      </c>
      <c r="Q132" s="35"/>
      <c r="R132" s="35">
        <v>36681</v>
      </c>
      <c r="S132" s="35">
        <f t="shared" ref="S132:S151" si="281">P132-R132+Q132</f>
        <v>2126</v>
      </c>
      <c r="T132" s="36">
        <f t="shared" si="269"/>
        <v>4.162832135654285</v>
      </c>
      <c r="U132" s="74">
        <f t="shared" ref="U132:U151" si="282">U131+S132</f>
        <v>244458</v>
      </c>
      <c r="V132" s="36">
        <f t="shared" si="251"/>
        <v>4.1712304981519894</v>
      </c>
      <c r="W132" s="1136"/>
      <c r="X132" s="49">
        <f t="shared" ref="X132:X151" si="283">Z131</f>
        <v>1073</v>
      </c>
      <c r="Y132" s="50"/>
      <c r="Z132" s="50">
        <f>1073+0</f>
        <v>1073</v>
      </c>
      <c r="AA132" s="50"/>
      <c r="AB132" s="51"/>
      <c r="AC132" s="50">
        <f t="shared" ref="AC132:AC151" si="284">AC131+AA132</f>
        <v>8173</v>
      </c>
      <c r="AD132" s="51">
        <f t="shared" si="252"/>
        <v>0.13945735816130464</v>
      </c>
      <c r="AE132" s="1047"/>
      <c r="AF132" s="40">
        <f t="shared" ref="AF132:AF150" si="285">AH131</f>
        <v>1211</v>
      </c>
      <c r="AG132" s="41"/>
      <c r="AH132" s="41">
        <v>1211</v>
      </c>
      <c r="AI132" s="41"/>
      <c r="AJ132" s="42"/>
      <c r="AK132" s="41">
        <f t="shared" ref="AK132:AK150" si="286">AK131+AI132</f>
        <v>5349</v>
      </c>
      <c r="AL132" s="42">
        <f t="shared" si="253"/>
        <v>9.1270941980278783E-2</v>
      </c>
      <c r="AM132" s="1058"/>
      <c r="AN132" s="220">
        <v>3.8</v>
      </c>
      <c r="AO132" s="67">
        <v>24</v>
      </c>
      <c r="AP132" s="68">
        <f t="shared" ref="AP132:AP156" si="287">AN132*AO132*0.53</f>
        <v>48.335999999999999</v>
      </c>
      <c r="AQ132" s="68">
        <f t="shared" si="264"/>
        <v>8.8333333333333339</v>
      </c>
      <c r="AR132" s="69">
        <f t="shared" ref="AR132:AR156" si="288">AR131+AP132</f>
        <v>6442.0895999999993</v>
      </c>
      <c r="AS132" s="140">
        <f t="shared" si="277"/>
        <v>8.7130304073092955</v>
      </c>
      <c r="AT132" s="1073"/>
      <c r="AU132" s="70">
        <v>4.2</v>
      </c>
      <c r="AV132" s="71">
        <v>10</v>
      </c>
      <c r="AW132" s="72">
        <f t="shared" ref="AW132:AW156" si="289">AU132*AV132*0.467</f>
        <v>19.614000000000001</v>
      </c>
      <c r="AX132" s="72">
        <f t="shared" si="265"/>
        <v>3.5844298245614037</v>
      </c>
      <c r="AY132" s="73">
        <f t="shared" ref="AY132:AY156" si="290">AY131+AW132</f>
        <v>2190.0430000000001</v>
      </c>
      <c r="AZ132" s="192">
        <f t="shared" si="278"/>
        <v>2.9620685890979956</v>
      </c>
      <c r="BA132" s="1075"/>
      <c r="BB132" s="90">
        <f t="shared" ref="BB132:BB150" si="291">BD131</f>
        <v>19132</v>
      </c>
      <c r="BC132" s="59"/>
      <c r="BD132" s="56">
        <v>19132</v>
      </c>
      <c r="BE132" s="56"/>
      <c r="BF132" s="58">
        <f t="shared" ref="BF132:BF150" si="292">BF131+BE132</f>
        <v>77434</v>
      </c>
      <c r="BG132" s="58">
        <f t="shared" si="279"/>
        <v>104.73073776552067</v>
      </c>
      <c r="BH132" s="1133"/>
      <c r="BI132" s="63">
        <f t="shared" ref="BI132:BI150" si="293">BK131</f>
        <v>1200</v>
      </c>
      <c r="BJ132" s="64"/>
      <c r="BK132" s="64">
        <v>960</v>
      </c>
      <c r="BL132" s="64">
        <f t="shared" ref="BL132:BL153" si="294">BI132+BJ132-BK132</f>
        <v>240</v>
      </c>
      <c r="BM132" s="65">
        <f t="shared" ref="BM132:BM140" si="295">BL132*1000/B132</f>
        <v>0.46993401343228053</v>
      </c>
      <c r="BN132" s="64">
        <f t="shared" ref="BN132:BN150" si="296">BN131+BL132</f>
        <v>10292</v>
      </c>
      <c r="BO132" s="65">
        <f t="shared" si="255"/>
        <v>0.17561423347560839</v>
      </c>
      <c r="BP132" s="1071"/>
      <c r="BQ132" s="35">
        <f t="shared" si="275"/>
        <v>83457</v>
      </c>
      <c r="BR132" s="35"/>
      <c r="BS132" s="35">
        <f>42264-2407+6000+37600</f>
        <v>83457</v>
      </c>
      <c r="BT132" s="35"/>
      <c r="BU132" s="74"/>
      <c r="BV132" s="74">
        <f t="shared" si="276"/>
        <v>432147</v>
      </c>
      <c r="BW132" s="74">
        <f t="shared" si="250"/>
        <v>584.48580898773753</v>
      </c>
      <c r="BX132" s="1098"/>
    </row>
    <row r="133" spans="1:76">
      <c r="A133" s="262">
        <v>43350</v>
      </c>
      <c r="B133" s="114">
        <v>424876</v>
      </c>
      <c r="C133" s="1">
        <f t="shared" ref="C133:C156" si="297">C132+B133</f>
        <v>59030604</v>
      </c>
      <c r="D133" s="115">
        <v>3966.84</v>
      </c>
      <c r="E133" s="93">
        <f t="shared" si="145"/>
        <v>743329.53000000038</v>
      </c>
      <c r="F133" s="227"/>
      <c r="G133" s="227"/>
      <c r="H133" s="227"/>
      <c r="I133" s="227"/>
      <c r="J133" s="227"/>
      <c r="K133" s="227"/>
      <c r="L133" s="227"/>
      <c r="M133" s="227"/>
      <c r="N133" s="1089"/>
      <c r="O133" s="1084"/>
      <c r="P133" s="77">
        <f t="shared" si="280"/>
        <v>36681</v>
      </c>
      <c r="Q133" s="35"/>
      <c r="R133" s="35">
        <v>34539</v>
      </c>
      <c r="S133" s="35">
        <f t="shared" si="281"/>
        <v>2142</v>
      </c>
      <c r="T133" s="36">
        <f t="shared" si="269"/>
        <v>5.0414709232811452</v>
      </c>
      <c r="U133" s="74">
        <f t="shared" si="282"/>
        <v>246600</v>
      </c>
      <c r="V133" s="36">
        <f t="shared" si="251"/>
        <v>4.1774941011953732</v>
      </c>
      <c r="W133" s="1136"/>
      <c r="X133" s="49">
        <f t="shared" si="283"/>
        <v>1073</v>
      </c>
      <c r="Y133" s="50"/>
      <c r="Z133" s="50">
        <f>956+60</f>
        <v>1016</v>
      </c>
      <c r="AA133" s="50">
        <f>X133+Y133-Z133</f>
        <v>57</v>
      </c>
      <c r="AB133" s="51">
        <f>AA133*1000/B133</f>
        <v>0.13415678927498847</v>
      </c>
      <c r="AC133" s="50">
        <f t="shared" si="284"/>
        <v>8230</v>
      </c>
      <c r="AD133" s="51">
        <f t="shared" si="252"/>
        <v>0.13941920702691776</v>
      </c>
      <c r="AE133" s="1047"/>
      <c r="AF133" s="40">
        <f t="shared" si="285"/>
        <v>1211</v>
      </c>
      <c r="AG133" s="41"/>
      <c r="AH133" s="41">
        <v>1211</v>
      </c>
      <c r="AI133" s="41"/>
      <c r="AJ133" s="42"/>
      <c r="AK133" s="41">
        <f t="shared" si="286"/>
        <v>5349</v>
      </c>
      <c r="AL133" s="42">
        <f t="shared" si="253"/>
        <v>9.0614014384809621E-2</v>
      </c>
      <c r="AM133" s="1058"/>
      <c r="AN133" s="220">
        <v>4.0999999999999996</v>
      </c>
      <c r="AO133" s="67">
        <v>24</v>
      </c>
      <c r="AP133" s="68">
        <f t="shared" si="287"/>
        <v>52.152000000000001</v>
      </c>
      <c r="AQ133" s="68">
        <f t="shared" si="264"/>
        <v>13.146988534954774</v>
      </c>
      <c r="AR133" s="69">
        <f t="shared" si="288"/>
        <v>6494.2415999999994</v>
      </c>
      <c r="AS133" s="140">
        <f t="shared" si="277"/>
        <v>8.7366925944674847</v>
      </c>
      <c r="AT133" s="1073"/>
      <c r="AU133" s="70">
        <v>3.4</v>
      </c>
      <c r="AV133" s="71">
        <v>10</v>
      </c>
      <c r="AW133" s="72">
        <f t="shared" si="289"/>
        <v>15.878</v>
      </c>
      <c r="AX133" s="72">
        <f t="shared" si="265"/>
        <v>4.0026822357342366</v>
      </c>
      <c r="AY133" s="73">
        <f t="shared" si="290"/>
        <v>2205.9210000000003</v>
      </c>
      <c r="AZ133" s="192">
        <f t="shared" si="278"/>
        <v>2.9676219105677117</v>
      </c>
      <c r="BA133" s="1075"/>
      <c r="BB133" s="90">
        <f t="shared" si="291"/>
        <v>19132</v>
      </c>
      <c r="BC133" s="59"/>
      <c r="BD133" s="56">
        <v>18911</v>
      </c>
      <c r="BE133" s="56">
        <f>BB133+BC133-BD133</f>
        <v>221</v>
      </c>
      <c r="BF133" s="58">
        <f t="shared" si="292"/>
        <v>77655</v>
      </c>
      <c r="BG133" s="58">
        <f t="shared" si="279"/>
        <v>104.46914439145175</v>
      </c>
      <c r="BH133" s="1133"/>
      <c r="BI133" s="63">
        <f t="shared" si="293"/>
        <v>960</v>
      </c>
      <c r="BJ133" s="64"/>
      <c r="BK133" s="64">
        <v>690</v>
      </c>
      <c r="BL133" s="64">
        <f t="shared" si="294"/>
        <v>270</v>
      </c>
      <c r="BM133" s="65">
        <f t="shared" si="295"/>
        <v>0.63547952814468223</v>
      </c>
      <c r="BN133" s="64">
        <f t="shared" si="296"/>
        <v>10562</v>
      </c>
      <c r="BO133" s="65">
        <f t="shared" si="255"/>
        <v>0.17892413907877344</v>
      </c>
      <c r="BP133" s="1071"/>
      <c r="BQ133" s="35">
        <f>BS132</f>
        <v>83457</v>
      </c>
      <c r="BR133" s="35"/>
      <c r="BS133" s="35">
        <f>37644+6000+37600</f>
        <v>81244</v>
      </c>
      <c r="BT133" s="35">
        <f>BQ133-BS133+BR133</f>
        <v>2213</v>
      </c>
      <c r="BU133" s="74">
        <f>BT133*1000/D133</f>
        <v>557.87478194230164</v>
      </c>
      <c r="BV133" s="74">
        <f>BV132+BT133</f>
        <v>434360</v>
      </c>
      <c r="BW133" s="74">
        <f t="shared" si="250"/>
        <v>584.34379702364276</v>
      </c>
      <c r="BX133" s="1098"/>
    </row>
    <row r="134" spans="1:76">
      <c r="A134" s="262">
        <v>43351</v>
      </c>
      <c r="B134" s="114">
        <v>296933</v>
      </c>
      <c r="C134" s="1">
        <f t="shared" si="297"/>
        <v>59327537</v>
      </c>
      <c r="D134" s="115">
        <v>3929.14</v>
      </c>
      <c r="E134" s="93">
        <f t="shared" ref="E134:E156" si="298">E133+D134</f>
        <v>747258.67000000039</v>
      </c>
      <c r="F134" s="227"/>
      <c r="G134" s="227"/>
      <c r="H134" s="227"/>
      <c r="I134" s="227"/>
      <c r="J134" s="227"/>
      <c r="K134" s="227"/>
      <c r="L134" s="227"/>
      <c r="M134" s="227"/>
      <c r="N134" s="1089"/>
      <c r="O134" s="1084"/>
      <c r="P134" s="77">
        <f t="shared" si="280"/>
        <v>34539</v>
      </c>
      <c r="Q134" s="35"/>
      <c r="R134" s="35">
        <v>33733</v>
      </c>
      <c r="S134" s="35">
        <f t="shared" si="281"/>
        <v>806</v>
      </c>
      <c r="T134" s="36">
        <f t="shared" si="269"/>
        <v>2.7144170570465391</v>
      </c>
      <c r="U134" s="74">
        <f t="shared" si="282"/>
        <v>247406</v>
      </c>
      <c r="V134" s="36">
        <f t="shared" si="251"/>
        <v>4.1701714332081572</v>
      </c>
      <c r="W134" s="1136"/>
      <c r="X134" s="49">
        <f t="shared" si="283"/>
        <v>1016</v>
      </c>
      <c r="Y134" s="50"/>
      <c r="Z134" s="50">
        <f>956+60</f>
        <v>1016</v>
      </c>
      <c r="AA134" s="50"/>
      <c r="AB134" s="51"/>
      <c r="AC134" s="50">
        <f t="shared" si="284"/>
        <v>8230</v>
      </c>
      <c r="AD134" s="51">
        <f t="shared" si="252"/>
        <v>0.13872141700404653</v>
      </c>
      <c r="AE134" s="1047"/>
      <c r="AF134" s="40">
        <f t="shared" si="285"/>
        <v>1211</v>
      </c>
      <c r="AG134" s="41"/>
      <c r="AH134" s="41">
        <v>1211</v>
      </c>
      <c r="AI134" s="41"/>
      <c r="AJ134" s="42"/>
      <c r="AK134" s="41">
        <f t="shared" si="286"/>
        <v>5349</v>
      </c>
      <c r="AL134" s="42">
        <f t="shared" si="253"/>
        <v>9.0160493263018823E-2</v>
      </c>
      <c r="AM134" s="1058"/>
      <c r="AN134" s="220">
        <v>3.7</v>
      </c>
      <c r="AO134" s="67">
        <v>24</v>
      </c>
      <c r="AP134" s="68">
        <f t="shared" si="287"/>
        <v>47.064000000000007</v>
      </c>
      <c r="AQ134" s="68">
        <f t="shared" si="264"/>
        <v>11.97819370142067</v>
      </c>
      <c r="AR134" s="69">
        <f t="shared" si="288"/>
        <v>6541.3055999999997</v>
      </c>
      <c r="AS134" s="140">
        <f t="shared" si="277"/>
        <v>8.7537366411553261</v>
      </c>
      <c r="AT134" s="1073"/>
      <c r="AU134" s="70">
        <v>2.9</v>
      </c>
      <c r="AV134" s="71">
        <v>10</v>
      </c>
      <c r="AW134" s="72">
        <f t="shared" si="289"/>
        <v>13.543000000000001</v>
      </c>
      <c r="AX134" s="72">
        <f t="shared" si="265"/>
        <v>3.4468102434629468</v>
      </c>
      <c r="AY134" s="73">
        <f t="shared" si="290"/>
        <v>2219.4640000000004</v>
      </c>
      <c r="AZ134" s="192">
        <f t="shared" si="278"/>
        <v>2.9701415173945045</v>
      </c>
      <c r="BA134" s="1075"/>
      <c r="BB134" s="90">
        <f t="shared" si="291"/>
        <v>18911</v>
      </c>
      <c r="BC134" s="59"/>
      <c r="BD134" s="56">
        <v>18911</v>
      </c>
      <c r="BE134" s="56"/>
      <c r="BF134" s="58">
        <f t="shared" si="292"/>
        <v>77655</v>
      </c>
      <c r="BG134" s="58">
        <f t="shared" si="279"/>
        <v>103.91983809301264</v>
      </c>
      <c r="BH134" s="1133"/>
      <c r="BI134" s="63">
        <f t="shared" si="293"/>
        <v>690</v>
      </c>
      <c r="BJ134" s="64"/>
      <c r="BK134" s="64">
        <v>480</v>
      </c>
      <c r="BL134" s="64">
        <f t="shared" si="294"/>
        <v>210</v>
      </c>
      <c r="BM134" s="65">
        <f t="shared" si="295"/>
        <v>0.70723025059525213</v>
      </c>
      <c r="BN134" s="64">
        <f t="shared" si="296"/>
        <v>10772</v>
      </c>
      <c r="BO134" s="65">
        <f t="shared" si="255"/>
        <v>0.18156829938852848</v>
      </c>
      <c r="BP134" s="1071"/>
      <c r="BQ134" s="35">
        <f>BS133</f>
        <v>81244</v>
      </c>
      <c r="BR134" s="35"/>
      <c r="BS134" s="35">
        <f>37644+6000+37600</f>
        <v>81244</v>
      </c>
      <c r="BT134" s="35"/>
      <c r="BU134" s="74"/>
      <c r="BV134" s="74">
        <f>BV133+BT134</f>
        <v>434360</v>
      </c>
      <c r="BW134" s="74">
        <f t="shared" si="250"/>
        <v>581.27127517971758</v>
      </c>
      <c r="BX134" s="1098"/>
    </row>
    <row r="135" spans="1:76">
      <c r="A135" s="262">
        <v>43352</v>
      </c>
      <c r="B135" s="114">
        <v>352943</v>
      </c>
      <c r="C135" s="1">
        <f t="shared" si="297"/>
        <v>59680480</v>
      </c>
      <c r="D135" s="115">
        <v>4628.74</v>
      </c>
      <c r="E135" s="93">
        <f t="shared" si="298"/>
        <v>751887.41000000038</v>
      </c>
      <c r="F135" s="227"/>
      <c r="G135" s="227"/>
      <c r="H135" s="227"/>
      <c r="I135" s="227"/>
      <c r="J135" s="227"/>
      <c r="K135" s="227"/>
      <c r="L135" s="227"/>
      <c r="M135" s="227"/>
      <c r="N135" s="1089"/>
      <c r="O135" s="1084"/>
      <c r="P135" s="77">
        <f t="shared" si="280"/>
        <v>33733</v>
      </c>
      <c r="Q135" s="35"/>
      <c r="R135" s="35">
        <v>31310</v>
      </c>
      <c r="S135" s="35">
        <f t="shared" si="281"/>
        <v>2423</v>
      </c>
      <c r="T135" s="36">
        <f t="shared" si="269"/>
        <v>6.8651311968221496</v>
      </c>
      <c r="U135" s="74">
        <f t="shared" si="282"/>
        <v>249829</v>
      </c>
      <c r="V135" s="36">
        <f t="shared" si="251"/>
        <v>4.1861090929563574</v>
      </c>
      <c r="W135" s="1136"/>
      <c r="X135" s="49">
        <f t="shared" si="283"/>
        <v>1016</v>
      </c>
      <c r="Y135" s="50"/>
      <c r="Z135" s="50">
        <f>903+113</f>
        <v>1016</v>
      </c>
      <c r="AA135" s="50"/>
      <c r="AB135" s="51"/>
      <c r="AC135" s="50">
        <f t="shared" si="284"/>
        <v>8230</v>
      </c>
      <c r="AD135" s="51">
        <f t="shared" si="252"/>
        <v>0.13790103564850684</v>
      </c>
      <c r="AE135" s="1047"/>
      <c r="AF135" s="40">
        <f t="shared" si="285"/>
        <v>1211</v>
      </c>
      <c r="AG135" s="41"/>
      <c r="AH135" s="41">
        <v>1211</v>
      </c>
      <c r="AI135" s="41"/>
      <c r="AJ135" s="42"/>
      <c r="AK135" s="41">
        <f t="shared" si="286"/>
        <v>5349</v>
      </c>
      <c r="AL135" s="42">
        <f t="shared" si="253"/>
        <v>8.9627295222826628E-2</v>
      </c>
      <c r="AM135" s="1058"/>
      <c r="AN135" s="220">
        <v>3.5</v>
      </c>
      <c r="AO135" s="67">
        <v>24</v>
      </c>
      <c r="AP135" s="68">
        <f t="shared" si="287"/>
        <v>44.52</v>
      </c>
      <c r="AQ135" s="68">
        <f t="shared" si="264"/>
        <v>9.6181682272065405</v>
      </c>
      <c r="AR135" s="69">
        <f t="shared" si="288"/>
        <v>6585.8256000000001</v>
      </c>
      <c r="AS135" s="140">
        <f t="shared" si="277"/>
        <v>8.7590582212302195</v>
      </c>
      <c r="AT135" s="1073"/>
      <c r="AU135" s="70">
        <v>3.3</v>
      </c>
      <c r="AV135" s="71">
        <v>10</v>
      </c>
      <c r="AW135" s="72">
        <f t="shared" si="289"/>
        <v>15.411000000000001</v>
      </c>
      <c r="AX135" s="72">
        <f t="shared" si="265"/>
        <v>3.3294157805363884</v>
      </c>
      <c r="AY135" s="73">
        <f t="shared" si="290"/>
        <v>2234.8750000000005</v>
      </c>
      <c r="AZ135" s="192">
        <f t="shared" si="278"/>
        <v>2.9723532676255338</v>
      </c>
      <c r="BA135" s="1075"/>
      <c r="BB135" s="90">
        <f t="shared" si="291"/>
        <v>18911</v>
      </c>
      <c r="BC135" s="59"/>
      <c r="BD135" s="56">
        <v>18911</v>
      </c>
      <c r="BE135" s="56"/>
      <c r="BF135" s="58">
        <f t="shared" si="292"/>
        <v>77655</v>
      </c>
      <c r="BG135" s="58">
        <f t="shared" si="279"/>
        <v>103.28009083168445</v>
      </c>
      <c r="BH135" s="1133"/>
      <c r="BI135" s="63">
        <f t="shared" si="293"/>
        <v>480</v>
      </c>
      <c r="BJ135" s="64"/>
      <c r="BK135" s="64">
        <v>420</v>
      </c>
      <c r="BL135" s="64">
        <f t="shared" si="294"/>
        <v>60</v>
      </c>
      <c r="BM135" s="65">
        <f t="shared" si="295"/>
        <v>0.16999912167120471</v>
      </c>
      <c r="BN135" s="64">
        <f t="shared" si="296"/>
        <v>10832</v>
      </c>
      <c r="BO135" s="65">
        <f t="shared" si="255"/>
        <v>0.18149988069801049</v>
      </c>
      <c r="BP135" s="1071"/>
      <c r="BQ135" s="35">
        <f>BS134</f>
        <v>81244</v>
      </c>
      <c r="BR135" s="35"/>
      <c r="BS135" s="35">
        <f>37644+37600</f>
        <v>75244</v>
      </c>
      <c r="BT135" s="35">
        <f>BQ135-BS135+BR135</f>
        <v>6000</v>
      </c>
      <c r="BU135" s="74">
        <f t="shared" ref="BU135:BU140" si="299">BT135*1000/D135</f>
        <v>1296.2490872246012</v>
      </c>
      <c r="BV135" s="74">
        <f>BV134+BT135</f>
        <v>440360</v>
      </c>
      <c r="BW135" s="74">
        <f t="shared" si="250"/>
        <v>585.67279374979796</v>
      </c>
      <c r="BX135" s="1098"/>
    </row>
    <row r="136" spans="1:76">
      <c r="A136" s="262">
        <v>43353</v>
      </c>
      <c r="B136" s="114">
        <v>398488</v>
      </c>
      <c r="C136" s="1">
        <f t="shared" si="297"/>
        <v>60078968</v>
      </c>
      <c r="D136" s="115">
        <v>4638.58</v>
      </c>
      <c r="E136" s="93">
        <f t="shared" si="298"/>
        <v>756525.99000000034</v>
      </c>
      <c r="F136" s="227"/>
      <c r="G136" s="227"/>
      <c r="H136" s="227"/>
      <c r="I136" s="227"/>
      <c r="J136" s="227"/>
      <c r="K136" s="227"/>
      <c r="L136" s="227"/>
      <c r="M136" s="227"/>
      <c r="N136" s="1089"/>
      <c r="O136" s="1084"/>
      <c r="P136" s="77">
        <f t="shared" si="280"/>
        <v>31310</v>
      </c>
      <c r="Q136" s="35"/>
      <c r="R136" s="35">
        <v>29694</v>
      </c>
      <c r="S136" s="35">
        <f t="shared" si="281"/>
        <v>1616</v>
      </c>
      <c r="T136" s="36">
        <f t="shared" si="269"/>
        <v>4.0553291441649435</v>
      </c>
      <c r="U136" s="74">
        <f t="shared" si="282"/>
        <v>251445</v>
      </c>
      <c r="V136" s="36">
        <f t="shared" si="251"/>
        <v>4.1852416639380357</v>
      </c>
      <c r="W136" s="1136"/>
      <c r="X136" s="49">
        <f t="shared" si="283"/>
        <v>1016</v>
      </c>
      <c r="Y136" s="50"/>
      <c r="Z136" s="50">
        <f>886</f>
        <v>886</v>
      </c>
      <c r="AA136" s="50">
        <f>X136+Y136-Z136</f>
        <v>130</v>
      </c>
      <c r="AB136" s="51">
        <f>AA136*1000/B136</f>
        <v>0.32623316134990266</v>
      </c>
      <c r="AC136" s="50">
        <f t="shared" si="284"/>
        <v>8360</v>
      </c>
      <c r="AD136" s="51">
        <f t="shared" si="252"/>
        <v>0.13915019312582066</v>
      </c>
      <c r="AE136" s="1047"/>
      <c r="AF136" s="40">
        <f t="shared" si="285"/>
        <v>1211</v>
      </c>
      <c r="AG136" s="41"/>
      <c r="AH136" s="41">
        <v>1211</v>
      </c>
      <c r="AI136" s="41"/>
      <c r="AJ136" s="42"/>
      <c r="AK136" s="41">
        <f t="shared" si="286"/>
        <v>5349</v>
      </c>
      <c r="AL136" s="42">
        <f t="shared" si="253"/>
        <v>8.903282093660464E-2</v>
      </c>
      <c r="AM136" s="1058"/>
      <c r="AN136" s="220">
        <v>3.4</v>
      </c>
      <c r="AO136" s="67">
        <v>24</v>
      </c>
      <c r="AP136" s="68">
        <f t="shared" si="287"/>
        <v>43.247999999999998</v>
      </c>
      <c r="AQ136" s="68">
        <f t="shared" si="264"/>
        <v>9.3235429808260282</v>
      </c>
      <c r="AR136" s="69">
        <f t="shared" si="288"/>
        <v>6629.0735999999997</v>
      </c>
      <c r="AS136" s="140">
        <f t="shared" si="277"/>
        <v>8.7625193154302554</v>
      </c>
      <c r="AT136" s="1073"/>
      <c r="AU136" s="70">
        <v>3.5</v>
      </c>
      <c r="AV136" s="71">
        <v>10</v>
      </c>
      <c r="AW136" s="72">
        <f t="shared" si="289"/>
        <v>16.345000000000002</v>
      </c>
      <c r="AX136" s="72">
        <f t="shared" si="265"/>
        <v>3.5237076864040291</v>
      </c>
      <c r="AY136" s="73">
        <f t="shared" si="290"/>
        <v>2251.2200000000003</v>
      </c>
      <c r="AZ136" s="192">
        <f t="shared" si="278"/>
        <v>2.975733854166728</v>
      </c>
      <c r="BA136" s="1075"/>
      <c r="BB136" s="90">
        <f t="shared" si="291"/>
        <v>18911</v>
      </c>
      <c r="BC136" s="59"/>
      <c r="BD136" s="56">
        <v>18690</v>
      </c>
      <c r="BE136" s="56">
        <f>BB136+BC136-BD136</f>
        <v>221</v>
      </c>
      <c r="BF136" s="58">
        <f t="shared" si="292"/>
        <v>77876</v>
      </c>
      <c r="BG136" s="58">
        <f t="shared" si="279"/>
        <v>102.93896181940816</v>
      </c>
      <c r="BH136" s="1133"/>
      <c r="BI136" s="63">
        <f t="shared" si="293"/>
        <v>420</v>
      </c>
      <c r="BJ136" s="64"/>
      <c r="BK136" s="64">
        <v>360</v>
      </c>
      <c r="BL136" s="64">
        <f t="shared" si="294"/>
        <v>60</v>
      </c>
      <c r="BM136" s="65">
        <f t="shared" si="295"/>
        <v>0.15056915139226276</v>
      </c>
      <c r="BN136" s="64">
        <f t="shared" si="296"/>
        <v>10892</v>
      </c>
      <c r="BO136" s="65">
        <f t="shared" si="255"/>
        <v>0.18129472530220558</v>
      </c>
      <c r="BP136" s="1071"/>
      <c r="BQ136" s="35">
        <f>BS135</f>
        <v>75244</v>
      </c>
      <c r="BR136" s="35"/>
      <c r="BS136" s="35">
        <f>37644+29469</f>
        <v>67113</v>
      </c>
      <c r="BT136" s="35">
        <f>BQ136-BS136+BR136</f>
        <v>8131</v>
      </c>
      <c r="BU136" s="74">
        <f t="shared" si="299"/>
        <v>1752.9071396849899</v>
      </c>
      <c r="BV136" s="74">
        <f>BV135+BT136</f>
        <v>448491</v>
      </c>
      <c r="BW136" s="74">
        <f t="shared" si="250"/>
        <v>592.82959994540283</v>
      </c>
      <c r="BX136" s="1098"/>
    </row>
    <row r="137" spans="1:76">
      <c r="A137" s="262">
        <v>43354</v>
      </c>
      <c r="B137" s="114">
        <v>439387</v>
      </c>
      <c r="C137" s="1">
        <f t="shared" si="297"/>
        <v>60518355</v>
      </c>
      <c r="D137" s="115">
        <v>4860.24</v>
      </c>
      <c r="E137" s="93">
        <f t="shared" si="298"/>
        <v>761386.23000000033</v>
      </c>
      <c r="F137" s="227"/>
      <c r="G137" s="227"/>
      <c r="H137" s="227"/>
      <c r="I137" s="227"/>
      <c r="J137" s="227"/>
      <c r="K137" s="227"/>
      <c r="L137" s="227"/>
      <c r="M137" s="227"/>
      <c r="N137" s="1089"/>
      <c r="O137" s="1084"/>
      <c r="P137" s="77">
        <f t="shared" si="280"/>
        <v>29694</v>
      </c>
      <c r="Q137" s="35"/>
      <c r="R137" s="35">
        <v>28350</v>
      </c>
      <c r="S137" s="35">
        <f t="shared" si="281"/>
        <v>1344</v>
      </c>
      <c r="T137" s="36">
        <f t="shared" si="269"/>
        <v>3.058806928743909</v>
      </c>
      <c r="U137" s="74">
        <f t="shared" si="282"/>
        <v>252789</v>
      </c>
      <c r="V137" s="36">
        <f t="shared" si="251"/>
        <v>4.1770633058350644</v>
      </c>
      <c r="W137" s="1136"/>
      <c r="X137" s="49">
        <f t="shared" si="283"/>
        <v>886</v>
      </c>
      <c r="Y137" s="50"/>
      <c r="Z137" s="50">
        <f>886</f>
        <v>886</v>
      </c>
      <c r="AA137" s="50"/>
      <c r="AB137" s="51"/>
      <c r="AC137" s="50">
        <f t="shared" si="284"/>
        <v>8360</v>
      </c>
      <c r="AD137" s="51">
        <f t="shared" si="252"/>
        <v>0.13813990813200391</v>
      </c>
      <c r="AE137" s="1047"/>
      <c r="AF137" s="40">
        <f t="shared" si="285"/>
        <v>1211</v>
      </c>
      <c r="AG137" s="41"/>
      <c r="AH137" s="41">
        <v>1211</v>
      </c>
      <c r="AI137" s="41"/>
      <c r="AJ137" s="42"/>
      <c r="AK137" s="41">
        <f t="shared" si="286"/>
        <v>5349</v>
      </c>
      <c r="AL137" s="42">
        <f t="shared" si="253"/>
        <v>8.8386407727044133E-2</v>
      </c>
      <c r="AM137" s="1058"/>
      <c r="AN137" s="220">
        <v>3.1</v>
      </c>
      <c r="AO137" s="67">
        <v>24</v>
      </c>
      <c r="AP137" s="68">
        <f t="shared" si="287"/>
        <v>39.432000000000002</v>
      </c>
      <c r="AQ137" s="68">
        <f t="shared" si="264"/>
        <v>8.1131795960693296</v>
      </c>
      <c r="AR137" s="69">
        <f t="shared" si="288"/>
        <v>6668.5055999999995</v>
      </c>
      <c r="AS137" s="140">
        <f t="shared" si="277"/>
        <v>8.7583743141769155</v>
      </c>
      <c r="AT137" s="1073"/>
      <c r="AU137" s="70">
        <v>3.4</v>
      </c>
      <c r="AV137" s="71">
        <v>10</v>
      </c>
      <c r="AW137" s="72">
        <f t="shared" si="289"/>
        <v>15.878</v>
      </c>
      <c r="AX137" s="72">
        <f t="shared" si="265"/>
        <v>3.2669168600727536</v>
      </c>
      <c r="AY137" s="73">
        <f t="shared" si="290"/>
        <v>2267.0980000000004</v>
      </c>
      <c r="AZ137" s="192">
        <f t="shared" si="278"/>
        <v>2.977592594497013</v>
      </c>
      <c r="BA137" s="1075"/>
      <c r="BB137" s="90">
        <f t="shared" si="291"/>
        <v>18690</v>
      </c>
      <c r="BC137" s="59"/>
      <c r="BD137" s="56">
        <v>18690</v>
      </c>
      <c r="BE137" s="56"/>
      <c r="BF137" s="58">
        <f t="shared" si="292"/>
        <v>77876</v>
      </c>
      <c r="BG137" s="58">
        <f t="shared" si="279"/>
        <v>102.28186028528512</v>
      </c>
      <c r="BH137" s="1133"/>
      <c r="BI137" s="63">
        <f t="shared" si="293"/>
        <v>360</v>
      </c>
      <c r="BJ137" s="64"/>
      <c r="BK137" s="64">
        <v>300</v>
      </c>
      <c r="BL137" s="64">
        <f t="shared" si="294"/>
        <v>60</v>
      </c>
      <c r="BM137" s="65">
        <f t="shared" si="295"/>
        <v>0.13655388074749594</v>
      </c>
      <c r="BN137" s="64">
        <f t="shared" si="296"/>
        <v>10952</v>
      </c>
      <c r="BO137" s="65">
        <f t="shared" si="255"/>
        <v>0.18096988921790752</v>
      </c>
      <c r="BP137" s="1071"/>
      <c r="BQ137" s="35">
        <f t="shared" ref="BQ137:BQ153" si="300">BS136</f>
        <v>67113</v>
      </c>
      <c r="BR137" s="35"/>
      <c r="BS137" s="35">
        <f>34871+29469</f>
        <v>64340</v>
      </c>
      <c r="BT137" s="35">
        <f t="shared" ref="BT137:BT153" si="301">BQ137-BS137+BR137</f>
        <v>2773</v>
      </c>
      <c r="BU137" s="74">
        <f t="shared" si="299"/>
        <v>570.54795647951539</v>
      </c>
      <c r="BV137" s="74">
        <f t="shared" ref="BV137:BV153" si="302">BV136+BT137</f>
        <v>451264</v>
      </c>
      <c r="BW137" s="74">
        <f t="shared" si="250"/>
        <v>592.68736709357063</v>
      </c>
      <c r="BX137" s="1098"/>
    </row>
    <row r="138" spans="1:76">
      <c r="A138" s="262">
        <v>43355</v>
      </c>
      <c r="B138" s="114">
        <v>447062</v>
      </c>
      <c r="C138" s="1">
        <f t="shared" si="297"/>
        <v>60965417</v>
      </c>
      <c r="D138" s="115">
        <v>6111.22</v>
      </c>
      <c r="E138" s="93">
        <f t="shared" si="298"/>
        <v>767497.4500000003</v>
      </c>
      <c r="F138" s="227"/>
      <c r="G138" s="227"/>
      <c r="H138" s="227"/>
      <c r="I138" s="227"/>
      <c r="J138" s="227"/>
      <c r="K138" s="227"/>
      <c r="L138" s="227"/>
      <c r="M138" s="227"/>
      <c r="N138" s="1089"/>
      <c r="O138" s="1084"/>
      <c r="P138" s="77">
        <f t="shared" si="280"/>
        <v>28350</v>
      </c>
      <c r="Q138" s="35"/>
      <c r="R138" s="35">
        <v>26474</v>
      </c>
      <c r="S138" s="35">
        <f t="shared" si="281"/>
        <v>1876</v>
      </c>
      <c r="T138" s="36">
        <f t="shared" si="269"/>
        <v>4.1962859737575551</v>
      </c>
      <c r="U138" s="74">
        <f t="shared" si="282"/>
        <v>254665</v>
      </c>
      <c r="V138" s="36">
        <f t="shared" si="251"/>
        <v>4.1772042664778297</v>
      </c>
      <c r="W138" s="1136"/>
      <c r="X138" s="49">
        <f t="shared" si="283"/>
        <v>886</v>
      </c>
      <c r="Y138" s="50"/>
      <c r="Z138" s="50">
        <f>886</f>
        <v>886</v>
      </c>
      <c r="AA138" s="50"/>
      <c r="AB138" s="51"/>
      <c r="AC138" s="50">
        <f t="shared" si="284"/>
        <v>8360</v>
      </c>
      <c r="AD138" s="51">
        <f t="shared" si="252"/>
        <v>0.13712692230088414</v>
      </c>
      <c r="AE138" s="1047"/>
      <c r="AF138" s="40">
        <f t="shared" si="285"/>
        <v>1211</v>
      </c>
      <c r="AG138" s="41"/>
      <c r="AH138" s="41">
        <v>1193</v>
      </c>
      <c r="AI138" s="41">
        <f>AF138+AG138-AH138</f>
        <v>18</v>
      </c>
      <c r="AJ138" s="42">
        <f>AI138*1000/B138</f>
        <v>4.0262871816437097E-2</v>
      </c>
      <c r="AK138" s="41">
        <f t="shared" si="286"/>
        <v>5367</v>
      </c>
      <c r="AL138" s="42">
        <f t="shared" si="253"/>
        <v>8.8033515788139366E-2</v>
      </c>
      <c r="AM138" s="1058"/>
      <c r="AN138" s="220">
        <v>4.4000000000000004</v>
      </c>
      <c r="AO138" s="67">
        <v>24</v>
      </c>
      <c r="AP138" s="68">
        <f t="shared" si="287"/>
        <v>55.968000000000011</v>
      </c>
      <c r="AQ138" s="68">
        <f t="shared" si="264"/>
        <v>9.1582368168712645</v>
      </c>
      <c r="AR138" s="69">
        <f t="shared" si="288"/>
        <v>6724.4735999999994</v>
      </c>
      <c r="AS138" s="140">
        <f t="shared" si="277"/>
        <v>8.7615582305843454</v>
      </c>
      <c r="AT138" s="1073"/>
      <c r="AU138" s="70">
        <v>4.2</v>
      </c>
      <c r="AV138" s="71">
        <v>10</v>
      </c>
      <c r="AW138" s="72">
        <f t="shared" si="289"/>
        <v>19.614000000000001</v>
      </c>
      <c r="AX138" s="72">
        <f t="shared" si="265"/>
        <v>3.2095064487941851</v>
      </c>
      <c r="AY138" s="73">
        <f t="shared" si="290"/>
        <v>2286.7120000000004</v>
      </c>
      <c r="AZ138" s="192">
        <f t="shared" si="278"/>
        <v>2.9794392150749158</v>
      </c>
      <c r="BA138" s="1075"/>
      <c r="BB138" s="90">
        <f t="shared" si="291"/>
        <v>18690</v>
      </c>
      <c r="BC138" s="59"/>
      <c r="BD138" s="56">
        <v>18690</v>
      </c>
      <c r="BE138" s="56"/>
      <c r="BF138" s="58">
        <f t="shared" si="292"/>
        <v>77876</v>
      </c>
      <c r="BG138" s="58">
        <f t="shared" si="279"/>
        <v>101.46743810028291</v>
      </c>
      <c r="BH138" s="1133"/>
      <c r="BI138" s="63">
        <f t="shared" si="293"/>
        <v>300</v>
      </c>
      <c r="BJ138" s="64"/>
      <c r="BK138" s="64">
        <v>240</v>
      </c>
      <c r="BL138" s="64">
        <f t="shared" si="294"/>
        <v>60</v>
      </c>
      <c r="BM138" s="65">
        <f t="shared" si="295"/>
        <v>0.13420957272145698</v>
      </c>
      <c r="BN138" s="64">
        <f t="shared" si="296"/>
        <v>11012</v>
      </c>
      <c r="BO138" s="65">
        <f t="shared" si="255"/>
        <v>0.18062699382504019</v>
      </c>
      <c r="BP138" s="1071"/>
      <c r="BQ138" s="35">
        <f t="shared" si="300"/>
        <v>64340</v>
      </c>
      <c r="BR138" s="35"/>
      <c r="BS138" s="35">
        <f>32099+29469</f>
        <v>61568</v>
      </c>
      <c r="BT138" s="35">
        <f t="shared" si="301"/>
        <v>2772</v>
      </c>
      <c r="BU138" s="74">
        <f t="shared" si="299"/>
        <v>453.59191781673707</v>
      </c>
      <c r="BV138" s="74">
        <f t="shared" si="302"/>
        <v>454036</v>
      </c>
      <c r="BW138" s="74">
        <f t="shared" si="250"/>
        <v>591.57981567235151</v>
      </c>
      <c r="BX138" s="1098"/>
    </row>
    <row r="139" spans="1:76">
      <c r="A139" s="262">
        <v>43356</v>
      </c>
      <c r="B139" s="114">
        <v>505080</v>
      </c>
      <c r="C139" s="1">
        <f t="shared" si="297"/>
        <v>61470497</v>
      </c>
      <c r="D139" s="115">
        <v>5592.6</v>
      </c>
      <c r="E139" s="93">
        <f t="shared" si="298"/>
        <v>773090.05000000028</v>
      </c>
      <c r="F139" s="227"/>
      <c r="G139" s="227"/>
      <c r="H139" s="227"/>
      <c r="I139" s="227"/>
      <c r="J139" s="227"/>
      <c r="K139" s="227"/>
      <c r="L139" s="227"/>
      <c r="M139" s="227"/>
      <c r="N139" s="1089"/>
      <c r="O139" s="1084"/>
      <c r="P139" s="77">
        <f t="shared" si="280"/>
        <v>26474</v>
      </c>
      <c r="Q139" s="35"/>
      <c r="R139" s="35">
        <v>25140</v>
      </c>
      <c r="S139" s="35">
        <f t="shared" si="281"/>
        <v>1334</v>
      </c>
      <c r="T139" s="36">
        <f t="shared" si="269"/>
        <v>2.6411657559198543</v>
      </c>
      <c r="U139" s="74">
        <f t="shared" si="282"/>
        <v>255999</v>
      </c>
      <c r="V139" s="36">
        <f t="shared" si="251"/>
        <v>4.164583214611068</v>
      </c>
      <c r="W139" s="1136"/>
      <c r="X139" s="49">
        <f t="shared" si="283"/>
        <v>886</v>
      </c>
      <c r="Y139" s="50"/>
      <c r="Z139" s="50">
        <f>886</f>
        <v>886</v>
      </c>
      <c r="AA139" s="50"/>
      <c r="AB139" s="51"/>
      <c r="AC139" s="50">
        <f t="shared" si="284"/>
        <v>8360</v>
      </c>
      <c r="AD139" s="51">
        <f t="shared" si="252"/>
        <v>0.13600020185293116</v>
      </c>
      <c r="AE139" s="1047"/>
      <c r="AF139" s="40">
        <f t="shared" si="285"/>
        <v>1193</v>
      </c>
      <c r="AG139" s="41"/>
      <c r="AH139" s="41">
        <v>1193</v>
      </c>
      <c r="AI139" s="41"/>
      <c r="AJ139" s="42"/>
      <c r="AK139" s="41">
        <f t="shared" si="286"/>
        <v>5367</v>
      </c>
      <c r="AL139" s="42">
        <f t="shared" si="253"/>
        <v>8.731017743357436E-2</v>
      </c>
      <c r="AM139" s="1058"/>
      <c r="AN139" s="220">
        <v>4.2</v>
      </c>
      <c r="AO139" s="67">
        <v>24</v>
      </c>
      <c r="AP139" s="68">
        <f t="shared" si="287"/>
        <v>53.424000000000007</v>
      </c>
      <c r="AQ139" s="68">
        <f t="shared" si="264"/>
        <v>9.552623109108465</v>
      </c>
      <c r="AR139" s="69">
        <f t="shared" si="288"/>
        <v>6777.8975999999993</v>
      </c>
      <c r="AS139" s="140">
        <f t="shared" si="277"/>
        <v>8.7672808620418756</v>
      </c>
      <c r="AT139" s="1073"/>
      <c r="AU139" s="70">
        <v>3.8</v>
      </c>
      <c r="AV139" s="71">
        <v>10</v>
      </c>
      <c r="AW139" s="72">
        <f t="shared" si="289"/>
        <v>17.746000000000002</v>
      </c>
      <c r="AX139" s="72">
        <f t="shared" si="265"/>
        <v>3.1731216250044705</v>
      </c>
      <c r="AY139" s="73">
        <f t="shared" si="290"/>
        <v>2304.4580000000005</v>
      </c>
      <c r="AZ139" s="192">
        <f t="shared" si="278"/>
        <v>2.9808403303082218</v>
      </c>
      <c r="BA139" s="1075"/>
      <c r="BB139" s="90">
        <f t="shared" si="291"/>
        <v>18690</v>
      </c>
      <c r="BC139" s="59"/>
      <c r="BD139" s="56">
        <v>18690</v>
      </c>
      <c r="BE139" s="56"/>
      <c r="BF139" s="58">
        <f t="shared" si="292"/>
        <v>77876</v>
      </c>
      <c r="BG139" s="58">
        <f t="shared" si="279"/>
        <v>100.73341391471791</v>
      </c>
      <c r="BH139" s="1133"/>
      <c r="BI139" s="63">
        <f t="shared" si="293"/>
        <v>240</v>
      </c>
      <c r="BJ139" s="64"/>
      <c r="BK139" s="64">
        <v>180</v>
      </c>
      <c r="BL139" s="64">
        <f t="shared" si="294"/>
        <v>60</v>
      </c>
      <c r="BM139" s="65">
        <f t="shared" si="295"/>
        <v>0.11879306248515087</v>
      </c>
      <c r="BN139" s="64">
        <f t="shared" si="296"/>
        <v>11072</v>
      </c>
      <c r="BO139" s="65">
        <f t="shared" si="255"/>
        <v>0.18011892762148971</v>
      </c>
      <c r="BP139" s="1071"/>
      <c r="BQ139" s="35">
        <f t="shared" si="300"/>
        <v>61568</v>
      </c>
      <c r="BR139" s="35"/>
      <c r="BS139" s="35">
        <f>31174+27469</f>
        <v>58643</v>
      </c>
      <c r="BT139" s="35">
        <f t="shared" si="301"/>
        <v>2925</v>
      </c>
      <c r="BU139" s="74">
        <f t="shared" si="299"/>
        <v>523.01255230125514</v>
      </c>
      <c r="BV139" s="74">
        <f t="shared" si="302"/>
        <v>456961</v>
      </c>
      <c r="BW139" s="74">
        <f t="shared" si="250"/>
        <v>591.08379418413142</v>
      </c>
      <c r="BX139" s="1098"/>
    </row>
    <row r="140" spans="1:76">
      <c r="A140" s="262">
        <v>43357</v>
      </c>
      <c r="B140" s="114">
        <v>192957</v>
      </c>
      <c r="C140" s="1">
        <f t="shared" si="297"/>
        <v>61663454</v>
      </c>
      <c r="D140" s="115">
        <v>209.12</v>
      </c>
      <c r="E140" s="93">
        <f t="shared" si="298"/>
        <v>773299.17000000027</v>
      </c>
      <c r="F140" s="227"/>
      <c r="G140" s="227"/>
      <c r="H140" s="227"/>
      <c r="I140" s="227"/>
      <c r="J140" s="227"/>
      <c r="K140" s="227"/>
      <c r="L140" s="227"/>
      <c r="M140" s="227"/>
      <c r="N140" s="1089"/>
      <c r="O140" s="1084"/>
      <c r="P140" s="77">
        <f t="shared" si="280"/>
        <v>25140</v>
      </c>
      <c r="Q140" s="35"/>
      <c r="R140" s="35">
        <v>25140</v>
      </c>
      <c r="S140" s="35"/>
      <c r="T140" s="36"/>
      <c r="U140" s="74">
        <f t="shared" si="282"/>
        <v>255999</v>
      </c>
      <c r="V140" s="36">
        <f t="shared" si="251"/>
        <v>4.1515514197436945</v>
      </c>
      <c r="W140" s="1136"/>
      <c r="X140" s="49">
        <f t="shared" si="283"/>
        <v>886</v>
      </c>
      <c r="Y140" s="50"/>
      <c r="Z140" s="50">
        <f>886</f>
        <v>886</v>
      </c>
      <c r="AA140" s="50"/>
      <c r="AB140" s="51"/>
      <c r="AC140" s="50">
        <f t="shared" si="284"/>
        <v>8360</v>
      </c>
      <c r="AD140" s="51">
        <f t="shared" si="252"/>
        <v>0.13557463063940595</v>
      </c>
      <c r="AE140" s="1047"/>
      <c r="AF140" s="40">
        <f t="shared" si="285"/>
        <v>1193</v>
      </c>
      <c r="AG140" s="41"/>
      <c r="AH140" s="41">
        <v>1193</v>
      </c>
      <c r="AI140" s="41"/>
      <c r="AJ140" s="42"/>
      <c r="AK140" s="41">
        <f t="shared" si="286"/>
        <v>5367</v>
      </c>
      <c r="AL140" s="42">
        <f t="shared" si="253"/>
        <v>8.7036966823168874E-2</v>
      </c>
      <c r="AM140" s="1058"/>
      <c r="AN140" s="220">
        <v>2.4</v>
      </c>
      <c r="AO140" s="67">
        <v>24</v>
      </c>
      <c r="AP140" s="68">
        <f t="shared" si="287"/>
        <v>30.527999999999999</v>
      </c>
      <c r="AQ140" s="68">
        <f t="shared" si="264"/>
        <v>145.98316755929611</v>
      </c>
      <c r="AR140" s="69">
        <f t="shared" si="288"/>
        <v>6808.4255999999996</v>
      </c>
      <c r="AS140" s="140">
        <f t="shared" si="277"/>
        <v>8.8043875696905207</v>
      </c>
      <c r="AT140" s="1073"/>
      <c r="AU140" s="70">
        <v>0.2</v>
      </c>
      <c r="AV140" s="71">
        <v>10</v>
      </c>
      <c r="AW140" s="72">
        <f t="shared" si="289"/>
        <v>0.93400000000000005</v>
      </c>
      <c r="AX140" s="72">
        <f t="shared" si="265"/>
        <v>4.4663351185921956</v>
      </c>
      <c r="AY140" s="73">
        <f t="shared" si="290"/>
        <v>2305.3920000000007</v>
      </c>
      <c r="AZ140" s="192">
        <f t="shared" si="278"/>
        <v>2.9812420463350557</v>
      </c>
      <c r="BA140" s="1075"/>
      <c r="BB140" s="90">
        <f t="shared" si="291"/>
        <v>18690</v>
      </c>
      <c r="BC140" s="59"/>
      <c r="BD140" s="56">
        <v>18690</v>
      </c>
      <c r="BE140" s="56"/>
      <c r="BF140" s="58">
        <f t="shared" si="292"/>
        <v>77876</v>
      </c>
      <c r="BG140" s="58">
        <f t="shared" si="279"/>
        <v>100.70617300675491</v>
      </c>
      <c r="BH140" s="1133"/>
      <c r="BI140" s="63">
        <f t="shared" si="293"/>
        <v>180</v>
      </c>
      <c r="BJ140" s="64"/>
      <c r="BK140" s="64">
        <v>96</v>
      </c>
      <c r="BL140" s="64">
        <f t="shared" si="294"/>
        <v>84</v>
      </c>
      <c r="BM140" s="65">
        <f t="shared" si="295"/>
        <v>0.43533015127722757</v>
      </c>
      <c r="BN140" s="64">
        <f t="shared" si="296"/>
        <v>11156</v>
      </c>
      <c r="BO140" s="65">
        <f t="shared" si="255"/>
        <v>0.18091753342263311</v>
      </c>
      <c r="BP140" s="1071"/>
      <c r="BQ140" s="35">
        <f t="shared" si="300"/>
        <v>58643</v>
      </c>
      <c r="BR140" s="35"/>
      <c r="BS140" s="35">
        <f>30250+27469</f>
        <v>57719</v>
      </c>
      <c r="BT140" s="35">
        <f t="shared" si="301"/>
        <v>924</v>
      </c>
      <c r="BU140" s="74">
        <f t="shared" si="299"/>
        <v>4418.5156847742919</v>
      </c>
      <c r="BV140" s="74">
        <f t="shared" si="302"/>
        <v>457885</v>
      </c>
      <c r="BW140" s="74">
        <f t="shared" si="250"/>
        <v>592.11883028401519</v>
      </c>
      <c r="BX140" s="1098"/>
    </row>
    <row r="141" spans="1:76">
      <c r="A141" s="262">
        <v>43358</v>
      </c>
      <c r="C141" s="1">
        <f t="shared" si="297"/>
        <v>61663454</v>
      </c>
      <c r="E141" s="93">
        <f t="shared" si="298"/>
        <v>773299.17000000027</v>
      </c>
      <c r="F141" s="227"/>
      <c r="G141" s="227"/>
      <c r="H141" s="227"/>
      <c r="I141" s="227"/>
      <c r="J141" s="227"/>
      <c r="K141" s="227"/>
      <c r="L141" s="227"/>
      <c r="M141" s="227"/>
      <c r="N141" s="1089"/>
      <c r="O141" s="1084"/>
      <c r="P141" s="77">
        <f t="shared" si="280"/>
        <v>25140</v>
      </c>
      <c r="Q141" s="35"/>
      <c r="R141" s="35">
        <v>23285</v>
      </c>
      <c r="S141" s="35">
        <f t="shared" si="281"/>
        <v>1855</v>
      </c>
      <c r="T141" s="36"/>
      <c r="U141" s="74">
        <f t="shared" si="282"/>
        <v>257854</v>
      </c>
      <c r="V141" s="36">
        <f t="shared" si="251"/>
        <v>4.1816340680494477</v>
      </c>
      <c r="W141" s="1136"/>
      <c r="X141" s="49">
        <f t="shared" si="283"/>
        <v>886</v>
      </c>
      <c r="Y141" s="50"/>
      <c r="Z141" s="50">
        <f>886</f>
        <v>886</v>
      </c>
      <c r="AA141" s="50"/>
      <c r="AB141" s="51"/>
      <c r="AC141" s="50">
        <f t="shared" si="284"/>
        <v>8360</v>
      </c>
      <c r="AD141" s="51">
        <f t="shared" si="252"/>
        <v>0.13557463063940595</v>
      </c>
      <c r="AE141" s="1047"/>
      <c r="AF141" s="40">
        <f t="shared" si="285"/>
        <v>1193</v>
      </c>
      <c r="AG141" s="41"/>
      <c r="AH141" s="41">
        <v>1119</v>
      </c>
      <c r="AI141" s="41">
        <f>AF141+AG141-AH141</f>
        <v>74</v>
      </c>
      <c r="AJ141" s="42"/>
      <c r="AK141" s="41">
        <f t="shared" si="286"/>
        <v>5441</v>
      </c>
      <c r="AL141" s="42">
        <f t="shared" si="253"/>
        <v>8.8237029343182755E-2</v>
      </c>
      <c r="AM141" s="1058"/>
      <c r="AN141" s="220"/>
      <c r="AO141" s="67">
        <v>24</v>
      </c>
      <c r="AP141" s="68"/>
      <c r="AQ141" s="68"/>
      <c r="AR141" s="69">
        <f t="shared" si="288"/>
        <v>6808.4255999999996</v>
      </c>
      <c r="AS141" s="140">
        <f t="shared" si="277"/>
        <v>8.8043875696905207</v>
      </c>
      <c r="AT141" s="1073"/>
      <c r="AU141" s="70"/>
      <c r="AV141" s="71">
        <v>10</v>
      </c>
      <c r="AW141" s="72"/>
      <c r="AX141" s="72"/>
      <c r="AY141" s="73">
        <f t="shared" si="290"/>
        <v>2305.3920000000007</v>
      </c>
      <c r="AZ141" s="192">
        <f t="shared" si="278"/>
        <v>2.9812420463350557</v>
      </c>
      <c r="BA141" s="1075"/>
      <c r="BB141" s="90">
        <f t="shared" si="291"/>
        <v>18690</v>
      </c>
      <c r="BC141" s="59"/>
      <c r="BD141" s="56">
        <v>18470</v>
      </c>
      <c r="BE141" s="56">
        <f>BB141+BC141-BD141</f>
        <v>220</v>
      </c>
      <c r="BF141" s="58">
        <f t="shared" si="292"/>
        <v>78096</v>
      </c>
      <c r="BG141" s="58">
        <f t="shared" si="279"/>
        <v>100.99066833344716</v>
      </c>
      <c r="BH141" s="1133"/>
      <c r="BI141" s="63">
        <f t="shared" si="293"/>
        <v>96</v>
      </c>
      <c r="BJ141" s="64"/>
      <c r="BK141" s="64">
        <v>96</v>
      </c>
      <c r="BL141" s="64"/>
      <c r="BM141" s="65"/>
      <c r="BN141" s="64">
        <f t="shared" si="296"/>
        <v>11156</v>
      </c>
      <c r="BO141" s="65">
        <f t="shared" si="255"/>
        <v>0.18091753342263311</v>
      </c>
      <c r="BP141" s="1071"/>
      <c r="BQ141" s="35">
        <f t="shared" si="300"/>
        <v>57719</v>
      </c>
      <c r="BR141" s="35"/>
      <c r="BS141" s="35">
        <f t="shared" ref="BS141:BS148" si="303">30250+27469</f>
        <v>57719</v>
      </c>
      <c r="BT141" s="35"/>
      <c r="BU141" s="74"/>
      <c r="BV141" s="74">
        <f t="shared" si="302"/>
        <v>457885</v>
      </c>
      <c r="BW141" s="74">
        <f t="shared" si="250"/>
        <v>592.11883028401519</v>
      </c>
      <c r="BX141" s="1098"/>
    </row>
    <row r="142" spans="1:76">
      <c r="A142" s="262">
        <v>43359</v>
      </c>
      <c r="B142" s="114">
        <v>160965</v>
      </c>
      <c r="C142" s="1">
        <f t="shared" si="297"/>
        <v>61824419</v>
      </c>
      <c r="D142" s="115">
        <v>3171.7400000000002</v>
      </c>
      <c r="E142" s="93">
        <f t="shared" si="298"/>
        <v>776470.91000000027</v>
      </c>
      <c r="F142" s="227"/>
      <c r="G142" s="227"/>
      <c r="H142" s="227"/>
      <c r="I142" s="227"/>
      <c r="J142" s="227"/>
      <c r="K142" s="227"/>
      <c r="L142" s="227"/>
      <c r="M142" s="227"/>
      <c r="N142" s="1089"/>
      <c r="O142" s="1084"/>
      <c r="P142" s="77">
        <f t="shared" si="280"/>
        <v>23285</v>
      </c>
      <c r="Q142" s="35"/>
      <c r="R142" s="35">
        <v>23285</v>
      </c>
      <c r="S142" s="35"/>
      <c r="T142" s="36"/>
      <c r="U142" s="74">
        <f t="shared" si="282"/>
        <v>257854</v>
      </c>
      <c r="V142" s="36">
        <f t="shared" si="251"/>
        <v>4.1707468371033132</v>
      </c>
      <c r="W142" s="1136"/>
      <c r="X142" s="49">
        <f t="shared" si="283"/>
        <v>886</v>
      </c>
      <c r="Y142" s="50"/>
      <c r="Z142" s="50">
        <f>886</f>
        <v>886</v>
      </c>
      <c r="AA142" s="50"/>
      <c r="AB142" s="51"/>
      <c r="AC142" s="50">
        <f t="shared" si="284"/>
        <v>8360</v>
      </c>
      <c r="AD142" s="51">
        <f t="shared" si="252"/>
        <v>0.13522165084964244</v>
      </c>
      <c r="AE142" s="1047"/>
      <c r="AF142" s="40">
        <f t="shared" si="285"/>
        <v>1119</v>
      </c>
      <c r="AG142" s="41"/>
      <c r="AH142" s="41">
        <v>1119</v>
      </c>
      <c r="AI142" s="41"/>
      <c r="AJ142" s="42"/>
      <c r="AK142" s="41">
        <f t="shared" si="286"/>
        <v>5441</v>
      </c>
      <c r="AL142" s="42">
        <f t="shared" si="253"/>
        <v>8.8007296922596234E-2</v>
      </c>
      <c r="AM142" s="1058"/>
      <c r="AN142" s="220">
        <v>2.2999999999999998</v>
      </c>
      <c r="AO142" s="67">
        <v>24</v>
      </c>
      <c r="AP142" s="68">
        <f t="shared" si="287"/>
        <v>29.256</v>
      </c>
      <c r="AQ142" s="68">
        <f>AP142*1000/D142</f>
        <v>9.2239590887021006</v>
      </c>
      <c r="AR142" s="69">
        <f t="shared" si="288"/>
        <v>6837.6815999999999</v>
      </c>
      <c r="AS142" s="140">
        <f t="shared" si="277"/>
        <v>8.80610144171402</v>
      </c>
      <c r="AT142" s="1073"/>
      <c r="AU142" s="70">
        <v>1.6</v>
      </c>
      <c r="AV142" s="71">
        <v>10</v>
      </c>
      <c r="AW142" s="72">
        <f t="shared" si="289"/>
        <v>7.4720000000000004</v>
      </c>
      <c r="AX142" s="72">
        <f>AW142*1000/D142</f>
        <v>2.3558047002591636</v>
      </c>
      <c r="AY142" s="73">
        <f t="shared" si="290"/>
        <v>2312.8640000000009</v>
      </c>
      <c r="AZ142" s="192">
        <f t="shared" si="278"/>
        <v>2.9786872504985409</v>
      </c>
      <c r="BA142" s="1075"/>
      <c r="BB142" s="90">
        <f t="shared" si="291"/>
        <v>18470</v>
      </c>
      <c r="BC142" s="59"/>
      <c r="BD142" s="56">
        <v>18470</v>
      </c>
      <c r="BE142" s="56"/>
      <c r="BF142" s="58">
        <f t="shared" si="292"/>
        <v>78096</v>
      </c>
      <c r="BG142" s="58">
        <f t="shared" si="279"/>
        <v>100.57814013921008</v>
      </c>
      <c r="BH142" s="1133"/>
      <c r="BI142" s="63">
        <f t="shared" si="293"/>
        <v>96</v>
      </c>
      <c r="BJ142" s="64"/>
      <c r="BK142" s="64">
        <v>96</v>
      </c>
      <c r="BL142" s="64"/>
      <c r="BM142" s="65"/>
      <c r="BN142" s="64">
        <f t="shared" si="296"/>
        <v>11156</v>
      </c>
      <c r="BO142" s="65">
        <f t="shared" si="255"/>
        <v>0.18044649962662812</v>
      </c>
      <c r="BP142" s="1071"/>
      <c r="BQ142" s="35">
        <f t="shared" si="300"/>
        <v>57719</v>
      </c>
      <c r="BR142" s="35"/>
      <c r="BS142" s="35">
        <f t="shared" si="303"/>
        <v>57719</v>
      </c>
      <c r="BT142" s="35"/>
      <c r="BU142" s="74"/>
      <c r="BV142" s="74">
        <f t="shared" si="302"/>
        <v>457885</v>
      </c>
      <c r="BW142" s="74">
        <f t="shared" si="250"/>
        <v>589.70013441971685</v>
      </c>
      <c r="BX142" s="1098"/>
    </row>
    <row r="143" spans="1:76">
      <c r="A143" s="262">
        <v>43360</v>
      </c>
      <c r="B143" s="114">
        <v>138102</v>
      </c>
      <c r="C143" s="1">
        <f t="shared" si="297"/>
        <v>61962521</v>
      </c>
      <c r="D143" s="115">
        <v>312.22000000000003</v>
      </c>
      <c r="E143" s="93">
        <f t="shared" si="298"/>
        <v>776783.13000000024</v>
      </c>
      <c r="F143" s="227"/>
      <c r="G143" s="227"/>
      <c r="H143" s="227"/>
      <c r="I143" s="227"/>
      <c r="J143" s="227"/>
      <c r="K143" s="227"/>
      <c r="L143" s="227"/>
      <c r="M143" s="227"/>
      <c r="N143" s="1089"/>
      <c r="O143" s="1084"/>
      <c r="P143" s="77">
        <f t="shared" si="280"/>
        <v>23285</v>
      </c>
      <c r="Q143" s="35"/>
      <c r="R143" s="35">
        <v>23285</v>
      </c>
      <c r="S143" s="35"/>
      <c r="T143" s="36"/>
      <c r="U143" s="74">
        <f t="shared" si="282"/>
        <v>257854</v>
      </c>
      <c r="V143" s="36">
        <f t="shared" si="251"/>
        <v>4.1614510810494618</v>
      </c>
      <c r="W143" s="1136"/>
      <c r="X143" s="49">
        <f t="shared" si="283"/>
        <v>886</v>
      </c>
      <c r="Y143" s="50"/>
      <c r="Z143" s="50">
        <f>886</f>
        <v>886</v>
      </c>
      <c r="AA143" s="50"/>
      <c r="AB143" s="51"/>
      <c r="AC143" s="50">
        <f t="shared" si="284"/>
        <v>8360</v>
      </c>
      <c r="AD143" s="51">
        <f t="shared" si="252"/>
        <v>0.13492026898001777</v>
      </c>
      <c r="AE143" s="1047"/>
      <c r="AF143" s="40">
        <f t="shared" si="285"/>
        <v>1119</v>
      </c>
      <c r="AG143" s="41"/>
      <c r="AH143" s="41">
        <v>1119</v>
      </c>
      <c r="AI143" s="41"/>
      <c r="AJ143" s="42"/>
      <c r="AK143" s="41">
        <f t="shared" si="286"/>
        <v>5441</v>
      </c>
      <c r="AL143" s="42">
        <f t="shared" si="253"/>
        <v>8.7811146354100089E-2</v>
      </c>
      <c r="AM143" s="1058"/>
      <c r="AN143" s="220">
        <v>1.7</v>
      </c>
      <c r="AO143" s="67">
        <v>24</v>
      </c>
      <c r="AP143" s="68">
        <f t="shared" si="287"/>
        <v>21.623999999999999</v>
      </c>
      <c r="AQ143" s="68">
        <f>AP143*1000/D143</f>
        <v>69.258855934917676</v>
      </c>
      <c r="AR143" s="69">
        <f t="shared" si="288"/>
        <v>6859.3055999999997</v>
      </c>
      <c r="AS143" s="140">
        <f t="shared" si="277"/>
        <v>8.830399805412867</v>
      </c>
      <c r="AT143" s="1073"/>
      <c r="AU143" s="70">
        <v>0.2</v>
      </c>
      <c r="AV143" s="71">
        <v>10</v>
      </c>
      <c r="AW143" s="72">
        <f t="shared" si="289"/>
        <v>0.93400000000000005</v>
      </c>
      <c r="AX143" s="72">
        <f>AW143*1000/D143</f>
        <v>2.9914803664083016</v>
      </c>
      <c r="AY143" s="73">
        <f t="shared" si="290"/>
        <v>2313.7980000000011</v>
      </c>
      <c r="AZ143" s="192">
        <f t="shared" si="278"/>
        <v>2.9786923925600703</v>
      </c>
      <c r="BA143" s="1075"/>
      <c r="BB143" s="90">
        <f t="shared" si="291"/>
        <v>18470</v>
      </c>
      <c r="BC143" s="59"/>
      <c r="BD143" s="56">
        <v>18470</v>
      </c>
      <c r="BE143" s="56"/>
      <c r="BF143" s="58">
        <f t="shared" si="292"/>
        <v>78096</v>
      </c>
      <c r="BG143" s="58">
        <f t="shared" si="279"/>
        <v>100.53771378891813</v>
      </c>
      <c r="BH143" s="1133"/>
      <c r="BI143" s="63">
        <f t="shared" si="293"/>
        <v>96</v>
      </c>
      <c r="BJ143" s="64"/>
      <c r="BK143" s="64">
        <v>96</v>
      </c>
      <c r="BL143" s="64"/>
      <c r="BM143" s="65"/>
      <c r="BN143" s="64">
        <f t="shared" si="296"/>
        <v>11156</v>
      </c>
      <c r="BO143" s="65">
        <f t="shared" si="255"/>
        <v>0.1800443206628084</v>
      </c>
      <c r="BP143" s="1071"/>
      <c r="BQ143" s="35">
        <f t="shared" si="300"/>
        <v>57719</v>
      </c>
      <c r="BR143" s="35"/>
      <c r="BS143" s="35">
        <f t="shared" si="303"/>
        <v>57719</v>
      </c>
      <c r="BT143" s="35"/>
      <c r="BU143" s="74"/>
      <c r="BV143" s="74">
        <f t="shared" si="302"/>
        <v>457885</v>
      </c>
      <c r="BW143" s="74">
        <f t="shared" si="250"/>
        <v>589.46311050807685</v>
      </c>
      <c r="BX143" s="1098"/>
    </row>
    <row r="144" spans="1:76">
      <c r="A144" s="262">
        <v>43361</v>
      </c>
      <c r="B144" s="1"/>
      <c r="C144" s="1">
        <f t="shared" si="297"/>
        <v>61962521</v>
      </c>
      <c r="D144" s="1"/>
      <c r="E144" s="93">
        <f t="shared" si="298"/>
        <v>776783.13000000024</v>
      </c>
      <c r="F144" s="227"/>
      <c r="G144" s="227"/>
      <c r="H144" s="227"/>
      <c r="I144" s="227"/>
      <c r="J144" s="227"/>
      <c r="K144" s="227"/>
      <c r="L144" s="227"/>
      <c r="M144" s="227"/>
      <c r="N144" s="1089"/>
      <c r="O144" s="1084"/>
      <c r="P144" s="77">
        <f t="shared" si="280"/>
        <v>23285</v>
      </c>
      <c r="Q144" s="35"/>
      <c r="R144" s="35">
        <v>23285</v>
      </c>
      <c r="S144" s="35"/>
      <c r="T144" s="36"/>
      <c r="U144" s="74">
        <f t="shared" si="282"/>
        <v>257854</v>
      </c>
      <c r="V144" s="36">
        <f t="shared" si="251"/>
        <v>4.1614510810494618</v>
      </c>
      <c r="W144" s="1136"/>
      <c r="X144" s="49">
        <f t="shared" si="283"/>
        <v>886</v>
      </c>
      <c r="Y144" s="50"/>
      <c r="Z144" s="50">
        <f>886</f>
        <v>886</v>
      </c>
      <c r="AA144" s="50"/>
      <c r="AB144" s="51"/>
      <c r="AC144" s="50">
        <f t="shared" si="284"/>
        <v>8360</v>
      </c>
      <c r="AD144" s="51">
        <f t="shared" si="252"/>
        <v>0.13492026898001777</v>
      </c>
      <c r="AE144" s="1047"/>
      <c r="AF144" s="40">
        <f t="shared" si="285"/>
        <v>1119</v>
      </c>
      <c r="AG144" s="41"/>
      <c r="AH144" s="41">
        <v>1119</v>
      </c>
      <c r="AI144" s="41"/>
      <c r="AJ144" s="42"/>
      <c r="AK144" s="41">
        <f t="shared" si="286"/>
        <v>5441</v>
      </c>
      <c r="AL144" s="42">
        <f t="shared" si="253"/>
        <v>8.7811146354100089E-2</v>
      </c>
      <c r="AM144" s="1058"/>
      <c r="AN144" s="220"/>
      <c r="AO144" s="67">
        <v>24</v>
      </c>
      <c r="AP144" s="68"/>
      <c r="AQ144" s="68"/>
      <c r="AR144" s="69">
        <f t="shared" si="288"/>
        <v>6859.3055999999997</v>
      </c>
      <c r="AS144" s="140">
        <f t="shared" si="277"/>
        <v>8.830399805412867</v>
      </c>
      <c r="AT144" s="1073"/>
      <c r="AU144" s="70"/>
      <c r="AV144" s="71">
        <v>10</v>
      </c>
      <c r="AW144" s="72"/>
      <c r="AX144" s="72"/>
      <c r="AY144" s="73">
        <f t="shared" si="290"/>
        <v>2313.7980000000011</v>
      </c>
      <c r="AZ144" s="192">
        <f t="shared" si="278"/>
        <v>2.9786923925600703</v>
      </c>
      <c r="BA144" s="1075"/>
      <c r="BB144" s="90">
        <f t="shared" si="291"/>
        <v>18470</v>
      </c>
      <c r="BC144" s="59"/>
      <c r="BD144" s="56">
        <v>18470</v>
      </c>
      <c r="BE144" s="56"/>
      <c r="BF144" s="58">
        <f t="shared" si="292"/>
        <v>78096</v>
      </c>
      <c r="BG144" s="58">
        <f t="shared" si="279"/>
        <v>100.53771378891813</v>
      </c>
      <c r="BH144" s="1133"/>
      <c r="BI144" s="63">
        <f t="shared" si="293"/>
        <v>96</v>
      </c>
      <c r="BJ144" s="64"/>
      <c r="BK144" s="64">
        <v>96</v>
      </c>
      <c r="BL144" s="64"/>
      <c r="BM144" s="65"/>
      <c r="BN144" s="64">
        <f t="shared" si="296"/>
        <v>11156</v>
      </c>
      <c r="BO144" s="65">
        <f t="shared" si="255"/>
        <v>0.1800443206628084</v>
      </c>
      <c r="BP144" s="1071"/>
      <c r="BQ144" s="35">
        <f t="shared" si="300"/>
        <v>57719</v>
      </c>
      <c r="BR144" s="35"/>
      <c r="BS144" s="35">
        <f t="shared" si="303"/>
        <v>57719</v>
      </c>
      <c r="BT144" s="35"/>
      <c r="BU144" s="74"/>
      <c r="BV144" s="74">
        <f t="shared" si="302"/>
        <v>457885</v>
      </c>
      <c r="BW144" s="74">
        <f t="shared" si="250"/>
        <v>589.46311050807685</v>
      </c>
      <c r="BX144" s="1098"/>
    </row>
    <row r="145" spans="1:76">
      <c r="A145" s="262">
        <v>43362</v>
      </c>
      <c r="B145" s="1"/>
      <c r="C145" s="1">
        <f t="shared" si="297"/>
        <v>61962521</v>
      </c>
      <c r="D145" s="1"/>
      <c r="E145" s="93">
        <f t="shared" si="298"/>
        <v>776783.13000000024</v>
      </c>
      <c r="F145" s="227"/>
      <c r="G145" s="227"/>
      <c r="H145" s="227"/>
      <c r="I145" s="227"/>
      <c r="J145" s="227"/>
      <c r="K145" s="227"/>
      <c r="L145" s="227"/>
      <c r="M145" s="227"/>
      <c r="N145" s="1089"/>
      <c r="O145" s="1084"/>
      <c r="P145" s="77">
        <f t="shared" si="280"/>
        <v>23285</v>
      </c>
      <c r="Q145" s="35"/>
      <c r="R145" s="35">
        <v>23285</v>
      </c>
      <c r="S145" s="35"/>
      <c r="T145" s="36"/>
      <c r="U145" s="74">
        <f t="shared" si="282"/>
        <v>257854</v>
      </c>
      <c r="V145" s="36">
        <f t="shared" si="251"/>
        <v>4.1614510810494618</v>
      </c>
      <c r="W145" s="1136"/>
      <c r="X145" s="49">
        <f t="shared" si="283"/>
        <v>886</v>
      </c>
      <c r="Y145" s="50"/>
      <c r="Z145" s="50">
        <f>815</f>
        <v>815</v>
      </c>
      <c r="AA145" s="50">
        <f>X145+Y145-Z145</f>
        <v>71</v>
      </c>
      <c r="AB145" s="51"/>
      <c r="AC145" s="50">
        <f t="shared" si="284"/>
        <v>8431</v>
      </c>
      <c r="AD145" s="51">
        <f t="shared" si="252"/>
        <v>0.13606612293905859</v>
      </c>
      <c r="AE145" s="1047"/>
      <c r="AF145" s="40">
        <f t="shared" si="285"/>
        <v>1119</v>
      </c>
      <c r="AG145" s="41"/>
      <c r="AH145" s="41">
        <v>1119</v>
      </c>
      <c r="AI145" s="41"/>
      <c r="AJ145" s="42"/>
      <c r="AK145" s="41">
        <f t="shared" si="286"/>
        <v>5441</v>
      </c>
      <c r="AL145" s="42">
        <f t="shared" si="253"/>
        <v>8.7811146354100089E-2</v>
      </c>
      <c r="AM145" s="1058"/>
      <c r="AN145" s="220"/>
      <c r="AO145" s="67">
        <v>24</v>
      </c>
      <c r="AP145" s="68"/>
      <c r="AQ145" s="68"/>
      <c r="AR145" s="69">
        <f t="shared" si="288"/>
        <v>6859.3055999999997</v>
      </c>
      <c r="AS145" s="140">
        <f t="shared" si="277"/>
        <v>8.830399805412867</v>
      </c>
      <c r="AT145" s="1073"/>
      <c r="AU145" s="70"/>
      <c r="AV145" s="71">
        <v>10</v>
      </c>
      <c r="AW145" s="72"/>
      <c r="AX145" s="72"/>
      <c r="AY145" s="73">
        <f t="shared" si="290"/>
        <v>2313.7980000000011</v>
      </c>
      <c r="AZ145" s="192">
        <f t="shared" si="278"/>
        <v>2.9786923925600703</v>
      </c>
      <c r="BA145" s="1075"/>
      <c r="BB145" s="90">
        <f t="shared" si="291"/>
        <v>18470</v>
      </c>
      <c r="BC145" s="59"/>
      <c r="BD145" s="56">
        <v>18250</v>
      </c>
      <c r="BE145" s="56">
        <f>BB145+BC145-BD145</f>
        <v>220</v>
      </c>
      <c r="BF145" s="58">
        <f t="shared" si="292"/>
        <v>78316</v>
      </c>
      <c r="BG145" s="58">
        <f t="shared" si="279"/>
        <v>100.82093312196415</v>
      </c>
      <c r="BH145" s="1133"/>
      <c r="BI145" s="63">
        <f t="shared" si="293"/>
        <v>96</v>
      </c>
      <c r="BJ145" s="64"/>
      <c r="BK145" s="64">
        <v>96</v>
      </c>
      <c r="BL145" s="64"/>
      <c r="BM145" s="65"/>
      <c r="BN145" s="64">
        <f t="shared" si="296"/>
        <v>11156</v>
      </c>
      <c r="BO145" s="65">
        <f t="shared" si="255"/>
        <v>0.1800443206628084</v>
      </c>
      <c r="BP145" s="1071"/>
      <c r="BQ145" s="35">
        <f t="shared" si="300"/>
        <v>57719</v>
      </c>
      <c r="BR145" s="35"/>
      <c r="BS145" s="35">
        <f t="shared" si="303"/>
        <v>57719</v>
      </c>
      <c r="BT145" s="35"/>
      <c r="BU145" s="74"/>
      <c r="BV145" s="74">
        <f t="shared" si="302"/>
        <v>457885</v>
      </c>
      <c r="BW145" s="74">
        <f t="shared" ref="BW145:BW156" si="304">BV145*1000/E145</f>
        <v>589.46311050807685</v>
      </c>
      <c r="BX145" s="1098"/>
    </row>
    <row r="146" spans="1:76">
      <c r="A146" s="262">
        <v>43363</v>
      </c>
      <c r="B146" s="1"/>
      <c r="C146" s="1">
        <f t="shared" si="297"/>
        <v>61962521</v>
      </c>
      <c r="D146" s="1"/>
      <c r="E146" s="93">
        <f t="shared" si="298"/>
        <v>776783.13000000024</v>
      </c>
      <c r="F146" s="227"/>
      <c r="G146" s="227"/>
      <c r="H146" s="227"/>
      <c r="I146" s="227"/>
      <c r="J146" s="227"/>
      <c r="K146" s="227"/>
      <c r="L146" s="227"/>
      <c r="M146" s="227"/>
      <c r="N146" s="1089"/>
      <c r="O146" s="1084"/>
      <c r="P146" s="77">
        <f t="shared" si="280"/>
        <v>23285</v>
      </c>
      <c r="Q146" s="35"/>
      <c r="R146" s="35">
        <v>23285</v>
      </c>
      <c r="S146" s="35"/>
      <c r="T146" s="36"/>
      <c r="U146" s="74">
        <f t="shared" si="282"/>
        <v>257854</v>
      </c>
      <c r="V146" s="36">
        <f t="shared" si="251"/>
        <v>4.1614510810494618</v>
      </c>
      <c r="W146" s="1136"/>
      <c r="X146" s="49">
        <f t="shared" si="283"/>
        <v>815</v>
      </c>
      <c r="Y146" s="50"/>
      <c r="Z146" s="50">
        <f>815</f>
        <v>815</v>
      </c>
      <c r="AA146" s="50"/>
      <c r="AB146" s="51"/>
      <c r="AC146" s="50">
        <f t="shared" si="284"/>
        <v>8431</v>
      </c>
      <c r="AD146" s="51">
        <f t="shared" si="252"/>
        <v>0.13606612293905859</v>
      </c>
      <c r="AE146" s="1047"/>
      <c r="AF146" s="40">
        <f t="shared" si="285"/>
        <v>1119</v>
      </c>
      <c r="AG146" s="41"/>
      <c r="AH146" s="41">
        <v>1119</v>
      </c>
      <c r="AI146" s="41"/>
      <c r="AJ146" s="42"/>
      <c r="AK146" s="41">
        <f t="shared" si="286"/>
        <v>5441</v>
      </c>
      <c r="AL146" s="42">
        <f t="shared" si="253"/>
        <v>8.7811146354100089E-2</v>
      </c>
      <c r="AM146" s="1058"/>
      <c r="AN146" s="220"/>
      <c r="AO146" s="67">
        <v>24</v>
      </c>
      <c r="AP146" s="68"/>
      <c r="AQ146" s="68"/>
      <c r="AR146" s="69">
        <f t="shared" si="288"/>
        <v>6859.3055999999997</v>
      </c>
      <c r="AS146" s="140">
        <f t="shared" si="277"/>
        <v>8.830399805412867</v>
      </c>
      <c r="AT146" s="1073"/>
      <c r="AU146" s="70"/>
      <c r="AV146" s="71">
        <v>10</v>
      </c>
      <c r="AW146" s="72"/>
      <c r="AX146" s="72"/>
      <c r="AY146" s="73">
        <f t="shared" si="290"/>
        <v>2313.7980000000011</v>
      </c>
      <c r="AZ146" s="192">
        <f t="shared" si="278"/>
        <v>2.9786923925600703</v>
      </c>
      <c r="BA146" s="1075"/>
      <c r="BB146" s="90">
        <f t="shared" si="291"/>
        <v>18250</v>
      </c>
      <c r="BC146" s="59"/>
      <c r="BD146" s="56">
        <v>18250</v>
      </c>
      <c r="BE146" s="56"/>
      <c r="BF146" s="58">
        <f t="shared" si="292"/>
        <v>78316</v>
      </c>
      <c r="BG146" s="58">
        <f t="shared" si="279"/>
        <v>100.82093312196415</v>
      </c>
      <c r="BH146" s="1133"/>
      <c r="BI146" s="63">
        <f t="shared" si="293"/>
        <v>96</v>
      </c>
      <c r="BJ146" s="64"/>
      <c r="BK146" s="64">
        <v>96</v>
      </c>
      <c r="BL146" s="64"/>
      <c r="BM146" s="65"/>
      <c r="BN146" s="64">
        <f t="shared" si="296"/>
        <v>11156</v>
      </c>
      <c r="BO146" s="65">
        <f t="shared" si="255"/>
        <v>0.1800443206628084</v>
      </c>
      <c r="BP146" s="1071"/>
      <c r="BQ146" s="35">
        <f t="shared" si="300"/>
        <v>57719</v>
      </c>
      <c r="BR146" s="35"/>
      <c r="BS146" s="35">
        <f t="shared" si="303"/>
        <v>57719</v>
      </c>
      <c r="BT146" s="35"/>
      <c r="BU146" s="74"/>
      <c r="BV146" s="74">
        <f t="shared" si="302"/>
        <v>457885</v>
      </c>
      <c r="BW146" s="74">
        <f t="shared" si="304"/>
        <v>589.46311050807685</v>
      </c>
      <c r="BX146" s="1098"/>
    </row>
    <row r="147" spans="1:76">
      <c r="A147" s="262">
        <v>43364</v>
      </c>
      <c r="B147" s="1"/>
      <c r="C147" s="1">
        <f t="shared" si="297"/>
        <v>61962521</v>
      </c>
      <c r="D147" s="1"/>
      <c r="E147" s="93">
        <f t="shared" si="298"/>
        <v>776783.13000000024</v>
      </c>
      <c r="F147" s="227"/>
      <c r="G147" s="227"/>
      <c r="H147" s="227"/>
      <c r="I147" s="227"/>
      <c r="J147" s="227"/>
      <c r="K147" s="227"/>
      <c r="L147" s="227"/>
      <c r="M147" s="227"/>
      <c r="N147" s="1089"/>
      <c r="O147" s="1084"/>
      <c r="P147" s="77">
        <f t="shared" si="280"/>
        <v>23285</v>
      </c>
      <c r="Q147" s="35"/>
      <c r="R147" s="35">
        <v>23285</v>
      </c>
      <c r="S147" s="35"/>
      <c r="T147" s="36"/>
      <c r="U147" s="74">
        <f t="shared" si="282"/>
        <v>257854</v>
      </c>
      <c r="V147" s="36">
        <f t="shared" ref="V147:V156" si="305">U147*1000/C147</f>
        <v>4.1614510810494618</v>
      </c>
      <c r="W147" s="1136"/>
      <c r="X147" s="49">
        <f t="shared" si="283"/>
        <v>815</v>
      </c>
      <c r="Y147" s="50"/>
      <c r="Z147" s="50">
        <f>815</f>
        <v>815</v>
      </c>
      <c r="AA147" s="50"/>
      <c r="AB147" s="51"/>
      <c r="AC147" s="50">
        <f t="shared" si="284"/>
        <v>8431</v>
      </c>
      <c r="AD147" s="51">
        <f t="shared" ref="AD147:AD158" si="306">AC147*1000/C147</f>
        <v>0.13606612293905859</v>
      </c>
      <c r="AE147" s="1047"/>
      <c r="AF147" s="40">
        <f t="shared" si="285"/>
        <v>1119</v>
      </c>
      <c r="AG147" s="41"/>
      <c r="AH147" s="41">
        <v>1119</v>
      </c>
      <c r="AI147" s="41"/>
      <c r="AJ147" s="42"/>
      <c r="AK147" s="41">
        <f t="shared" si="286"/>
        <v>5441</v>
      </c>
      <c r="AL147" s="42">
        <f t="shared" ref="AL147:AL158" si="307">AK147*1000/C147</f>
        <v>8.7811146354100089E-2</v>
      </c>
      <c r="AM147" s="1058"/>
      <c r="AN147" s="220"/>
      <c r="AO147" s="67">
        <v>24</v>
      </c>
      <c r="AP147" s="68"/>
      <c r="AQ147" s="68"/>
      <c r="AR147" s="69">
        <f t="shared" si="288"/>
        <v>6859.3055999999997</v>
      </c>
      <c r="AS147" s="140">
        <f t="shared" si="277"/>
        <v>8.830399805412867</v>
      </c>
      <c r="AT147" s="1073"/>
      <c r="AU147" s="70"/>
      <c r="AV147" s="71">
        <v>10</v>
      </c>
      <c r="AW147" s="72"/>
      <c r="AX147" s="72"/>
      <c r="AY147" s="73">
        <f t="shared" si="290"/>
        <v>2313.7980000000011</v>
      </c>
      <c r="AZ147" s="192">
        <f t="shared" si="278"/>
        <v>2.9786923925600703</v>
      </c>
      <c r="BA147" s="1075"/>
      <c r="BB147" s="90">
        <f t="shared" si="291"/>
        <v>18250</v>
      </c>
      <c r="BC147" s="59"/>
      <c r="BD147" s="56">
        <v>18250</v>
      </c>
      <c r="BE147" s="56"/>
      <c r="BF147" s="58">
        <f t="shared" si="292"/>
        <v>78316</v>
      </c>
      <c r="BG147" s="58">
        <f t="shared" si="279"/>
        <v>100.82093312196415</v>
      </c>
      <c r="BH147" s="1133"/>
      <c r="BI147" s="63">
        <f t="shared" si="293"/>
        <v>96</v>
      </c>
      <c r="BJ147" s="64"/>
      <c r="BK147" s="64">
        <v>96</v>
      </c>
      <c r="BL147" s="64"/>
      <c r="BM147" s="65"/>
      <c r="BN147" s="64">
        <f t="shared" si="296"/>
        <v>11156</v>
      </c>
      <c r="BO147" s="65">
        <f t="shared" ref="BO147:BO158" si="308">BN147*1000/C147</f>
        <v>0.1800443206628084</v>
      </c>
      <c r="BP147" s="1071"/>
      <c r="BQ147" s="35">
        <f t="shared" si="300"/>
        <v>57719</v>
      </c>
      <c r="BR147" s="35"/>
      <c r="BS147" s="35">
        <f t="shared" si="303"/>
        <v>57719</v>
      </c>
      <c r="BT147" s="35"/>
      <c r="BU147" s="74"/>
      <c r="BV147" s="74">
        <f t="shared" si="302"/>
        <v>457885</v>
      </c>
      <c r="BW147" s="74">
        <f t="shared" si="304"/>
        <v>589.46311050807685</v>
      </c>
      <c r="BX147" s="1098"/>
    </row>
    <row r="148" spans="1:76">
      <c r="A148" s="262">
        <v>43365</v>
      </c>
      <c r="B148" s="1">
        <v>137017</v>
      </c>
      <c r="C148" s="1">
        <f t="shared" si="297"/>
        <v>62099538</v>
      </c>
      <c r="D148" s="1">
        <v>2990.56</v>
      </c>
      <c r="E148" s="93">
        <f t="shared" si="298"/>
        <v>779773.69000000029</v>
      </c>
      <c r="F148" s="227"/>
      <c r="G148" s="227"/>
      <c r="H148" s="227"/>
      <c r="I148" s="227"/>
      <c r="J148" s="227"/>
      <c r="K148" s="227"/>
      <c r="L148" s="227"/>
      <c r="M148" s="227"/>
      <c r="N148" s="1089"/>
      <c r="O148" s="1084"/>
      <c r="P148" s="77">
        <f t="shared" si="280"/>
        <v>23285</v>
      </c>
      <c r="Q148" s="35"/>
      <c r="R148" s="35">
        <v>23285</v>
      </c>
      <c r="S148" s="35"/>
      <c r="T148" s="36"/>
      <c r="U148" s="74">
        <f t="shared" si="282"/>
        <v>257854</v>
      </c>
      <c r="V148" s="36">
        <f t="shared" si="305"/>
        <v>4.1522692165600334</v>
      </c>
      <c r="W148" s="1136"/>
      <c r="X148" s="49">
        <f t="shared" si="283"/>
        <v>815</v>
      </c>
      <c r="Y148" s="50"/>
      <c r="Z148" s="50">
        <f>815</f>
        <v>815</v>
      </c>
      <c r="AA148" s="50"/>
      <c r="AB148" s="51"/>
      <c r="AC148" s="50">
        <f t="shared" si="284"/>
        <v>8431</v>
      </c>
      <c r="AD148" s="51">
        <f t="shared" si="306"/>
        <v>0.1357659053759788</v>
      </c>
      <c r="AE148" s="1047"/>
      <c r="AF148" s="40">
        <f t="shared" si="285"/>
        <v>1119</v>
      </c>
      <c r="AG148" s="41"/>
      <c r="AH148" s="41">
        <v>1119</v>
      </c>
      <c r="AI148" s="41"/>
      <c r="AJ148" s="42"/>
      <c r="AK148" s="41">
        <f t="shared" si="286"/>
        <v>5441</v>
      </c>
      <c r="AL148" s="42">
        <f t="shared" si="307"/>
        <v>8.7617399021551495E-2</v>
      </c>
      <c r="AM148" s="1058"/>
      <c r="AN148" s="220">
        <v>2.2999999999999998</v>
      </c>
      <c r="AO148" s="67">
        <v>24</v>
      </c>
      <c r="AP148" s="68">
        <f t="shared" si="287"/>
        <v>29.256</v>
      </c>
      <c r="AQ148" s="68">
        <f t="shared" ref="AQ148:AQ153" si="309">AP148*1000/D148</f>
        <v>9.782783157669467</v>
      </c>
      <c r="AR148" s="69">
        <f t="shared" si="288"/>
        <v>6888.5616</v>
      </c>
      <c r="AS148" s="140">
        <f t="shared" si="277"/>
        <v>8.8340523517791389</v>
      </c>
      <c r="AT148" s="1073"/>
      <c r="AU148" s="70">
        <v>1.8</v>
      </c>
      <c r="AV148" s="71">
        <v>10</v>
      </c>
      <c r="AW148" s="72">
        <f t="shared" si="289"/>
        <v>8.4060000000000006</v>
      </c>
      <c r="AX148" s="72">
        <f t="shared" ref="AX148:AX153" si="310">AW148*1000/D148</f>
        <v>2.8108447916109358</v>
      </c>
      <c r="AY148" s="73">
        <f t="shared" si="290"/>
        <v>2322.2040000000011</v>
      </c>
      <c r="AZ148" s="192">
        <f t="shared" si="278"/>
        <v>2.9780486694799873</v>
      </c>
      <c r="BA148" s="1075"/>
      <c r="BB148" s="90">
        <f t="shared" si="291"/>
        <v>18250</v>
      </c>
      <c r="BC148" s="59"/>
      <c r="BD148" s="56">
        <v>16723</v>
      </c>
      <c r="BE148" s="56">
        <f>BB148+BC148-BD148</f>
        <v>1527</v>
      </c>
      <c r="BF148" s="58">
        <f t="shared" si="292"/>
        <v>79843</v>
      </c>
      <c r="BG148" s="58">
        <f t="shared" si="279"/>
        <v>102.39252878614046</v>
      </c>
      <c r="BH148" s="1133"/>
      <c r="BI148" s="63">
        <f t="shared" si="293"/>
        <v>96</v>
      </c>
      <c r="BJ148" s="64"/>
      <c r="BK148" s="64">
        <v>60</v>
      </c>
      <c r="BL148" s="64">
        <f t="shared" si="294"/>
        <v>36</v>
      </c>
      <c r="BM148" s="65">
        <f>BL148*1000/B148</f>
        <v>0.26274111971507186</v>
      </c>
      <c r="BN148" s="64">
        <f t="shared" si="296"/>
        <v>11192</v>
      </c>
      <c r="BO148" s="65">
        <f t="shared" si="308"/>
        <v>0.18022678365175598</v>
      </c>
      <c r="BP148" s="1071"/>
      <c r="BQ148" s="35">
        <f t="shared" si="300"/>
        <v>57719</v>
      </c>
      <c r="BR148" s="35"/>
      <c r="BS148" s="35">
        <f t="shared" si="303"/>
        <v>57719</v>
      </c>
      <c r="BT148" s="35"/>
      <c r="BU148" s="74"/>
      <c r="BV148" s="74">
        <f t="shared" si="302"/>
        <v>457885</v>
      </c>
      <c r="BW148" s="74">
        <f t="shared" si="304"/>
        <v>587.20242279525974</v>
      </c>
      <c r="BX148" s="1098"/>
    </row>
    <row r="149" spans="1:76">
      <c r="A149" s="262">
        <v>43366</v>
      </c>
      <c r="B149" s="1">
        <v>344683</v>
      </c>
      <c r="C149" s="1">
        <f t="shared" si="297"/>
        <v>62444221</v>
      </c>
      <c r="D149" s="1">
        <v>3922.04</v>
      </c>
      <c r="E149" s="93">
        <f t="shared" si="298"/>
        <v>783695.73000000033</v>
      </c>
      <c r="F149" s="227"/>
      <c r="G149" s="227"/>
      <c r="H149" s="227"/>
      <c r="I149" s="227"/>
      <c r="J149" s="227"/>
      <c r="K149" s="227"/>
      <c r="L149" s="227"/>
      <c r="M149" s="227"/>
      <c r="N149" s="1089"/>
      <c r="O149" s="1084"/>
      <c r="P149" s="77">
        <f t="shared" si="280"/>
        <v>23285</v>
      </c>
      <c r="Q149" s="35">
        <v>35140</v>
      </c>
      <c r="R149" s="35">
        <v>56998</v>
      </c>
      <c r="S149" s="35">
        <f t="shared" si="281"/>
        <v>1427</v>
      </c>
      <c r="T149" s="36">
        <f>S149*1000/B149</f>
        <v>4.1400359170600236</v>
      </c>
      <c r="U149" s="74">
        <f t="shared" si="282"/>
        <v>259281</v>
      </c>
      <c r="V149" s="36">
        <f t="shared" si="305"/>
        <v>4.1522016905295365</v>
      </c>
      <c r="W149" s="1136"/>
      <c r="X149" s="49">
        <f t="shared" si="283"/>
        <v>815</v>
      </c>
      <c r="Y149" s="50"/>
      <c r="Z149" s="50">
        <f>743+62</f>
        <v>805</v>
      </c>
      <c r="AA149" s="50">
        <f>X149+Y149-Z149</f>
        <v>10</v>
      </c>
      <c r="AB149" s="51">
        <f>AA149*1000/B149</f>
        <v>2.9012164800700933E-2</v>
      </c>
      <c r="AC149" s="50">
        <f t="shared" si="284"/>
        <v>8441</v>
      </c>
      <c r="AD149" s="51">
        <f t="shared" si="306"/>
        <v>0.13517664028509541</v>
      </c>
      <c r="AE149" s="1047"/>
      <c r="AF149" s="40">
        <f t="shared" si="285"/>
        <v>1119</v>
      </c>
      <c r="AG149" s="41"/>
      <c r="AH149" s="41">
        <v>1062</v>
      </c>
      <c r="AI149" s="41">
        <f t="shared" ref="AI149:AI156" si="311">AF149+AG149-AH149</f>
        <v>57</v>
      </c>
      <c r="AJ149" s="42">
        <f>AI149*1000/B149</f>
        <v>0.16536933936399531</v>
      </c>
      <c r="AK149" s="41">
        <f t="shared" si="286"/>
        <v>5498</v>
      </c>
      <c r="AL149" s="42">
        <f t="shared" si="307"/>
        <v>8.804657840154656E-2</v>
      </c>
      <c r="AM149" s="1058"/>
      <c r="AN149" s="220">
        <v>3.5</v>
      </c>
      <c r="AO149" s="67">
        <v>24</v>
      </c>
      <c r="AP149" s="68">
        <f t="shared" si="287"/>
        <v>44.52</v>
      </c>
      <c r="AQ149" s="68">
        <f t="shared" si="309"/>
        <v>11.351235581483106</v>
      </c>
      <c r="AR149" s="69">
        <f t="shared" si="288"/>
        <v>6933.0816000000004</v>
      </c>
      <c r="AS149" s="140">
        <f t="shared" si="277"/>
        <v>8.8466497067682095</v>
      </c>
      <c r="AT149" s="1073"/>
      <c r="AU149" s="70">
        <v>2.2999999999999998</v>
      </c>
      <c r="AV149" s="71">
        <v>10</v>
      </c>
      <c r="AW149" s="72">
        <f t="shared" si="289"/>
        <v>10.741000000000001</v>
      </c>
      <c r="AX149" s="72">
        <f t="shared" si="310"/>
        <v>2.7386258171767759</v>
      </c>
      <c r="AY149" s="73">
        <f t="shared" si="290"/>
        <v>2332.9450000000011</v>
      </c>
      <c r="AZ149" s="192">
        <f t="shared" si="278"/>
        <v>2.976850467208747</v>
      </c>
      <c r="BA149" s="1075"/>
      <c r="BB149" s="90">
        <f t="shared" si="291"/>
        <v>16723</v>
      </c>
      <c r="BC149" s="59"/>
      <c r="BD149" s="56">
        <v>15860</v>
      </c>
      <c r="BE149" s="56">
        <f>BB149+BC149-BD149</f>
        <v>863</v>
      </c>
      <c r="BF149" s="58">
        <f t="shared" si="292"/>
        <v>80706</v>
      </c>
      <c r="BG149" s="58">
        <f t="shared" si="279"/>
        <v>102.9812935180851</v>
      </c>
      <c r="BH149" s="1133"/>
      <c r="BI149" s="63">
        <f t="shared" si="293"/>
        <v>60</v>
      </c>
      <c r="BJ149" s="64">
        <v>1100</v>
      </c>
      <c r="BK149" s="64">
        <v>1140</v>
      </c>
      <c r="BL149" s="64">
        <f t="shared" si="294"/>
        <v>20</v>
      </c>
      <c r="BM149" s="65">
        <f>BL149*1000/B149</f>
        <v>5.8024329601401865E-2</v>
      </c>
      <c r="BN149" s="64">
        <f t="shared" si="296"/>
        <v>11212</v>
      </c>
      <c r="BO149" s="65">
        <f t="shared" si="308"/>
        <v>0.1795522439138123</v>
      </c>
      <c r="BP149" s="1071"/>
      <c r="BQ149" s="35">
        <f t="shared" si="300"/>
        <v>57719</v>
      </c>
      <c r="BR149" s="35"/>
      <c r="BS149" s="35">
        <f>27478+27469</f>
        <v>54947</v>
      </c>
      <c r="BT149" s="35">
        <f t="shared" si="301"/>
        <v>2772</v>
      </c>
      <c r="BU149" s="74">
        <f>BT149*1000/D149</f>
        <v>706.77504563951413</v>
      </c>
      <c r="BV149" s="74">
        <f t="shared" si="302"/>
        <v>460657</v>
      </c>
      <c r="BW149" s="74">
        <f t="shared" si="304"/>
        <v>587.80082928357899</v>
      </c>
      <c r="BX149" s="1098"/>
    </row>
    <row r="150" spans="1:76">
      <c r="A150" s="262">
        <v>43367</v>
      </c>
      <c r="B150" s="1">
        <v>356750</v>
      </c>
      <c r="C150" s="1">
        <f t="shared" si="297"/>
        <v>62800971</v>
      </c>
      <c r="D150" s="1">
        <v>4907.6000000000004</v>
      </c>
      <c r="E150" s="93">
        <f t="shared" si="298"/>
        <v>788603.33000000031</v>
      </c>
      <c r="F150" s="227"/>
      <c r="G150" s="227"/>
      <c r="H150" s="227"/>
      <c r="I150" s="227"/>
      <c r="J150" s="227"/>
      <c r="K150" s="227"/>
      <c r="L150" s="227"/>
      <c r="M150" s="227"/>
      <c r="N150" s="1089"/>
      <c r="O150" s="1084"/>
      <c r="P150" s="77">
        <f t="shared" si="280"/>
        <v>56998</v>
      </c>
      <c r="Q150" s="35"/>
      <c r="R150" s="35">
        <v>56998</v>
      </c>
      <c r="S150" s="35"/>
      <c r="T150" s="36"/>
      <c r="U150" s="74">
        <f t="shared" si="282"/>
        <v>259281</v>
      </c>
      <c r="V150" s="36">
        <f t="shared" si="305"/>
        <v>4.1286145082056134</v>
      </c>
      <c r="W150" s="1136"/>
      <c r="X150" s="49">
        <f t="shared" si="283"/>
        <v>805</v>
      </c>
      <c r="Y150" s="50"/>
      <c r="Z150" s="50">
        <f>743+62</f>
        <v>805</v>
      </c>
      <c r="AA150" s="50"/>
      <c r="AB150" s="51"/>
      <c r="AC150" s="50">
        <f t="shared" si="284"/>
        <v>8441</v>
      </c>
      <c r="AD150" s="51">
        <f t="shared" si="306"/>
        <v>0.1344087498264955</v>
      </c>
      <c r="AE150" s="1047"/>
      <c r="AF150" s="40">
        <f t="shared" si="285"/>
        <v>1062</v>
      </c>
      <c r="AG150" s="41"/>
      <c r="AH150" s="41">
        <v>1042</v>
      </c>
      <c r="AI150" s="41">
        <f t="shared" si="311"/>
        <v>20</v>
      </c>
      <c r="AJ150" s="42">
        <f>AI150*1000/B150</f>
        <v>5.6061667834618079E-2</v>
      </c>
      <c r="AK150" s="41">
        <f t="shared" si="286"/>
        <v>5518</v>
      </c>
      <c r="AL150" s="42">
        <f t="shared" si="307"/>
        <v>8.7864883490416101E-2</v>
      </c>
      <c r="AM150" s="1058"/>
      <c r="AN150" s="220">
        <v>3.6</v>
      </c>
      <c r="AO150" s="67">
        <v>24</v>
      </c>
      <c r="AP150" s="68">
        <f t="shared" si="287"/>
        <v>45.792000000000009</v>
      </c>
      <c r="AQ150" s="68">
        <f t="shared" si="309"/>
        <v>9.3308338087863731</v>
      </c>
      <c r="AR150" s="69">
        <f t="shared" si="288"/>
        <v>6978.8736000000008</v>
      </c>
      <c r="AS150" s="140">
        <f t="shared" si="277"/>
        <v>8.8496628590193733</v>
      </c>
      <c r="AT150" s="1073"/>
      <c r="AU150" s="70">
        <v>2.8</v>
      </c>
      <c r="AV150" s="71">
        <v>10</v>
      </c>
      <c r="AW150" s="72">
        <f t="shared" si="289"/>
        <v>13.076000000000001</v>
      </c>
      <c r="AX150" s="72">
        <f t="shared" si="310"/>
        <v>2.6644388295704617</v>
      </c>
      <c r="AY150" s="73">
        <f t="shared" si="290"/>
        <v>2346.0210000000011</v>
      </c>
      <c r="AZ150" s="192">
        <f t="shared" si="278"/>
        <v>2.9749062814634577</v>
      </c>
      <c r="BA150" s="1075"/>
      <c r="BB150" s="90">
        <f t="shared" si="291"/>
        <v>15860</v>
      </c>
      <c r="BC150" s="59"/>
      <c r="BD150" s="56">
        <v>15432</v>
      </c>
      <c r="BE150" s="56">
        <f>BB150+BC150-BD150</f>
        <v>428</v>
      </c>
      <c r="BF150" s="58">
        <f t="shared" si="292"/>
        <v>81134</v>
      </c>
      <c r="BG150" s="58">
        <f t="shared" si="279"/>
        <v>102.88315673229528</v>
      </c>
      <c r="BH150" s="1133"/>
      <c r="BI150" s="63">
        <f t="shared" si="293"/>
        <v>1140</v>
      </c>
      <c r="BJ150" s="64"/>
      <c r="BK150" s="64">
        <v>1040</v>
      </c>
      <c r="BL150" s="64">
        <f t="shared" si="294"/>
        <v>100</v>
      </c>
      <c r="BM150" s="65">
        <f>BL150*1000/B150</f>
        <v>0.28030833917309039</v>
      </c>
      <c r="BN150" s="64">
        <f t="shared" si="296"/>
        <v>11312</v>
      </c>
      <c r="BO150" s="65">
        <f t="shared" si="308"/>
        <v>0.1801246034874206</v>
      </c>
      <c r="BP150" s="1071"/>
      <c r="BQ150" s="35">
        <f t="shared" si="300"/>
        <v>54947</v>
      </c>
      <c r="BR150" s="35"/>
      <c r="BS150" s="35">
        <f>23781+27469</f>
        <v>51250</v>
      </c>
      <c r="BT150" s="35">
        <f t="shared" si="301"/>
        <v>3697</v>
      </c>
      <c r="BU150" s="74">
        <f>BT150*1000/D150</f>
        <v>753.32137908549998</v>
      </c>
      <c r="BV150" s="74">
        <f t="shared" si="302"/>
        <v>464354</v>
      </c>
      <c r="BW150" s="74">
        <f t="shared" si="304"/>
        <v>588.83088916198187</v>
      </c>
      <c r="BX150" s="1098"/>
    </row>
    <row r="151" spans="1:76">
      <c r="A151" s="262">
        <v>43368</v>
      </c>
      <c r="B151" s="1">
        <v>429757</v>
      </c>
      <c r="C151" s="1">
        <f t="shared" si="297"/>
        <v>63230728</v>
      </c>
      <c r="D151" s="1">
        <v>5942</v>
      </c>
      <c r="E151" s="93">
        <f t="shared" si="298"/>
        <v>794545.33000000031</v>
      </c>
      <c r="F151" s="227"/>
      <c r="G151" s="227"/>
      <c r="H151" s="227"/>
      <c r="I151" s="227"/>
      <c r="J151" s="227"/>
      <c r="K151" s="227"/>
      <c r="L151" s="227"/>
      <c r="M151" s="227"/>
      <c r="N151" s="1089"/>
      <c r="O151" s="1084"/>
      <c r="P151" s="77">
        <f t="shared" si="280"/>
        <v>56998</v>
      </c>
      <c r="Q151" s="35"/>
      <c r="R151" s="35">
        <v>56026</v>
      </c>
      <c r="S151" s="35">
        <f t="shared" si="281"/>
        <v>972</v>
      </c>
      <c r="T151" s="36">
        <f>S151*1000/B151</f>
        <v>2.2617432642167552</v>
      </c>
      <c r="U151" s="74">
        <f t="shared" si="282"/>
        <v>260253</v>
      </c>
      <c r="V151" s="36">
        <f t="shared" si="305"/>
        <v>4.1159260415284162</v>
      </c>
      <c r="W151" s="1136"/>
      <c r="X151" s="49">
        <f t="shared" si="283"/>
        <v>805</v>
      </c>
      <c r="Y151" s="50"/>
      <c r="Z151" s="50">
        <f>743+62</f>
        <v>805</v>
      </c>
      <c r="AA151" s="50"/>
      <c r="AB151" s="51"/>
      <c r="AC151" s="50">
        <f t="shared" si="284"/>
        <v>8441</v>
      </c>
      <c r="AD151" s="51">
        <f t="shared" si="306"/>
        <v>0.13349522086792992</v>
      </c>
      <c r="AE151" s="1047"/>
      <c r="AF151" s="40">
        <f t="shared" ref="AF151:AF158" si="312">AH150</f>
        <v>1042</v>
      </c>
      <c r="AG151" s="41"/>
      <c r="AH151" s="41">
        <v>1023</v>
      </c>
      <c r="AI151" s="41">
        <f t="shared" si="311"/>
        <v>19</v>
      </c>
      <c r="AJ151" s="42">
        <f>AI151*1000/B151</f>
        <v>4.4211030884895419E-2</v>
      </c>
      <c r="AK151" s="41">
        <f t="shared" ref="AK151:AK158" si="313">AK150+AI151</f>
        <v>5537</v>
      </c>
      <c r="AL151" s="42">
        <f t="shared" si="307"/>
        <v>8.7568183621102705E-2</v>
      </c>
      <c r="AM151" s="1058"/>
      <c r="AN151" s="220">
        <v>3.4</v>
      </c>
      <c r="AO151" s="67">
        <v>24</v>
      </c>
      <c r="AP151" s="68">
        <f t="shared" si="287"/>
        <v>43.247999999999998</v>
      </c>
      <c r="AQ151" s="68">
        <f t="shared" si="309"/>
        <v>7.2783574554022215</v>
      </c>
      <c r="AR151" s="69">
        <f t="shared" si="288"/>
        <v>7022.1216000000004</v>
      </c>
      <c r="AS151" s="140">
        <f t="shared" si="277"/>
        <v>8.8379118658969382</v>
      </c>
      <c r="AT151" s="1073"/>
      <c r="AU151" s="70">
        <v>3.5</v>
      </c>
      <c r="AV151" s="71">
        <v>10</v>
      </c>
      <c r="AW151" s="72">
        <f t="shared" si="289"/>
        <v>16.345000000000002</v>
      </c>
      <c r="AX151" s="72">
        <f t="shared" si="310"/>
        <v>2.7507573207674185</v>
      </c>
      <c r="AY151" s="73">
        <f t="shared" si="290"/>
        <v>2362.3660000000009</v>
      </c>
      <c r="AZ151" s="192">
        <f t="shared" si="278"/>
        <v>2.9732299855063022</v>
      </c>
      <c r="BA151" s="1075"/>
      <c r="BB151" s="90">
        <f t="shared" ref="BB151:BB158" si="314">BD150</f>
        <v>15432</v>
      </c>
      <c r="BC151" s="59"/>
      <c r="BD151" s="56">
        <v>15432</v>
      </c>
      <c r="BE151" s="56"/>
      <c r="BF151" s="58">
        <f t="shared" ref="BF151:BF158" si="315">BF150+BE151</f>
        <v>81134</v>
      </c>
      <c r="BG151" s="58">
        <f t="shared" si="279"/>
        <v>102.11374598350477</v>
      </c>
      <c r="BH151" s="1133"/>
      <c r="BI151" s="63">
        <f t="shared" ref="BI151:BI158" si="316">BK150</f>
        <v>1040</v>
      </c>
      <c r="BJ151" s="64"/>
      <c r="BK151" s="64">
        <v>1040</v>
      </c>
      <c r="BL151" s="64"/>
      <c r="BM151" s="65"/>
      <c r="BN151" s="64">
        <f t="shared" ref="BN151:BN158" si="317">BN150+BL151</f>
        <v>11312</v>
      </c>
      <c r="BO151" s="65">
        <f t="shared" si="308"/>
        <v>0.17890035996422499</v>
      </c>
      <c r="BP151" s="1071"/>
      <c r="BQ151" s="35">
        <f t="shared" si="300"/>
        <v>51250</v>
      </c>
      <c r="BR151" s="35"/>
      <c r="BS151" s="35">
        <f>20084+27469</f>
        <v>47553</v>
      </c>
      <c r="BT151" s="35">
        <f t="shared" si="301"/>
        <v>3697</v>
      </c>
      <c r="BU151" s="74">
        <f>BT151*1000/D151</f>
        <v>622.18108381016498</v>
      </c>
      <c r="BV151" s="74">
        <f t="shared" si="302"/>
        <v>468051</v>
      </c>
      <c r="BW151" s="74">
        <f t="shared" si="304"/>
        <v>589.08029828833025</v>
      </c>
      <c r="BX151" s="1098"/>
    </row>
    <row r="152" spans="1:76">
      <c r="A152" s="262">
        <v>43369</v>
      </c>
      <c r="B152" s="1">
        <v>515096</v>
      </c>
      <c r="C152" s="1">
        <f t="shared" si="297"/>
        <v>63745824</v>
      </c>
      <c r="D152" s="1">
        <v>4460.92</v>
      </c>
      <c r="E152" s="93">
        <f t="shared" si="298"/>
        <v>799006.25000000035</v>
      </c>
      <c r="F152" s="227"/>
      <c r="G152" s="227"/>
      <c r="H152" s="227"/>
      <c r="I152" s="227"/>
      <c r="J152" s="227"/>
      <c r="K152" s="227"/>
      <c r="L152" s="227"/>
      <c r="M152" s="227"/>
      <c r="N152" s="1089"/>
      <c r="O152" s="1084"/>
      <c r="P152" s="77">
        <f t="shared" ref="P152:P158" si="318">R151</f>
        <v>56026</v>
      </c>
      <c r="Q152" s="35"/>
      <c r="R152" s="35">
        <v>56026</v>
      </c>
      <c r="S152" s="35"/>
      <c r="T152" s="36"/>
      <c r="U152" s="74">
        <f t="shared" ref="U152:U158" si="319">U151+S152</f>
        <v>260253</v>
      </c>
      <c r="V152" s="36">
        <f t="shared" si="305"/>
        <v>4.082667438732928</v>
      </c>
      <c r="W152" s="1136"/>
      <c r="X152" s="49">
        <f t="shared" ref="X152:X158" si="320">Z151</f>
        <v>805</v>
      </c>
      <c r="Y152" s="50"/>
      <c r="Z152" s="50">
        <f>493+162</f>
        <v>655</v>
      </c>
      <c r="AA152" s="50">
        <f>X152+Y152-Z152</f>
        <v>150</v>
      </c>
      <c r="AB152" s="51"/>
      <c r="AC152" s="50">
        <f t="shared" ref="AC152:AC158" si="321">AC151+AA152</f>
        <v>8591</v>
      </c>
      <c r="AD152" s="51">
        <f t="shared" si="306"/>
        <v>0.13476961251610772</v>
      </c>
      <c r="AE152" s="1047"/>
      <c r="AF152" s="40">
        <f t="shared" si="312"/>
        <v>1023</v>
      </c>
      <c r="AG152" s="41"/>
      <c r="AH152" s="41">
        <v>1004</v>
      </c>
      <c r="AI152" s="41">
        <f t="shared" si="311"/>
        <v>19</v>
      </c>
      <c r="AJ152" s="42">
        <f>AI152*1000/B152</f>
        <v>3.6886327985462902E-2</v>
      </c>
      <c r="AK152" s="41">
        <f t="shared" si="313"/>
        <v>5556</v>
      </c>
      <c r="AL152" s="42">
        <f t="shared" si="307"/>
        <v>8.715865058078158E-2</v>
      </c>
      <c r="AM152" s="1058"/>
      <c r="AN152" s="220">
        <v>3.5</v>
      </c>
      <c r="AO152" s="67">
        <v>24</v>
      </c>
      <c r="AP152" s="68">
        <f t="shared" si="287"/>
        <v>44.52</v>
      </c>
      <c r="AQ152" s="68">
        <f t="shared" si="309"/>
        <v>9.9800041247097013</v>
      </c>
      <c r="AR152" s="69">
        <f t="shared" si="288"/>
        <v>7066.6416000000008</v>
      </c>
      <c r="AS152" s="140">
        <f t="shared" si="277"/>
        <v>8.8442882643283429</v>
      </c>
      <c r="AT152" s="1073"/>
      <c r="AU152" s="70">
        <v>2.8</v>
      </c>
      <c r="AV152" s="71">
        <v>10</v>
      </c>
      <c r="AW152" s="72">
        <f t="shared" si="289"/>
        <v>13.076000000000001</v>
      </c>
      <c r="AX152" s="72">
        <f t="shared" si="310"/>
        <v>2.9312339158738556</v>
      </c>
      <c r="AY152" s="73">
        <f t="shared" si="290"/>
        <v>2375.4420000000009</v>
      </c>
      <c r="AZ152" s="192">
        <f t="shared" si="278"/>
        <v>2.9729955178698537</v>
      </c>
      <c r="BA152" s="1075"/>
      <c r="BB152" s="90">
        <f t="shared" si="314"/>
        <v>15432</v>
      </c>
      <c r="BC152" s="59"/>
      <c r="BD152" s="56">
        <v>15432</v>
      </c>
      <c r="BE152" s="56"/>
      <c r="BF152" s="58">
        <f t="shared" si="315"/>
        <v>81134</v>
      </c>
      <c r="BG152" s="58">
        <f t="shared" si="279"/>
        <v>101.54363623563641</v>
      </c>
      <c r="BH152" s="1133"/>
      <c r="BI152" s="63">
        <f t="shared" si="316"/>
        <v>1040</v>
      </c>
      <c r="BJ152" s="64"/>
      <c r="BK152" s="64">
        <v>948</v>
      </c>
      <c r="BL152" s="64">
        <f t="shared" si="294"/>
        <v>92</v>
      </c>
      <c r="BM152" s="65">
        <f>BL152*1000/B152</f>
        <v>0.17860748287697828</v>
      </c>
      <c r="BN152" s="64">
        <f t="shared" si="317"/>
        <v>11404</v>
      </c>
      <c r="BO152" s="65">
        <f t="shared" si="308"/>
        <v>0.1788979933807115</v>
      </c>
      <c r="BP152" s="1071"/>
      <c r="BQ152" s="35">
        <f t="shared" si="300"/>
        <v>47553</v>
      </c>
      <c r="BR152" s="35"/>
      <c r="BS152" s="35">
        <f>18236+27469</f>
        <v>45705</v>
      </c>
      <c r="BT152" s="35">
        <f t="shared" si="301"/>
        <v>1848</v>
      </c>
      <c r="BU152" s="74">
        <f>BT152*1000/D152</f>
        <v>414.26432215776117</v>
      </c>
      <c r="BV152" s="74">
        <f t="shared" si="302"/>
        <v>469899</v>
      </c>
      <c r="BW152" s="74">
        <f t="shared" si="304"/>
        <v>588.10428579250765</v>
      </c>
      <c r="BX152" s="1098"/>
    </row>
    <row r="153" spans="1:76">
      <c r="A153" s="262">
        <v>43370</v>
      </c>
      <c r="B153" s="1">
        <v>292937</v>
      </c>
      <c r="C153" s="1">
        <f t="shared" si="297"/>
        <v>64038761</v>
      </c>
      <c r="D153" s="1">
        <v>1330.32</v>
      </c>
      <c r="E153" s="93">
        <f t="shared" si="298"/>
        <v>800336.5700000003</v>
      </c>
      <c r="F153" s="227"/>
      <c r="G153" s="227"/>
      <c r="H153" s="227"/>
      <c r="I153" s="227"/>
      <c r="J153" s="227"/>
      <c r="K153" s="227"/>
      <c r="L153" s="227"/>
      <c r="M153" s="227"/>
      <c r="N153" s="1089"/>
      <c r="O153" s="1084"/>
      <c r="P153" s="77">
        <f t="shared" si="318"/>
        <v>56026</v>
      </c>
      <c r="Q153" s="35"/>
      <c r="R153" s="35">
        <v>55626</v>
      </c>
      <c r="S153" s="35">
        <f>P153-R153+Q153</f>
        <v>400</v>
      </c>
      <c r="T153" s="36">
        <f>S153*1000/B153</f>
        <v>1.3654813150950547</v>
      </c>
      <c r="U153" s="74">
        <f t="shared" si="319"/>
        <v>260653</v>
      </c>
      <c r="V153" s="36">
        <f t="shared" si="305"/>
        <v>4.0702380234995488</v>
      </c>
      <c r="W153" s="1136"/>
      <c r="X153" s="49">
        <f t="shared" si="320"/>
        <v>655</v>
      </c>
      <c r="Y153" s="50"/>
      <c r="Z153" s="50">
        <f>476+137</f>
        <v>613</v>
      </c>
      <c r="AA153" s="50">
        <f>X153+Y153-Z153</f>
        <v>42</v>
      </c>
      <c r="AB153" s="51"/>
      <c r="AC153" s="50">
        <f t="shared" si="321"/>
        <v>8633</v>
      </c>
      <c r="AD153" s="51">
        <f t="shared" si="306"/>
        <v>0.13480897920557833</v>
      </c>
      <c r="AE153" s="1047"/>
      <c r="AF153" s="40">
        <f t="shared" si="312"/>
        <v>1004</v>
      </c>
      <c r="AG153" s="41"/>
      <c r="AH153" s="41">
        <v>925</v>
      </c>
      <c r="AI153" s="41">
        <f t="shared" si="311"/>
        <v>79</v>
      </c>
      <c r="AJ153" s="42">
        <f>AI153*1000/B153</f>
        <v>0.26968255973127325</v>
      </c>
      <c r="AK153" s="41">
        <f t="shared" si="313"/>
        <v>5635</v>
      </c>
      <c r="AL153" s="42">
        <f t="shared" si="307"/>
        <v>8.7993582511691634E-2</v>
      </c>
      <c r="AM153" s="1058"/>
      <c r="AN153" s="220">
        <v>2.2000000000000002</v>
      </c>
      <c r="AO153" s="67">
        <v>24</v>
      </c>
      <c r="AP153" s="68">
        <f t="shared" si="287"/>
        <v>27.984000000000005</v>
      </c>
      <c r="AQ153" s="68">
        <f t="shared" si="309"/>
        <v>21.035540321125747</v>
      </c>
      <c r="AR153" s="69">
        <f t="shared" si="288"/>
        <v>7094.6256000000012</v>
      </c>
      <c r="AS153" s="140">
        <f t="shared" si="277"/>
        <v>8.8645525719260814</v>
      </c>
      <c r="AT153" s="1073"/>
      <c r="AU153" s="70">
        <v>0.9</v>
      </c>
      <c r="AV153" s="71">
        <v>10</v>
      </c>
      <c r="AW153" s="72">
        <f t="shared" si="289"/>
        <v>4.2030000000000003</v>
      </c>
      <c r="AX153" s="72">
        <f t="shared" si="310"/>
        <v>3.1593902219014973</v>
      </c>
      <c r="AY153" s="73">
        <f t="shared" si="290"/>
        <v>2379.6450000000009</v>
      </c>
      <c r="AZ153" s="192">
        <f t="shared" si="278"/>
        <v>2.9733053432757672</v>
      </c>
      <c r="BA153" s="1075"/>
      <c r="BB153" s="90">
        <f t="shared" si="314"/>
        <v>15432</v>
      </c>
      <c r="BC153" s="59"/>
      <c r="BD153" s="252">
        <v>13117</v>
      </c>
      <c r="BE153" s="56">
        <f>BB153+BC153-BD153</f>
        <v>2315</v>
      </c>
      <c r="BF153" s="58">
        <f t="shared" si="315"/>
        <v>83449</v>
      </c>
      <c r="BG153" s="58">
        <f t="shared" si="279"/>
        <v>104.26738340845773</v>
      </c>
      <c r="BH153" s="1133"/>
      <c r="BI153" s="63">
        <f t="shared" si="316"/>
        <v>948</v>
      </c>
      <c r="BJ153" s="64"/>
      <c r="BK153" s="64">
        <v>900</v>
      </c>
      <c r="BL153" s="64">
        <f t="shared" si="294"/>
        <v>48</v>
      </c>
      <c r="BM153" s="65">
        <f>BL153*1000/B153</f>
        <v>0.16385775781140655</v>
      </c>
      <c r="BN153" s="64">
        <f t="shared" si="317"/>
        <v>11452</v>
      </c>
      <c r="BO153" s="65">
        <f t="shared" si="308"/>
        <v>0.17882919377531367</v>
      </c>
      <c r="BP153" s="1071"/>
      <c r="BQ153" s="35">
        <f t="shared" si="300"/>
        <v>45705</v>
      </c>
      <c r="BR153" s="35"/>
      <c r="BS153" s="35">
        <f>16388+27469</f>
        <v>43857</v>
      </c>
      <c r="BT153" s="35">
        <f t="shared" si="301"/>
        <v>1848</v>
      </c>
      <c r="BU153" s="74">
        <f>BT153*1000/D153</f>
        <v>1389.1394551686813</v>
      </c>
      <c r="BV153" s="74">
        <f t="shared" si="302"/>
        <v>471747</v>
      </c>
      <c r="BW153" s="74">
        <f t="shared" si="304"/>
        <v>589.4357670048737</v>
      </c>
      <c r="BX153" s="1098"/>
    </row>
    <row r="154" spans="1:76">
      <c r="A154" s="262">
        <v>43371</v>
      </c>
      <c r="B154" s="1"/>
      <c r="C154" s="1">
        <f t="shared" si="297"/>
        <v>64038761</v>
      </c>
      <c r="D154" s="1"/>
      <c r="E154" s="93">
        <f t="shared" si="298"/>
        <v>800336.5700000003</v>
      </c>
      <c r="F154" s="227"/>
      <c r="G154" s="227"/>
      <c r="H154" s="227"/>
      <c r="I154" s="227"/>
      <c r="J154" s="227"/>
      <c r="K154" s="227"/>
      <c r="L154" s="227"/>
      <c r="M154" s="227"/>
      <c r="N154" s="1089"/>
      <c r="O154" s="1084"/>
      <c r="P154" s="77">
        <f t="shared" si="318"/>
        <v>55626</v>
      </c>
      <c r="Q154" s="35"/>
      <c r="R154" s="35">
        <v>55626</v>
      </c>
      <c r="S154" s="35"/>
      <c r="T154" s="36"/>
      <c r="U154" s="74">
        <f t="shared" si="319"/>
        <v>260653</v>
      </c>
      <c r="V154" s="36">
        <f t="shared" si="305"/>
        <v>4.0702380234995488</v>
      </c>
      <c r="W154" s="1136"/>
      <c r="X154" s="49">
        <f t="shared" si="320"/>
        <v>613</v>
      </c>
      <c r="Y154" s="50"/>
      <c r="Z154" s="50">
        <f>476+137</f>
        <v>613</v>
      </c>
      <c r="AA154" s="50"/>
      <c r="AB154" s="51"/>
      <c r="AC154" s="50">
        <f t="shared" si="321"/>
        <v>8633</v>
      </c>
      <c r="AD154" s="51">
        <f t="shared" si="306"/>
        <v>0.13480897920557833</v>
      </c>
      <c r="AE154" s="1047"/>
      <c r="AF154" s="40">
        <f t="shared" si="312"/>
        <v>925</v>
      </c>
      <c r="AG154" s="41"/>
      <c r="AH154" s="41">
        <v>925</v>
      </c>
      <c r="AI154" s="41">
        <f t="shared" si="311"/>
        <v>0</v>
      </c>
      <c r="AJ154" s="42"/>
      <c r="AK154" s="41">
        <f t="shared" si="313"/>
        <v>5635</v>
      </c>
      <c r="AL154" s="42">
        <f t="shared" si="307"/>
        <v>8.7993582511691634E-2</v>
      </c>
      <c r="AM154" s="1058"/>
      <c r="AN154" s="220">
        <v>1.5</v>
      </c>
      <c r="AO154" s="67">
        <v>24</v>
      </c>
      <c r="AP154" s="68">
        <f t="shared" si="287"/>
        <v>19.080000000000002</v>
      </c>
      <c r="AQ154" s="68"/>
      <c r="AR154" s="69">
        <f t="shared" si="288"/>
        <v>7113.7056000000011</v>
      </c>
      <c r="AS154" s="140">
        <f t="shared" si="277"/>
        <v>8.8883925421526087</v>
      </c>
      <c r="AT154" s="1073"/>
      <c r="AU154" s="70">
        <v>0.2</v>
      </c>
      <c r="AV154" s="71">
        <v>10</v>
      </c>
      <c r="AW154" s="72">
        <f t="shared" si="289"/>
        <v>0.93400000000000005</v>
      </c>
      <c r="AX154" s="72"/>
      <c r="AY154" s="73">
        <f t="shared" si="290"/>
        <v>2380.5790000000011</v>
      </c>
      <c r="AZ154" s="192">
        <f t="shared" si="278"/>
        <v>2.974472352300483</v>
      </c>
      <c r="BA154" s="1075"/>
      <c r="BB154" s="90">
        <f t="shared" si="314"/>
        <v>13117</v>
      </c>
      <c r="BC154" s="59"/>
      <c r="BD154" s="252">
        <v>12704</v>
      </c>
      <c r="BE154" s="56">
        <f>BB154+BC154-BD154</f>
        <v>413</v>
      </c>
      <c r="BF154" s="58">
        <f t="shared" si="315"/>
        <v>83862</v>
      </c>
      <c r="BG154" s="58">
        <f t="shared" si="279"/>
        <v>104.78341630696691</v>
      </c>
      <c r="BH154" s="1133"/>
      <c r="BI154" s="63">
        <f t="shared" si="316"/>
        <v>900</v>
      </c>
      <c r="BJ154" s="64"/>
      <c r="BK154" s="64">
        <v>900</v>
      </c>
      <c r="BL154" s="64"/>
      <c r="BM154" s="65"/>
      <c r="BN154" s="64">
        <f t="shared" si="317"/>
        <v>11452</v>
      </c>
      <c r="BO154" s="65">
        <f t="shared" si="308"/>
        <v>0.17882919377531367</v>
      </c>
      <c r="BP154" s="1071"/>
      <c r="BQ154" s="35">
        <f>BS153</f>
        <v>43857</v>
      </c>
      <c r="BR154" s="35"/>
      <c r="BS154" s="35">
        <f>16388+27469</f>
        <v>43857</v>
      </c>
      <c r="BT154" s="35"/>
      <c r="BU154" s="74"/>
      <c r="BV154" s="74">
        <f>BV153+BT154</f>
        <v>471747</v>
      </c>
      <c r="BW154" s="74">
        <f t="shared" si="304"/>
        <v>589.4357670048737</v>
      </c>
      <c r="BX154" s="1098"/>
    </row>
    <row r="155" spans="1:76">
      <c r="A155" s="262">
        <v>43372</v>
      </c>
      <c r="B155" s="1">
        <v>255728</v>
      </c>
      <c r="C155" s="1">
        <f t="shared" si="297"/>
        <v>64294489</v>
      </c>
      <c r="D155" s="1">
        <v>4546.5600000000004</v>
      </c>
      <c r="E155" s="93">
        <f t="shared" si="298"/>
        <v>804883.13000000035</v>
      </c>
      <c r="F155" s="227"/>
      <c r="G155" s="227"/>
      <c r="H155" s="227"/>
      <c r="I155" s="227"/>
      <c r="J155" s="227"/>
      <c r="K155" s="227"/>
      <c r="L155" s="227"/>
      <c r="M155" s="227"/>
      <c r="N155" s="1089"/>
      <c r="O155" s="1084"/>
      <c r="P155" s="77">
        <f t="shared" si="318"/>
        <v>55626</v>
      </c>
      <c r="Q155" s="35"/>
      <c r="R155" s="35">
        <v>55626</v>
      </c>
      <c r="S155" s="35"/>
      <c r="T155" s="36"/>
      <c r="U155" s="74">
        <f t="shared" si="319"/>
        <v>260653</v>
      </c>
      <c r="V155" s="36">
        <f t="shared" si="305"/>
        <v>4.0540488625704763</v>
      </c>
      <c r="W155" s="1136"/>
      <c r="X155" s="49">
        <f t="shared" si="320"/>
        <v>613</v>
      </c>
      <c r="Y155" s="50"/>
      <c r="Z155" s="50">
        <f>476+137</f>
        <v>613</v>
      </c>
      <c r="AA155" s="50"/>
      <c r="AB155" s="51"/>
      <c r="AC155" s="50">
        <f t="shared" si="321"/>
        <v>8633</v>
      </c>
      <c r="AD155" s="51">
        <f t="shared" si="306"/>
        <v>0.13427278347293498</v>
      </c>
      <c r="AE155" s="1047"/>
      <c r="AF155" s="40">
        <f t="shared" si="312"/>
        <v>925</v>
      </c>
      <c r="AG155" s="41"/>
      <c r="AH155" s="41">
        <v>925</v>
      </c>
      <c r="AI155" s="41">
        <f t="shared" si="311"/>
        <v>0</v>
      </c>
      <c r="AJ155" s="42"/>
      <c r="AK155" s="41">
        <f t="shared" si="313"/>
        <v>5635</v>
      </c>
      <c r="AL155" s="42">
        <f t="shared" si="307"/>
        <v>8.7643592594693454E-2</v>
      </c>
      <c r="AM155" s="1058"/>
      <c r="AN155" s="220">
        <v>2.7</v>
      </c>
      <c r="AO155" s="67">
        <v>24</v>
      </c>
      <c r="AP155" s="68">
        <f t="shared" si="287"/>
        <v>34.344000000000008</v>
      </c>
      <c r="AQ155" s="68">
        <f>AP155*1000/D155</f>
        <v>7.5538429054054061</v>
      </c>
      <c r="AR155" s="69">
        <f t="shared" si="288"/>
        <v>7148.0496000000012</v>
      </c>
      <c r="AS155" s="140">
        <f t="shared" si="277"/>
        <v>8.8808540439902099</v>
      </c>
      <c r="AT155" s="1073"/>
      <c r="AU155" s="70">
        <v>2.8</v>
      </c>
      <c r="AV155" s="71">
        <v>10</v>
      </c>
      <c r="AW155" s="72">
        <f t="shared" si="289"/>
        <v>13.076000000000001</v>
      </c>
      <c r="AX155" s="72">
        <f>AW155*1000/D155</f>
        <v>2.8760205518018016</v>
      </c>
      <c r="AY155" s="73">
        <f t="shared" si="290"/>
        <v>2393.6550000000011</v>
      </c>
      <c r="AZ155" s="192">
        <f t="shared" si="278"/>
        <v>2.9739162255767493</v>
      </c>
      <c r="BA155" s="1075"/>
      <c r="BB155" s="90">
        <f t="shared" si="314"/>
        <v>12704</v>
      </c>
      <c r="BC155" s="59"/>
      <c r="BD155" s="252">
        <v>12499</v>
      </c>
      <c r="BE155" s="56">
        <f>BB155+BC155-BD155</f>
        <v>205</v>
      </c>
      <c r="BF155" s="58">
        <f t="shared" si="315"/>
        <v>84067</v>
      </c>
      <c r="BG155" s="58">
        <f t="shared" si="279"/>
        <v>104.44621941573054</v>
      </c>
      <c r="BH155" s="1133"/>
      <c r="BI155" s="63">
        <f t="shared" si="316"/>
        <v>900</v>
      </c>
      <c r="BJ155" s="64"/>
      <c r="BK155" s="64">
        <v>900</v>
      </c>
      <c r="BL155" s="64"/>
      <c r="BM155" s="65"/>
      <c r="BN155" s="64">
        <f t="shared" si="317"/>
        <v>11452</v>
      </c>
      <c r="BO155" s="65">
        <f t="shared" si="308"/>
        <v>0.17811790991915341</v>
      </c>
      <c r="BP155" s="1071"/>
      <c r="BQ155" s="35">
        <f>BS154</f>
        <v>43857</v>
      </c>
      <c r="BR155" s="35"/>
      <c r="BS155" s="35">
        <f>16388+27469</f>
        <v>43857</v>
      </c>
      <c r="BT155" s="35"/>
      <c r="BU155" s="74"/>
      <c r="BV155" s="74">
        <f>BV154+BT155</f>
        <v>471747</v>
      </c>
      <c r="BW155" s="74">
        <f t="shared" si="304"/>
        <v>586.10620898465072</v>
      </c>
      <c r="BX155" s="1098"/>
    </row>
    <row r="156" spans="1:76" ht="15.75" thickBot="1">
      <c r="A156" s="263">
        <v>43373</v>
      </c>
      <c r="B156" s="78">
        <v>276268</v>
      </c>
      <c r="C156" s="78">
        <f t="shared" si="297"/>
        <v>64570757</v>
      </c>
      <c r="D156" s="78">
        <v>1539.66</v>
      </c>
      <c r="E156" s="94">
        <f t="shared" si="298"/>
        <v>806422.79000000039</v>
      </c>
      <c r="F156" s="231">
        <v>0</v>
      </c>
      <c r="G156" s="231">
        <f>19440+20290+30590+18380</f>
        <v>88700</v>
      </c>
      <c r="H156" s="231">
        <v>36400</v>
      </c>
      <c r="I156" s="231">
        <f t="shared" ref="I156:I165" si="322">F156+G156-H156</f>
        <v>52300</v>
      </c>
      <c r="J156" s="228"/>
      <c r="K156" s="231">
        <f>K155+I156</f>
        <v>52300</v>
      </c>
      <c r="L156" s="230">
        <f t="shared" ref="L156:L202" si="323">K156/C156</f>
        <v>8.0996417619821307E-4</v>
      </c>
      <c r="M156" s="230">
        <f>L156*0.12/0.98</f>
        <v>9.9179286881413841E-5</v>
      </c>
      <c r="N156" s="1090"/>
      <c r="O156" s="1085"/>
      <c r="P156" s="79">
        <f t="shared" si="318"/>
        <v>55626</v>
      </c>
      <c r="Q156" s="76"/>
      <c r="R156" s="76">
        <v>55626</v>
      </c>
      <c r="S156" s="76"/>
      <c r="T156" s="80"/>
      <c r="U156" s="81">
        <f t="shared" si="319"/>
        <v>260653</v>
      </c>
      <c r="V156" s="80">
        <f t="shared" si="305"/>
        <v>4.0367034879272055</v>
      </c>
      <c r="W156" s="1136"/>
      <c r="X156" s="83">
        <f t="shared" si="320"/>
        <v>613</v>
      </c>
      <c r="Y156" s="82"/>
      <c r="Z156" s="82">
        <f>476+103</f>
        <v>579</v>
      </c>
      <c r="AA156" s="82">
        <f>X156+Y156-Z156</f>
        <v>34</v>
      </c>
      <c r="AB156" s="84"/>
      <c r="AC156" s="82">
        <f t="shared" si="321"/>
        <v>8667</v>
      </c>
      <c r="AD156" s="84">
        <f t="shared" si="306"/>
        <v>0.13422484732523735</v>
      </c>
      <c r="AE156" s="1047"/>
      <c r="AF156" s="95">
        <f t="shared" si="312"/>
        <v>925</v>
      </c>
      <c r="AG156" s="96"/>
      <c r="AH156" s="96">
        <v>905</v>
      </c>
      <c r="AI156" s="96">
        <f t="shared" si="311"/>
        <v>20</v>
      </c>
      <c r="AJ156" s="97">
        <f>AI156*1000/B156</f>
        <v>7.2393473004473921E-2</v>
      </c>
      <c r="AK156" s="96">
        <f t="shared" si="313"/>
        <v>5655</v>
      </c>
      <c r="AL156" s="97">
        <f t="shared" si="307"/>
        <v>8.7578344481852671E-2</v>
      </c>
      <c r="AM156" s="1058"/>
      <c r="AN156" s="215">
        <v>2.2999999999999998</v>
      </c>
      <c r="AO156" s="101">
        <v>24</v>
      </c>
      <c r="AP156" s="111">
        <f t="shared" si="287"/>
        <v>29.256</v>
      </c>
      <c r="AQ156" s="111">
        <f>AP156*1000/D156</f>
        <v>19.001597755348584</v>
      </c>
      <c r="AR156" s="112">
        <f t="shared" si="288"/>
        <v>7177.3056000000015</v>
      </c>
      <c r="AS156" s="181">
        <f t="shared" si="277"/>
        <v>8.900177039887474</v>
      </c>
      <c r="AT156" s="1074"/>
      <c r="AU156" s="113">
        <v>1.2</v>
      </c>
      <c r="AV156" s="104">
        <v>10</v>
      </c>
      <c r="AW156" s="105">
        <f t="shared" si="289"/>
        <v>5.6040000000000001</v>
      </c>
      <c r="AX156" s="105">
        <f>AW156*1000/D156</f>
        <v>3.6397646233584036</v>
      </c>
      <c r="AY156" s="106">
        <f t="shared" si="290"/>
        <v>2399.2590000000009</v>
      </c>
      <c r="AZ156" s="193">
        <f t="shared" si="278"/>
        <v>2.9751874943911241</v>
      </c>
      <c r="BA156" s="1075"/>
      <c r="BB156" s="87">
        <f t="shared" si="314"/>
        <v>12499</v>
      </c>
      <c r="BC156" s="100"/>
      <c r="BD156" s="252">
        <v>11887</v>
      </c>
      <c r="BE156" s="88">
        <f>BB156+BC156-BD156</f>
        <v>612</v>
      </c>
      <c r="BF156" s="89">
        <f t="shared" si="315"/>
        <v>84679</v>
      </c>
      <c r="BG156" s="89">
        <f t="shared" si="279"/>
        <v>105.00571294618292</v>
      </c>
      <c r="BH156" s="1134"/>
      <c r="BI156" s="207">
        <f t="shared" si="316"/>
        <v>900</v>
      </c>
      <c r="BJ156" s="85"/>
      <c r="BK156" s="85">
        <v>744</v>
      </c>
      <c r="BL156" s="85">
        <f>BI156+BJ156-BK156</f>
        <v>156</v>
      </c>
      <c r="BM156" s="86">
        <f>BL156*1000/B156</f>
        <v>0.56466908943489658</v>
      </c>
      <c r="BN156" s="85">
        <f t="shared" si="317"/>
        <v>11608</v>
      </c>
      <c r="BO156" s="86">
        <f t="shared" si="308"/>
        <v>0.17977178121049439</v>
      </c>
      <c r="BP156" s="1071"/>
      <c r="BQ156" s="79">
        <f>BS155</f>
        <v>43857</v>
      </c>
      <c r="BR156" s="76"/>
      <c r="BS156" s="76">
        <f t="shared" ref="BS156:BS161" si="324">14539+27469</f>
        <v>42008</v>
      </c>
      <c r="BT156" s="76">
        <f>BQ156-BS156+BR156</f>
        <v>1849</v>
      </c>
      <c r="BU156" s="81">
        <f>BT156*1000/D156</f>
        <v>1200.9144876141486</v>
      </c>
      <c r="BV156" s="81">
        <f>BV155+BT156</f>
        <v>473596</v>
      </c>
      <c r="BW156" s="81">
        <f t="shared" si="304"/>
        <v>587.28002962317044</v>
      </c>
      <c r="BX156" s="1098"/>
    </row>
    <row r="157" spans="1:76">
      <c r="A157" s="262">
        <v>43374</v>
      </c>
      <c r="B157" s="1"/>
      <c r="C157" s="1">
        <f>C156+B157</f>
        <v>64570757</v>
      </c>
      <c r="D157" s="1"/>
      <c r="E157" s="91">
        <f>E156+D157</f>
        <v>806422.79000000039</v>
      </c>
      <c r="F157" s="242">
        <f>H156</f>
        <v>36400</v>
      </c>
      <c r="G157" s="241">
        <v>0</v>
      </c>
      <c r="H157" s="241">
        <v>26400</v>
      </c>
      <c r="I157" s="241">
        <f t="shared" si="322"/>
        <v>10000</v>
      </c>
      <c r="J157" s="229"/>
      <c r="K157" s="241">
        <f>K156+I157</f>
        <v>62300</v>
      </c>
      <c r="L157" s="269">
        <f t="shared" si="323"/>
        <v>9.6483304354012757E-4</v>
      </c>
      <c r="M157" s="269">
        <f>L157*0.12/0.98</f>
        <v>1.1814282165797481E-4</v>
      </c>
      <c r="N157" s="1052">
        <f>1000*SUM(H157:H187)/SUM(B157:B187)</f>
        <v>30.613436475859153</v>
      </c>
      <c r="O157" s="1083">
        <f>0.12*N157/0.98</f>
        <v>3.748584058268468</v>
      </c>
      <c r="P157" s="35">
        <f t="shared" si="318"/>
        <v>55626</v>
      </c>
      <c r="Q157" s="98"/>
      <c r="R157" s="35">
        <v>55626</v>
      </c>
      <c r="S157" s="35"/>
      <c r="T157" s="246"/>
      <c r="U157" s="74">
        <f t="shared" si="319"/>
        <v>260653</v>
      </c>
      <c r="V157" s="36">
        <f t="shared" ref="V157:V187" si="325">1000*U157/C157</f>
        <v>4.0367034879272055</v>
      </c>
      <c r="W157" s="1135">
        <f>1000*SUM(S157:S186)/SUM(B157:B187)</f>
        <v>0.58639348683176973</v>
      </c>
      <c r="X157" s="49">
        <f t="shared" si="320"/>
        <v>579</v>
      </c>
      <c r="Y157" s="248"/>
      <c r="Z157" s="122">
        <f>476+103</f>
        <v>579</v>
      </c>
      <c r="AA157" s="50"/>
      <c r="AB157" s="248"/>
      <c r="AC157" s="50">
        <f t="shared" si="321"/>
        <v>8667</v>
      </c>
      <c r="AD157" s="51">
        <f t="shared" si="306"/>
        <v>0.13422484732523735</v>
      </c>
      <c r="AE157" s="1046">
        <f>1000*SUM(AA157:AA187)/SUM(B157:B187)</f>
        <v>7.7849756131438394E-2</v>
      </c>
      <c r="AF157" s="40">
        <f t="shared" si="312"/>
        <v>905</v>
      </c>
      <c r="AG157" s="44"/>
      <c r="AH157" s="125">
        <v>905</v>
      </c>
      <c r="AI157" s="41"/>
      <c r="AJ157" s="42"/>
      <c r="AK157" s="41">
        <f t="shared" si="313"/>
        <v>5655</v>
      </c>
      <c r="AL157" s="42">
        <f t="shared" si="307"/>
        <v>8.7578344481852671E-2</v>
      </c>
      <c r="AM157" s="1057">
        <f>1000*SUM(AI157:AI187)/SUM(B157:B187)</f>
        <v>0.14253786284497172</v>
      </c>
      <c r="AN157" s="219"/>
      <c r="AO157" s="135">
        <v>24</v>
      </c>
      <c r="AP157" s="135"/>
      <c r="AQ157" s="135"/>
      <c r="AR157" s="257">
        <f>AR156+AP157</f>
        <v>7177.3056000000015</v>
      </c>
      <c r="AS157" s="102">
        <f>AR157*1000/E157</f>
        <v>8.900177039887474</v>
      </c>
      <c r="AT157" s="1064">
        <f>1000*SUM(AP157:AP187)/SUM(D157:D187)</f>
        <v>14.537827183718072</v>
      </c>
      <c r="AU157" s="71"/>
      <c r="AV157" s="71">
        <v>10</v>
      </c>
      <c r="AW157" s="72"/>
      <c r="AX157" s="72"/>
      <c r="AY157" s="276">
        <f>AY156+AW157</f>
        <v>2399.2590000000009</v>
      </c>
      <c r="AZ157" s="72">
        <f>AY157*1000/E157</f>
        <v>2.9751874943911241</v>
      </c>
      <c r="BA157" s="1065">
        <f>1000*SUM(AW157:AW187)/SUM(D157:D187)</f>
        <v>3.8682895851165391</v>
      </c>
      <c r="BB157" s="90">
        <f t="shared" si="314"/>
        <v>11887</v>
      </c>
      <c r="BC157" s="59"/>
      <c r="BD157" s="251">
        <v>11887</v>
      </c>
      <c r="BE157" s="57"/>
      <c r="BF157" s="58">
        <f t="shared" si="315"/>
        <v>84679</v>
      </c>
      <c r="BG157" s="58">
        <f t="shared" si="279"/>
        <v>105.00571294618292</v>
      </c>
      <c r="BH157" s="1132">
        <f>1000*SUM(BE157:BE187)/SUM(D157:D187)</f>
        <v>108.36153645252215</v>
      </c>
      <c r="BI157" s="63">
        <f t="shared" si="316"/>
        <v>744</v>
      </c>
      <c r="BJ157" s="133"/>
      <c r="BK157" s="64">
        <v>744</v>
      </c>
      <c r="BL157" s="64"/>
      <c r="BM157" s="64"/>
      <c r="BN157" s="64">
        <f t="shared" si="317"/>
        <v>11608</v>
      </c>
      <c r="BO157" s="65">
        <f t="shared" si="308"/>
        <v>0.17977178121049439</v>
      </c>
      <c r="BP157" s="1067">
        <f>1000*SUM(BL157:BL187)/SUM(B157:B187)</f>
        <v>0.22234786463439599</v>
      </c>
      <c r="BQ157" s="117">
        <f>BS156</f>
        <v>42008</v>
      </c>
      <c r="BR157" s="118"/>
      <c r="BS157" s="118">
        <f t="shared" si="324"/>
        <v>42008</v>
      </c>
      <c r="BT157" s="118"/>
      <c r="BU157" s="118"/>
      <c r="BV157" s="118">
        <f>BV156+BT157</f>
        <v>473596</v>
      </c>
      <c r="BW157" s="120">
        <f>BV157*1000/E157</f>
        <v>587.28002962317044</v>
      </c>
      <c r="BX157" s="1063">
        <f>1000*SUM(BT157:BT187)/SUM(D157:D187)</f>
        <v>719.24177703867042</v>
      </c>
    </row>
    <row r="158" spans="1:76">
      <c r="A158" s="262">
        <v>43375</v>
      </c>
      <c r="B158" s="1">
        <v>129305</v>
      </c>
      <c r="C158" s="1">
        <f>C157+B158</f>
        <v>64700062</v>
      </c>
      <c r="D158" s="1">
        <v>2948.84</v>
      </c>
      <c r="E158" s="91">
        <f>E157+D158</f>
        <v>809371.63000000035</v>
      </c>
      <c r="F158" s="243">
        <f>H157</f>
        <v>26400</v>
      </c>
      <c r="G158" s="240">
        <v>0</v>
      </c>
      <c r="H158" s="240">
        <v>16400</v>
      </c>
      <c r="I158" s="240">
        <f t="shared" si="322"/>
        <v>10000</v>
      </c>
      <c r="J158" s="227"/>
      <c r="K158" s="240">
        <f>K157+I158</f>
        <v>72300</v>
      </c>
      <c r="L158" s="267">
        <f t="shared" si="323"/>
        <v>1.1174641532801005E-3</v>
      </c>
      <c r="M158" s="267">
        <f>L158*0.12/0.98</f>
        <v>1.3683234529960413E-4</v>
      </c>
      <c r="N158" s="1089"/>
      <c r="O158" s="1084"/>
      <c r="P158" s="35">
        <f t="shared" si="318"/>
        <v>55626</v>
      </c>
      <c r="Q158" s="98"/>
      <c r="R158" s="35">
        <v>55626</v>
      </c>
      <c r="S158" s="35"/>
      <c r="T158" s="246"/>
      <c r="U158" s="74">
        <f t="shared" si="319"/>
        <v>260653</v>
      </c>
      <c r="V158" s="36">
        <f t="shared" si="325"/>
        <v>4.0286360158356569</v>
      </c>
      <c r="W158" s="1136"/>
      <c r="X158" s="49">
        <f t="shared" si="320"/>
        <v>579</v>
      </c>
      <c r="Y158" s="248"/>
      <c r="Z158" s="50">
        <f>476+90</f>
        <v>566</v>
      </c>
      <c r="AA158" s="50">
        <f>X158+Y158-Z158</f>
        <v>13</v>
      </c>
      <c r="AB158" s="249">
        <f>1000*AA158/B158</f>
        <v>0.10053748888287382</v>
      </c>
      <c r="AC158" s="50">
        <f t="shared" si="321"/>
        <v>8680</v>
      </c>
      <c r="AD158" s="51">
        <f t="shared" si="306"/>
        <v>0.13415752213653212</v>
      </c>
      <c r="AE158" s="1047"/>
      <c r="AF158" s="40">
        <f t="shared" si="312"/>
        <v>905</v>
      </c>
      <c r="AG158" s="44"/>
      <c r="AH158" s="41">
        <v>805</v>
      </c>
      <c r="AI158" s="41">
        <f>AF158+AG158-AH158</f>
        <v>100</v>
      </c>
      <c r="AJ158" s="42">
        <f>AI158*1000/B158</f>
        <v>0.7733652990990294</v>
      </c>
      <c r="AK158" s="41">
        <f t="shared" si="313"/>
        <v>5755</v>
      </c>
      <c r="AL158" s="42">
        <f t="shared" si="307"/>
        <v>8.8948910126237596E-2</v>
      </c>
      <c r="AM158" s="1058"/>
      <c r="AN158" s="220">
        <v>1.5</v>
      </c>
      <c r="AO158" s="67">
        <v>24</v>
      </c>
      <c r="AP158" s="67">
        <f t="shared" ref="AP158:AP163" si="326">AN158*AO158*0.53</f>
        <v>19.080000000000002</v>
      </c>
      <c r="AQ158" s="68">
        <f t="shared" ref="AQ158:AQ163" si="327">AP158*1000/D158</f>
        <v>6.4703408798035849</v>
      </c>
      <c r="AR158" s="258">
        <f>AR157+AP158</f>
        <v>7196.3856000000014</v>
      </c>
      <c r="AS158" s="68">
        <f>AR158*1000/E158</f>
        <v>8.8913242486643593</v>
      </c>
      <c r="AT158" s="1073"/>
      <c r="AU158" s="71">
        <v>2</v>
      </c>
      <c r="AV158" s="71">
        <v>10</v>
      </c>
      <c r="AW158" s="72">
        <f>AU158*AV158*0.467</f>
        <v>9.34</v>
      </c>
      <c r="AX158" s="72">
        <f>AW158*1000/D158</f>
        <v>3.1673471602392804</v>
      </c>
      <c r="AY158" s="276">
        <f>AY157+AW158</f>
        <v>2408.5990000000011</v>
      </c>
      <c r="AZ158" s="72">
        <f>AY158*1000/E158</f>
        <v>2.975887603077958</v>
      </c>
      <c r="BA158" s="1075"/>
      <c r="BB158" s="253">
        <f t="shared" si="314"/>
        <v>11887</v>
      </c>
      <c r="BC158" s="59"/>
      <c r="BD158" s="252">
        <v>11887</v>
      </c>
      <c r="BE158" s="57"/>
      <c r="BF158" s="58">
        <f t="shared" si="315"/>
        <v>84679</v>
      </c>
      <c r="BG158" s="58">
        <f t="shared" si="279"/>
        <v>104.62313832275041</v>
      </c>
      <c r="BH158" s="1133"/>
      <c r="BI158" s="63">
        <f t="shared" si="316"/>
        <v>744</v>
      </c>
      <c r="BJ158" s="133"/>
      <c r="BK158" s="64">
        <v>744</v>
      </c>
      <c r="BL158" s="64"/>
      <c r="BM158" s="64"/>
      <c r="BN158" s="64">
        <f t="shared" si="317"/>
        <v>11608</v>
      </c>
      <c r="BO158" s="65">
        <f t="shared" si="308"/>
        <v>0.17941250195401667</v>
      </c>
      <c r="BP158" s="1071"/>
      <c r="BQ158" s="77">
        <f>BS157</f>
        <v>42008</v>
      </c>
      <c r="BR158" s="35"/>
      <c r="BS158" s="35">
        <f t="shared" si="324"/>
        <v>42008</v>
      </c>
      <c r="BT158" s="35"/>
      <c r="BU158" s="35"/>
      <c r="BV158" s="35">
        <f>BV157+BT158</f>
        <v>473596</v>
      </c>
      <c r="BW158" s="74">
        <f>BV158*1000/E158</f>
        <v>585.14035141063664</v>
      </c>
      <c r="BX158" s="1098"/>
    </row>
    <row r="159" spans="1:76">
      <c r="A159" s="262">
        <v>43376</v>
      </c>
      <c r="B159" s="1">
        <v>278976</v>
      </c>
      <c r="C159" s="1">
        <f t="shared" ref="C159:C202" si="328">C158+B159</f>
        <v>64979038</v>
      </c>
      <c r="D159" s="1">
        <v>1855.64</v>
      </c>
      <c r="E159" s="91">
        <f t="shared" ref="E159:E202" si="329">E158+D159</f>
        <v>811227.27000000037</v>
      </c>
      <c r="F159" s="243">
        <f t="shared" ref="F159:F165" si="330">H158</f>
        <v>16400</v>
      </c>
      <c r="G159" s="240">
        <v>0</v>
      </c>
      <c r="H159" s="240">
        <v>6400</v>
      </c>
      <c r="I159" s="240">
        <f t="shared" si="322"/>
        <v>10000</v>
      </c>
      <c r="J159" s="227"/>
      <c r="K159" s="240">
        <f t="shared" ref="K159:K202" si="331">K158+I159</f>
        <v>82300</v>
      </c>
      <c r="L159" s="267">
        <f t="shared" si="323"/>
        <v>1.2665623027536973E-3</v>
      </c>
      <c r="M159" s="267">
        <f t="shared" ref="M159:M202" si="332">L159*0.12/0.98</f>
        <v>1.550892615616772E-4</v>
      </c>
      <c r="N159" s="1089"/>
      <c r="O159" s="1084"/>
      <c r="P159" s="35">
        <f t="shared" ref="P159:P187" si="333">R158</f>
        <v>55626</v>
      </c>
      <c r="Q159" s="98"/>
      <c r="R159" s="35">
        <v>55626</v>
      </c>
      <c r="S159" s="35"/>
      <c r="T159" s="246"/>
      <c r="U159" s="74">
        <f t="shared" ref="U159:U187" si="334">U158+S159</f>
        <v>260653</v>
      </c>
      <c r="V159" s="36">
        <f t="shared" si="325"/>
        <v>4.0113397800687665</v>
      </c>
      <c r="W159" s="1136"/>
      <c r="X159" s="49">
        <f t="shared" ref="X159:X187" si="335">Z158</f>
        <v>566</v>
      </c>
      <c r="Y159" s="248"/>
      <c r="Z159" s="50">
        <f>476+90</f>
        <v>566</v>
      </c>
      <c r="AA159" s="50"/>
      <c r="AB159" s="249"/>
      <c r="AC159" s="50">
        <f t="shared" ref="AC159:AC188" si="336">AC158+AA159</f>
        <v>8680</v>
      </c>
      <c r="AD159" s="51">
        <f t="shared" ref="AD159:AD188" si="337">AC159*1000/C159</f>
        <v>0.1335815405577411</v>
      </c>
      <c r="AE159" s="1047"/>
      <c r="AF159" s="40">
        <f t="shared" ref="AF159:AF187" si="338">AH158</f>
        <v>805</v>
      </c>
      <c r="AG159" s="44"/>
      <c r="AH159" s="41">
        <v>805</v>
      </c>
      <c r="AI159" s="41"/>
      <c r="AJ159" s="42"/>
      <c r="AK159" s="41">
        <f t="shared" ref="AK159:AK169" si="339">AK158+AI159</f>
        <v>5755</v>
      </c>
      <c r="AL159" s="42">
        <f t="shared" ref="AL159:AL169" si="340">AK159*1000/C159</f>
        <v>8.8567023722327193E-2</v>
      </c>
      <c r="AM159" s="1058"/>
      <c r="AN159" s="220">
        <v>3.5</v>
      </c>
      <c r="AO159" s="67">
        <v>24</v>
      </c>
      <c r="AP159" s="67">
        <f t="shared" si="326"/>
        <v>44.52</v>
      </c>
      <c r="AQ159" s="68">
        <f t="shared" si="327"/>
        <v>23.991722532387747</v>
      </c>
      <c r="AR159" s="258">
        <f t="shared" ref="AR159:AR187" si="341">AR158+AP159</f>
        <v>7240.9056000000019</v>
      </c>
      <c r="AS159" s="68">
        <f t="shared" ref="AS159:AS187" si="342">AR159*1000/E159</f>
        <v>8.9258656208635561</v>
      </c>
      <c r="AT159" s="1073"/>
      <c r="AU159" s="71"/>
      <c r="AV159" s="71">
        <v>10</v>
      </c>
      <c r="AW159" s="72"/>
      <c r="AX159" s="72"/>
      <c r="AY159" s="276">
        <f t="shared" ref="AY159:AY188" si="343">AY158+AW159</f>
        <v>2408.5990000000011</v>
      </c>
      <c r="AZ159" s="72">
        <f t="shared" ref="AZ159:AZ188" si="344">AY159*1000/E159</f>
        <v>2.9690804156522006</v>
      </c>
      <c r="BA159" s="1075"/>
      <c r="BB159" s="253">
        <f t="shared" ref="BB159:BB187" si="345">BD158</f>
        <v>11887</v>
      </c>
      <c r="BC159" s="59"/>
      <c r="BD159" s="252">
        <v>11887</v>
      </c>
      <c r="BE159" s="57"/>
      <c r="BF159" s="58">
        <f t="shared" ref="BF159:BF187" si="346">BF158+BE159</f>
        <v>84679</v>
      </c>
      <c r="BG159" s="58">
        <f t="shared" ref="BG159:BG187" si="347">BF159*1000/E159</f>
        <v>104.38381835955781</v>
      </c>
      <c r="BH159" s="1133"/>
      <c r="BI159" s="63">
        <f t="shared" ref="BI159:BI187" si="348">BK158</f>
        <v>744</v>
      </c>
      <c r="BJ159" s="133"/>
      <c r="BK159" s="64">
        <v>600</v>
      </c>
      <c r="BL159" s="64">
        <f t="shared" ref="BL159:BL169" si="349">BI159+BJ159-BK159</f>
        <v>144</v>
      </c>
      <c r="BM159" s="65">
        <f>1000*BL159/B159</f>
        <v>0.51617343427391604</v>
      </c>
      <c r="BN159" s="64">
        <f t="shared" ref="BN159:BN187" si="350">BN158+BL159</f>
        <v>11752</v>
      </c>
      <c r="BO159" s="65">
        <f t="shared" ref="BO159:BO187" si="351">BN159*1000/C159</f>
        <v>0.18085832541872965</v>
      </c>
      <c r="BP159" s="1071"/>
      <c r="BQ159" s="77">
        <f t="shared" ref="BQ159:BQ187" si="352">BS158</f>
        <v>42008</v>
      </c>
      <c r="BR159" s="35"/>
      <c r="BS159" s="35">
        <f t="shared" si="324"/>
        <v>42008</v>
      </c>
      <c r="BT159" s="35"/>
      <c r="BU159" s="35"/>
      <c r="BV159" s="35">
        <f t="shared" ref="BV159:BV187" si="353">BV158+BT159</f>
        <v>473596</v>
      </c>
      <c r="BW159" s="74">
        <f t="shared" ref="BW159:BW187" si="354">BV159*1000/E159</f>
        <v>583.80187342567979</v>
      </c>
      <c r="BX159" s="1098"/>
    </row>
    <row r="160" spans="1:76">
      <c r="A160" s="262">
        <v>43377</v>
      </c>
      <c r="B160" s="1">
        <v>251550</v>
      </c>
      <c r="C160" s="1">
        <f t="shared" si="328"/>
        <v>65230588</v>
      </c>
      <c r="D160" s="1">
        <v>3651.62</v>
      </c>
      <c r="E160" s="91">
        <f t="shared" si="329"/>
        <v>814878.89000000036</v>
      </c>
      <c r="F160" s="243">
        <f t="shared" si="330"/>
        <v>6400</v>
      </c>
      <c r="G160" s="240">
        <v>0</v>
      </c>
      <c r="H160" s="240">
        <v>0</v>
      </c>
      <c r="I160" s="240">
        <f t="shared" si="322"/>
        <v>6400</v>
      </c>
      <c r="J160" s="227"/>
      <c r="K160" s="240">
        <f t="shared" si="331"/>
        <v>88700</v>
      </c>
      <c r="L160" s="267">
        <f t="shared" si="323"/>
        <v>1.3597915137603849E-3</v>
      </c>
      <c r="M160" s="267">
        <f t="shared" si="332"/>
        <v>1.6650508331759816E-4</v>
      </c>
      <c r="N160" s="1089"/>
      <c r="O160" s="1084"/>
      <c r="P160" s="35">
        <f t="shared" si="333"/>
        <v>55626</v>
      </c>
      <c r="Q160" s="98"/>
      <c r="R160" s="35">
        <v>55626</v>
      </c>
      <c r="S160" s="35"/>
      <c r="T160" s="246"/>
      <c r="U160" s="74">
        <f t="shared" si="334"/>
        <v>260653</v>
      </c>
      <c r="V160" s="36">
        <f t="shared" si="325"/>
        <v>3.9958707715466248</v>
      </c>
      <c r="W160" s="1136"/>
      <c r="X160" s="49">
        <f t="shared" si="335"/>
        <v>566</v>
      </c>
      <c r="Y160" s="248"/>
      <c r="Z160" s="50">
        <f>476+85</f>
        <v>561</v>
      </c>
      <c r="AA160" s="50">
        <f>X160+Y160-Z160</f>
        <v>5</v>
      </c>
      <c r="AB160" s="249">
        <f>1000*AA160/B160</f>
        <v>1.9876764062810574E-2</v>
      </c>
      <c r="AC160" s="50">
        <f t="shared" si="336"/>
        <v>8685</v>
      </c>
      <c r="AD160" s="51">
        <f t="shared" si="337"/>
        <v>0.13314305859085618</v>
      </c>
      <c r="AE160" s="1047"/>
      <c r="AF160" s="40">
        <f t="shared" si="338"/>
        <v>805</v>
      </c>
      <c r="AG160" s="44"/>
      <c r="AH160" s="41">
        <v>805</v>
      </c>
      <c r="AI160" s="41"/>
      <c r="AJ160" s="42"/>
      <c r="AK160" s="41">
        <f t="shared" si="339"/>
        <v>5755</v>
      </c>
      <c r="AL160" s="42">
        <f t="shared" si="340"/>
        <v>8.8225480966076839E-2</v>
      </c>
      <c r="AM160" s="1058"/>
      <c r="AN160" s="220">
        <v>2.8</v>
      </c>
      <c r="AO160" s="67">
        <v>24</v>
      </c>
      <c r="AP160" s="68">
        <f t="shared" si="326"/>
        <v>35.615999999999993</v>
      </c>
      <c r="AQ160" s="68">
        <f t="shared" si="327"/>
        <v>9.7534792776904489</v>
      </c>
      <c r="AR160" s="258">
        <f t="shared" si="341"/>
        <v>7276.5216000000019</v>
      </c>
      <c r="AS160" s="68">
        <f t="shared" si="342"/>
        <v>8.9295743076618397</v>
      </c>
      <c r="AT160" s="1073"/>
      <c r="AU160" s="71">
        <v>2.9</v>
      </c>
      <c r="AV160" s="71">
        <v>10</v>
      </c>
      <c r="AW160" s="72">
        <f t="shared" ref="AW160:AW188" si="355">AU160*AV160*0.467</f>
        <v>13.543000000000001</v>
      </c>
      <c r="AX160" s="72">
        <f>AW160*1000/D160</f>
        <v>3.7087648769587203</v>
      </c>
      <c r="AY160" s="276">
        <f t="shared" si="343"/>
        <v>2422.1420000000012</v>
      </c>
      <c r="AZ160" s="72">
        <f t="shared" si="344"/>
        <v>2.9723950757885018</v>
      </c>
      <c r="BA160" s="1075"/>
      <c r="BB160" s="253">
        <f t="shared" si="345"/>
        <v>11887</v>
      </c>
      <c r="BC160" s="59"/>
      <c r="BD160" s="252">
        <v>11887</v>
      </c>
      <c r="BE160" s="57"/>
      <c r="BF160" s="58">
        <f t="shared" si="346"/>
        <v>84679</v>
      </c>
      <c r="BG160" s="58">
        <f t="shared" si="347"/>
        <v>103.9160555502916</v>
      </c>
      <c r="BH160" s="1133"/>
      <c r="BI160" s="63">
        <f t="shared" si="348"/>
        <v>600</v>
      </c>
      <c r="BJ160" s="133"/>
      <c r="BK160" s="64">
        <v>468</v>
      </c>
      <c r="BL160" s="64">
        <f t="shared" si="349"/>
        <v>132</v>
      </c>
      <c r="BM160" s="65">
        <f t="shared" ref="BM160:BM169" si="356">1000*BL160/B160</f>
        <v>0.52474657125819912</v>
      </c>
      <c r="BN160" s="64">
        <f t="shared" si="350"/>
        <v>11884</v>
      </c>
      <c r="BO160" s="65">
        <f t="shared" si="351"/>
        <v>0.18218446842760333</v>
      </c>
      <c r="BP160" s="1071"/>
      <c r="BQ160" s="77">
        <f t="shared" si="352"/>
        <v>42008</v>
      </c>
      <c r="BR160" s="35"/>
      <c r="BS160" s="35">
        <f t="shared" si="324"/>
        <v>42008</v>
      </c>
      <c r="BT160" s="35"/>
      <c r="BU160" s="35"/>
      <c r="BV160" s="35">
        <f t="shared" si="353"/>
        <v>473596</v>
      </c>
      <c r="BW160" s="74">
        <f t="shared" si="354"/>
        <v>581.18575141883946</v>
      </c>
      <c r="BX160" s="1098"/>
    </row>
    <row r="161" spans="1:76">
      <c r="A161" s="262">
        <v>43378</v>
      </c>
      <c r="B161" s="1">
        <v>289581</v>
      </c>
      <c r="C161" s="1">
        <f t="shared" si="328"/>
        <v>65520169</v>
      </c>
      <c r="D161" s="1">
        <v>4745.66</v>
      </c>
      <c r="E161" s="91">
        <f t="shared" si="329"/>
        <v>819624.5500000004</v>
      </c>
      <c r="F161" s="243">
        <f t="shared" si="330"/>
        <v>0</v>
      </c>
      <c r="G161" s="240">
        <v>29780</v>
      </c>
      <c r="H161" s="240">
        <v>29780</v>
      </c>
      <c r="I161" s="240">
        <f t="shared" si="322"/>
        <v>0</v>
      </c>
      <c r="J161" s="227"/>
      <c r="K161" s="240">
        <f t="shared" si="331"/>
        <v>88700</v>
      </c>
      <c r="L161" s="267">
        <f t="shared" si="323"/>
        <v>1.3537816118880889E-3</v>
      </c>
      <c r="M161" s="267">
        <f t="shared" si="332"/>
        <v>1.6576917696588844E-4</v>
      </c>
      <c r="N161" s="1089"/>
      <c r="O161" s="1084"/>
      <c r="P161" s="35">
        <f t="shared" si="333"/>
        <v>55626</v>
      </c>
      <c r="Q161" s="98"/>
      <c r="R161" s="35">
        <v>55626</v>
      </c>
      <c r="S161" s="35"/>
      <c r="T161" s="246"/>
      <c r="U161" s="74">
        <f t="shared" si="334"/>
        <v>260653</v>
      </c>
      <c r="V161" s="36">
        <f t="shared" si="325"/>
        <v>3.9782101294641046</v>
      </c>
      <c r="W161" s="1136"/>
      <c r="X161" s="49">
        <f t="shared" si="335"/>
        <v>561</v>
      </c>
      <c r="Y161" s="248"/>
      <c r="Z161" s="50">
        <f>476+55</f>
        <v>531</v>
      </c>
      <c r="AA161" s="50">
        <f>X161+Y161-Z161</f>
        <v>30</v>
      </c>
      <c r="AB161" s="249">
        <f>1000*AA161/B161</f>
        <v>0.103597957048287</v>
      </c>
      <c r="AC161" s="50">
        <f t="shared" si="336"/>
        <v>8715</v>
      </c>
      <c r="AD161" s="51">
        <f t="shared" si="337"/>
        <v>0.13301247742508113</v>
      </c>
      <c r="AE161" s="1047"/>
      <c r="AF161" s="40">
        <f t="shared" si="338"/>
        <v>805</v>
      </c>
      <c r="AG161" s="44"/>
      <c r="AH161" s="41">
        <v>745</v>
      </c>
      <c r="AI161" s="41">
        <f>AF161+AG161-AH161</f>
        <v>60</v>
      </c>
      <c r="AJ161" s="42">
        <f>AI161*1000/B161</f>
        <v>0.20719591409657401</v>
      </c>
      <c r="AK161" s="41">
        <f t="shared" si="339"/>
        <v>5815</v>
      </c>
      <c r="AL161" s="42">
        <f t="shared" si="340"/>
        <v>8.8751297329529175E-2</v>
      </c>
      <c r="AM161" s="1058"/>
      <c r="AN161" s="220">
        <v>5.4</v>
      </c>
      <c r="AO161" s="67">
        <v>24</v>
      </c>
      <c r="AP161" s="68">
        <f t="shared" si="326"/>
        <v>68.688000000000017</v>
      </c>
      <c r="AQ161" s="68">
        <f t="shared" si="327"/>
        <v>14.473856112743015</v>
      </c>
      <c r="AR161" s="258">
        <f t="shared" si="341"/>
        <v>7345.209600000002</v>
      </c>
      <c r="AS161" s="68">
        <f t="shared" si="342"/>
        <v>8.9616759283259615</v>
      </c>
      <c r="AT161" s="1073"/>
      <c r="AU161" s="71">
        <v>4</v>
      </c>
      <c r="AV161" s="71">
        <v>10</v>
      </c>
      <c r="AW161" s="72">
        <f t="shared" si="355"/>
        <v>18.68</v>
      </c>
      <c r="AX161" s="72">
        <f>AW161*1000/D161</f>
        <v>3.9362280483641898</v>
      </c>
      <c r="AY161" s="276">
        <f t="shared" si="343"/>
        <v>2440.822000000001</v>
      </c>
      <c r="AZ161" s="72">
        <f t="shared" si="344"/>
        <v>2.9779757085119032</v>
      </c>
      <c r="BA161" s="1075"/>
      <c r="BB161" s="253">
        <f t="shared" si="345"/>
        <v>11887</v>
      </c>
      <c r="BC161" s="59"/>
      <c r="BD161" s="252">
        <v>11887</v>
      </c>
      <c r="BE161" s="57"/>
      <c r="BF161" s="58">
        <f t="shared" si="346"/>
        <v>84679</v>
      </c>
      <c r="BG161" s="58">
        <f t="shared" si="347"/>
        <v>103.31437729628762</v>
      </c>
      <c r="BH161" s="1133"/>
      <c r="BI161" s="63">
        <f t="shared" si="348"/>
        <v>468</v>
      </c>
      <c r="BJ161" s="133"/>
      <c r="BK161" s="64">
        <v>408</v>
      </c>
      <c r="BL161" s="64">
        <f t="shared" si="349"/>
        <v>60</v>
      </c>
      <c r="BM161" s="65">
        <f t="shared" si="356"/>
        <v>0.20719591409657401</v>
      </c>
      <c r="BN161" s="64">
        <f t="shared" si="350"/>
        <v>11944</v>
      </c>
      <c r="BO161" s="65">
        <f t="shared" si="351"/>
        <v>0.18229501209009397</v>
      </c>
      <c r="BP161" s="1071"/>
      <c r="BQ161" s="77">
        <f t="shared" si="352"/>
        <v>42008</v>
      </c>
      <c r="BR161" s="35"/>
      <c r="BS161" s="35">
        <f t="shared" si="324"/>
        <v>42008</v>
      </c>
      <c r="BT161" s="35"/>
      <c r="BU161" s="35"/>
      <c r="BV161" s="35">
        <f t="shared" si="353"/>
        <v>473596</v>
      </c>
      <c r="BW161" s="74">
        <f t="shared" si="354"/>
        <v>577.820661911603</v>
      </c>
      <c r="BX161" s="1098"/>
    </row>
    <row r="162" spans="1:76">
      <c r="A162" s="262">
        <v>43379</v>
      </c>
      <c r="B162" s="1">
        <v>385219</v>
      </c>
      <c r="C162" s="1">
        <f t="shared" si="328"/>
        <v>65905388</v>
      </c>
      <c r="D162" s="1">
        <v>4726.54</v>
      </c>
      <c r="E162" s="91">
        <f t="shared" si="329"/>
        <v>824351.09000000043</v>
      </c>
      <c r="F162" s="243">
        <f t="shared" si="330"/>
        <v>29780</v>
      </c>
      <c r="G162" s="240">
        <v>0</v>
      </c>
      <c r="H162" s="240">
        <v>19780</v>
      </c>
      <c r="I162" s="240">
        <f t="shared" si="322"/>
        <v>10000</v>
      </c>
      <c r="J162" s="227"/>
      <c r="K162" s="240">
        <f t="shared" si="331"/>
        <v>98700</v>
      </c>
      <c r="L162" s="267">
        <f t="shared" si="323"/>
        <v>1.4976013797233089E-3</v>
      </c>
      <c r="M162" s="267">
        <f t="shared" si="332"/>
        <v>1.83379760782446E-4</v>
      </c>
      <c r="N162" s="1089"/>
      <c r="O162" s="1084"/>
      <c r="P162" s="35">
        <f t="shared" si="333"/>
        <v>55626</v>
      </c>
      <c r="Q162" s="98"/>
      <c r="R162" s="35">
        <v>55626</v>
      </c>
      <c r="S162" s="35"/>
      <c r="T162" s="246"/>
      <c r="U162" s="74">
        <f t="shared" si="334"/>
        <v>260653</v>
      </c>
      <c r="V162" s="36">
        <f t="shared" si="325"/>
        <v>3.9549573701015159</v>
      </c>
      <c r="W162" s="1136"/>
      <c r="X162" s="49">
        <f t="shared" si="335"/>
        <v>531</v>
      </c>
      <c r="Y162" s="248"/>
      <c r="Z162" s="50">
        <f>441+60</f>
        <v>501</v>
      </c>
      <c r="AA162" s="50">
        <f>X162+Y162-Z162</f>
        <v>30</v>
      </c>
      <c r="AB162" s="249">
        <f>1000*AA162/B162</f>
        <v>7.7877778614242804E-2</v>
      </c>
      <c r="AC162" s="50">
        <f t="shared" si="336"/>
        <v>8745</v>
      </c>
      <c r="AD162" s="51">
        <f t="shared" si="337"/>
        <v>0.13269021343141171</v>
      </c>
      <c r="AE162" s="1047"/>
      <c r="AF162" s="40">
        <f t="shared" si="338"/>
        <v>745</v>
      </c>
      <c r="AG162" s="44"/>
      <c r="AH162" s="41">
        <v>725</v>
      </c>
      <c r="AI162" s="41">
        <f>AF162+AG162-AH162</f>
        <v>20</v>
      </c>
      <c r="AJ162" s="42">
        <f>AI162*1000/B162</f>
        <v>5.1918519076161872E-2</v>
      </c>
      <c r="AK162" s="41">
        <f t="shared" si="339"/>
        <v>5835</v>
      </c>
      <c r="AL162" s="42">
        <f t="shared" si="340"/>
        <v>8.8536008618900777E-2</v>
      </c>
      <c r="AM162" s="1058"/>
      <c r="AN162" s="220">
        <v>3.8</v>
      </c>
      <c r="AO162" s="67">
        <v>24</v>
      </c>
      <c r="AP162" s="68">
        <f t="shared" si="326"/>
        <v>48.335999999999999</v>
      </c>
      <c r="AQ162" s="68">
        <f t="shared" si="327"/>
        <v>10.226508185691859</v>
      </c>
      <c r="AR162" s="258">
        <f t="shared" si="341"/>
        <v>7393.5456000000022</v>
      </c>
      <c r="AS162" s="68">
        <f t="shared" si="342"/>
        <v>8.9689280328361036</v>
      </c>
      <c r="AT162" s="1073"/>
      <c r="AU162" s="71">
        <v>4.2</v>
      </c>
      <c r="AV162" s="71">
        <v>10</v>
      </c>
      <c r="AW162" s="72">
        <f t="shared" si="355"/>
        <v>19.614000000000001</v>
      </c>
      <c r="AX162" s="72">
        <f>AW162*1000/D162</f>
        <v>4.14975859719795</v>
      </c>
      <c r="AY162" s="276">
        <f t="shared" si="343"/>
        <v>2460.4360000000011</v>
      </c>
      <c r="AZ162" s="72">
        <f t="shared" si="344"/>
        <v>2.9846943005801081</v>
      </c>
      <c r="BA162" s="1075"/>
      <c r="BB162" s="253">
        <f t="shared" si="345"/>
        <v>11887</v>
      </c>
      <c r="BC162" s="59"/>
      <c r="BD162" s="252">
        <v>11887</v>
      </c>
      <c r="BE162" s="57"/>
      <c r="BF162" s="58">
        <f t="shared" si="346"/>
        <v>84679</v>
      </c>
      <c r="BG162" s="58">
        <f t="shared" si="347"/>
        <v>102.72200889550587</v>
      </c>
      <c r="BH162" s="1133"/>
      <c r="BI162" s="63">
        <f t="shared" si="348"/>
        <v>408</v>
      </c>
      <c r="BJ162" s="133"/>
      <c r="BK162" s="64">
        <v>336</v>
      </c>
      <c r="BL162" s="64">
        <f t="shared" si="349"/>
        <v>72</v>
      </c>
      <c r="BM162" s="65">
        <f t="shared" si="356"/>
        <v>0.18690666867418274</v>
      </c>
      <c r="BN162" s="64">
        <f t="shared" si="350"/>
        <v>12016</v>
      </c>
      <c r="BO162" s="65">
        <f t="shared" si="351"/>
        <v>0.18232196736327536</v>
      </c>
      <c r="BP162" s="1071"/>
      <c r="BQ162" s="77">
        <f t="shared" si="352"/>
        <v>42008</v>
      </c>
      <c r="BR162" s="35"/>
      <c r="BS162" s="35">
        <f>8540+27469</f>
        <v>36009</v>
      </c>
      <c r="BT162" s="35">
        <f>BQ162-BS162+BR162</f>
        <v>5999</v>
      </c>
      <c r="BU162" s="74">
        <f>BT162*1000/D162</f>
        <v>1269.2159592429134</v>
      </c>
      <c r="BV162" s="35">
        <f t="shared" si="353"/>
        <v>479595</v>
      </c>
      <c r="BW162" s="74">
        <f t="shared" si="354"/>
        <v>581.78488003212294</v>
      </c>
      <c r="BX162" s="1098"/>
    </row>
    <row r="163" spans="1:76">
      <c r="A163" s="262">
        <v>43380</v>
      </c>
      <c r="B163" s="1">
        <v>368312</v>
      </c>
      <c r="C163" s="1">
        <f t="shared" si="328"/>
        <v>66273700</v>
      </c>
      <c r="D163" s="1">
        <v>3024.2400000000002</v>
      </c>
      <c r="E163" s="91">
        <f t="shared" si="329"/>
        <v>827375.33000000042</v>
      </c>
      <c r="F163" s="243">
        <f t="shared" si="330"/>
        <v>19780</v>
      </c>
      <c r="G163" s="240">
        <v>0</v>
      </c>
      <c r="H163" s="240">
        <v>9780</v>
      </c>
      <c r="I163" s="240">
        <f t="shared" si="322"/>
        <v>10000</v>
      </c>
      <c r="J163" s="227"/>
      <c r="K163" s="240">
        <f t="shared" si="331"/>
        <v>108700</v>
      </c>
      <c r="L163" s="267">
        <f t="shared" si="323"/>
        <v>1.640167970099753E-3</v>
      </c>
      <c r="M163" s="267">
        <f t="shared" si="332"/>
        <v>2.0083689429792892E-4</v>
      </c>
      <c r="N163" s="1089"/>
      <c r="O163" s="1084"/>
      <c r="P163" s="35">
        <f t="shared" si="333"/>
        <v>55626</v>
      </c>
      <c r="Q163" s="98"/>
      <c r="R163" s="35">
        <v>55626</v>
      </c>
      <c r="S163" s="35"/>
      <c r="T163" s="246"/>
      <c r="U163" s="74">
        <f t="shared" si="334"/>
        <v>260653</v>
      </c>
      <c r="V163" s="36">
        <f t="shared" si="325"/>
        <v>3.932977938458242</v>
      </c>
      <c r="W163" s="1136"/>
      <c r="X163" s="49">
        <f t="shared" si="335"/>
        <v>501</v>
      </c>
      <c r="Y163" s="248"/>
      <c r="Z163" s="50">
        <f>373+55</f>
        <v>428</v>
      </c>
      <c r="AA163" s="50">
        <f>X163+Y163-Z163</f>
        <v>73</v>
      </c>
      <c r="AB163" s="249">
        <f>1000*AA163/B163</f>
        <v>0.19820152479419623</v>
      </c>
      <c r="AC163" s="50">
        <f t="shared" si="336"/>
        <v>8818</v>
      </c>
      <c r="AD163" s="51">
        <f t="shared" si="337"/>
        <v>0.13305428850358439</v>
      </c>
      <c r="AE163" s="1047"/>
      <c r="AF163" s="40">
        <f t="shared" si="338"/>
        <v>725</v>
      </c>
      <c r="AG163" s="44"/>
      <c r="AH163" s="41">
        <v>646</v>
      </c>
      <c r="AI163" s="41">
        <f>AF163+AG163-AH163</f>
        <v>79</v>
      </c>
      <c r="AJ163" s="42">
        <f>AI163*1000/B163</f>
        <v>0.21449206107865071</v>
      </c>
      <c r="AK163" s="41">
        <f t="shared" si="339"/>
        <v>5914</v>
      </c>
      <c r="AL163" s="42">
        <f t="shared" si="340"/>
        <v>8.9236001611498986E-2</v>
      </c>
      <c r="AM163" s="1058"/>
      <c r="AN163" s="220">
        <v>4.3</v>
      </c>
      <c r="AO163" s="67">
        <v>24</v>
      </c>
      <c r="AP163" s="68">
        <f t="shared" si="326"/>
        <v>54.695999999999998</v>
      </c>
      <c r="AQ163" s="68">
        <f t="shared" si="327"/>
        <v>18.085866201095151</v>
      </c>
      <c r="AR163" s="258">
        <f t="shared" si="341"/>
        <v>7448.2416000000021</v>
      </c>
      <c r="AS163" s="68">
        <f t="shared" si="342"/>
        <v>9.0022524601984433</v>
      </c>
      <c r="AT163" s="1073"/>
      <c r="AU163" s="71">
        <v>2.5</v>
      </c>
      <c r="AV163" s="71">
        <v>10</v>
      </c>
      <c r="AW163" s="72">
        <f t="shared" si="355"/>
        <v>11.675000000000001</v>
      </c>
      <c r="AX163" s="72">
        <f>AW163*1000/D163</f>
        <v>3.8604740364521333</v>
      </c>
      <c r="AY163" s="276">
        <f t="shared" si="343"/>
        <v>2472.1110000000012</v>
      </c>
      <c r="AZ163" s="72">
        <f t="shared" si="344"/>
        <v>2.9878954693996014</v>
      </c>
      <c r="BA163" s="1075"/>
      <c r="BB163" s="253">
        <f t="shared" si="345"/>
        <v>11887</v>
      </c>
      <c r="BC163" s="59"/>
      <c r="BD163" s="252">
        <v>8378</v>
      </c>
      <c r="BE163" s="57">
        <f>BB163+BC163-BD163</f>
        <v>3509</v>
      </c>
      <c r="BF163" s="58">
        <f t="shared" si="346"/>
        <v>88188</v>
      </c>
      <c r="BG163" s="58">
        <f t="shared" si="347"/>
        <v>106.58765955712018</v>
      </c>
      <c r="BH163" s="1133"/>
      <c r="BI163" s="63">
        <f t="shared" si="348"/>
        <v>336</v>
      </c>
      <c r="BJ163" s="133"/>
      <c r="BK163" s="64">
        <v>180</v>
      </c>
      <c r="BL163" s="64">
        <f t="shared" si="349"/>
        <v>156</v>
      </c>
      <c r="BM163" s="65">
        <f t="shared" si="356"/>
        <v>0.42355394339581659</v>
      </c>
      <c r="BN163" s="64">
        <f t="shared" si="350"/>
        <v>12172</v>
      </c>
      <c r="BO163" s="65">
        <f t="shared" si="351"/>
        <v>0.18366259919093095</v>
      </c>
      <c r="BP163" s="1071"/>
      <c r="BQ163" s="77">
        <f t="shared" si="352"/>
        <v>36009</v>
      </c>
      <c r="BR163" s="35"/>
      <c r="BS163" s="35">
        <f t="shared" ref="BS163:BS168" si="357">7797+27469</f>
        <v>35266</v>
      </c>
      <c r="BT163" s="35">
        <f>BQ163-BS163+BR163</f>
        <v>743</v>
      </c>
      <c r="BU163" s="74">
        <f>BT163*1000/D163</f>
        <v>245.68155966457687</v>
      </c>
      <c r="BV163" s="35">
        <f t="shared" si="353"/>
        <v>480338</v>
      </c>
      <c r="BW163" s="74">
        <f t="shared" si="354"/>
        <v>580.55634798779863</v>
      </c>
      <c r="BX163" s="1098"/>
    </row>
    <row r="164" spans="1:76">
      <c r="A164" s="262">
        <v>43381</v>
      </c>
      <c r="B164" s="1">
        <v>65643</v>
      </c>
      <c r="C164" s="1">
        <f t="shared" si="328"/>
        <v>66339343</v>
      </c>
      <c r="D164" s="1"/>
      <c r="E164" s="91">
        <f t="shared" si="329"/>
        <v>827375.33000000042</v>
      </c>
      <c r="F164" s="243">
        <f t="shared" si="330"/>
        <v>9780</v>
      </c>
      <c r="G164" s="240">
        <v>0</v>
      </c>
      <c r="H164" s="240">
        <v>780</v>
      </c>
      <c r="I164" s="240">
        <f t="shared" si="322"/>
        <v>9000</v>
      </c>
      <c r="J164" s="227"/>
      <c r="K164" s="240">
        <f t="shared" si="331"/>
        <v>117700</v>
      </c>
      <c r="L164" s="267">
        <f t="shared" si="323"/>
        <v>1.7742111193353241E-3</v>
      </c>
      <c r="M164" s="267">
        <f t="shared" si="332"/>
        <v>2.1725034114310091E-4</v>
      </c>
      <c r="N164" s="1089"/>
      <c r="O164" s="1084"/>
      <c r="P164" s="35">
        <f t="shared" si="333"/>
        <v>55626</v>
      </c>
      <c r="Q164" s="98"/>
      <c r="R164" s="35">
        <v>55626</v>
      </c>
      <c r="S164" s="35"/>
      <c r="T164" s="246"/>
      <c r="U164" s="74">
        <f t="shared" si="334"/>
        <v>260653</v>
      </c>
      <c r="V164" s="36">
        <f t="shared" si="325"/>
        <v>3.9290862437392544</v>
      </c>
      <c r="W164" s="1136"/>
      <c r="X164" s="49">
        <f t="shared" si="335"/>
        <v>428</v>
      </c>
      <c r="Y164" s="248"/>
      <c r="Z164" s="50">
        <f>373+55</f>
        <v>428</v>
      </c>
      <c r="AA164" s="50"/>
      <c r="AB164" s="249"/>
      <c r="AC164" s="50">
        <f t="shared" si="336"/>
        <v>8818</v>
      </c>
      <c r="AD164" s="51">
        <f t="shared" si="337"/>
        <v>0.1329226308436609</v>
      </c>
      <c r="AE164" s="1047"/>
      <c r="AF164" s="40">
        <f t="shared" si="338"/>
        <v>646</v>
      </c>
      <c r="AG164" s="44"/>
      <c r="AH164" s="41">
        <v>646</v>
      </c>
      <c r="AI164" s="41"/>
      <c r="AJ164" s="42"/>
      <c r="AK164" s="41">
        <f t="shared" si="339"/>
        <v>5914</v>
      </c>
      <c r="AL164" s="42">
        <f t="shared" si="340"/>
        <v>8.9147702291836078E-2</v>
      </c>
      <c r="AM164" s="1058"/>
      <c r="AN164" s="220"/>
      <c r="AO164" s="67">
        <v>24</v>
      </c>
      <c r="AP164" s="68"/>
      <c r="AQ164" s="68"/>
      <c r="AR164" s="258">
        <f t="shared" si="341"/>
        <v>7448.2416000000021</v>
      </c>
      <c r="AS164" s="68">
        <f t="shared" si="342"/>
        <v>9.0022524601984433</v>
      </c>
      <c r="AT164" s="1073"/>
      <c r="AU164" s="71"/>
      <c r="AV164" s="71">
        <v>10</v>
      </c>
      <c r="AW164" s="72"/>
      <c r="AX164" s="72"/>
      <c r="AY164" s="276">
        <f t="shared" si="343"/>
        <v>2472.1110000000012</v>
      </c>
      <c r="AZ164" s="72">
        <f t="shared" si="344"/>
        <v>2.9878954693996014</v>
      </c>
      <c r="BA164" s="1075"/>
      <c r="BB164" s="253">
        <f t="shared" si="345"/>
        <v>8378</v>
      </c>
      <c r="BC164" s="59"/>
      <c r="BD164" s="252">
        <v>8378</v>
      </c>
      <c r="BE164" s="57"/>
      <c r="BF164" s="58">
        <f t="shared" si="346"/>
        <v>88188</v>
      </c>
      <c r="BG164" s="58">
        <f t="shared" si="347"/>
        <v>106.58765955712018</v>
      </c>
      <c r="BH164" s="1133"/>
      <c r="BI164" s="63">
        <f t="shared" si="348"/>
        <v>180</v>
      </c>
      <c r="BJ164" s="133"/>
      <c r="BK164" s="64">
        <v>180</v>
      </c>
      <c r="BL164" s="64"/>
      <c r="BM164" s="65"/>
      <c r="BN164" s="64">
        <f t="shared" si="350"/>
        <v>12172</v>
      </c>
      <c r="BO164" s="65">
        <f t="shared" si="351"/>
        <v>0.18348086443967346</v>
      </c>
      <c r="BP164" s="1071"/>
      <c r="BQ164" s="77">
        <f t="shared" si="352"/>
        <v>35266</v>
      </c>
      <c r="BR164" s="35"/>
      <c r="BS164" s="35">
        <f t="shared" si="357"/>
        <v>35266</v>
      </c>
      <c r="BT164" s="35"/>
      <c r="BU164" s="35"/>
      <c r="BV164" s="35">
        <f t="shared" si="353"/>
        <v>480338</v>
      </c>
      <c r="BW164" s="74">
        <f t="shared" si="354"/>
        <v>580.55634798779863</v>
      </c>
      <c r="BX164" s="1098"/>
    </row>
    <row r="165" spans="1:76">
      <c r="A165" s="262">
        <v>43382</v>
      </c>
      <c r="B165" s="1"/>
      <c r="C165" s="1">
        <f t="shared" si="328"/>
        <v>66339343</v>
      </c>
      <c r="D165" s="1"/>
      <c r="E165" s="91">
        <f t="shared" si="329"/>
        <v>827375.33000000042</v>
      </c>
      <c r="F165" s="243">
        <f t="shared" si="330"/>
        <v>780</v>
      </c>
      <c r="G165" s="240">
        <v>0</v>
      </c>
      <c r="H165" s="240">
        <v>0</v>
      </c>
      <c r="I165" s="240">
        <f t="shared" si="322"/>
        <v>780</v>
      </c>
      <c r="J165" s="227"/>
      <c r="K165" s="240">
        <f t="shared" si="331"/>
        <v>118480</v>
      </c>
      <c r="L165" s="267">
        <f t="shared" si="323"/>
        <v>1.7859688480785828E-3</v>
      </c>
      <c r="M165" s="267">
        <f t="shared" si="332"/>
        <v>2.1869006303003056E-4</v>
      </c>
      <c r="N165" s="1089"/>
      <c r="O165" s="1084"/>
      <c r="P165" s="35">
        <f t="shared" si="333"/>
        <v>55626</v>
      </c>
      <c r="Q165" s="98"/>
      <c r="R165" s="35">
        <v>55626</v>
      </c>
      <c r="S165" s="35"/>
      <c r="T165" s="246"/>
      <c r="U165" s="74">
        <f t="shared" si="334"/>
        <v>260653</v>
      </c>
      <c r="V165" s="36">
        <f t="shared" si="325"/>
        <v>3.9290862437392544</v>
      </c>
      <c r="W165" s="1136"/>
      <c r="X165" s="49">
        <f t="shared" si="335"/>
        <v>428</v>
      </c>
      <c r="Y165" s="248"/>
      <c r="Z165" s="50">
        <f>373+55</f>
        <v>428</v>
      </c>
      <c r="AA165" s="50"/>
      <c r="AB165" s="249"/>
      <c r="AC165" s="50">
        <f t="shared" si="336"/>
        <v>8818</v>
      </c>
      <c r="AD165" s="51">
        <f t="shared" si="337"/>
        <v>0.1329226308436609</v>
      </c>
      <c r="AE165" s="1047"/>
      <c r="AF165" s="40">
        <f t="shared" si="338"/>
        <v>646</v>
      </c>
      <c r="AG165" s="44"/>
      <c r="AH165" s="41">
        <v>646</v>
      </c>
      <c r="AI165" s="41"/>
      <c r="AJ165" s="42"/>
      <c r="AK165" s="41">
        <f t="shared" si="339"/>
        <v>5914</v>
      </c>
      <c r="AL165" s="42">
        <f t="shared" si="340"/>
        <v>8.9147702291836078E-2</v>
      </c>
      <c r="AM165" s="1058"/>
      <c r="AN165" s="220"/>
      <c r="AO165" s="67">
        <v>24</v>
      </c>
      <c r="AP165" s="68"/>
      <c r="AQ165" s="68"/>
      <c r="AR165" s="258">
        <f t="shared" si="341"/>
        <v>7448.2416000000021</v>
      </c>
      <c r="AS165" s="68">
        <f t="shared" si="342"/>
        <v>9.0022524601984433</v>
      </c>
      <c r="AT165" s="1073"/>
      <c r="AU165" s="71"/>
      <c r="AV165" s="71">
        <v>10</v>
      </c>
      <c r="AW165" s="72"/>
      <c r="AX165" s="72"/>
      <c r="AY165" s="276">
        <f t="shared" si="343"/>
        <v>2472.1110000000012</v>
      </c>
      <c r="AZ165" s="72">
        <f t="shared" si="344"/>
        <v>2.9878954693996014</v>
      </c>
      <c r="BA165" s="1075"/>
      <c r="BB165" s="253">
        <f t="shared" si="345"/>
        <v>8378</v>
      </c>
      <c r="BC165" s="59"/>
      <c r="BD165" s="252">
        <v>8378</v>
      </c>
      <c r="BE165" s="57"/>
      <c r="BF165" s="58">
        <f t="shared" si="346"/>
        <v>88188</v>
      </c>
      <c r="BG165" s="58">
        <f t="shared" si="347"/>
        <v>106.58765955712018</v>
      </c>
      <c r="BH165" s="1133"/>
      <c r="BI165" s="63">
        <f t="shared" si="348"/>
        <v>180</v>
      </c>
      <c r="BJ165" s="133"/>
      <c r="BK165" s="64">
        <v>180</v>
      </c>
      <c r="BL165" s="64"/>
      <c r="BM165" s="65"/>
      <c r="BN165" s="64">
        <f t="shared" si="350"/>
        <v>12172</v>
      </c>
      <c r="BO165" s="65">
        <f t="shared" si="351"/>
        <v>0.18348086443967346</v>
      </c>
      <c r="BP165" s="1071"/>
      <c r="BQ165" s="77">
        <f t="shared" si="352"/>
        <v>35266</v>
      </c>
      <c r="BR165" s="35"/>
      <c r="BS165" s="35">
        <f t="shared" si="357"/>
        <v>35266</v>
      </c>
      <c r="BT165" s="35"/>
      <c r="BU165" s="35"/>
      <c r="BV165" s="35">
        <f t="shared" si="353"/>
        <v>480338</v>
      </c>
      <c r="BW165" s="74">
        <f t="shared" si="354"/>
        <v>580.55634798779863</v>
      </c>
      <c r="BX165" s="1098"/>
    </row>
    <row r="166" spans="1:76">
      <c r="A166" s="262">
        <v>43383</v>
      </c>
      <c r="B166" s="1"/>
      <c r="C166" s="1">
        <f t="shared" si="328"/>
        <v>66339343</v>
      </c>
      <c r="D166" s="1"/>
      <c r="E166" s="91">
        <f t="shared" si="329"/>
        <v>827375.33000000042</v>
      </c>
      <c r="F166" s="244"/>
      <c r="G166" s="227"/>
      <c r="H166" s="227"/>
      <c r="I166" s="227"/>
      <c r="J166" s="227"/>
      <c r="K166" s="240">
        <f t="shared" si="331"/>
        <v>118480</v>
      </c>
      <c r="L166" s="267">
        <f t="shared" si="323"/>
        <v>1.7859688480785828E-3</v>
      </c>
      <c r="M166" s="267">
        <f t="shared" si="332"/>
        <v>2.1869006303003056E-4</v>
      </c>
      <c r="N166" s="1089"/>
      <c r="O166" s="1084"/>
      <c r="P166" s="35">
        <f t="shared" si="333"/>
        <v>55626</v>
      </c>
      <c r="Q166" s="98"/>
      <c r="R166" s="35">
        <v>55626</v>
      </c>
      <c r="S166" s="35"/>
      <c r="T166" s="246"/>
      <c r="U166" s="74">
        <f t="shared" si="334"/>
        <v>260653</v>
      </c>
      <c r="V166" s="36">
        <f t="shared" si="325"/>
        <v>3.9290862437392544</v>
      </c>
      <c r="W166" s="1136"/>
      <c r="X166" s="49">
        <f t="shared" si="335"/>
        <v>428</v>
      </c>
      <c r="Y166" s="248"/>
      <c r="Z166" s="50">
        <f>373+55</f>
        <v>428</v>
      </c>
      <c r="AA166" s="50"/>
      <c r="AB166" s="249"/>
      <c r="AC166" s="50">
        <f t="shared" si="336"/>
        <v>8818</v>
      </c>
      <c r="AD166" s="51">
        <f t="shared" si="337"/>
        <v>0.1329226308436609</v>
      </c>
      <c r="AE166" s="1047"/>
      <c r="AF166" s="40">
        <f t="shared" si="338"/>
        <v>646</v>
      </c>
      <c r="AG166" s="44"/>
      <c r="AH166" s="41">
        <v>646</v>
      </c>
      <c r="AI166" s="41"/>
      <c r="AJ166" s="42"/>
      <c r="AK166" s="41">
        <f t="shared" si="339"/>
        <v>5914</v>
      </c>
      <c r="AL166" s="42">
        <f t="shared" si="340"/>
        <v>8.9147702291836078E-2</v>
      </c>
      <c r="AM166" s="1058"/>
      <c r="AN166" s="220"/>
      <c r="AO166" s="67">
        <v>24</v>
      </c>
      <c r="AP166" s="68"/>
      <c r="AQ166" s="68"/>
      <c r="AR166" s="258">
        <f t="shared" si="341"/>
        <v>7448.2416000000021</v>
      </c>
      <c r="AS166" s="68">
        <f t="shared" si="342"/>
        <v>9.0022524601984433</v>
      </c>
      <c r="AT166" s="1073"/>
      <c r="AU166" s="71"/>
      <c r="AV166" s="71">
        <v>10</v>
      </c>
      <c r="AW166" s="72"/>
      <c r="AX166" s="72"/>
      <c r="AY166" s="276">
        <f t="shared" si="343"/>
        <v>2472.1110000000012</v>
      </c>
      <c r="AZ166" s="72">
        <f t="shared" si="344"/>
        <v>2.9878954693996014</v>
      </c>
      <c r="BA166" s="1075"/>
      <c r="BB166" s="253">
        <f t="shared" si="345"/>
        <v>8378</v>
      </c>
      <c r="BC166" s="59"/>
      <c r="BD166" s="252">
        <v>8378</v>
      </c>
      <c r="BE166" s="57"/>
      <c r="BF166" s="58">
        <f t="shared" si="346"/>
        <v>88188</v>
      </c>
      <c r="BG166" s="58">
        <f t="shared" si="347"/>
        <v>106.58765955712018</v>
      </c>
      <c r="BH166" s="1133"/>
      <c r="BI166" s="63">
        <f t="shared" si="348"/>
        <v>180</v>
      </c>
      <c r="BJ166" s="133"/>
      <c r="BK166" s="64">
        <v>180</v>
      </c>
      <c r="BL166" s="64"/>
      <c r="BM166" s="65"/>
      <c r="BN166" s="64">
        <f t="shared" si="350"/>
        <v>12172</v>
      </c>
      <c r="BO166" s="65">
        <f t="shared" si="351"/>
        <v>0.18348086443967346</v>
      </c>
      <c r="BP166" s="1071"/>
      <c r="BQ166" s="77">
        <f t="shared" si="352"/>
        <v>35266</v>
      </c>
      <c r="BR166" s="35"/>
      <c r="BS166" s="35">
        <f t="shared" si="357"/>
        <v>35266</v>
      </c>
      <c r="BT166" s="35"/>
      <c r="BU166" s="35"/>
      <c r="BV166" s="35">
        <f t="shared" si="353"/>
        <v>480338</v>
      </c>
      <c r="BW166" s="74">
        <f t="shared" si="354"/>
        <v>580.55634798779863</v>
      </c>
      <c r="BX166" s="1098"/>
    </row>
    <row r="167" spans="1:76">
      <c r="A167" s="262">
        <v>43384</v>
      </c>
      <c r="B167" s="1">
        <v>68064</v>
      </c>
      <c r="C167" s="1">
        <f t="shared" si="328"/>
        <v>66407407</v>
      </c>
      <c r="D167" s="1">
        <v>1980.32</v>
      </c>
      <c r="E167" s="91">
        <f t="shared" si="329"/>
        <v>829355.65000000037</v>
      </c>
      <c r="F167" s="244"/>
      <c r="G167" s="227"/>
      <c r="H167" s="227"/>
      <c r="I167" s="227"/>
      <c r="J167" s="227"/>
      <c r="K167" s="240">
        <f t="shared" si="331"/>
        <v>118480</v>
      </c>
      <c r="L167" s="267">
        <f t="shared" si="323"/>
        <v>1.7841383266176919E-3</v>
      </c>
      <c r="M167" s="267">
        <f t="shared" si="332"/>
        <v>2.1846591754502348E-4</v>
      </c>
      <c r="N167" s="1089"/>
      <c r="O167" s="1084"/>
      <c r="P167" s="35">
        <f t="shared" si="333"/>
        <v>55626</v>
      </c>
      <c r="Q167" s="98"/>
      <c r="R167" s="35">
        <v>55626</v>
      </c>
      <c r="S167" s="35"/>
      <c r="T167" s="246"/>
      <c r="U167" s="74">
        <f t="shared" si="334"/>
        <v>260653</v>
      </c>
      <c r="V167" s="36">
        <f t="shared" si="325"/>
        <v>3.9250591428754324</v>
      </c>
      <c r="W167" s="1136"/>
      <c r="X167" s="49">
        <f t="shared" si="335"/>
        <v>428</v>
      </c>
      <c r="Y167" s="248"/>
      <c r="Z167" s="50">
        <f>373+50</f>
        <v>423</v>
      </c>
      <c r="AA167" s="50">
        <f>X167+Y167-Z167</f>
        <v>5</v>
      </c>
      <c r="AB167" s="249">
        <f>1000*AA167/B167</f>
        <v>7.3460272684532202E-2</v>
      </c>
      <c r="AC167" s="50">
        <f t="shared" si="336"/>
        <v>8823</v>
      </c>
      <c r="AD167" s="51">
        <f t="shared" si="337"/>
        <v>0.13286168514304436</v>
      </c>
      <c r="AE167" s="1047"/>
      <c r="AF167" s="40">
        <f t="shared" si="338"/>
        <v>646</v>
      </c>
      <c r="AG167" s="44"/>
      <c r="AH167" s="41">
        <v>646</v>
      </c>
      <c r="AI167" s="41"/>
      <c r="AJ167" s="42"/>
      <c r="AK167" s="41">
        <f t="shared" si="339"/>
        <v>5914</v>
      </c>
      <c r="AL167" s="42">
        <f t="shared" si="340"/>
        <v>8.9056330719252452E-2</v>
      </c>
      <c r="AM167" s="1058"/>
      <c r="AN167" s="220">
        <v>1.6</v>
      </c>
      <c r="AO167" s="67">
        <v>24</v>
      </c>
      <c r="AP167" s="68">
        <f>AN167*AO167*0.53</f>
        <v>20.352000000000004</v>
      </c>
      <c r="AQ167" s="68">
        <f>AP167*1000/D167</f>
        <v>10.277126928981177</v>
      </c>
      <c r="AR167" s="258">
        <f t="shared" si="341"/>
        <v>7468.593600000002</v>
      </c>
      <c r="AS167" s="68">
        <f t="shared" si="342"/>
        <v>9.0052965817499402</v>
      </c>
      <c r="AT167" s="1073"/>
      <c r="AU167" s="71">
        <v>1.5</v>
      </c>
      <c r="AV167" s="71">
        <v>10</v>
      </c>
      <c r="AW167" s="72">
        <f t="shared" si="355"/>
        <v>7.0050000000000008</v>
      </c>
      <c r="AX167" s="72">
        <f>AW167*1000/D167</f>
        <v>3.5373071018825244</v>
      </c>
      <c r="AY167" s="276">
        <f t="shared" si="343"/>
        <v>2479.1160000000013</v>
      </c>
      <c r="AZ167" s="72">
        <f t="shared" si="344"/>
        <v>2.9892073442798637</v>
      </c>
      <c r="BA167" s="1075"/>
      <c r="BB167" s="253">
        <f t="shared" si="345"/>
        <v>8378</v>
      </c>
      <c r="BC167" s="59"/>
      <c r="BD167" s="252">
        <v>8378</v>
      </c>
      <c r="BE167" s="57"/>
      <c r="BF167" s="58">
        <f t="shared" si="346"/>
        <v>88188</v>
      </c>
      <c r="BG167" s="58">
        <f t="shared" si="347"/>
        <v>106.33315152552461</v>
      </c>
      <c r="BH167" s="1133"/>
      <c r="BI167" s="63">
        <f t="shared" si="348"/>
        <v>180</v>
      </c>
      <c r="BJ167" s="133"/>
      <c r="BK167" s="64">
        <v>180</v>
      </c>
      <c r="BL167" s="64"/>
      <c r="BM167" s="65"/>
      <c r="BN167" s="64">
        <f t="shared" si="350"/>
        <v>12172</v>
      </c>
      <c r="BO167" s="65">
        <f t="shared" si="351"/>
        <v>0.18329280647865079</v>
      </c>
      <c r="BP167" s="1071"/>
      <c r="BQ167" s="77">
        <f t="shared" si="352"/>
        <v>35266</v>
      </c>
      <c r="BR167" s="35"/>
      <c r="BS167" s="35">
        <f t="shared" si="357"/>
        <v>35266</v>
      </c>
      <c r="BT167" s="35"/>
      <c r="BU167" s="35"/>
      <c r="BV167" s="35">
        <f t="shared" si="353"/>
        <v>480338</v>
      </c>
      <c r="BW167" s="74">
        <f t="shared" si="354"/>
        <v>579.17010633495988</v>
      </c>
      <c r="BX167" s="1098"/>
    </row>
    <row r="168" spans="1:76">
      <c r="A168" s="262">
        <v>43385</v>
      </c>
      <c r="B168" s="1">
        <v>297087</v>
      </c>
      <c r="C168" s="1">
        <f t="shared" si="328"/>
        <v>66704494</v>
      </c>
      <c r="D168" s="1">
        <v>3726.3</v>
      </c>
      <c r="E168" s="91">
        <f t="shared" si="329"/>
        <v>833081.95000000042</v>
      </c>
      <c r="F168" s="244"/>
      <c r="G168" s="227"/>
      <c r="H168" s="227"/>
      <c r="I168" s="227"/>
      <c r="J168" s="227"/>
      <c r="K168" s="240">
        <f t="shared" si="331"/>
        <v>118480</v>
      </c>
      <c r="L168" s="267">
        <f t="shared" si="323"/>
        <v>1.7761921708003663E-3</v>
      </c>
      <c r="M168" s="267">
        <f t="shared" si="332"/>
        <v>2.1749291887351423E-4</v>
      </c>
      <c r="N168" s="1089"/>
      <c r="O168" s="1084"/>
      <c r="P168" s="35">
        <f t="shared" si="333"/>
        <v>55626</v>
      </c>
      <c r="Q168" s="98"/>
      <c r="R168" s="35">
        <v>54806</v>
      </c>
      <c r="S168" s="35">
        <f>P168+Q168-R168</f>
        <v>820</v>
      </c>
      <c r="T168" s="246">
        <f>1000*S168/B168</f>
        <v>2.7601342367723931</v>
      </c>
      <c r="U168" s="74">
        <f t="shared" si="334"/>
        <v>261473</v>
      </c>
      <c r="V168" s="36">
        <f t="shared" si="325"/>
        <v>3.9198708260945656</v>
      </c>
      <c r="W168" s="1136"/>
      <c r="X168" s="49">
        <f t="shared" si="335"/>
        <v>423</v>
      </c>
      <c r="Y168" s="248"/>
      <c r="Z168" s="50">
        <f>373+40</f>
        <v>413</v>
      </c>
      <c r="AA168" s="50">
        <f>X168+Y168-Z168</f>
        <v>10</v>
      </c>
      <c r="AB168" s="249">
        <f>1000*AA168/B168</f>
        <v>3.3660173619175525E-2</v>
      </c>
      <c r="AC168" s="50">
        <f t="shared" si="336"/>
        <v>8833</v>
      </c>
      <c r="AD168" s="51">
        <f t="shared" si="337"/>
        <v>0.13241986364516908</v>
      </c>
      <c r="AE168" s="1047"/>
      <c r="AF168" s="40">
        <f t="shared" si="338"/>
        <v>646</v>
      </c>
      <c r="AG168" s="44"/>
      <c r="AH168" s="41">
        <v>646</v>
      </c>
      <c r="AI168" s="41"/>
      <c r="AJ168" s="42"/>
      <c r="AK168" s="41">
        <f t="shared" si="339"/>
        <v>5914</v>
      </c>
      <c r="AL168" s="42">
        <f t="shared" si="340"/>
        <v>8.8659693603252585E-2</v>
      </c>
      <c r="AM168" s="1058"/>
      <c r="AN168" s="220">
        <v>4.8</v>
      </c>
      <c r="AO168" s="67">
        <v>24</v>
      </c>
      <c r="AP168" s="68">
        <f>AN168*AO168*0.53</f>
        <v>61.055999999999997</v>
      </c>
      <c r="AQ168" s="68">
        <f>AP168*1000/D168</f>
        <v>16.385154174382095</v>
      </c>
      <c r="AR168" s="258">
        <f t="shared" si="341"/>
        <v>7529.6496000000016</v>
      </c>
      <c r="AS168" s="68">
        <f t="shared" si="342"/>
        <v>9.0383060153926014</v>
      </c>
      <c r="AT168" s="1073"/>
      <c r="AU168" s="71">
        <v>3.2</v>
      </c>
      <c r="AV168" s="71">
        <v>10</v>
      </c>
      <c r="AW168" s="72">
        <f t="shared" si="355"/>
        <v>14.944000000000001</v>
      </c>
      <c r="AX168" s="72">
        <f>AW168*1000/D168</f>
        <v>4.0104124734991817</v>
      </c>
      <c r="AY168" s="276">
        <f t="shared" si="343"/>
        <v>2494.0600000000013</v>
      </c>
      <c r="AZ168" s="72">
        <f t="shared" si="344"/>
        <v>2.9937751021973291</v>
      </c>
      <c r="BA168" s="1075"/>
      <c r="BB168" s="253">
        <f t="shared" si="345"/>
        <v>8378</v>
      </c>
      <c r="BC168" s="59"/>
      <c r="BD168" s="252">
        <v>8378</v>
      </c>
      <c r="BE168" s="57"/>
      <c r="BF168" s="58">
        <f t="shared" si="346"/>
        <v>88188</v>
      </c>
      <c r="BG168" s="58">
        <f t="shared" si="347"/>
        <v>105.85753298339972</v>
      </c>
      <c r="BH168" s="1133"/>
      <c r="BI168" s="63">
        <f t="shared" si="348"/>
        <v>180</v>
      </c>
      <c r="BJ168" s="133"/>
      <c r="BK168" s="64">
        <v>108</v>
      </c>
      <c r="BL168" s="64">
        <f t="shared" si="349"/>
        <v>72</v>
      </c>
      <c r="BM168" s="65">
        <f t="shared" si="356"/>
        <v>0.2423532500580638</v>
      </c>
      <c r="BN168" s="64">
        <f t="shared" si="350"/>
        <v>12244</v>
      </c>
      <c r="BO168" s="65">
        <f t="shared" si="351"/>
        <v>0.18355584857595952</v>
      </c>
      <c r="BP168" s="1071"/>
      <c r="BQ168" s="77">
        <f t="shared" si="352"/>
        <v>35266</v>
      </c>
      <c r="BR168" s="35"/>
      <c r="BS168" s="35">
        <f t="shared" si="357"/>
        <v>35266</v>
      </c>
      <c r="BT168" s="35"/>
      <c r="BU168" s="35"/>
      <c r="BV168" s="35">
        <f t="shared" si="353"/>
        <v>480338</v>
      </c>
      <c r="BW168" s="74">
        <f t="shared" si="354"/>
        <v>576.57953098131554</v>
      </c>
      <c r="BX168" s="1098"/>
    </row>
    <row r="169" spans="1:76">
      <c r="A169" s="262">
        <v>43386</v>
      </c>
      <c r="B169" s="1">
        <v>364606</v>
      </c>
      <c r="C169" s="1">
        <f t="shared" si="328"/>
        <v>67069100</v>
      </c>
      <c r="D169" s="1">
        <v>2762.26</v>
      </c>
      <c r="E169" s="91">
        <f t="shared" si="329"/>
        <v>835844.21000000043</v>
      </c>
      <c r="F169" s="244"/>
      <c r="G169" s="227"/>
      <c r="H169" s="227"/>
      <c r="I169" s="227"/>
      <c r="J169" s="227"/>
      <c r="K169" s="240">
        <f t="shared" si="331"/>
        <v>118480</v>
      </c>
      <c r="L169" s="267">
        <f t="shared" si="323"/>
        <v>1.7665363036032987E-3</v>
      </c>
      <c r="M169" s="267">
        <f t="shared" si="332"/>
        <v>2.1631056778815901E-4</v>
      </c>
      <c r="N169" s="1089"/>
      <c r="O169" s="1084"/>
      <c r="P169" s="35">
        <f t="shared" si="333"/>
        <v>54806</v>
      </c>
      <c r="Q169" s="98"/>
      <c r="R169" s="35">
        <v>53532</v>
      </c>
      <c r="S169" s="35">
        <f>P169+Q169-R169</f>
        <v>1274</v>
      </c>
      <c r="T169" s="246">
        <f>1000*S169/B169</f>
        <v>3.4941827616660177</v>
      </c>
      <c r="U169" s="74">
        <f t="shared" si="334"/>
        <v>262747</v>
      </c>
      <c r="V169" s="36">
        <f t="shared" si="325"/>
        <v>3.9175566691665757</v>
      </c>
      <c r="W169" s="1136"/>
      <c r="X169" s="49">
        <f t="shared" si="335"/>
        <v>413</v>
      </c>
      <c r="Y169" s="248"/>
      <c r="Z169" s="50">
        <f>373+40</f>
        <v>413</v>
      </c>
      <c r="AA169" s="50"/>
      <c r="AB169" s="249"/>
      <c r="AC169" s="50">
        <f t="shared" si="336"/>
        <v>8833</v>
      </c>
      <c r="AD169" s="51">
        <f t="shared" si="337"/>
        <v>0.13169999299230198</v>
      </c>
      <c r="AE169" s="1047"/>
      <c r="AF169" s="40">
        <f t="shared" si="338"/>
        <v>646</v>
      </c>
      <c r="AG169" s="44"/>
      <c r="AH169" s="41">
        <v>646</v>
      </c>
      <c r="AI169" s="41"/>
      <c r="AJ169" s="42"/>
      <c r="AK169" s="41">
        <f t="shared" si="339"/>
        <v>5914</v>
      </c>
      <c r="AL169" s="42">
        <f t="shared" si="340"/>
        <v>8.8177715222062025E-2</v>
      </c>
      <c r="AM169" s="1058"/>
      <c r="AN169" s="220">
        <v>3.6</v>
      </c>
      <c r="AO169" s="67">
        <v>24</v>
      </c>
      <c r="AP169" s="68">
        <f>AN169*AO169*0.53</f>
        <v>45.792000000000009</v>
      </c>
      <c r="AQ169" s="68">
        <f>AP169*1000/D169</f>
        <v>16.577729829921878</v>
      </c>
      <c r="AR169" s="258">
        <f t="shared" si="341"/>
        <v>7575.4416000000019</v>
      </c>
      <c r="AS169" s="68">
        <f t="shared" si="342"/>
        <v>9.06322196094413</v>
      </c>
      <c r="AT169" s="1073"/>
      <c r="AU169" s="71">
        <v>2.5</v>
      </c>
      <c r="AV169" s="71">
        <v>10</v>
      </c>
      <c r="AW169" s="72">
        <f t="shared" si="355"/>
        <v>11.675000000000001</v>
      </c>
      <c r="AX169" s="72">
        <f>AW169*1000/D169</f>
        <v>4.2266115427222637</v>
      </c>
      <c r="AY169" s="276">
        <f t="shared" si="343"/>
        <v>2505.7350000000015</v>
      </c>
      <c r="AZ169" s="72">
        <f t="shared" si="344"/>
        <v>2.9978493240983268</v>
      </c>
      <c r="BA169" s="1075"/>
      <c r="BB169" s="253">
        <f t="shared" si="345"/>
        <v>8378</v>
      </c>
      <c r="BC169" s="59"/>
      <c r="BD169" s="252">
        <v>7099</v>
      </c>
      <c r="BE169" s="57">
        <f>BB169+BC169-BD169</f>
        <v>1279</v>
      </c>
      <c r="BF169" s="58">
        <f t="shared" si="346"/>
        <v>89467</v>
      </c>
      <c r="BG169" s="58">
        <f t="shared" si="347"/>
        <v>107.0378892736482</v>
      </c>
      <c r="BH169" s="1133"/>
      <c r="BI169" s="63">
        <f t="shared" si="348"/>
        <v>108</v>
      </c>
      <c r="BJ169" s="64">
        <v>1100</v>
      </c>
      <c r="BK169" s="64">
        <v>1200</v>
      </c>
      <c r="BL169" s="64">
        <f t="shared" si="349"/>
        <v>8</v>
      </c>
      <c r="BM169" s="65">
        <f t="shared" si="356"/>
        <v>2.1941493008891789E-2</v>
      </c>
      <c r="BN169" s="64">
        <f t="shared" si="350"/>
        <v>12252</v>
      </c>
      <c r="BO169" s="65">
        <f t="shared" si="351"/>
        <v>0.18267726866768749</v>
      </c>
      <c r="BP169" s="1071"/>
      <c r="BQ169" s="77">
        <f t="shared" si="352"/>
        <v>35266</v>
      </c>
      <c r="BR169" s="35"/>
      <c r="BS169" s="35">
        <f t="shared" ref="BS169:BS177" si="358">4722+27469</f>
        <v>32191</v>
      </c>
      <c r="BT169" s="35">
        <f>BQ169-BS169+BR169</f>
        <v>3075</v>
      </c>
      <c r="BU169" s="74">
        <f>BT169*1000/D169</f>
        <v>1113.2188859846647</v>
      </c>
      <c r="BV169" s="35">
        <f t="shared" si="353"/>
        <v>483413</v>
      </c>
      <c r="BW169" s="74">
        <f t="shared" si="354"/>
        <v>578.35299235966443</v>
      </c>
      <c r="BX169" s="1098"/>
    </row>
    <row r="170" spans="1:76">
      <c r="A170" s="262">
        <v>43387</v>
      </c>
      <c r="B170" s="1">
        <v>31572</v>
      </c>
      <c r="C170" s="1">
        <f t="shared" si="328"/>
        <v>67100672</v>
      </c>
      <c r="E170" s="91">
        <f t="shared" si="329"/>
        <v>835844.21000000043</v>
      </c>
      <c r="F170" s="244"/>
      <c r="G170" s="227"/>
      <c r="H170" s="227"/>
      <c r="I170" s="227"/>
      <c r="J170" s="227"/>
      <c r="K170" s="240">
        <f t="shared" si="331"/>
        <v>118480</v>
      </c>
      <c r="L170" s="267">
        <f t="shared" si="323"/>
        <v>1.7657051184226591E-3</v>
      </c>
      <c r="M170" s="267">
        <f t="shared" si="332"/>
        <v>2.1620879001093784E-4</v>
      </c>
      <c r="N170" s="1089"/>
      <c r="O170" s="1084"/>
      <c r="P170" s="35">
        <f t="shared" si="333"/>
        <v>53532</v>
      </c>
      <c r="Q170" s="98"/>
      <c r="R170" s="35">
        <v>53532</v>
      </c>
      <c r="S170" s="35"/>
      <c r="T170" s="246"/>
      <c r="U170" s="74">
        <f t="shared" si="334"/>
        <v>262747</v>
      </c>
      <c r="V170" s="36">
        <f t="shared" si="325"/>
        <v>3.9157133925573802</v>
      </c>
      <c r="W170" s="1136"/>
      <c r="X170" s="49">
        <f t="shared" si="335"/>
        <v>413</v>
      </c>
      <c r="Y170" s="248"/>
      <c r="Z170" s="50">
        <f t="shared" ref="Z170:Z186" si="359">373+40</f>
        <v>413</v>
      </c>
      <c r="AA170" s="50"/>
      <c r="AB170" s="249"/>
      <c r="AC170" s="50">
        <f t="shared" si="336"/>
        <v>8833</v>
      </c>
      <c r="AD170" s="51">
        <f t="shared" si="337"/>
        <v>0.13163802592021731</v>
      </c>
      <c r="AE170" s="1047"/>
      <c r="AF170" s="40">
        <f t="shared" si="338"/>
        <v>646</v>
      </c>
      <c r="AG170" s="44"/>
      <c r="AH170" s="41">
        <v>646</v>
      </c>
      <c r="AI170" s="41"/>
      <c r="AJ170" s="42"/>
      <c r="AK170" s="41">
        <f t="shared" ref="AK170:AK187" si="360">AK169+AI170</f>
        <v>5914</v>
      </c>
      <c r="AL170" s="42">
        <f t="shared" ref="AL170:AL187" si="361">AK170*1000/C170</f>
        <v>8.8136226117079719E-2</v>
      </c>
      <c r="AM170" s="1058"/>
      <c r="AN170" s="220"/>
      <c r="AO170" s="67">
        <v>24</v>
      </c>
      <c r="AP170" s="68"/>
      <c r="AQ170" s="68"/>
      <c r="AR170" s="258">
        <f t="shared" si="341"/>
        <v>7575.4416000000019</v>
      </c>
      <c r="AS170" s="68">
        <f t="shared" si="342"/>
        <v>9.06322196094413</v>
      </c>
      <c r="AT170" s="1073"/>
      <c r="AU170" s="71"/>
      <c r="AV170" s="71">
        <v>10</v>
      </c>
      <c r="AW170" s="72"/>
      <c r="AX170" s="72"/>
      <c r="AY170" s="276">
        <f t="shared" si="343"/>
        <v>2505.7350000000015</v>
      </c>
      <c r="AZ170" s="72">
        <f t="shared" si="344"/>
        <v>2.9978493240983268</v>
      </c>
      <c r="BA170" s="1075"/>
      <c r="BB170" s="253">
        <f t="shared" si="345"/>
        <v>7099</v>
      </c>
      <c r="BC170" s="59"/>
      <c r="BD170" s="252">
        <v>7099</v>
      </c>
      <c r="BE170" s="57"/>
      <c r="BF170" s="58">
        <f t="shared" si="346"/>
        <v>89467</v>
      </c>
      <c r="BG170" s="58">
        <f t="shared" si="347"/>
        <v>107.0378892736482</v>
      </c>
      <c r="BH170" s="1133"/>
      <c r="BI170" s="63">
        <f t="shared" si="348"/>
        <v>1200</v>
      </c>
      <c r="BJ170" s="133"/>
      <c r="BK170" s="64">
        <v>1200</v>
      </c>
      <c r="BL170" s="133"/>
      <c r="BM170" s="133"/>
      <c r="BN170" s="64">
        <f t="shared" si="350"/>
        <v>12252</v>
      </c>
      <c r="BO170" s="65">
        <f t="shared" si="351"/>
        <v>0.18259131592601635</v>
      </c>
      <c r="BP170" s="1071"/>
      <c r="BQ170" s="77">
        <f t="shared" si="352"/>
        <v>32191</v>
      </c>
      <c r="BR170" s="35"/>
      <c r="BS170" s="35">
        <f t="shared" si="358"/>
        <v>32191</v>
      </c>
      <c r="BT170" s="35"/>
      <c r="BU170" s="74"/>
      <c r="BV170" s="35">
        <f t="shared" si="353"/>
        <v>483413</v>
      </c>
      <c r="BW170" s="74">
        <f t="shared" si="354"/>
        <v>578.35299235966443</v>
      </c>
      <c r="BX170" s="1098"/>
    </row>
    <row r="171" spans="1:76">
      <c r="A171" s="262">
        <v>43388</v>
      </c>
      <c r="B171" s="1"/>
      <c r="C171" s="1">
        <f t="shared" si="328"/>
        <v>67100672</v>
      </c>
      <c r="E171" s="91">
        <f t="shared" si="329"/>
        <v>835844.21000000043</v>
      </c>
      <c r="F171" s="244"/>
      <c r="G171" s="227"/>
      <c r="H171" s="227"/>
      <c r="I171" s="227"/>
      <c r="J171" s="227"/>
      <c r="K171" s="240">
        <f t="shared" si="331"/>
        <v>118480</v>
      </c>
      <c r="L171" s="267">
        <f t="shared" si="323"/>
        <v>1.7657051184226591E-3</v>
      </c>
      <c r="M171" s="267">
        <f t="shared" si="332"/>
        <v>2.1620879001093784E-4</v>
      </c>
      <c r="N171" s="1089"/>
      <c r="O171" s="1084"/>
      <c r="P171" s="35">
        <f t="shared" si="333"/>
        <v>53532</v>
      </c>
      <c r="Q171" s="98"/>
      <c r="R171" s="35">
        <v>53532</v>
      </c>
      <c r="S171" s="35"/>
      <c r="T171" s="246"/>
      <c r="U171" s="74">
        <f t="shared" si="334"/>
        <v>262747</v>
      </c>
      <c r="V171" s="36">
        <f t="shared" si="325"/>
        <v>3.9157133925573802</v>
      </c>
      <c r="W171" s="1136"/>
      <c r="X171" s="49">
        <f t="shared" si="335"/>
        <v>413</v>
      </c>
      <c r="Y171" s="248"/>
      <c r="Z171" s="50">
        <f t="shared" si="359"/>
        <v>413</v>
      </c>
      <c r="AA171" s="50"/>
      <c r="AB171" s="249"/>
      <c r="AC171" s="50">
        <f t="shared" si="336"/>
        <v>8833</v>
      </c>
      <c r="AD171" s="51">
        <f t="shared" si="337"/>
        <v>0.13163802592021731</v>
      </c>
      <c r="AE171" s="1047"/>
      <c r="AF171" s="40">
        <f t="shared" si="338"/>
        <v>646</v>
      </c>
      <c r="AG171" s="44"/>
      <c r="AH171" s="41">
        <v>646</v>
      </c>
      <c r="AI171" s="41"/>
      <c r="AJ171" s="42"/>
      <c r="AK171" s="41">
        <f t="shared" si="360"/>
        <v>5914</v>
      </c>
      <c r="AL171" s="42">
        <f t="shared" si="361"/>
        <v>8.8136226117079719E-2</v>
      </c>
      <c r="AM171" s="1058"/>
      <c r="AN171" s="220"/>
      <c r="AO171" s="67">
        <v>24</v>
      </c>
      <c r="AP171" s="68"/>
      <c r="AQ171" s="68"/>
      <c r="AR171" s="258">
        <f t="shared" si="341"/>
        <v>7575.4416000000019</v>
      </c>
      <c r="AS171" s="68">
        <f t="shared" si="342"/>
        <v>9.06322196094413</v>
      </c>
      <c r="AT171" s="1073"/>
      <c r="AU171" s="71"/>
      <c r="AV171" s="71">
        <v>10</v>
      </c>
      <c r="AW171" s="72"/>
      <c r="AX171" s="72"/>
      <c r="AY171" s="276">
        <f t="shared" si="343"/>
        <v>2505.7350000000015</v>
      </c>
      <c r="AZ171" s="72">
        <f t="shared" si="344"/>
        <v>2.9978493240983268</v>
      </c>
      <c r="BA171" s="1075"/>
      <c r="BB171" s="253">
        <f t="shared" si="345"/>
        <v>7099</v>
      </c>
      <c r="BC171" s="59"/>
      <c r="BD171" s="252">
        <v>7099</v>
      </c>
      <c r="BE171" s="59"/>
      <c r="BF171" s="58">
        <f t="shared" si="346"/>
        <v>89467</v>
      </c>
      <c r="BG171" s="58">
        <f t="shared" si="347"/>
        <v>107.0378892736482</v>
      </c>
      <c r="BH171" s="1133"/>
      <c r="BI171" s="63">
        <f t="shared" si="348"/>
        <v>1200</v>
      </c>
      <c r="BJ171" s="133"/>
      <c r="BK171" s="64">
        <v>1200</v>
      </c>
      <c r="BL171" s="133"/>
      <c r="BM171" s="133"/>
      <c r="BN171" s="64">
        <f t="shared" si="350"/>
        <v>12252</v>
      </c>
      <c r="BO171" s="65">
        <f t="shared" si="351"/>
        <v>0.18259131592601635</v>
      </c>
      <c r="BP171" s="1071"/>
      <c r="BQ171" s="77">
        <f t="shared" si="352"/>
        <v>32191</v>
      </c>
      <c r="BR171" s="35"/>
      <c r="BS171" s="35">
        <f t="shared" si="358"/>
        <v>32191</v>
      </c>
      <c r="BT171" s="35"/>
      <c r="BU171" s="74"/>
      <c r="BV171" s="35">
        <f t="shared" si="353"/>
        <v>483413</v>
      </c>
      <c r="BW171" s="74">
        <f t="shared" si="354"/>
        <v>578.35299235966443</v>
      </c>
      <c r="BX171" s="1098"/>
    </row>
    <row r="172" spans="1:76">
      <c r="A172" s="262">
        <v>43389</v>
      </c>
      <c r="B172" s="1"/>
      <c r="C172" s="1">
        <f t="shared" si="328"/>
        <v>67100672</v>
      </c>
      <c r="E172" s="91">
        <f t="shared" si="329"/>
        <v>835844.21000000043</v>
      </c>
      <c r="F172" s="244"/>
      <c r="G172" s="227"/>
      <c r="H172" s="227"/>
      <c r="I172" s="227"/>
      <c r="J172" s="227"/>
      <c r="K172" s="240">
        <f t="shared" si="331"/>
        <v>118480</v>
      </c>
      <c r="L172" s="267">
        <f t="shared" si="323"/>
        <v>1.7657051184226591E-3</v>
      </c>
      <c r="M172" s="267">
        <f t="shared" si="332"/>
        <v>2.1620879001093784E-4</v>
      </c>
      <c r="N172" s="1089"/>
      <c r="O172" s="1084"/>
      <c r="P172" s="35">
        <f t="shared" si="333"/>
        <v>53532</v>
      </c>
      <c r="Q172" s="98"/>
      <c r="R172" s="35">
        <v>53532</v>
      </c>
      <c r="S172" s="35"/>
      <c r="T172" s="246"/>
      <c r="U172" s="74">
        <f t="shared" si="334"/>
        <v>262747</v>
      </c>
      <c r="V172" s="36">
        <f t="shared" si="325"/>
        <v>3.9157133925573802</v>
      </c>
      <c r="W172" s="1136"/>
      <c r="X172" s="49">
        <f t="shared" si="335"/>
        <v>413</v>
      </c>
      <c r="Y172" s="248"/>
      <c r="Z172" s="50">
        <f t="shared" si="359"/>
        <v>413</v>
      </c>
      <c r="AA172" s="50"/>
      <c r="AB172" s="249"/>
      <c r="AC172" s="50">
        <f t="shared" si="336"/>
        <v>8833</v>
      </c>
      <c r="AD172" s="51">
        <f t="shared" si="337"/>
        <v>0.13163802592021731</v>
      </c>
      <c r="AE172" s="1047"/>
      <c r="AF172" s="40">
        <f t="shared" si="338"/>
        <v>646</v>
      </c>
      <c r="AG172" s="44"/>
      <c r="AH172" s="41">
        <v>646</v>
      </c>
      <c r="AI172" s="41"/>
      <c r="AJ172" s="42"/>
      <c r="AK172" s="41">
        <f t="shared" si="360"/>
        <v>5914</v>
      </c>
      <c r="AL172" s="42">
        <f t="shared" si="361"/>
        <v>8.8136226117079719E-2</v>
      </c>
      <c r="AM172" s="1058"/>
      <c r="AN172" s="220"/>
      <c r="AO172" s="67">
        <v>24</v>
      </c>
      <c r="AP172" s="68"/>
      <c r="AQ172" s="68"/>
      <c r="AR172" s="258">
        <f t="shared" si="341"/>
        <v>7575.4416000000019</v>
      </c>
      <c r="AS172" s="68">
        <f t="shared" si="342"/>
        <v>9.06322196094413</v>
      </c>
      <c r="AT172" s="1073"/>
      <c r="AU172" s="71"/>
      <c r="AV172" s="71">
        <v>10</v>
      </c>
      <c r="AW172" s="72"/>
      <c r="AX172" s="72"/>
      <c r="AY172" s="276">
        <f t="shared" si="343"/>
        <v>2505.7350000000015</v>
      </c>
      <c r="AZ172" s="72">
        <f t="shared" si="344"/>
        <v>2.9978493240983268</v>
      </c>
      <c r="BA172" s="1075"/>
      <c r="BB172" s="253">
        <f t="shared" si="345"/>
        <v>7099</v>
      </c>
      <c r="BC172" s="59"/>
      <c r="BD172" s="252">
        <v>7099</v>
      </c>
      <c r="BE172" s="59"/>
      <c r="BF172" s="58">
        <f t="shared" si="346"/>
        <v>89467</v>
      </c>
      <c r="BG172" s="58">
        <f t="shared" si="347"/>
        <v>107.0378892736482</v>
      </c>
      <c r="BH172" s="1133"/>
      <c r="BI172" s="63">
        <f t="shared" si="348"/>
        <v>1200</v>
      </c>
      <c r="BJ172" s="133"/>
      <c r="BK172" s="64">
        <v>1200</v>
      </c>
      <c r="BL172" s="133"/>
      <c r="BM172" s="133"/>
      <c r="BN172" s="64">
        <f t="shared" si="350"/>
        <v>12252</v>
      </c>
      <c r="BO172" s="65">
        <f t="shared" si="351"/>
        <v>0.18259131592601635</v>
      </c>
      <c r="BP172" s="1071"/>
      <c r="BQ172" s="77">
        <f t="shared" si="352"/>
        <v>32191</v>
      </c>
      <c r="BR172" s="35"/>
      <c r="BS172" s="35">
        <f t="shared" si="358"/>
        <v>32191</v>
      </c>
      <c r="BT172" s="35"/>
      <c r="BU172" s="74"/>
      <c r="BV172" s="35">
        <f t="shared" si="353"/>
        <v>483413</v>
      </c>
      <c r="BW172" s="74">
        <f t="shared" si="354"/>
        <v>578.35299235966443</v>
      </c>
      <c r="BX172" s="1098"/>
    </row>
    <row r="173" spans="1:76">
      <c r="A173" s="262">
        <v>43390</v>
      </c>
      <c r="B173" s="1"/>
      <c r="C173" s="1">
        <f t="shared" si="328"/>
        <v>67100672</v>
      </c>
      <c r="E173" s="91">
        <f t="shared" si="329"/>
        <v>835844.21000000043</v>
      </c>
      <c r="F173" s="244"/>
      <c r="G173" s="227"/>
      <c r="H173" s="227"/>
      <c r="I173" s="227"/>
      <c r="J173" s="227"/>
      <c r="K173" s="240">
        <f t="shared" si="331"/>
        <v>118480</v>
      </c>
      <c r="L173" s="267">
        <f t="shared" si="323"/>
        <v>1.7657051184226591E-3</v>
      </c>
      <c r="M173" s="267">
        <f t="shared" si="332"/>
        <v>2.1620879001093784E-4</v>
      </c>
      <c r="N173" s="1089"/>
      <c r="O173" s="1084"/>
      <c r="P173" s="35">
        <f t="shared" si="333"/>
        <v>53532</v>
      </c>
      <c r="Q173" s="98"/>
      <c r="R173" s="35">
        <v>53532</v>
      </c>
      <c r="S173" s="35"/>
      <c r="T173" s="246"/>
      <c r="U173" s="74">
        <f t="shared" si="334"/>
        <v>262747</v>
      </c>
      <c r="V173" s="36">
        <f t="shared" si="325"/>
        <v>3.9157133925573802</v>
      </c>
      <c r="W173" s="1136"/>
      <c r="X173" s="49">
        <f t="shared" si="335"/>
        <v>413</v>
      </c>
      <c r="Y173" s="248"/>
      <c r="Z173" s="50">
        <f t="shared" si="359"/>
        <v>413</v>
      </c>
      <c r="AA173" s="50"/>
      <c r="AB173" s="249"/>
      <c r="AC173" s="50">
        <f t="shared" si="336"/>
        <v>8833</v>
      </c>
      <c r="AD173" s="51">
        <f t="shared" si="337"/>
        <v>0.13163802592021731</v>
      </c>
      <c r="AE173" s="1047"/>
      <c r="AF173" s="40">
        <f t="shared" si="338"/>
        <v>646</v>
      </c>
      <c r="AG173" s="44"/>
      <c r="AH173" s="41">
        <v>646</v>
      </c>
      <c r="AI173" s="41"/>
      <c r="AJ173" s="42"/>
      <c r="AK173" s="41">
        <f t="shared" si="360"/>
        <v>5914</v>
      </c>
      <c r="AL173" s="42">
        <f t="shared" si="361"/>
        <v>8.8136226117079719E-2</v>
      </c>
      <c r="AM173" s="1058"/>
      <c r="AN173" s="220"/>
      <c r="AO173" s="67">
        <v>24</v>
      </c>
      <c r="AP173" s="68"/>
      <c r="AQ173" s="68"/>
      <c r="AR173" s="258">
        <f t="shared" si="341"/>
        <v>7575.4416000000019</v>
      </c>
      <c r="AS173" s="68">
        <f t="shared" si="342"/>
        <v>9.06322196094413</v>
      </c>
      <c r="AT173" s="1073"/>
      <c r="AU173" s="71"/>
      <c r="AV173" s="71">
        <v>10</v>
      </c>
      <c r="AW173" s="72"/>
      <c r="AX173" s="72"/>
      <c r="AY173" s="276">
        <f t="shared" si="343"/>
        <v>2505.7350000000015</v>
      </c>
      <c r="AZ173" s="72">
        <f t="shared" si="344"/>
        <v>2.9978493240983268</v>
      </c>
      <c r="BA173" s="1075"/>
      <c r="BB173" s="253">
        <f t="shared" si="345"/>
        <v>7099</v>
      </c>
      <c r="BC173" s="59"/>
      <c r="BD173" s="252">
        <v>7099</v>
      </c>
      <c r="BE173" s="59"/>
      <c r="BF173" s="58">
        <f t="shared" si="346"/>
        <v>89467</v>
      </c>
      <c r="BG173" s="58">
        <f t="shared" si="347"/>
        <v>107.0378892736482</v>
      </c>
      <c r="BH173" s="1133"/>
      <c r="BI173" s="63">
        <f t="shared" si="348"/>
        <v>1200</v>
      </c>
      <c r="BJ173" s="133"/>
      <c r="BK173" s="64">
        <v>1200</v>
      </c>
      <c r="BL173" s="133"/>
      <c r="BM173" s="133"/>
      <c r="BN173" s="64">
        <f t="shared" si="350"/>
        <v>12252</v>
      </c>
      <c r="BO173" s="65">
        <f t="shared" si="351"/>
        <v>0.18259131592601635</v>
      </c>
      <c r="BP173" s="1071"/>
      <c r="BQ173" s="77">
        <f t="shared" si="352"/>
        <v>32191</v>
      </c>
      <c r="BR173" s="35"/>
      <c r="BS173" s="35">
        <f t="shared" si="358"/>
        <v>32191</v>
      </c>
      <c r="BT173" s="35"/>
      <c r="BU173" s="74"/>
      <c r="BV173" s="35">
        <f t="shared" si="353"/>
        <v>483413</v>
      </c>
      <c r="BW173" s="74">
        <f t="shared" si="354"/>
        <v>578.35299235966443</v>
      </c>
      <c r="BX173" s="1098"/>
    </row>
    <row r="174" spans="1:76">
      <c r="A174" s="262">
        <v>43391</v>
      </c>
      <c r="B174" s="1"/>
      <c r="C174" s="1">
        <f t="shared" si="328"/>
        <v>67100672</v>
      </c>
      <c r="E174" s="91">
        <f t="shared" si="329"/>
        <v>835844.21000000043</v>
      </c>
      <c r="F174" s="244"/>
      <c r="G174" s="227"/>
      <c r="H174" s="227"/>
      <c r="I174" s="227"/>
      <c r="J174" s="227"/>
      <c r="K174" s="240">
        <f t="shared" si="331"/>
        <v>118480</v>
      </c>
      <c r="L174" s="267">
        <f t="shared" si="323"/>
        <v>1.7657051184226591E-3</v>
      </c>
      <c r="M174" s="267">
        <f t="shared" si="332"/>
        <v>2.1620879001093784E-4</v>
      </c>
      <c r="N174" s="1089"/>
      <c r="O174" s="1084"/>
      <c r="P174" s="35">
        <f t="shared" si="333"/>
        <v>53532</v>
      </c>
      <c r="Q174" s="98"/>
      <c r="R174" s="35">
        <v>53532</v>
      </c>
      <c r="S174" s="35"/>
      <c r="T174" s="246"/>
      <c r="U174" s="74">
        <f t="shared" si="334"/>
        <v>262747</v>
      </c>
      <c r="V174" s="36">
        <f t="shared" si="325"/>
        <v>3.9157133925573802</v>
      </c>
      <c r="W174" s="1136"/>
      <c r="X174" s="49">
        <f t="shared" si="335"/>
        <v>413</v>
      </c>
      <c r="Y174" s="248"/>
      <c r="Z174" s="50">
        <f t="shared" si="359"/>
        <v>413</v>
      </c>
      <c r="AA174" s="50"/>
      <c r="AB174" s="249"/>
      <c r="AC174" s="50">
        <f t="shared" si="336"/>
        <v>8833</v>
      </c>
      <c r="AD174" s="51">
        <f t="shared" si="337"/>
        <v>0.13163802592021731</v>
      </c>
      <c r="AE174" s="1047"/>
      <c r="AF174" s="40">
        <f t="shared" si="338"/>
        <v>646</v>
      </c>
      <c r="AG174" s="44"/>
      <c r="AH174" s="41">
        <v>646</v>
      </c>
      <c r="AI174" s="41"/>
      <c r="AJ174" s="42"/>
      <c r="AK174" s="41">
        <f t="shared" si="360"/>
        <v>5914</v>
      </c>
      <c r="AL174" s="42">
        <f t="shared" si="361"/>
        <v>8.8136226117079719E-2</v>
      </c>
      <c r="AM174" s="1058"/>
      <c r="AN174" s="220"/>
      <c r="AO174" s="67">
        <v>24</v>
      </c>
      <c r="AP174" s="68"/>
      <c r="AQ174" s="68"/>
      <c r="AR174" s="258">
        <f t="shared" si="341"/>
        <v>7575.4416000000019</v>
      </c>
      <c r="AS174" s="68">
        <f t="shared" si="342"/>
        <v>9.06322196094413</v>
      </c>
      <c r="AT174" s="1073"/>
      <c r="AU174" s="71">
        <v>0.3</v>
      </c>
      <c r="AV174" s="71">
        <v>10</v>
      </c>
      <c r="AW174" s="72">
        <f t="shared" si="355"/>
        <v>1.401</v>
      </c>
      <c r="AX174" s="72"/>
      <c r="AY174" s="276">
        <f t="shared" si="343"/>
        <v>2507.1360000000013</v>
      </c>
      <c r="AZ174" s="72">
        <f t="shared" si="344"/>
        <v>2.9995254737721999</v>
      </c>
      <c r="BA174" s="1075"/>
      <c r="BB174" s="253">
        <f t="shared" si="345"/>
        <v>7099</v>
      </c>
      <c r="BC174" s="59"/>
      <c r="BD174" s="252">
        <v>7099</v>
      </c>
      <c r="BE174" s="59"/>
      <c r="BF174" s="58">
        <f t="shared" si="346"/>
        <v>89467</v>
      </c>
      <c r="BG174" s="58">
        <f t="shared" si="347"/>
        <v>107.0378892736482</v>
      </c>
      <c r="BH174" s="1133"/>
      <c r="BI174" s="63">
        <f t="shared" si="348"/>
        <v>1200</v>
      </c>
      <c r="BJ174" s="133"/>
      <c r="BK174" s="64">
        <v>1200</v>
      </c>
      <c r="BL174" s="133"/>
      <c r="BM174" s="133"/>
      <c r="BN174" s="64">
        <f t="shared" si="350"/>
        <v>12252</v>
      </c>
      <c r="BO174" s="65">
        <f t="shared" si="351"/>
        <v>0.18259131592601635</v>
      </c>
      <c r="BP174" s="1071"/>
      <c r="BQ174" s="77">
        <f t="shared" si="352"/>
        <v>32191</v>
      </c>
      <c r="BR174" s="35"/>
      <c r="BS174" s="35">
        <f t="shared" si="358"/>
        <v>32191</v>
      </c>
      <c r="BT174" s="35"/>
      <c r="BU174" s="74"/>
      <c r="BV174" s="35">
        <f t="shared" si="353"/>
        <v>483413</v>
      </c>
      <c r="BW174" s="74">
        <f t="shared" si="354"/>
        <v>578.35299235966443</v>
      </c>
      <c r="BX174" s="1098"/>
    </row>
    <row r="175" spans="1:76">
      <c r="A175" s="262">
        <v>43392</v>
      </c>
      <c r="B175" s="1"/>
      <c r="C175" s="1">
        <f t="shared" si="328"/>
        <v>67100672</v>
      </c>
      <c r="E175" s="91">
        <f t="shared" si="329"/>
        <v>835844.21000000043</v>
      </c>
      <c r="F175" s="244"/>
      <c r="G175" s="227"/>
      <c r="H175" s="227"/>
      <c r="I175" s="227"/>
      <c r="J175" s="227"/>
      <c r="K175" s="240">
        <f t="shared" si="331"/>
        <v>118480</v>
      </c>
      <c r="L175" s="267">
        <f t="shared" si="323"/>
        <v>1.7657051184226591E-3</v>
      </c>
      <c r="M175" s="267">
        <f t="shared" si="332"/>
        <v>2.1620879001093784E-4</v>
      </c>
      <c r="N175" s="1089"/>
      <c r="O175" s="1084"/>
      <c r="P175" s="35">
        <f t="shared" si="333"/>
        <v>53532</v>
      </c>
      <c r="Q175" s="98"/>
      <c r="R175" s="35">
        <v>53532</v>
      </c>
      <c r="S175" s="35"/>
      <c r="T175" s="246"/>
      <c r="U175" s="74">
        <f t="shared" si="334"/>
        <v>262747</v>
      </c>
      <c r="V175" s="36">
        <f t="shared" si="325"/>
        <v>3.9157133925573802</v>
      </c>
      <c r="W175" s="1136"/>
      <c r="X175" s="49">
        <f t="shared" si="335"/>
        <v>413</v>
      </c>
      <c r="Y175" s="248"/>
      <c r="Z175" s="50">
        <f t="shared" si="359"/>
        <v>413</v>
      </c>
      <c r="AA175" s="50"/>
      <c r="AB175" s="249"/>
      <c r="AC175" s="50">
        <f t="shared" si="336"/>
        <v>8833</v>
      </c>
      <c r="AD175" s="51">
        <f t="shared" si="337"/>
        <v>0.13163802592021731</v>
      </c>
      <c r="AE175" s="1047"/>
      <c r="AF175" s="40">
        <f t="shared" si="338"/>
        <v>646</v>
      </c>
      <c r="AG175" s="44"/>
      <c r="AH175" s="41">
        <v>646</v>
      </c>
      <c r="AI175" s="41"/>
      <c r="AJ175" s="42"/>
      <c r="AK175" s="41">
        <f t="shared" si="360"/>
        <v>5914</v>
      </c>
      <c r="AL175" s="42">
        <f t="shared" si="361"/>
        <v>8.8136226117079719E-2</v>
      </c>
      <c r="AM175" s="1058"/>
      <c r="AN175" s="220"/>
      <c r="AO175" s="67">
        <v>24</v>
      </c>
      <c r="AP175" s="68"/>
      <c r="AQ175" s="68"/>
      <c r="AR175" s="258">
        <f t="shared" si="341"/>
        <v>7575.4416000000019</v>
      </c>
      <c r="AS175" s="68">
        <f t="shared" si="342"/>
        <v>9.06322196094413</v>
      </c>
      <c r="AT175" s="1073"/>
      <c r="AU175" s="71"/>
      <c r="AV175" s="71">
        <v>10</v>
      </c>
      <c r="AW175" s="72"/>
      <c r="AX175" s="72"/>
      <c r="AY175" s="276">
        <f t="shared" si="343"/>
        <v>2507.1360000000013</v>
      </c>
      <c r="AZ175" s="72">
        <f t="shared" si="344"/>
        <v>2.9995254737721999</v>
      </c>
      <c r="BA175" s="1075"/>
      <c r="BB175" s="253">
        <f t="shared" si="345"/>
        <v>7099</v>
      </c>
      <c r="BC175" s="59"/>
      <c r="BD175" s="252">
        <v>7099</v>
      </c>
      <c r="BE175" s="59"/>
      <c r="BF175" s="58">
        <f t="shared" si="346"/>
        <v>89467</v>
      </c>
      <c r="BG175" s="58">
        <f t="shared" si="347"/>
        <v>107.0378892736482</v>
      </c>
      <c r="BH175" s="1133"/>
      <c r="BI175" s="63">
        <f t="shared" si="348"/>
        <v>1200</v>
      </c>
      <c r="BJ175" s="133"/>
      <c r="BK175" s="64">
        <v>1200</v>
      </c>
      <c r="BL175" s="133"/>
      <c r="BM175" s="133"/>
      <c r="BN175" s="64">
        <f t="shared" si="350"/>
        <v>12252</v>
      </c>
      <c r="BO175" s="65">
        <f t="shared" si="351"/>
        <v>0.18259131592601635</v>
      </c>
      <c r="BP175" s="1071"/>
      <c r="BQ175" s="77">
        <f t="shared" si="352"/>
        <v>32191</v>
      </c>
      <c r="BR175" s="35"/>
      <c r="BS175" s="35">
        <f t="shared" si="358"/>
        <v>32191</v>
      </c>
      <c r="BT175" s="35"/>
      <c r="BU175" s="74"/>
      <c r="BV175" s="35">
        <f t="shared" si="353"/>
        <v>483413</v>
      </c>
      <c r="BW175" s="74">
        <f t="shared" si="354"/>
        <v>578.35299235966443</v>
      </c>
      <c r="BX175" s="1098"/>
    </row>
    <row r="176" spans="1:76">
      <c r="A176" s="262">
        <v>43393</v>
      </c>
      <c r="B176" s="1"/>
      <c r="C176" s="1">
        <f t="shared" si="328"/>
        <v>67100672</v>
      </c>
      <c r="E176" s="91">
        <f t="shared" si="329"/>
        <v>835844.21000000043</v>
      </c>
      <c r="F176" s="244"/>
      <c r="G176" s="227"/>
      <c r="H176" s="227"/>
      <c r="I176" s="227"/>
      <c r="J176" s="227"/>
      <c r="K176" s="240">
        <f t="shared" si="331"/>
        <v>118480</v>
      </c>
      <c r="L176" s="267">
        <f t="shared" si="323"/>
        <v>1.7657051184226591E-3</v>
      </c>
      <c r="M176" s="267">
        <f t="shared" si="332"/>
        <v>2.1620879001093784E-4</v>
      </c>
      <c r="N176" s="1089"/>
      <c r="O176" s="1084"/>
      <c r="P176" s="35">
        <f t="shared" si="333"/>
        <v>53532</v>
      </c>
      <c r="Q176" s="98"/>
      <c r="R176" s="35">
        <v>53532</v>
      </c>
      <c r="S176" s="35"/>
      <c r="T176" s="246"/>
      <c r="U176" s="74">
        <f t="shared" si="334"/>
        <v>262747</v>
      </c>
      <c r="V176" s="36">
        <f t="shared" si="325"/>
        <v>3.9157133925573802</v>
      </c>
      <c r="W176" s="1136"/>
      <c r="X176" s="49">
        <f t="shared" si="335"/>
        <v>413</v>
      </c>
      <c r="Y176" s="248"/>
      <c r="Z176" s="50">
        <f t="shared" si="359"/>
        <v>413</v>
      </c>
      <c r="AA176" s="50"/>
      <c r="AB176" s="249"/>
      <c r="AC176" s="50">
        <f t="shared" si="336"/>
        <v>8833</v>
      </c>
      <c r="AD176" s="51">
        <f t="shared" si="337"/>
        <v>0.13163802592021731</v>
      </c>
      <c r="AE176" s="1047"/>
      <c r="AF176" s="40">
        <f t="shared" si="338"/>
        <v>646</v>
      </c>
      <c r="AG176" s="44"/>
      <c r="AH176" s="41">
        <v>646</v>
      </c>
      <c r="AI176" s="41"/>
      <c r="AJ176" s="42"/>
      <c r="AK176" s="41">
        <f t="shared" si="360"/>
        <v>5914</v>
      </c>
      <c r="AL176" s="42">
        <f t="shared" si="361"/>
        <v>8.8136226117079719E-2</v>
      </c>
      <c r="AM176" s="1058"/>
      <c r="AN176" s="220"/>
      <c r="AO176" s="67">
        <v>24</v>
      </c>
      <c r="AP176" s="68"/>
      <c r="AQ176" s="68"/>
      <c r="AR176" s="258">
        <f t="shared" si="341"/>
        <v>7575.4416000000019</v>
      </c>
      <c r="AS176" s="68">
        <f t="shared" si="342"/>
        <v>9.06322196094413</v>
      </c>
      <c r="AT176" s="1073"/>
      <c r="AU176" s="71"/>
      <c r="AV176" s="71">
        <v>10</v>
      </c>
      <c r="AW176" s="72"/>
      <c r="AX176" s="72"/>
      <c r="AY176" s="276">
        <f t="shared" si="343"/>
        <v>2507.1360000000013</v>
      </c>
      <c r="AZ176" s="72">
        <f t="shared" si="344"/>
        <v>2.9995254737721999</v>
      </c>
      <c r="BA176" s="1075"/>
      <c r="BB176" s="253">
        <f t="shared" si="345"/>
        <v>7099</v>
      </c>
      <c r="BC176" s="59"/>
      <c r="BD176" s="252">
        <v>7099</v>
      </c>
      <c r="BE176" s="59"/>
      <c r="BF176" s="58">
        <f t="shared" si="346"/>
        <v>89467</v>
      </c>
      <c r="BG176" s="58">
        <f t="shared" si="347"/>
        <v>107.0378892736482</v>
      </c>
      <c r="BH176" s="1133"/>
      <c r="BI176" s="63">
        <f t="shared" si="348"/>
        <v>1200</v>
      </c>
      <c r="BJ176" s="133"/>
      <c r="BK176" s="64">
        <v>1200</v>
      </c>
      <c r="BL176" s="133"/>
      <c r="BM176" s="133"/>
      <c r="BN176" s="64">
        <f t="shared" si="350"/>
        <v>12252</v>
      </c>
      <c r="BO176" s="65">
        <f t="shared" si="351"/>
        <v>0.18259131592601635</v>
      </c>
      <c r="BP176" s="1071"/>
      <c r="BQ176" s="77">
        <f t="shared" si="352"/>
        <v>32191</v>
      </c>
      <c r="BR176" s="35"/>
      <c r="BS176" s="35">
        <f t="shared" si="358"/>
        <v>32191</v>
      </c>
      <c r="BT176" s="35"/>
      <c r="BU176" s="74"/>
      <c r="BV176" s="35">
        <f t="shared" si="353"/>
        <v>483413</v>
      </c>
      <c r="BW176" s="74">
        <f t="shared" si="354"/>
        <v>578.35299235966443</v>
      </c>
      <c r="BX176" s="1098"/>
    </row>
    <row r="177" spans="1:76">
      <c r="A177" s="262">
        <v>43394</v>
      </c>
      <c r="B177" s="1">
        <v>185540</v>
      </c>
      <c r="C177" s="1">
        <f t="shared" si="328"/>
        <v>67286212</v>
      </c>
      <c r="D177" s="1">
        <v>3390.7000000000003</v>
      </c>
      <c r="E177" s="91">
        <f t="shared" si="329"/>
        <v>839234.91000000038</v>
      </c>
      <c r="F177" s="244"/>
      <c r="G177" s="227"/>
      <c r="H177" s="227"/>
      <c r="I177" s="227"/>
      <c r="J177" s="227"/>
      <c r="K177" s="240">
        <f t="shared" si="331"/>
        <v>118480</v>
      </c>
      <c r="L177" s="267">
        <f t="shared" si="323"/>
        <v>1.7608362319460041E-3</v>
      </c>
      <c r="M177" s="267">
        <f t="shared" si="332"/>
        <v>2.1561259983012294E-4</v>
      </c>
      <c r="N177" s="1089"/>
      <c r="O177" s="1084"/>
      <c r="P177" s="35">
        <f t="shared" si="333"/>
        <v>53532</v>
      </c>
      <c r="Q177" s="98"/>
      <c r="R177" s="35">
        <v>53532</v>
      </c>
      <c r="S177" s="35"/>
      <c r="T177" s="246"/>
      <c r="U177" s="74">
        <f t="shared" si="334"/>
        <v>262747</v>
      </c>
      <c r="V177" s="36">
        <f t="shared" si="325"/>
        <v>3.904915913530695</v>
      </c>
      <c r="W177" s="1136"/>
      <c r="X177" s="49">
        <f t="shared" si="335"/>
        <v>413</v>
      </c>
      <c r="Y177" s="248"/>
      <c r="Z177" s="50">
        <f t="shared" si="359"/>
        <v>413</v>
      </c>
      <c r="AA177" s="50"/>
      <c r="AB177" s="249"/>
      <c r="AC177" s="50">
        <f t="shared" si="336"/>
        <v>8833</v>
      </c>
      <c r="AD177" s="51">
        <f t="shared" si="337"/>
        <v>0.13127503744749369</v>
      </c>
      <c r="AE177" s="1047"/>
      <c r="AF177" s="40">
        <f t="shared" si="338"/>
        <v>646</v>
      </c>
      <c r="AG177" s="44"/>
      <c r="AH177" s="41">
        <v>646</v>
      </c>
      <c r="AI177" s="41"/>
      <c r="AJ177" s="42"/>
      <c r="AK177" s="41">
        <f t="shared" si="360"/>
        <v>5914</v>
      </c>
      <c r="AL177" s="42">
        <f t="shared" si="361"/>
        <v>8.7893192739100845E-2</v>
      </c>
      <c r="AM177" s="1058"/>
      <c r="AN177" s="220">
        <v>3.8</v>
      </c>
      <c r="AO177" s="67">
        <v>24</v>
      </c>
      <c r="AP177" s="68">
        <f>AN177*AO177*0.53</f>
        <v>48.335999999999999</v>
      </c>
      <c r="AQ177" s="68">
        <f>AP177*1000/D177</f>
        <v>14.255463473619015</v>
      </c>
      <c r="AR177" s="258">
        <f t="shared" si="341"/>
        <v>7623.7776000000022</v>
      </c>
      <c r="AS177" s="68">
        <f t="shared" si="342"/>
        <v>9.0841997981232687</v>
      </c>
      <c r="AT177" s="1073"/>
      <c r="AU177" s="71">
        <v>2.7</v>
      </c>
      <c r="AV177" s="71">
        <v>10</v>
      </c>
      <c r="AW177" s="72">
        <f t="shared" si="355"/>
        <v>12.609</v>
      </c>
      <c r="AX177" s="72">
        <f>AW177*1000/D177</f>
        <v>3.7187011531542158</v>
      </c>
      <c r="AY177" s="276">
        <f t="shared" si="343"/>
        <v>2519.7450000000013</v>
      </c>
      <c r="AZ177" s="72">
        <f t="shared" si="344"/>
        <v>3.002431107161641</v>
      </c>
      <c r="BA177" s="1075"/>
      <c r="BB177" s="253">
        <f t="shared" si="345"/>
        <v>7099</v>
      </c>
      <c r="BC177" s="59"/>
      <c r="BD177" s="252">
        <v>7099</v>
      </c>
      <c r="BE177" s="59"/>
      <c r="BF177" s="58">
        <f t="shared" si="346"/>
        <v>89467</v>
      </c>
      <c r="BG177" s="58">
        <f t="shared" si="347"/>
        <v>106.60543184505988</v>
      </c>
      <c r="BH177" s="1133"/>
      <c r="BI177" s="63">
        <f t="shared" si="348"/>
        <v>1200</v>
      </c>
      <c r="BJ177" s="133"/>
      <c r="BK177" s="64">
        <v>1200</v>
      </c>
      <c r="BL177" s="133"/>
      <c r="BM177" s="133"/>
      <c r="BN177" s="64">
        <f t="shared" si="350"/>
        <v>12252</v>
      </c>
      <c r="BO177" s="65">
        <f t="shared" si="351"/>
        <v>0.1820878250658545</v>
      </c>
      <c r="BP177" s="1071"/>
      <c r="BQ177" s="77">
        <f t="shared" si="352"/>
        <v>32191</v>
      </c>
      <c r="BR177" s="35"/>
      <c r="BS177" s="35">
        <f t="shared" si="358"/>
        <v>32191</v>
      </c>
      <c r="BT177" s="35"/>
      <c r="BU177" s="74"/>
      <c r="BV177" s="35">
        <f t="shared" si="353"/>
        <v>483413</v>
      </c>
      <c r="BW177" s="74">
        <f t="shared" si="354"/>
        <v>576.01631466927392</v>
      </c>
      <c r="BX177" s="1098"/>
    </row>
    <row r="178" spans="1:76">
      <c r="A178" s="262">
        <v>43395</v>
      </c>
      <c r="B178" s="1">
        <v>29411</v>
      </c>
      <c r="C178" s="1">
        <f t="shared" si="328"/>
        <v>67315623</v>
      </c>
      <c r="D178" s="1">
        <v>420.7</v>
      </c>
      <c r="E178" s="91">
        <f t="shared" si="329"/>
        <v>839655.61000000034</v>
      </c>
      <c r="F178" s="244"/>
      <c r="G178" s="227"/>
      <c r="H178" s="227"/>
      <c r="I178" s="227"/>
      <c r="J178" s="227"/>
      <c r="K178" s="240">
        <f t="shared" si="331"/>
        <v>118480</v>
      </c>
      <c r="L178" s="267">
        <f t="shared" si="323"/>
        <v>1.7600669015571616E-3</v>
      </c>
      <c r="M178" s="267">
        <f t="shared" si="332"/>
        <v>2.155183961090402E-4</v>
      </c>
      <c r="N178" s="1089"/>
      <c r="O178" s="1084"/>
      <c r="P178" s="35">
        <f t="shared" si="333"/>
        <v>53532</v>
      </c>
      <c r="Q178" s="98"/>
      <c r="R178" s="35">
        <v>53532</v>
      </c>
      <c r="S178" s="35"/>
      <c r="T178" s="246"/>
      <c r="U178" s="74">
        <f t="shared" si="334"/>
        <v>262747</v>
      </c>
      <c r="V178" s="36">
        <f t="shared" si="325"/>
        <v>3.9032098091107321</v>
      </c>
      <c r="W178" s="1136"/>
      <c r="X178" s="49">
        <f t="shared" si="335"/>
        <v>413</v>
      </c>
      <c r="Y178" s="248"/>
      <c r="Z178" s="50">
        <f t="shared" si="359"/>
        <v>413</v>
      </c>
      <c r="AA178" s="50"/>
      <c r="AB178" s="249"/>
      <c r="AC178" s="50">
        <f t="shared" si="336"/>
        <v>8833</v>
      </c>
      <c r="AD178" s="51">
        <f t="shared" si="337"/>
        <v>0.13121768181511148</v>
      </c>
      <c r="AE178" s="1047"/>
      <c r="AF178" s="40">
        <f t="shared" si="338"/>
        <v>646</v>
      </c>
      <c r="AG178" s="44"/>
      <c r="AH178" s="41">
        <v>646</v>
      </c>
      <c r="AI178" s="41"/>
      <c r="AJ178" s="42"/>
      <c r="AK178" s="41">
        <f t="shared" si="360"/>
        <v>5914</v>
      </c>
      <c r="AL178" s="42">
        <f t="shared" si="361"/>
        <v>8.7854791153013617E-2</v>
      </c>
      <c r="AM178" s="1058"/>
      <c r="AN178" s="220">
        <v>3.2</v>
      </c>
      <c r="AO178" s="67">
        <v>24</v>
      </c>
      <c r="AP178" s="68">
        <f>AN178*AO178*0.53</f>
        <v>40.704000000000008</v>
      </c>
      <c r="AQ178" s="68">
        <f>AP178*1000/D178</f>
        <v>96.753030663180439</v>
      </c>
      <c r="AR178" s="258">
        <f t="shared" si="341"/>
        <v>7664.4816000000019</v>
      </c>
      <c r="AS178" s="68">
        <f t="shared" si="342"/>
        <v>9.1281252798394306</v>
      </c>
      <c r="AT178" s="1073"/>
      <c r="AU178" s="71">
        <v>0.8</v>
      </c>
      <c r="AV178" s="71">
        <v>10</v>
      </c>
      <c r="AW178" s="72">
        <f t="shared" si="355"/>
        <v>3.7360000000000002</v>
      </c>
      <c r="AX178" s="72">
        <f>AW178*1000/D178</f>
        <v>8.8804373662942719</v>
      </c>
      <c r="AY178" s="276">
        <f t="shared" si="343"/>
        <v>2523.4810000000011</v>
      </c>
      <c r="AZ178" s="72">
        <f t="shared" si="344"/>
        <v>3.0053762160893558</v>
      </c>
      <c r="BA178" s="1075"/>
      <c r="BB178" s="253">
        <f t="shared" si="345"/>
        <v>7099</v>
      </c>
      <c r="BC178" s="59"/>
      <c r="BD178" s="252">
        <v>7099</v>
      </c>
      <c r="BE178" s="59"/>
      <c r="BF178" s="58">
        <f t="shared" si="346"/>
        <v>89467</v>
      </c>
      <c r="BG178" s="58">
        <f t="shared" si="347"/>
        <v>106.55201839239777</v>
      </c>
      <c r="BH178" s="1133"/>
      <c r="BI178" s="63">
        <f t="shared" si="348"/>
        <v>1200</v>
      </c>
      <c r="BJ178" s="133"/>
      <c r="BK178" s="64">
        <v>1200</v>
      </c>
      <c r="BL178" s="133"/>
      <c r="BM178" s="133"/>
      <c r="BN178" s="64">
        <f t="shared" si="350"/>
        <v>12252</v>
      </c>
      <c r="BO178" s="65">
        <f t="shared" si="351"/>
        <v>0.18200826871943235</v>
      </c>
      <c r="BP178" s="1071"/>
      <c r="BQ178" s="77">
        <f t="shared" si="352"/>
        <v>32191</v>
      </c>
      <c r="BR178" s="35">
        <v>37000</v>
      </c>
      <c r="BS178" s="35">
        <f>22857+27469+17000</f>
        <v>67326</v>
      </c>
      <c r="BT178" s="35">
        <f>BQ178-BS178+BR178</f>
        <v>1865</v>
      </c>
      <c r="BU178" s="74">
        <f>BT178*1000/D178</f>
        <v>4433.0877109579278</v>
      </c>
      <c r="BV178" s="35">
        <f t="shared" si="353"/>
        <v>485278</v>
      </c>
      <c r="BW178" s="74">
        <f t="shared" si="354"/>
        <v>577.94885691289528</v>
      </c>
      <c r="BX178" s="1098"/>
    </row>
    <row r="179" spans="1:76">
      <c r="A179" s="262">
        <v>43396</v>
      </c>
      <c r="B179" s="1"/>
      <c r="C179" s="1">
        <f t="shared" si="328"/>
        <v>67315623</v>
      </c>
      <c r="D179" s="1"/>
      <c r="E179" s="91">
        <f t="shared" si="329"/>
        <v>839655.61000000034</v>
      </c>
      <c r="F179" s="244"/>
      <c r="G179" s="227"/>
      <c r="H179" s="227"/>
      <c r="I179" s="227"/>
      <c r="J179" s="227"/>
      <c r="K179" s="240">
        <f t="shared" si="331"/>
        <v>118480</v>
      </c>
      <c r="L179" s="267">
        <f t="shared" si="323"/>
        <v>1.7600669015571616E-3</v>
      </c>
      <c r="M179" s="267">
        <f t="shared" si="332"/>
        <v>2.155183961090402E-4</v>
      </c>
      <c r="N179" s="1089"/>
      <c r="O179" s="1084"/>
      <c r="P179" s="35">
        <f t="shared" si="333"/>
        <v>53532</v>
      </c>
      <c r="Q179" s="98"/>
      <c r="R179" s="35">
        <v>53532</v>
      </c>
      <c r="S179" s="35"/>
      <c r="T179" s="246"/>
      <c r="U179" s="74">
        <f t="shared" si="334"/>
        <v>262747</v>
      </c>
      <c r="V179" s="36">
        <f t="shared" si="325"/>
        <v>3.9032098091107321</v>
      </c>
      <c r="W179" s="1136"/>
      <c r="X179" s="49">
        <f t="shared" si="335"/>
        <v>413</v>
      </c>
      <c r="Y179" s="248"/>
      <c r="Z179" s="50">
        <f t="shared" si="359"/>
        <v>413</v>
      </c>
      <c r="AA179" s="50"/>
      <c r="AB179" s="249"/>
      <c r="AC179" s="50">
        <f t="shared" si="336"/>
        <v>8833</v>
      </c>
      <c r="AD179" s="51">
        <f t="shared" si="337"/>
        <v>0.13121768181511148</v>
      </c>
      <c r="AE179" s="1047"/>
      <c r="AF179" s="40">
        <f t="shared" si="338"/>
        <v>646</v>
      </c>
      <c r="AG179" s="44"/>
      <c r="AH179" s="41">
        <v>646</v>
      </c>
      <c r="AI179" s="41"/>
      <c r="AJ179" s="42"/>
      <c r="AK179" s="41">
        <f t="shared" si="360"/>
        <v>5914</v>
      </c>
      <c r="AL179" s="42">
        <f t="shared" si="361"/>
        <v>8.7854791153013617E-2</v>
      </c>
      <c r="AM179" s="1058"/>
      <c r="AN179" s="220"/>
      <c r="AO179" s="67">
        <v>24</v>
      </c>
      <c r="AP179" s="68"/>
      <c r="AQ179" s="68"/>
      <c r="AR179" s="258">
        <f t="shared" si="341"/>
        <v>7664.4816000000019</v>
      </c>
      <c r="AS179" s="68">
        <f t="shared" si="342"/>
        <v>9.1281252798394306</v>
      </c>
      <c r="AT179" s="1073"/>
      <c r="AU179" s="71"/>
      <c r="AV179" s="71">
        <v>10</v>
      </c>
      <c r="AW179" s="72"/>
      <c r="AX179" s="72"/>
      <c r="AY179" s="276">
        <f t="shared" si="343"/>
        <v>2523.4810000000011</v>
      </c>
      <c r="AZ179" s="72">
        <f t="shared" si="344"/>
        <v>3.0053762160893558</v>
      </c>
      <c r="BA179" s="1075"/>
      <c r="BB179" s="253">
        <f t="shared" si="345"/>
        <v>7099</v>
      </c>
      <c r="BC179" s="59"/>
      <c r="BD179" s="252">
        <v>7099</v>
      </c>
      <c r="BE179" s="59"/>
      <c r="BF179" s="58">
        <f t="shared" si="346"/>
        <v>89467</v>
      </c>
      <c r="BG179" s="58">
        <f t="shared" si="347"/>
        <v>106.55201839239777</v>
      </c>
      <c r="BH179" s="1133"/>
      <c r="BI179" s="63">
        <f t="shared" si="348"/>
        <v>1200</v>
      </c>
      <c r="BJ179" s="133"/>
      <c r="BK179" s="64">
        <v>1200</v>
      </c>
      <c r="BL179" s="133"/>
      <c r="BM179" s="133"/>
      <c r="BN179" s="64">
        <f t="shared" si="350"/>
        <v>12252</v>
      </c>
      <c r="BO179" s="65">
        <f t="shared" si="351"/>
        <v>0.18200826871943235</v>
      </c>
      <c r="BP179" s="1071"/>
      <c r="BQ179" s="77">
        <f t="shared" si="352"/>
        <v>67326</v>
      </c>
      <c r="BR179" s="35"/>
      <c r="BS179" s="35">
        <f t="shared" ref="BS179:BS185" si="362">5217+27469+17000</f>
        <v>49686</v>
      </c>
      <c r="BT179" s="35">
        <f>BQ179-BS179+BR179</f>
        <v>17640</v>
      </c>
      <c r="BU179" s="74"/>
      <c r="BV179" s="35">
        <f t="shared" si="353"/>
        <v>502918</v>
      </c>
      <c r="BW179" s="74">
        <f t="shared" si="354"/>
        <v>598.95747019423811</v>
      </c>
      <c r="BX179" s="1098"/>
    </row>
    <row r="180" spans="1:76">
      <c r="A180" s="262">
        <v>43397</v>
      </c>
      <c r="B180" s="1"/>
      <c r="C180" s="1">
        <f t="shared" si="328"/>
        <v>67315623</v>
      </c>
      <c r="D180" s="1"/>
      <c r="E180" s="91">
        <f t="shared" si="329"/>
        <v>839655.61000000034</v>
      </c>
      <c r="F180" s="244"/>
      <c r="G180" s="227"/>
      <c r="H180" s="227"/>
      <c r="I180" s="227"/>
      <c r="J180" s="227"/>
      <c r="K180" s="240">
        <f t="shared" si="331"/>
        <v>118480</v>
      </c>
      <c r="L180" s="267">
        <f t="shared" si="323"/>
        <v>1.7600669015571616E-3</v>
      </c>
      <c r="M180" s="267">
        <f t="shared" si="332"/>
        <v>2.155183961090402E-4</v>
      </c>
      <c r="N180" s="1089"/>
      <c r="O180" s="1084"/>
      <c r="P180" s="35">
        <f t="shared" si="333"/>
        <v>53532</v>
      </c>
      <c r="Q180" s="98"/>
      <c r="R180" s="35">
        <v>53532</v>
      </c>
      <c r="S180" s="35"/>
      <c r="T180" s="246"/>
      <c r="U180" s="74">
        <f t="shared" si="334"/>
        <v>262747</v>
      </c>
      <c r="V180" s="36">
        <f t="shared" si="325"/>
        <v>3.9032098091107321</v>
      </c>
      <c r="W180" s="1136"/>
      <c r="X180" s="49">
        <f t="shared" si="335"/>
        <v>413</v>
      </c>
      <c r="Y180" s="248"/>
      <c r="Z180" s="50">
        <f t="shared" si="359"/>
        <v>413</v>
      </c>
      <c r="AA180" s="50"/>
      <c r="AB180" s="249"/>
      <c r="AC180" s="50">
        <f t="shared" si="336"/>
        <v>8833</v>
      </c>
      <c r="AD180" s="51">
        <f t="shared" si="337"/>
        <v>0.13121768181511148</v>
      </c>
      <c r="AE180" s="1047"/>
      <c r="AF180" s="40">
        <f t="shared" si="338"/>
        <v>646</v>
      </c>
      <c r="AG180" s="44"/>
      <c r="AH180" s="41">
        <v>646</v>
      </c>
      <c r="AI180" s="41"/>
      <c r="AJ180" s="42"/>
      <c r="AK180" s="41">
        <f t="shared" si="360"/>
        <v>5914</v>
      </c>
      <c r="AL180" s="42">
        <f t="shared" si="361"/>
        <v>8.7854791153013617E-2</v>
      </c>
      <c r="AM180" s="1058"/>
      <c r="AN180" s="220"/>
      <c r="AO180" s="67">
        <v>24</v>
      </c>
      <c r="AP180" s="68"/>
      <c r="AQ180" s="68"/>
      <c r="AR180" s="258">
        <f t="shared" si="341"/>
        <v>7664.4816000000019</v>
      </c>
      <c r="AS180" s="68">
        <f t="shared" si="342"/>
        <v>9.1281252798394306</v>
      </c>
      <c r="AT180" s="1073"/>
      <c r="AU180" s="71"/>
      <c r="AV180" s="71">
        <v>10</v>
      </c>
      <c r="AW180" s="72"/>
      <c r="AX180" s="72"/>
      <c r="AY180" s="276">
        <f t="shared" si="343"/>
        <v>2523.4810000000011</v>
      </c>
      <c r="AZ180" s="72">
        <f t="shared" si="344"/>
        <v>3.0053762160893558</v>
      </c>
      <c r="BA180" s="1075"/>
      <c r="BB180" s="253">
        <f t="shared" si="345"/>
        <v>7099</v>
      </c>
      <c r="BC180" s="59"/>
      <c r="BD180" s="252">
        <v>7099</v>
      </c>
      <c r="BE180" s="59"/>
      <c r="BF180" s="58">
        <f t="shared" si="346"/>
        <v>89467</v>
      </c>
      <c r="BG180" s="58">
        <f t="shared" si="347"/>
        <v>106.55201839239777</v>
      </c>
      <c r="BH180" s="1133"/>
      <c r="BI180" s="63">
        <f t="shared" si="348"/>
        <v>1200</v>
      </c>
      <c r="BJ180" s="133"/>
      <c r="BK180" s="64">
        <v>1200</v>
      </c>
      <c r="BL180" s="133"/>
      <c r="BM180" s="133"/>
      <c r="BN180" s="64">
        <f t="shared" si="350"/>
        <v>12252</v>
      </c>
      <c r="BO180" s="65">
        <f t="shared" si="351"/>
        <v>0.18200826871943235</v>
      </c>
      <c r="BP180" s="1071"/>
      <c r="BQ180" s="77">
        <f t="shared" si="352"/>
        <v>49686</v>
      </c>
      <c r="BR180" s="35"/>
      <c r="BS180" s="35">
        <f t="shared" si="362"/>
        <v>49686</v>
      </c>
      <c r="BT180" s="35"/>
      <c r="BU180" s="74"/>
      <c r="BV180" s="35">
        <f t="shared" si="353"/>
        <v>502918</v>
      </c>
      <c r="BW180" s="74">
        <f t="shared" si="354"/>
        <v>598.95747019423811</v>
      </c>
      <c r="BX180" s="1098"/>
    </row>
    <row r="181" spans="1:76">
      <c r="A181" s="262">
        <v>43398</v>
      </c>
      <c r="B181" s="1"/>
      <c r="C181" s="1">
        <f t="shared" si="328"/>
        <v>67315623</v>
      </c>
      <c r="D181" s="1"/>
      <c r="E181" s="91">
        <f t="shared" si="329"/>
        <v>839655.61000000034</v>
      </c>
      <c r="F181" s="244"/>
      <c r="G181" s="227"/>
      <c r="H181" s="227"/>
      <c r="I181" s="227"/>
      <c r="J181" s="227"/>
      <c r="K181" s="240">
        <f t="shared" si="331"/>
        <v>118480</v>
      </c>
      <c r="L181" s="267">
        <f t="shared" si="323"/>
        <v>1.7600669015571616E-3</v>
      </c>
      <c r="M181" s="267">
        <f t="shared" si="332"/>
        <v>2.155183961090402E-4</v>
      </c>
      <c r="N181" s="1089"/>
      <c r="O181" s="1084"/>
      <c r="P181" s="35">
        <f t="shared" si="333"/>
        <v>53532</v>
      </c>
      <c r="Q181" s="98"/>
      <c r="R181" s="35">
        <v>53532</v>
      </c>
      <c r="S181" s="35"/>
      <c r="T181" s="246"/>
      <c r="U181" s="74">
        <f t="shared" si="334"/>
        <v>262747</v>
      </c>
      <c r="V181" s="36">
        <f t="shared" si="325"/>
        <v>3.9032098091107321</v>
      </c>
      <c r="W181" s="1136"/>
      <c r="X181" s="49">
        <f t="shared" si="335"/>
        <v>413</v>
      </c>
      <c r="Y181" s="248"/>
      <c r="Z181" s="50">
        <f t="shared" si="359"/>
        <v>413</v>
      </c>
      <c r="AA181" s="50"/>
      <c r="AB181" s="249"/>
      <c r="AC181" s="50">
        <f t="shared" si="336"/>
        <v>8833</v>
      </c>
      <c r="AD181" s="51">
        <f t="shared" si="337"/>
        <v>0.13121768181511148</v>
      </c>
      <c r="AE181" s="1047"/>
      <c r="AF181" s="40">
        <f t="shared" si="338"/>
        <v>646</v>
      </c>
      <c r="AG181" s="44"/>
      <c r="AH181" s="41">
        <v>646</v>
      </c>
      <c r="AI181" s="41"/>
      <c r="AJ181" s="42"/>
      <c r="AK181" s="41">
        <f t="shared" si="360"/>
        <v>5914</v>
      </c>
      <c r="AL181" s="42">
        <f t="shared" si="361"/>
        <v>8.7854791153013617E-2</v>
      </c>
      <c r="AM181" s="1058"/>
      <c r="AN181" s="220"/>
      <c r="AO181" s="67">
        <v>24</v>
      </c>
      <c r="AP181" s="68"/>
      <c r="AQ181" s="68"/>
      <c r="AR181" s="258">
        <f t="shared" si="341"/>
        <v>7664.4816000000019</v>
      </c>
      <c r="AS181" s="68">
        <f t="shared" si="342"/>
        <v>9.1281252798394306</v>
      </c>
      <c r="AT181" s="1073"/>
      <c r="AU181" s="71">
        <v>0.1</v>
      </c>
      <c r="AV181" s="71">
        <v>10</v>
      </c>
      <c r="AW181" s="72">
        <f t="shared" si="355"/>
        <v>0.46700000000000003</v>
      </c>
      <c r="AX181" s="72"/>
      <c r="AY181" s="276">
        <f t="shared" si="343"/>
        <v>2523.9480000000012</v>
      </c>
      <c r="AZ181" s="72">
        <f t="shared" si="344"/>
        <v>3.0059323964976552</v>
      </c>
      <c r="BA181" s="1075"/>
      <c r="BB181" s="253">
        <f t="shared" si="345"/>
        <v>7099</v>
      </c>
      <c r="BC181" s="59"/>
      <c r="BD181" s="252">
        <v>7099</v>
      </c>
      <c r="BE181" s="59"/>
      <c r="BF181" s="58">
        <f t="shared" si="346"/>
        <v>89467</v>
      </c>
      <c r="BG181" s="58">
        <f t="shared" si="347"/>
        <v>106.55201839239777</v>
      </c>
      <c r="BH181" s="1133"/>
      <c r="BI181" s="63">
        <f t="shared" si="348"/>
        <v>1200</v>
      </c>
      <c r="BJ181" s="133"/>
      <c r="BK181" s="64">
        <v>1200</v>
      </c>
      <c r="BL181" s="133"/>
      <c r="BM181" s="133"/>
      <c r="BN181" s="64">
        <f t="shared" si="350"/>
        <v>12252</v>
      </c>
      <c r="BO181" s="65">
        <f t="shared" si="351"/>
        <v>0.18200826871943235</v>
      </c>
      <c r="BP181" s="1071"/>
      <c r="BQ181" s="77">
        <f t="shared" si="352"/>
        <v>49686</v>
      </c>
      <c r="BR181" s="35"/>
      <c r="BS181" s="35">
        <f t="shared" si="362"/>
        <v>49686</v>
      </c>
      <c r="BT181" s="35"/>
      <c r="BU181" s="74"/>
      <c r="BV181" s="35">
        <f t="shared" si="353"/>
        <v>502918</v>
      </c>
      <c r="BW181" s="74">
        <f t="shared" si="354"/>
        <v>598.95747019423811</v>
      </c>
      <c r="BX181" s="1098"/>
    </row>
    <row r="182" spans="1:76">
      <c r="A182" s="262">
        <v>43399</v>
      </c>
      <c r="B182" s="1"/>
      <c r="C182" s="1">
        <f t="shared" si="328"/>
        <v>67315623</v>
      </c>
      <c r="D182" s="1"/>
      <c r="E182" s="91">
        <f t="shared" si="329"/>
        <v>839655.61000000034</v>
      </c>
      <c r="F182" s="244"/>
      <c r="G182" s="227"/>
      <c r="H182" s="227"/>
      <c r="I182" s="227"/>
      <c r="J182" s="227"/>
      <c r="K182" s="240">
        <f t="shared" si="331"/>
        <v>118480</v>
      </c>
      <c r="L182" s="267">
        <f t="shared" si="323"/>
        <v>1.7600669015571616E-3</v>
      </c>
      <c r="M182" s="267">
        <f t="shared" si="332"/>
        <v>2.155183961090402E-4</v>
      </c>
      <c r="N182" s="1089"/>
      <c r="O182" s="1084"/>
      <c r="P182" s="35">
        <f t="shared" si="333"/>
        <v>53532</v>
      </c>
      <c r="Q182" s="98"/>
      <c r="R182" s="35">
        <v>53532</v>
      </c>
      <c r="S182" s="35"/>
      <c r="T182" s="246"/>
      <c r="U182" s="74">
        <f t="shared" si="334"/>
        <v>262747</v>
      </c>
      <c r="V182" s="36">
        <f t="shared" si="325"/>
        <v>3.9032098091107321</v>
      </c>
      <c r="W182" s="1136"/>
      <c r="X182" s="49">
        <f t="shared" si="335"/>
        <v>413</v>
      </c>
      <c r="Y182" s="248"/>
      <c r="Z182" s="50">
        <f t="shared" si="359"/>
        <v>413</v>
      </c>
      <c r="AA182" s="50"/>
      <c r="AB182" s="249"/>
      <c r="AC182" s="50">
        <f t="shared" si="336"/>
        <v>8833</v>
      </c>
      <c r="AD182" s="51">
        <f t="shared" si="337"/>
        <v>0.13121768181511148</v>
      </c>
      <c r="AE182" s="1047"/>
      <c r="AF182" s="40">
        <f t="shared" si="338"/>
        <v>646</v>
      </c>
      <c r="AG182" s="44"/>
      <c r="AH182" s="41">
        <v>646</v>
      </c>
      <c r="AI182" s="41"/>
      <c r="AJ182" s="42"/>
      <c r="AK182" s="41">
        <f t="shared" si="360"/>
        <v>5914</v>
      </c>
      <c r="AL182" s="42">
        <f t="shared" si="361"/>
        <v>8.7854791153013617E-2</v>
      </c>
      <c r="AM182" s="1058"/>
      <c r="AN182" s="220"/>
      <c r="AO182" s="67">
        <v>24</v>
      </c>
      <c r="AP182" s="68"/>
      <c r="AQ182" s="68"/>
      <c r="AR182" s="258">
        <f t="shared" si="341"/>
        <v>7664.4816000000019</v>
      </c>
      <c r="AS182" s="68">
        <f t="shared" si="342"/>
        <v>9.1281252798394306</v>
      </c>
      <c r="AT182" s="1073"/>
      <c r="AU182" s="71"/>
      <c r="AV182" s="71">
        <v>10</v>
      </c>
      <c r="AW182" s="72"/>
      <c r="AX182" s="72"/>
      <c r="AY182" s="276">
        <f t="shared" si="343"/>
        <v>2523.9480000000012</v>
      </c>
      <c r="AZ182" s="72">
        <f t="shared" si="344"/>
        <v>3.0059323964976552</v>
      </c>
      <c r="BA182" s="1075"/>
      <c r="BB182" s="253">
        <f t="shared" si="345"/>
        <v>7099</v>
      </c>
      <c r="BC182" s="59"/>
      <c r="BD182" s="252">
        <v>7099</v>
      </c>
      <c r="BE182" s="59"/>
      <c r="BF182" s="58">
        <f t="shared" si="346"/>
        <v>89467</v>
      </c>
      <c r="BG182" s="58">
        <f t="shared" si="347"/>
        <v>106.55201839239777</v>
      </c>
      <c r="BH182" s="1133"/>
      <c r="BI182" s="63">
        <f t="shared" si="348"/>
        <v>1200</v>
      </c>
      <c r="BJ182" s="133"/>
      <c r="BK182" s="64">
        <v>1200</v>
      </c>
      <c r="BL182" s="133"/>
      <c r="BM182" s="133"/>
      <c r="BN182" s="64">
        <f t="shared" si="350"/>
        <v>12252</v>
      </c>
      <c r="BO182" s="65">
        <f t="shared" si="351"/>
        <v>0.18200826871943235</v>
      </c>
      <c r="BP182" s="1071"/>
      <c r="BQ182" s="77">
        <f t="shared" si="352"/>
        <v>49686</v>
      </c>
      <c r="BR182" s="35"/>
      <c r="BS182" s="35">
        <f t="shared" si="362"/>
        <v>49686</v>
      </c>
      <c r="BT182" s="35"/>
      <c r="BU182" s="74"/>
      <c r="BV182" s="35">
        <f t="shared" si="353"/>
        <v>502918</v>
      </c>
      <c r="BW182" s="74">
        <f t="shared" si="354"/>
        <v>598.95747019423811</v>
      </c>
      <c r="BX182" s="1098"/>
    </row>
    <row r="183" spans="1:76">
      <c r="A183" s="262">
        <v>43400</v>
      </c>
      <c r="B183" s="1"/>
      <c r="C183" s="1">
        <f t="shared" si="328"/>
        <v>67315623</v>
      </c>
      <c r="D183" s="1"/>
      <c r="E183" s="91">
        <f t="shared" si="329"/>
        <v>839655.61000000034</v>
      </c>
      <c r="F183" s="244"/>
      <c r="G183" s="227"/>
      <c r="H183" s="227"/>
      <c r="I183" s="227"/>
      <c r="J183" s="227"/>
      <c r="K183" s="240">
        <f t="shared" si="331"/>
        <v>118480</v>
      </c>
      <c r="L183" s="267">
        <f t="shared" si="323"/>
        <v>1.7600669015571616E-3</v>
      </c>
      <c r="M183" s="267">
        <f t="shared" si="332"/>
        <v>2.155183961090402E-4</v>
      </c>
      <c r="N183" s="1089"/>
      <c r="O183" s="1084"/>
      <c r="P183" s="35">
        <f t="shared" si="333"/>
        <v>53532</v>
      </c>
      <c r="Q183" s="98"/>
      <c r="R183" s="35">
        <v>53532</v>
      </c>
      <c r="S183" s="35"/>
      <c r="T183" s="246"/>
      <c r="U183" s="74">
        <f t="shared" si="334"/>
        <v>262747</v>
      </c>
      <c r="V183" s="36">
        <f t="shared" si="325"/>
        <v>3.9032098091107321</v>
      </c>
      <c r="W183" s="1136"/>
      <c r="X183" s="49">
        <f t="shared" si="335"/>
        <v>413</v>
      </c>
      <c r="Y183" s="248"/>
      <c r="Z183" s="50">
        <f t="shared" si="359"/>
        <v>413</v>
      </c>
      <c r="AA183" s="50"/>
      <c r="AB183" s="249"/>
      <c r="AC183" s="50">
        <f t="shared" si="336"/>
        <v>8833</v>
      </c>
      <c r="AD183" s="51">
        <f t="shared" si="337"/>
        <v>0.13121768181511148</v>
      </c>
      <c r="AE183" s="1047"/>
      <c r="AF183" s="40">
        <f t="shared" si="338"/>
        <v>646</v>
      </c>
      <c r="AG183" s="44"/>
      <c r="AH183" s="41">
        <v>646</v>
      </c>
      <c r="AI183" s="41"/>
      <c r="AJ183" s="42"/>
      <c r="AK183" s="41">
        <f t="shared" si="360"/>
        <v>5914</v>
      </c>
      <c r="AL183" s="42">
        <f t="shared" si="361"/>
        <v>8.7854791153013617E-2</v>
      </c>
      <c r="AM183" s="1058"/>
      <c r="AN183" s="220"/>
      <c r="AO183" s="67">
        <v>24</v>
      </c>
      <c r="AP183" s="68"/>
      <c r="AQ183" s="68"/>
      <c r="AR183" s="258">
        <f t="shared" si="341"/>
        <v>7664.4816000000019</v>
      </c>
      <c r="AS183" s="68">
        <f t="shared" si="342"/>
        <v>9.1281252798394306</v>
      </c>
      <c r="AT183" s="1073"/>
      <c r="AU183" s="71"/>
      <c r="AV183" s="71">
        <v>10</v>
      </c>
      <c r="AW183" s="72"/>
      <c r="AX183" s="72"/>
      <c r="AY183" s="276">
        <f t="shared" si="343"/>
        <v>2523.9480000000012</v>
      </c>
      <c r="AZ183" s="72">
        <f t="shared" si="344"/>
        <v>3.0059323964976552</v>
      </c>
      <c r="BA183" s="1075"/>
      <c r="BB183" s="253">
        <f t="shared" si="345"/>
        <v>7099</v>
      </c>
      <c r="BC183" s="59"/>
      <c r="BD183" s="252">
        <v>7099</v>
      </c>
      <c r="BE183" s="59"/>
      <c r="BF183" s="58">
        <f t="shared" si="346"/>
        <v>89467</v>
      </c>
      <c r="BG183" s="58">
        <f t="shared" si="347"/>
        <v>106.55201839239777</v>
      </c>
      <c r="BH183" s="1133"/>
      <c r="BI183" s="63">
        <f t="shared" si="348"/>
        <v>1200</v>
      </c>
      <c r="BJ183" s="133"/>
      <c r="BK183" s="64">
        <v>1200</v>
      </c>
      <c r="BL183" s="133"/>
      <c r="BM183" s="133"/>
      <c r="BN183" s="64">
        <f t="shared" si="350"/>
        <v>12252</v>
      </c>
      <c r="BO183" s="65">
        <f t="shared" si="351"/>
        <v>0.18200826871943235</v>
      </c>
      <c r="BP183" s="1071"/>
      <c r="BQ183" s="77">
        <f t="shared" si="352"/>
        <v>49686</v>
      </c>
      <c r="BR183" s="35"/>
      <c r="BS183" s="35">
        <f t="shared" si="362"/>
        <v>49686</v>
      </c>
      <c r="BT183" s="35"/>
      <c r="BU183" s="74"/>
      <c r="BV183" s="35">
        <f t="shared" si="353"/>
        <v>502918</v>
      </c>
      <c r="BW183" s="74">
        <f t="shared" si="354"/>
        <v>598.95747019423811</v>
      </c>
      <c r="BX183" s="1098"/>
    </row>
    <row r="184" spans="1:76">
      <c r="A184" s="262">
        <v>43401</v>
      </c>
      <c r="B184" s="1"/>
      <c r="C184" s="1">
        <f t="shared" si="328"/>
        <v>67315623</v>
      </c>
      <c r="D184" s="1"/>
      <c r="E184" s="91">
        <f t="shared" si="329"/>
        <v>839655.61000000034</v>
      </c>
      <c r="F184" s="244"/>
      <c r="G184" s="227"/>
      <c r="H184" s="227"/>
      <c r="I184" s="227"/>
      <c r="J184" s="227"/>
      <c r="K184" s="240">
        <f t="shared" si="331"/>
        <v>118480</v>
      </c>
      <c r="L184" s="267">
        <f t="shared" si="323"/>
        <v>1.7600669015571616E-3</v>
      </c>
      <c r="M184" s="267">
        <f t="shared" si="332"/>
        <v>2.155183961090402E-4</v>
      </c>
      <c r="N184" s="1089"/>
      <c r="O184" s="1084"/>
      <c r="P184" s="35">
        <f t="shared" si="333"/>
        <v>53532</v>
      </c>
      <c r="Q184" s="98"/>
      <c r="R184" s="35">
        <v>53532</v>
      </c>
      <c r="S184" s="35"/>
      <c r="T184" s="246"/>
      <c r="U184" s="74">
        <f t="shared" si="334"/>
        <v>262747</v>
      </c>
      <c r="V184" s="36">
        <f t="shared" si="325"/>
        <v>3.9032098091107321</v>
      </c>
      <c r="W184" s="1136"/>
      <c r="X184" s="49">
        <f t="shared" si="335"/>
        <v>413</v>
      </c>
      <c r="Y184" s="248"/>
      <c r="Z184" s="50">
        <f t="shared" si="359"/>
        <v>413</v>
      </c>
      <c r="AA184" s="50"/>
      <c r="AB184" s="249"/>
      <c r="AC184" s="50">
        <f t="shared" si="336"/>
        <v>8833</v>
      </c>
      <c r="AD184" s="51">
        <f t="shared" si="337"/>
        <v>0.13121768181511148</v>
      </c>
      <c r="AE184" s="1047"/>
      <c r="AF184" s="40">
        <f t="shared" si="338"/>
        <v>646</v>
      </c>
      <c r="AG184" s="44"/>
      <c r="AH184" s="41">
        <v>646</v>
      </c>
      <c r="AI184" s="41"/>
      <c r="AJ184" s="42"/>
      <c r="AK184" s="41">
        <f t="shared" si="360"/>
        <v>5914</v>
      </c>
      <c r="AL184" s="42">
        <f t="shared" si="361"/>
        <v>8.7854791153013617E-2</v>
      </c>
      <c r="AM184" s="1058"/>
      <c r="AN184" s="220"/>
      <c r="AO184" s="67">
        <v>24</v>
      </c>
      <c r="AP184" s="68"/>
      <c r="AQ184" s="68"/>
      <c r="AR184" s="258">
        <f t="shared" si="341"/>
        <v>7664.4816000000019</v>
      </c>
      <c r="AS184" s="68">
        <f t="shared" si="342"/>
        <v>9.1281252798394306</v>
      </c>
      <c r="AT184" s="1073"/>
      <c r="AU184" s="71"/>
      <c r="AV184" s="71">
        <v>10</v>
      </c>
      <c r="AW184" s="72"/>
      <c r="AX184" s="72"/>
      <c r="AY184" s="276">
        <f t="shared" si="343"/>
        <v>2523.9480000000012</v>
      </c>
      <c r="AZ184" s="72">
        <f t="shared" si="344"/>
        <v>3.0059323964976552</v>
      </c>
      <c r="BA184" s="1075"/>
      <c r="BB184" s="253">
        <f t="shared" si="345"/>
        <v>7099</v>
      </c>
      <c r="BC184" s="59"/>
      <c r="BD184" s="252">
        <v>7099</v>
      </c>
      <c r="BE184" s="59"/>
      <c r="BF184" s="58">
        <f t="shared" si="346"/>
        <v>89467</v>
      </c>
      <c r="BG184" s="58">
        <f t="shared" si="347"/>
        <v>106.55201839239777</v>
      </c>
      <c r="BH184" s="1133"/>
      <c r="BI184" s="63">
        <f t="shared" si="348"/>
        <v>1200</v>
      </c>
      <c r="BJ184" s="133"/>
      <c r="BK184" s="64">
        <v>1200</v>
      </c>
      <c r="BL184" s="133"/>
      <c r="BM184" s="133"/>
      <c r="BN184" s="64">
        <f t="shared" si="350"/>
        <v>12252</v>
      </c>
      <c r="BO184" s="65">
        <f t="shared" si="351"/>
        <v>0.18200826871943235</v>
      </c>
      <c r="BP184" s="1071"/>
      <c r="BQ184" s="77">
        <f t="shared" si="352"/>
        <v>49686</v>
      </c>
      <c r="BR184" s="35"/>
      <c r="BS184" s="35">
        <f t="shared" si="362"/>
        <v>49686</v>
      </c>
      <c r="BT184" s="35"/>
      <c r="BU184" s="74"/>
      <c r="BV184" s="35">
        <f t="shared" si="353"/>
        <v>502918</v>
      </c>
      <c r="BW184" s="74">
        <f t="shared" si="354"/>
        <v>598.95747019423811</v>
      </c>
      <c r="BX184" s="1098"/>
    </row>
    <row r="185" spans="1:76">
      <c r="A185" s="262">
        <v>43402</v>
      </c>
      <c r="B185" s="1"/>
      <c r="C185" s="1">
        <f t="shared" si="328"/>
        <v>67315623</v>
      </c>
      <c r="D185" s="1"/>
      <c r="E185" s="91">
        <f t="shared" si="329"/>
        <v>839655.61000000034</v>
      </c>
      <c r="F185" s="244"/>
      <c r="G185" s="227"/>
      <c r="H185" s="227"/>
      <c r="I185" s="227"/>
      <c r="J185" s="227"/>
      <c r="K185" s="240">
        <f t="shared" si="331"/>
        <v>118480</v>
      </c>
      <c r="L185" s="267">
        <f t="shared" si="323"/>
        <v>1.7600669015571616E-3</v>
      </c>
      <c r="M185" s="267">
        <f t="shared" si="332"/>
        <v>2.155183961090402E-4</v>
      </c>
      <c r="N185" s="1089"/>
      <c r="O185" s="1084"/>
      <c r="P185" s="35">
        <f t="shared" si="333"/>
        <v>53532</v>
      </c>
      <c r="Q185" s="98"/>
      <c r="R185" s="35">
        <v>53532</v>
      </c>
      <c r="S185" s="35"/>
      <c r="T185" s="246"/>
      <c r="U185" s="74">
        <f t="shared" si="334"/>
        <v>262747</v>
      </c>
      <c r="V185" s="36">
        <f t="shared" si="325"/>
        <v>3.9032098091107321</v>
      </c>
      <c r="W185" s="1136"/>
      <c r="X185" s="49">
        <f t="shared" si="335"/>
        <v>413</v>
      </c>
      <c r="Y185" s="248"/>
      <c r="Z185" s="50">
        <f t="shared" si="359"/>
        <v>413</v>
      </c>
      <c r="AA185" s="50"/>
      <c r="AB185" s="249"/>
      <c r="AC185" s="50">
        <f t="shared" si="336"/>
        <v>8833</v>
      </c>
      <c r="AD185" s="51">
        <f t="shared" si="337"/>
        <v>0.13121768181511148</v>
      </c>
      <c r="AE185" s="1047"/>
      <c r="AF185" s="40">
        <f t="shared" si="338"/>
        <v>646</v>
      </c>
      <c r="AG185" s="44"/>
      <c r="AH185" s="41">
        <v>646</v>
      </c>
      <c r="AI185" s="41"/>
      <c r="AJ185" s="42"/>
      <c r="AK185" s="41">
        <f t="shared" si="360"/>
        <v>5914</v>
      </c>
      <c r="AL185" s="42">
        <f t="shared" si="361"/>
        <v>8.7854791153013617E-2</v>
      </c>
      <c r="AM185" s="1058"/>
      <c r="AN185" s="220"/>
      <c r="AO185" s="67">
        <v>24</v>
      </c>
      <c r="AP185" s="68"/>
      <c r="AQ185" s="68"/>
      <c r="AR185" s="258">
        <f t="shared" si="341"/>
        <v>7664.4816000000019</v>
      </c>
      <c r="AS185" s="68">
        <f t="shared" si="342"/>
        <v>9.1281252798394306</v>
      </c>
      <c r="AT185" s="1073"/>
      <c r="AU185" s="71"/>
      <c r="AV185" s="71">
        <v>10</v>
      </c>
      <c r="AW185" s="72"/>
      <c r="AX185" s="72"/>
      <c r="AY185" s="276">
        <f t="shared" si="343"/>
        <v>2523.9480000000012</v>
      </c>
      <c r="AZ185" s="72">
        <f t="shared" si="344"/>
        <v>3.0059323964976552</v>
      </c>
      <c r="BA185" s="1075"/>
      <c r="BB185" s="253">
        <f t="shared" si="345"/>
        <v>7099</v>
      </c>
      <c r="BC185" s="59"/>
      <c r="BD185" s="252">
        <v>7099</v>
      </c>
      <c r="BE185" s="59"/>
      <c r="BF185" s="58">
        <f t="shared" si="346"/>
        <v>89467</v>
      </c>
      <c r="BG185" s="58">
        <f t="shared" si="347"/>
        <v>106.55201839239777</v>
      </c>
      <c r="BH185" s="1133"/>
      <c r="BI185" s="63">
        <f t="shared" si="348"/>
        <v>1200</v>
      </c>
      <c r="BJ185" s="133"/>
      <c r="BK185" s="64">
        <v>1200</v>
      </c>
      <c r="BL185" s="133"/>
      <c r="BM185" s="133"/>
      <c r="BN185" s="64">
        <f t="shared" si="350"/>
        <v>12252</v>
      </c>
      <c r="BO185" s="65">
        <f t="shared" si="351"/>
        <v>0.18200826871943235</v>
      </c>
      <c r="BP185" s="1071"/>
      <c r="BQ185" s="77">
        <f t="shared" si="352"/>
        <v>49686</v>
      </c>
      <c r="BR185" s="35"/>
      <c r="BS185" s="35">
        <f t="shared" si="362"/>
        <v>49686</v>
      </c>
      <c r="BT185" s="35"/>
      <c r="BU185" s="74"/>
      <c r="BV185" s="35">
        <f t="shared" si="353"/>
        <v>502918</v>
      </c>
      <c r="BW185" s="74">
        <f t="shared" si="354"/>
        <v>598.95747019423811</v>
      </c>
      <c r="BX185" s="1098"/>
    </row>
    <row r="186" spans="1:76">
      <c r="A186" s="262">
        <v>43403</v>
      </c>
      <c r="B186" s="1">
        <v>366539</v>
      </c>
      <c r="C186" s="1">
        <f t="shared" si="328"/>
        <v>67682162</v>
      </c>
      <c r="D186" s="1">
        <v>5662.6</v>
      </c>
      <c r="E186" s="91">
        <f t="shared" si="329"/>
        <v>845318.21000000031</v>
      </c>
      <c r="F186" s="243"/>
      <c r="G186" s="240"/>
      <c r="H186" s="240"/>
      <c r="I186" s="240"/>
      <c r="J186" s="227"/>
      <c r="K186" s="240">
        <f t="shared" si="331"/>
        <v>118480</v>
      </c>
      <c r="L186" s="267">
        <f t="shared" si="323"/>
        <v>1.7505350966773195E-3</v>
      </c>
      <c r="M186" s="267">
        <f t="shared" si="332"/>
        <v>2.1435123632783504E-4</v>
      </c>
      <c r="N186" s="1089"/>
      <c r="O186" s="1084"/>
      <c r="P186" s="35">
        <f t="shared" si="333"/>
        <v>53532</v>
      </c>
      <c r="Q186" s="98"/>
      <c r="R186" s="35">
        <v>53532</v>
      </c>
      <c r="S186" s="35"/>
      <c r="T186" s="246"/>
      <c r="U186" s="74">
        <f t="shared" si="334"/>
        <v>262747</v>
      </c>
      <c r="V186" s="36">
        <f t="shared" si="325"/>
        <v>3.8820716158564794</v>
      </c>
      <c r="W186" s="1136"/>
      <c r="X186" s="49">
        <f t="shared" si="335"/>
        <v>413</v>
      </c>
      <c r="Y186" s="248"/>
      <c r="Z186" s="50">
        <f t="shared" si="359"/>
        <v>413</v>
      </c>
      <c r="AA186" s="50"/>
      <c r="AB186" s="249"/>
      <c r="AC186" s="50">
        <f t="shared" si="336"/>
        <v>8833</v>
      </c>
      <c r="AD186" s="51">
        <f t="shared" si="337"/>
        <v>0.13050706033888221</v>
      </c>
      <c r="AE186" s="1047"/>
      <c r="AF186" s="40">
        <f t="shared" si="338"/>
        <v>646</v>
      </c>
      <c r="AG186" s="44"/>
      <c r="AH186" s="41">
        <v>646</v>
      </c>
      <c r="AI186" s="41"/>
      <c r="AJ186" s="42"/>
      <c r="AK186" s="41">
        <f t="shared" si="360"/>
        <v>5914</v>
      </c>
      <c r="AL186" s="42">
        <f t="shared" si="361"/>
        <v>8.7379005416523187E-2</v>
      </c>
      <c r="AM186" s="1058"/>
      <c r="AN186" s="220">
        <v>4.9000000000000004</v>
      </c>
      <c r="AO186" s="67">
        <v>24</v>
      </c>
      <c r="AP186" s="68">
        <f>AN186*AO186*0.53</f>
        <v>62.32800000000001</v>
      </c>
      <c r="AQ186" s="68">
        <f>AP186*1000/D186</f>
        <v>11.006957934517713</v>
      </c>
      <c r="AR186" s="258">
        <f t="shared" si="341"/>
        <v>7726.8096000000023</v>
      </c>
      <c r="AS186" s="68">
        <f t="shared" si="342"/>
        <v>9.1407111648523447</v>
      </c>
      <c r="AT186" s="1073"/>
      <c r="AU186" s="71">
        <v>6.1</v>
      </c>
      <c r="AV186" s="71">
        <v>10</v>
      </c>
      <c r="AW186" s="72">
        <f t="shared" si="355"/>
        <v>28.487000000000002</v>
      </c>
      <c r="AX186" s="72">
        <f>AW186*1000/D186</f>
        <v>5.0307279341645188</v>
      </c>
      <c r="AY186" s="276">
        <f t="shared" si="343"/>
        <v>2552.4350000000013</v>
      </c>
      <c r="AZ186" s="72">
        <f t="shared" si="344"/>
        <v>3.0194960546277603</v>
      </c>
      <c r="BA186" s="1075"/>
      <c r="BB186" s="253">
        <f t="shared" si="345"/>
        <v>7099</v>
      </c>
      <c r="BC186" s="59"/>
      <c r="BD186" s="252">
        <v>7099</v>
      </c>
      <c r="BE186" s="59"/>
      <c r="BF186" s="58">
        <f t="shared" si="346"/>
        <v>89467</v>
      </c>
      <c r="BG186" s="58">
        <f t="shared" si="347"/>
        <v>105.83824995323354</v>
      </c>
      <c r="BH186" s="1133"/>
      <c r="BI186" s="63">
        <f t="shared" si="348"/>
        <v>1200</v>
      </c>
      <c r="BJ186" s="133"/>
      <c r="BK186" s="64">
        <v>1200</v>
      </c>
      <c r="BL186" s="133"/>
      <c r="BM186" s="133"/>
      <c r="BN186" s="64">
        <f t="shared" si="350"/>
        <v>12252</v>
      </c>
      <c r="BO186" s="65">
        <f t="shared" si="351"/>
        <v>0.18102258612838049</v>
      </c>
      <c r="BP186" s="1071"/>
      <c r="BQ186" s="77">
        <f t="shared" si="352"/>
        <v>49686</v>
      </c>
      <c r="BR186" s="35"/>
      <c r="BS186" s="35">
        <f>4985+27469+17000</f>
        <v>49454</v>
      </c>
      <c r="BT186" s="35">
        <f t="shared" ref="BT186:BT202" si="363">BQ186-BS186+BR186</f>
        <v>232</v>
      </c>
      <c r="BU186" s="74">
        <f t="shared" ref="BU186:BU202" si="364">BT186*1000/D186</f>
        <v>40.970578886024086</v>
      </c>
      <c r="BV186" s="35">
        <f t="shared" si="353"/>
        <v>503150</v>
      </c>
      <c r="BW186" s="74">
        <f t="shared" si="354"/>
        <v>595.21963924094314</v>
      </c>
      <c r="BX186" s="1098"/>
    </row>
    <row r="187" spans="1:76" ht="15.75" thickBot="1">
      <c r="A187" s="263">
        <v>43404</v>
      </c>
      <c r="B187" s="78">
        <v>459576</v>
      </c>
      <c r="C187" s="1">
        <f t="shared" si="328"/>
        <v>68141738</v>
      </c>
      <c r="D187" s="78">
        <v>5290</v>
      </c>
      <c r="E187" s="91">
        <f t="shared" si="329"/>
        <v>850608.21000000031</v>
      </c>
      <c r="F187" s="245"/>
      <c r="G187" s="231"/>
      <c r="H187" s="231"/>
      <c r="I187" s="231"/>
      <c r="J187" s="228"/>
      <c r="K187" s="231">
        <f t="shared" si="331"/>
        <v>118480</v>
      </c>
      <c r="L187" s="270">
        <f t="shared" si="323"/>
        <v>1.7387287656208592E-3</v>
      </c>
      <c r="M187" s="270">
        <f t="shared" si="332"/>
        <v>2.1290556313724806E-4</v>
      </c>
      <c r="N187" s="1090"/>
      <c r="O187" s="1085"/>
      <c r="P187" s="79">
        <f t="shared" si="333"/>
        <v>53532</v>
      </c>
      <c r="Q187" s="247"/>
      <c r="R187" s="76">
        <v>50144</v>
      </c>
      <c r="S187" s="76">
        <f>P187+Q187-R187</f>
        <v>3388</v>
      </c>
      <c r="T187" s="80">
        <f>1000*S187/B187</f>
        <v>7.3720124636621582</v>
      </c>
      <c r="U187" s="81">
        <f t="shared" si="334"/>
        <v>266135</v>
      </c>
      <c r="V187" s="80">
        <f t="shared" si="325"/>
        <v>3.9056092170704537</v>
      </c>
      <c r="W187" s="1137"/>
      <c r="X187" s="83">
        <f t="shared" si="335"/>
        <v>413</v>
      </c>
      <c r="Y187" s="250"/>
      <c r="Z187" s="82">
        <f>231+70</f>
        <v>301</v>
      </c>
      <c r="AA187" s="82">
        <f>X187+Y187-Z187</f>
        <v>112</v>
      </c>
      <c r="AB187" s="84">
        <f>1000*AA187/B187</f>
        <v>0.2437028913607325</v>
      </c>
      <c r="AC187" s="82">
        <f t="shared" si="336"/>
        <v>8945</v>
      </c>
      <c r="AD187" s="84">
        <f t="shared" si="337"/>
        <v>0.13127049973395161</v>
      </c>
      <c r="AE187" s="1048"/>
      <c r="AF187" s="95">
        <f t="shared" si="338"/>
        <v>646</v>
      </c>
      <c r="AG187" s="45"/>
      <c r="AH187" s="96">
        <v>396</v>
      </c>
      <c r="AI187" s="96">
        <f>AF187+AG187-AH187</f>
        <v>250</v>
      </c>
      <c r="AJ187" s="97">
        <f>AI187*1000/B187</f>
        <v>0.54397966821592081</v>
      </c>
      <c r="AK187" s="96">
        <f t="shared" si="360"/>
        <v>6164</v>
      </c>
      <c r="AL187" s="97">
        <f t="shared" si="361"/>
        <v>9.0458508704312768E-2</v>
      </c>
      <c r="AM187" s="1059"/>
      <c r="AN187" s="215">
        <v>7.3</v>
      </c>
      <c r="AO187" s="101">
        <v>24</v>
      </c>
      <c r="AP187" s="111">
        <f>AN187*AO187*0.53</f>
        <v>92.855999999999995</v>
      </c>
      <c r="AQ187" s="111">
        <f>AP187*1000/D187</f>
        <v>17.5531190926276</v>
      </c>
      <c r="AR187" s="259">
        <f t="shared" si="341"/>
        <v>7819.6656000000021</v>
      </c>
      <c r="AS187" s="111">
        <f t="shared" si="342"/>
        <v>9.1930285977371415</v>
      </c>
      <c r="AT187" s="1074"/>
      <c r="AU187" s="71">
        <v>3.8</v>
      </c>
      <c r="AV187" s="71">
        <v>10</v>
      </c>
      <c r="AW187" s="72">
        <f t="shared" si="355"/>
        <v>17.746000000000002</v>
      </c>
      <c r="AX187" s="72">
        <f>AW187*1000/D187</f>
        <v>3.3546313799621936</v>
      </c>
      <c r="AY187" s="276">
        <f t="shared" si="343"/>
        <v>2570.1810000000014</v>
      </c>
      <c r="AZ187" s="72">
        <f t="shared" si="344"/>
        <v>3.0215802878272249</v>
      </c>
      <c r="BA187" s="1075"/>
      <c r="BB187" s="87">
        <f t="shared" si="345"/>
        <v>7099</v>
      </c>
      <c r="BC187" s="100"/>
      <c r="BD187" s="88">
        <v>7099</v>
      </c>
      <c r="BE187" s="100"/>
      <c r="BF187" s="88">
        <f t="shared" si="346"/>
        <v>89467</v>
      </c>
      <c r="BG187" s="89">
        <f t="shared" si="347"/>
        <v>105.18003347275472</v>
      </c>
      <c r="BH187" s="1134"/>
      <c r="BI187" s="207">
        <f t="shared" si="348"/>
        <v>1200</v>
      </c>
      <c r="BJ187" s="254"/>
      <c r="BK187" s="85">
        <v>1050</v>
      </c>
      <c r="BL187" s="254">
        <f>BI187+BJ187-BK187</f>
        <v>150</v>
      </c>
      <c r="BM187" s="86">
        <f>1000*BL187/B187</f>
        <v>0.32638780092955244</v>
      </c>
      <c r="BN187" s="85">
        <f t="shared" si="350"/>
        <v>12402</v>
      </c>
      <c r="BO187" s="86">
        <f t="shared" si="351"/>
        <v>0.18200298912246707</v>
      </c>
      <c r="BP187" s="1072"/>
      <c r="BQ187" s="79">
        <f t="shared" si="352"/>
        <v>49454</v>
      </c>
      <c r="BR187" s="76"/>
      <c r="BS187" s="76">
        <f>2759+27469+17000</f>
        <v>47228</v>
      </c>
      <c r="BT187" s="76">
        <f t="shared" si="363"/>
        <v>2226</v>
      </c>
      <c r="BU187" s="81">
        <f t="shared" si="364"/>
        <v>420.79395085066164</v>
      </c>
      <c r="BV187" s="76">
        <f t="shared" si="353"/>
        <v>505376</v>
      </c>
      <c r="BW187" s="81">
        <f t="shared" si="354"/>
        <v>594.13487203468185</v>
      </c>
      <c r="BX187" s="1099"/>
    </row>
    <row r="188" spans="1:76">
      <c r="A188" s="262">
        <v>43405</v>
      </c>
      <c r="B188" s="264">
        <v>493971</v>
      </c>
      <c r="C188" s="206">
        <f t="shared" si="328"/>
        <v>68635709</v>
      </c>
      <c r="D188" s="206">
        <v>5831.4000000000005</v>
      </c>
      <c r="E188" s="205">
        <f t="shared" si="329"/>
        <v>856439.61000000034</v>
      </c>
      <c r="F188" s="271"/>
      <c r="G188" s="271"/>
      <c r="H188" s="271"/>
      <c r="I188" s="271"/>
      <c r="J188" s="271"/>
      <c r="K188" s="240">
        <f t="shared" si="331"/>
        <v>118480</v>
      </c>
      <c r="L188" s="267">
        <f t="shared" si="323"/>
        <v>1.7262151397022794E-3</v>
      </c>
      <c r="M188" s="267">
        <f t="shared" si="332"/>
        <v>2.11373282412524E-4</v>
      </c>
      <c r="N188" s="1180"/>
      <c r="O188" s="1183"/>
      <c r="P188" s="117">
        <f t="shared" ref="P188:P199" si="365">R187</f>
        <v>50144</v>
      </c>
      <c r="Q188" s="118"/>
      <c r="R188" s="118">
        <v>47752</v>
      </c>
      <c r="S188" s="118">
        <f>P188+Q188-R188</f>
        <v>2392</v>
      </c>
      <c r="T188" s="119">
        <f>1000*S188/B188</f>
        <v>4.8423895329887783</v>
      </c>
      <c r="U188" s="120">
        <f>U187+S188</f>
        <v>268527</v>
      </c>
      <c r="V188" s="119">
        <f>1000*U188/C188</f>
        <v>3.9123512223061612</v>
      </c>
      <c r="W188" s="1135">
        <f>1000*SUM(S188:S202)/SUM(B188:B202)</f>
        <v>4.5806522318215164</v>
      </c>
      <c r="X188" s="121">
        <f>Z187</f>
        <v>301</v>
      </c>
      <c r="Y188" s="122">
        <v>900</v>
      </c>
      <c r="Z188" s="122">
        <f>1073+55</f>
        <v>1128</v>
      </c>
      <c r="AA188" s="122">
        <f>X188+Y188-Z188</f>
        <v>73</v>
      </c>
      <c r="AB188" s="123">
        <f>1000*AA188/B188</f>
        <v>0.14778195481111239</v>
      </c>
      <c r="AC188" s="122">
        <f t="shared" si="336"/>
        <v>9018</v>
      </c>
      <c r="AD188" s="123">
        <f t="shared" si="337"/>
        <v>0.13138933262858843</v>
      </c>
      <c r="AE188" s="1046">
        <f>1000*SUM(AA188:AA202)/SUM(B188:B202)</f>
        <v>7.7295370697152505E-2</v>
      </c>
      <c r="AF188" s="124">
        <f t="shared" ref="AF188:AF199" si="366">AH187</f>
        <v>396</v>
      </c>
      <c r="AG188" s="125"/>
      <c r="AH188" s="125">
        <v>360</v>
      </c>
      <c r="AI188" s="125">
        <f>AF188+AG188-AH188</f>
        <v>36</v>
      </c>
      <c r="AJ188" s="126">
        <f>AI188*1000/B188</f>
        <v>7.2878772235617076E-2</v>
      </c>
      <c r="AK188" s="125">
        <f>AK187+AI188</f>
        <v>6200</v>
      </c>
      <c r="AL188" s="126">
        <f>AK188*1000/C188</f>
        <v>9.0331987391577759E-2</v>
      </c>
      <c r="AM188" s="1057">
        <f>1000*SUM(AI188:AI202)/SUM(B188:B202)</f>
        <v>0.11445359149882622</v>
      </c>
      <c r="AN188" s="219">
        <v>8.4</v>
      </c>
      <c r="AO188" s="135">
        <v>24</v>
      </c>
      <c r="AP188" s="102">
        <f>AN188*AO188*0.53</f>
        <v>106.84800000000001</v>
      </c>
      <c r="AQ188" s="102">
        <f>AP188*1000/D188</f>
        <v>18.32287272353123</v>
      </c>
      <c r="AR188" s="257">
        <f>AR187+AP188</f>
        <v>7926.513600000002</v>
      </c>
      <c r="AS188" s="102">
        <f>AR188*1000/E188</f>
        <v>9.2551926691013264</v>
      </c>
      <c r="AT188" s="1117">
        <f>1000*SUM(AP188:AP202)/SUM(D188:D202)</f>
        <v>19.04725317773454</v>
      </c>
      <c r="AU188" s="277">
        <v>3</v>
      </c>
      <c r="AV188" s="137">
        <v>10</v>
      </c>
      <c r="AW188" s="138">
        <f t="shared" si="355"/>
        <v>14.010000000000002</v>
      </c>
      <c r="AX188" s="138">
        <f>AW188*1000/D188</f>
        <v>2.4025105463525054</v>
      </c>
      <c r="AY188" s="278">
        <f t="shared" si="343"/>
        <v>2584.1910000000016</v>
      </c>
      <c r="AZ188" s="138">
        <f t="shared" si="344"/>
        <v>3.017365112293207</v>
      </c>
      <c r="BA188" s="1120">
        <f>1000*SUM(AW188:AW202)/SUM(D188:D202)</f>
        <v>3.0574535270526768</v>
      </c>
      <c r="BB188" s="127">
        <f t="shared" ref="BB188:BB199" si="367">BD187</f>
        <v>7099</v>
      </c>
      <c r="BC188" s="129"/>
      <c r="BD188" s="251">
        <v>6921</v>
      </c>
      <c r="BE188" s="129">
        <f>BB188+BC188-BD188</f>
        <v>178</v>
      </c>
      <c r="BF188" s="129">
        <f>BF187+BE188</f>
        <v>89645</v>
      </c>
      <c r="BG188" s="130">
        <f>BF188*1000/E188</f>
        <v>104.67171176260749</v>
      </c>
      <c r="BH188" s="1132">
        <f>1000*SUM(BE188:BE202)/SUM(D188:D202)</f>
        <v>34.2365320976619</v>
      </c>
      <c r="BI188" s="131">
        <f>BK187</f>
        <v>1050</v>
      </c>
      <c r="BJ188" s="132"/>
      <c r="BK188" s="132">
        <v>840</v>
      </c>
      <c r="BL188" s="132">
        <f>BI188+BJ188-BK188</f>
        <v>210</v>
      </c>
      <c r="BM188" s="134">
        <f>1000*BL188/B188</f>
        <v>0.42512617137443293</v>
      </c>
      <c r="BN188" s="132">
        <f>BN187+BL188</f>
        <v>12612</v>
      </c>
      <c r="BO188" s="134">
        <f>BN188*1000/C188</f>
        <v>0.18375274596493205</v>
      </c>
      <c r="BP188" s="1067">
        <f>1000*SUM(BL188:BL202)/SUM(B188:B202)</f>
        <v>0.14392931095331846</v>
      </c>
      <c r="BQ188" s="117">
        <f t="shared" ref="BQ188:BQ198" si="368">BS187</f>
        <v>47228</v>
      </c>
      <c r="BR188" s="118"/>
      <c r="BS188" s="118">
        <f>1950+27469+17000</f>
        <v>46419</v>
      </c>
      <c r="BT188" s="118">
        <f t="shared" si="363"/>
        <v>809</v>
      </c>
      <c r="BU188" s="120">
        <f t="shared" si="364"/>
        <v>138.7316939328463</v>
      </c>
      <c r="BV188" s="118">
        <f t="shared" ref="BV188:BV202" si="369">BV187+BT188</f>
        <v>506185</v>
      </c>
      <c r="BW188" s="120">
        <f t="shared" ref="BW188:BW202" si="370">BV188*1000/E188</f>
        <v>591.03408353567374</v>
      </c>
      <c r="BX188" s="1063">
        <f>1000*SUM(BT188:BT202)/SUM(D188:D202)</f>
        <v>171.94016574214953</v>
      </c>
    </row>
    <row r="189" spans="1:76">
      <c r="A189" s="262">
        <v>43406</v>
      </c>
      <c r="B189" s="32">
        <v>513818</v>
      </c>
      <c r="C189" s="1">
        <f t="shared" si="328"/>
        <v>69149527</v>
      </c>
      <c r="D189" s="1">
        <v>6320.7</v>
      </c>
      <c r="E189" s="93">
        <f t="shared" si="329"/>
        <v>862760.31000000029</v>
      </c>
      <c r="F189" s="271"/>
      <c r="G189" s="271"/>
      <c r="H189" s="271"/>
      <c r="I189" s="271"/>
      <c r="J189" s="271"/>
      <c r="K189" s="240">
        <f t="shared" si="331"/>
        <v>118480</v>
      </c>
      <c r="L189" s="267">
        <f t="shared" si="323"/>
        <v>1.7133884372050731E-3</v>
      </c>
      <c r="M189" s="267">
        <f t="shared" si="332"/>
        <v>2.0980266578021303E-4</v>
      </c>
      <c r="N189" s="1181"/>
      <c r="O189" s="1184"/>
      <c r="P189" s="77">
        <f t="shared" si="365"/>
        <v>47752</v>
      </c>
      <c r="Q189" s="35"/>
      <c r="R189" s="35">
        <v>44517</v>
      </c>
      <c r="S189" s="35">
        <f>P189+Q189-R189</f>
        <v>3235</v>
      </c>
      <c r="T189" s="36">
        <f>1000*S189/B189</f>
        <v>6.2960036433133908</v>
      </c>
      <c r="U189" s="74">
        <f>U188+S189</f>
        <v>271762</v>
      </c>
      <c r="V189" s="36">
        <f>1000*U189/C189</f>
        <v>3.9300630357167878</v>
      </c>
      <c r="W189" s="1136"/>
      <c r="X189" s="49">
        <f>Z188</f>
        <v>1128</v>
      </c>
      <c r="Y189" s="50"/>
      <c r="Z189" s="50">
        <f>1073+40</f>
        <v>1113</v>
      </c>
      <c r="AA189" s="50">
        <f>X189+Y189-Z189</f>
        <v>15</v>
      </c>
      <c r="AB189" s="51">
        <f>1000*AA189/B189</f>
        <v>2.9193216275023453E-2</v>
      </c>
      <c r="AC189" s="50">
        <f>AC188+AA189</f>
        <v>9033</v>
      </c>
      <c r="AD189" s="51">
        <f>AC189*1000/C189</f>
        <v>0.13062996078049818</v>
      </c>
      <c r="AE189" s="1047"/>
      <c r="AF189" s="40">
        <f t="shared" si="366"/>
        <v>360</v>
      </c>
      <c r="AG189" s="41"/>
      <c r="AH189" s="41">
        <v>342</v>
      </c>
      <c r="AI189" s="41">
        <f>AF189+AG189-AH189</f>
        <v>18</v>
      </c>
      <c r="AJ189" s="42">
        <f>AI189*1000/B189</f>
        <v>3.5031859530028145E-2</v>
      </c>
      <c r="AK189" s="41">
        <f>AK188+AI189</f>
        <v>6218</v>
      </c>
      <c r="AL189" s="42">
        <f>AK189*1000/C189</f>
        <v>8.9921077840489055E-2</v>
      </c>
      <c r="AM189" s="1058"/>
      <c r="AN189" s="220">
        <v>8.9</v>
      </c>
      <c r="AO189" s="67">
        <v>24</v>
      </c>
      <c r="AP189" s="68">
        <f>AN189*AO189*0.53</f>
        <v>113.20800000000001</v>
      </c>
      <c r="AQ189" s="68">
        <f>AP189*1000/D189</f>
        <v>17.91067445061465</v>
      </c>
      <c r="AR189" s="258">
        <f>AR188+AP189</f>
        <v>8039.7216000000017</v>
      </c>
      <c r="AS189" s="68">
        <f>AR189*1000/E189</f>
        <v>9.3186039121340656</v>
      </c>
      <c r="AT189" s="1118"/>
      <c r="AU189" s="70">
        <v>3.3</v>
      </c>
      <c r="AV189" s="71">
        <v>10</v>
      </c>
      <c r="AW189" s="72">
        <f t="shared" ref="AW189:AW202" si="371">AU189*AV189*0.467</f>
        <v>15.411000000000001</v>
      </c>
      <c r="AX189" s="72">
        <f t="shared" ref="AX189:AX202" si="372">AW189*1000/D189</f>
        <v>2.4381793155821354</v>
      </c>
      <c r="AY189" s="276">
        <f t="shared" ref="AY189:AY202" si="373">AY188+AW189</f>
        <v>2599.6020000000017</v>
      </c>
      <c r="AZ189" s="72">
        <f t="shared" ref="AZ189:AZ202" si="374">AY189*1000/E189</f>
        <v>3.0131219179519291</v>
      </c>
      <c r="BA189" s="1121"/>
      <c r="BB189" s="90">
        <f t="shared" si="367"/>
        <v>6921</v>
      </c>
      <c r="BC189" s="56"/>
      <c r="BD189" s="252">
        <v>6921</v>
      </c>
      <c r="BE189" s="56">
        <f>BB189+BC189-BD189</f>
        <v>0</v>
      </c>
      <c r="BF189" s="56">
        <f>BF188+BE189</f>
        <v>89645</v>
      </c>
      <c r="BG189" s="58">
        <f>BF189*1000/E189</f>
        <v>103.90487249001981</v>
      </c>
      <c r="BH189" s="1133"/>
      <c r="BI189" s="63">
        <f>BK188</f>
        <v>840</v>
      </c>
      <c r="BJ189" s="64"/>
      <c r="BK189" s="64">
        <v>744</v>
      </c>
      <c r="BL189" s="64">
        <f>BI189+BJ189-BK189</f>
        <v>96</v>
      </c>
      <c r="BM189" s="65">
        <f>1000*BL189/B189</f>
        <v>0.18683658416015009</v>
      </c>
      <c r="BN189" s="64">
        <f>BN188+BL189</f>
        <v>12708</v>
      </c>
      <c r="BO189" s="65">
        <f>BN189*1000/C189</f>
        <v>0.18377566053344083</v>
      </c>
      <c r="BP189" s="1071"/>
      <c r="BQ189" s="77">
        <f t="shared" si="368"/>
        <v>46419</v>
      </c>
      <c r="BR189" s="35"/>
      <c r="BS189" s="35">
        <f>1677+27469+17000</f>
        <v>46146</v>
      </c>
      <c r="BT189" s="35">
        <f t="shared" si="363"/>
        <v>273</v>
      </c>
      <c r="BU189" s="74">
        <f t="shared" si="364"/>
        <v>43.191418671982532</v>
      </c>
      <c r="BV189" s="35">
        <f t="shared" si="369"/>
        <v>506458</v>
      </c>
      <c r="BW189" s="74">
        <f t="shared" si="370"/>
        <v>587.02051326399078</v>
      </c>
      <c r="BX189" s="1098"/>
    </row>
    <row r="190" spans="1:76">
      <c r="A190" s="262">
        <v>43407</v>
      </c>
      <c r="B190" s="32">
        <v>498434</v>
      </c>
      <c r="C190" s="1">
        <f t="shared" si="328"/>
        <v>69647961</v>
      </c>
      <c r="D190" s="1">
        <v>5926.38</v>
      </c>
      <c r="E190" s="93">
        <f t="shared" si="329"/>
        <v>868686.69000000029</v>
      </c>
      <c r="F190" s="271"/>
      <c r="G190" s="271"/>
      <c r="H190" s="271"/>
      <c r="I190" s="271"/>
      <c r="J190" s="271"/>
      <c r="K190" s="240">
        <f t="shared" si="331"/>
        <v>118480</v>
      </c>
      <c r="L190" s="267">
        <f t="shared" si="323"/>
        <v>1.7011266130246081E-3</v>
      </c>
      <c r="M190" s="267">
        <f t="shared" si="332"/>
        <v>2.083012179213806E-4</v>
      </c>
      <c r="N190" s="1181"/>
      <c r="O190" s="1184"/>
      <c r="P190" s="77">
        <f t="shared" si="365"/>
        <v>44517</v>
      </c>
      <c r="Q190" s="98"/>
      <c r="R190" s="35">
        <v>41692</v>
      </c>
      <c r="S190" s="35">
        <f>P190+Q190-R190</f>
        <v>2825</v>
      </c>
      <c r="T190" s="36">
        <f>1000*S190/B190</f>
        <v>5.6677513973765832</v>
      </c>
      <c r="U190" s="74">
        <f>U189+S190</f>
        <v>274587</v>
      </c>
      <c r="V190" s="36">
        <f>1000*U190/C190</f>
        <v>3.9424987617369012</v>
      </c>
      <c r="W190" s="1136"/>
      <c r="X190" s="49">
        <f t="shared" ref="X190:X199" si="375">Z189</f>
        <v>1113</v>
      </c>
      <c r="Y190" s="50"/>
      <c r="Z190" s="50">
        <f>990+125-2</f>
        <v>1113</v>
      </c>
      <c r="AA190" s="50"/>
      <c r="AB190" s="51">
        <f t="shared" ref="AB190:AB199" si="376">1000*AA190/B190</f>
        <v>0</v>
      </c>
      <c r="AC190" s="50">
        <f t="shared" ref="AC190:AC199" si="377">AC189+AA190</f>
        <v>9033</v>
      </c>
      <c r="AD190" s="51">
        <f t="shared" ref="AD190:AD199" si="378">AC190*1000/C190</f>
        <v>0.12969511052879207</v>
      </c>
      <c r="AE190" s="1047"/>
      <c r="AF190" s="40">
        <f t="shared" si="366"/>
        <v>342</v>
      </c>
      <c r="AG190" s="41"/>
      <c r="AH190" s="41">
        <v>256</v>
      </c>
      <c r="AI190" s="41">
        <f t="shared" ref="AI190:AI199" si="379">AF190+AG190-AH190</f>
        <v>86</v>
      </c>
      <c r="AJ190" s="42">
        <f t="shared" ref="AJ190:AJ199" si="380">AI190*1000/B190</f>
        <v>0.17254039652190661</v>
      </c>
      <c r="AK190" s="41">
        <f t="shared" ref="AK190:AK199" si="381">AK189+AI190</f>
        <v>6304</v>
      </c>
      <c r="AL190" s="42">
        <f t="shared" ref="AL190:AL199" si="382">AK190*1000/C190</f>
        <v>9.0512341057622639E-2</v>
      </c>
      <c r="AM190" s="1058"/>
      <c r="AN190" s="220">
        <v>8.4</v>
      </c>
      <c r="AO190" s="67">
        <v>24</v>
      </c>
      <c r="AP190" s="68">
        <f t="shared" ref="AP190:AP202" si="383">AN190*AO190*0.53</f>
        <v>106.84800000000001</v>
      </c>
      <c r="AQ190" s="68">
        <f t="shared" ref="AQ190:AQ202" si="384">AP190*1000/D190</f>
        <v>18.029218511131585</v>
      </c>
      <c r="AR190" s="258">
        <f t="shared" ref="AR190:AR202" si="385">AR189+AP190</f>
        <v>8146.5696000000016</v>
      </c>
      <c r="AS190" s="68">
        <f t="shared" ref="AS190:AS202" si="386">AR190*1000/E190</f>
        <v>9.3780297243877406</v>
      </c>
      <c r="AT190" s="1118"/>
      <c r="AU190" s="70">
        <v>3.1</v>
      </c>
      <c r="AV190" s="71">
        <v>10</v>
      </c>
      <c r="AW190" s="72">
        <f t="shared" si="371"/>
        <v>14.477</v>
      </c>
      <c r="AX190" s="72">
        <f t="shared" si="372"/>
        <v>2.442806569946578</v>
      </c>
      <c r="AY190" s="276">
        <f t="shared" si="373"/>
        <v>2614.0790000000015</v>
      </c>
      <c r="AZ190" s="72">
        <f t="shared" si="374"/>
        <v>3.0092310957360247</v>
      </c>
      <c r="BA190" s="1121"/>
      <c r="BB190" s="90">
        <f t="shared" si="367"/>
        <v>6921</v>
      </c>
      <c r="BC190" s="56"/>
      <c r="BD190" s="252">
        <v>6921</v>
      </c>
      <c r="BE190" s="56">
        <f t="shared" ref="BE190:BE199" si="387">BB190+BC190-BD190</f>
        <v>0</v>
      </c>
      <c r="BF190" s="56">
        <f t="shared" ref="BF190:BF199" si="388">BF189+BE190</f>
        <v>89645</v>
      </c>
      <c r="BG190" s="58">
        <f t="shared" ref="BG190:BG199" si="389">BF190*1000/E190</f>
        <v>103.19600959927217</v>
      </c>
      <c r="BH190" s="1133"/>
      <c r="BI190" s="63">
        <f t="shared" ref="BI190:BI202" si="390">BK189</f>
        <v>744</v>
      </c>
      <c r="BJ190" s="64"/>
      <c r="BK190" s="64">
        <v>648</v>
      </c>
      <c r="BL190" s="64">
        <f t="shared" ref="BL190:BL199" si="391">BI190+BJ190-BK190</f>
        <v>96</v>
      </c>
      <c r="BM190" s="65">
        <f t="shared" ref="BM190:BM199" si="392">1000*BL190/B190</f>
        <v>0.19260323332677948</v>
      </c>
      <c r="BN190" s="64">
        <f t="shared" ref="BN190:BN199" si="393">BN189+BL190</f>
        <v>12804</v>
      </c>
      <c r="BO190" s="65">
        <f t="shared" ref="BO190:BO199" si="394">BN190*1000/C190</f>
        <v>0.18383883485117389</v>
      </c>
      <c r="BP190" s="1071"/>
      <c r="BQ190" s="77">
        <f t="shared" si="368"/>
        <v>46146</v>
      </c>
      <c r="BR190" s="98"/>
      <c r="BS190" s="35">
        <f>1010+27469+17000</f>
        <v>45479</v>
      </c>
      <c r="BT190" s="35">
        <f t="shared" si="363"/>
        <v>667</v>
      </c>
      <c r="BU190" s="74">
        <f t="shared" si="364"/>
        <v>112.54762603815482</v>
      </c>
      <c r="BV190" s="35">
        <f t="shared" si="369"/>
        <v>507125</v>
      </c>
      <c r="BW190" s="74">
        <f t="shared" si="370"/>
        <v>583.78355031547665</v>
      </c>
      <c r="BX190" s="1098"/>
    </row>
    <row r="191" spans="1:76">
      <c r="A191" s="262">
        <v>43408</v>
      </c>
      <c r="B191" s="32">
        <v>415082</v>
      </c>
      <c r="C191" s="1">
        <f t="shared" si="328"/>
        <v>70063043</v>
      </c>
      <c r="D191" s="1">
        <v>4518.58</v>
      </c>
      <c r="E191" s="93">
        <f t="shared" si="329"/>
        <v>873205.27000000025</v>
      </c>
      <c r="F191" s="271"/>
      <c r="G191" s="271"/>
      <c r="H191" s="271"/>
      <c r="I191" s="271"/>
      <c r="J191" s="271"/>
      <c r="K191" s="240">
        <f t="shared" si="331"/>
        <v>118480</v>
      </c>
      <c r="L191" s="267">
        <f t="shared" si="323"/>
        <v>1.6910484461829614E-3</v>
      </c>
      <c r="M191" s="267">
        <f t="shared" si="332"/>
        <v>2.0706715667546466E-4</v>
      </c>
      <c r="N191" s="1181"/>
      <c r="O191" s="1184"/>
      <c r="P191" s="77">
        <f t="shared" si="365"/>
        <v>41692</v>
      </c>
      <c r="Q191" s="98"/>
      <c r="R191" s="35">
        <v>40125</v>
      </c>
      <c r="S191" s="35">
        <f t="shared" ref="S191:S199" si="395">P191+Q191-R191</f>
        <v>1567</v>
      </c>
      <c r="T191" s="36">
        <f t="shared" ref="T191:T199" si="396">1000*S191/B191</f>
        <v>3.7751576796873869</v>
      </c>
      <c r="U191" s="74">
        <f t="shared" ref="U191:U199" si="397">U190+S191</f>
        <v>276154</v>
      </c>
      <c r="V191" s="36">
        <f t="shared" ref="V191:V199" si="398">1000*U191/C191</f>
        <v>3.9415073650169603</v>
      </c>
      <c r="W191" s="1136"/>
      <c r="X191" s="49">
        <f t="shared" si="375"/>
        <v>1113</v>
      </c>
      <c r="Y191" s="50"/>
      <c r="Z191" s="50">
        <f>973+105</f>
        <v>1078</v>
      </c>
      <c r="AA191" s="50">
        <f t="shared" ref="AA191:AA199" si="399">X191+Y191-Z191</f>
        <v>35</v>
      </c>
      <c r="AB191" s="51">
        <f t="shared" si="376"/>
        <v>8.4320688442283687E-2</v>
      </c>
      <c r="AC191" s="50">
        <f t="shared" si="377"/>
        <v>9068</v>
      </c>
      <c r="AD191" s="51">
        <f t="shared" si="378"/>
        <v>0.12942629397355751</v>
      </c>
      <c r="AE191" s="1047"/>
      <c r="AF191" s="40">
        <f t="shared" si="366"/>
        <v>256</v>
      </c>
      <c r="AG191" s="41"/>
      <c r="AH191" s="41">
        <v>224</v>
      </c>
      <c r="AI191" s="41">
        <f t="shared" si="379"/>
        <v>32</v>
      </c>
      <c r="AJ191" s="42">
        <f t="shared" si="380"/>
        <v>7.7093200861516525E-2</v>
      </c>
      <c r="AK191" s="41">
        <f t="shared" si="381"/>
        <v>6336</v>
      </c>
      <c r="AL191" s="42">
        <f t="shared" si="382"/>
        <v>9.0432840606138098E-2</v>
      </c>
      <c r="AM191" s="1058"/>
      <c r="AN191" s="220">
        <v>9.8000000000000007</v>
      </c>
      <c r="AO191" s="67">
        <v>24</v>
      </c>
      <c r="AP191" s="68">
        <f t="shared" si="383"/>
        <v>124.65600000000002</v>
      </c>
      <c r="AQ191" s="68">
        <f t="shared" si="384"/>
        <v>27.587427908767804</v>
      </c>
      <c r="AR191" s="258">
        <f t="shared" si="385"/>
        <v>8271.2256000000016</v>
      </c>
      <c r="AS191" s="68">
        <f t="shared" si="386"/>
        <v>9.4722579949614811</v>
      </c>
      <c r="AT191" s="1118"/>
      <c r="AU191" s="70">
        <v>2.7</v>
      </c>
      <c r="AV191" s="71">
        <v>10</v>
      </c>
      <c r="AW191" s="72">
        <f t="shared" si="371"/>
        <v>12.609</v>
      </c>
      <c r="AX191" s="72">
        <f t="shared" si="372"/>
        <v>2.7904784246378287</v>
      </c>
      <c r="AY191" s="276">
        <f t="shared" si="373"/>
        <v>2626.6880000000015</v>
      </c>
      <c r="AZ191" s="72">
        <f t="shared" si="374"/>
        <v>3.0080991151141365</v>
      </c>
      <c r="BA191" s="1121"/>
      <c r="BB191" s="90">
        <f t="shared" si="367"/>
        <v>6921</v>
      </c>
      <c r="BC191" s="56"/>
      <c r="BD191" s="252">
        <v>6395</v>
      </c>
      <c r="BE191" s="56">
        <f t="shared" si="387"/>
        <v>526</v>
      </c>
      <c r="BF191" s="56">
        <f t="shared" si="388"/>
        <v>90171</v>
      </c>
      <c r="BG191" s="58">
        <f t="shared" si="389"/>
        <v>103.26437906175254</v>
      </c>
      <c r="BH191" s="1133"/>
      <c r="BI191" s="63">
        <f t="shared" si="390"/>
        <v>648</v>
      </c>
      <c r="BJ191" s="64"/>
      <c r="BK191" s="64">
        <v>600</v>
      </c>
      <c r="BL191" s="64">
        <f t="shared" si="391"/>
        <v>48</v>
      </c>
      <c r="BM191" s="65">
        <f t="shared" si="392"/>
        <v>0.11563980129227477</v>
      </c>
      <c r="BN191" s="64">
        <f t="shared" si="393"/>
        <v>12852</v>
      </c>
      <c r="BO191" s="65">
        <f t="shared" si="394"/>
        <v>0.18343479600222332</v>
      </c>
      <c r="BP191" s="1071"/>
      <c r="BQ191" s="77">
        <f t="shared" si="368"/>
        <v>45479</v>
      </c>
      <c r="BR191" s="98"/>
      <c r="BS191" s="35">
        <f>920+27469+17000</f>
        <v>45389</v>
      </c>
      <c r="BT191" s="35">
        <f t="shared" si="363"/>
        <v>90</v>
      </c>
      <c r="BU191" s="74">
        <f t="shared" si="364"/>
        <v>19.917761774716837</v>
      </c>
      <c r="BV191" s="35">
        <f t="shared" si="369"/>
        <v>507215</v>
      </c>
      <c r="BW191" s="74">
        <f t="shared" si="370"/>
        <v>580.86571099141429</v>
      </c>
      <c r="BX191" s="1098"/>
    </row>
    <row r="192" spans="1:76">
      <c r="A192" s="262">
        <v>43409</v>
      </c>
      <c r="B192" s="32">
        <v>454619</v>
      </c>
      <c r="C192" s="1">
        <f t="shared" si="328"/>
        <v>70517662</v>
      </c>
      <c r="D192" s="1">
        <v>5493.62</v>
      </c>
      <c r="E192" s="93">
        <f t="shared" si="329"/>
        <v>878698.89000000025</v>
      </c>
      <c r="F192" s="271"/>
      <c r="G192" s="271"/>
      <c r="H192" s="271"/>
      <c r="I192" s="271"/>
      <c r="J192" s="271"/>
      <c r="K192" s="240">
        <f t="shared" si="331"/>
        <v>118480</v>
      </c>
      <c r="L192" s="267">
        <f t="shared" si="323"/>
        <v>1.6801464574931597E-3</v>
      </c>
      <c r="M192" s="267">
        <f t="shared" si="332"/>
        <v>2.0573221928487669E-4</v>
      </c>
      <c r="N192" s="1181"/>
      <c r="O192" s="1184"/>
      <c r="P192" s="77">
        <f t="shared" si="365"/>
        <v>40125</v>
      </c>
      <c r="Q192" s="98"/>
      <c r="R192" s="35">
        <v>38542</v>
      </c>
      <c r="S192" s="35">
        <f t="shared" si="395"/>
        <v>1583</v>
      </c>
      <c r="T192" s="36">
        <f t="shared" si="396"/>
        <v>3.482036606477072</v>
      </c>
      <c r="U192" s="74">
        <f t="shared" si="397"/>
        <v>277737</v>
      </c>
      <c r="V192" s="36">
        <f t="shared" si="398"/>
        <v>3.9385452115528166</v>
      </c>
      <c r="W192" s="1136"/>
      <c r="X192" s="49">
        <f t="shared" si="375"/>
        <v>1078</v>
      </c>
      <c r="Y192" s="50"/>
      <c r="Z192" s="50">
        <f>973+75</f>
        <v>1048</v>
      </c>
      <c r="AA192" s="50">
        <f t="shared" si="399"/>
        <v>30</v>
      </c>
      <c r="AB192" s="51">
        <f t="shared" si="376"/>
        <v>6.5989322927550317E-2</v>
      </c>
      <c r="AC192" s="50">
        <f t="shared" si="377"/>
        <v>9098</v>
      </c>
      <c r="AD192" s="51">
        <f t="shared" si="378"/>
        <v>0.12901732334801458</v>
      </c>
      <c r="AE192" s="1047"/>
      <c r="AF192" s="40">
        <f t="shared" si="366"/>
        <v>224</v>
      </c>
      <c r="AG192" s="41"/>
      <c r="AH192" s="41">
        <v>224</v>
      </c>
      <c r="AI192" s="41">
        <f t="shared" si="379"/>
        <v>0</v>
      </c>
      <c r="AJ192" s="42">
        <f t="shared" si="380"/>
        <v>0</v>
      </c>
      <c r="AK192" s="41">
        <f t="shared" si="381"/>
        <v>6336</v>
      </c>
      <c r="AL192" s="42">
        <f t="shared" si="382"/>
        <v>8.9849830812598411E-2</v>
      </c>
      <c r="AM192" s="1058"/>
      <c r="AN192" s="220">
        <v>9.5</v>
      </c>
      <c r="AO192" s="67">
        <v>24</v>
      </c>
      <c r="AP192" s="68">
        <f t="shared" si="383"/>
        <v>120.84</v>
      </c>
      <c r="AQ192" s="68">
        <f t="shared" si="384"/>
        <v>21.996424943843952</v>
      </c>
      <c r="AR192" s="258">
        <f t="shared" si="385"/>
        <v>8392.0656000000017</v>
      </c>
      <c r="AS192" s="68">
        <f t="shared" si="386"/>
        <v>9.5505590089000787</v>
      </c>
      <c r="AT192" s="1118"/>
      <c r="AU192" s="70">
        <v>2.9</v>
      </c>
      <c r="AV192" s="71">
        <v>10</v>
      </c>
      <c r="AW192" s="72">
        <f t="shared" si="371"/>
        <v>13.543000000000001</v>
      </c>
      <c r="AX192" s="72">
        <f t="shared" si="372"/>
        <v>2.4652232953862847</v>
      </c>
      <c r="AY192" s="276">
        <f t="shared" si="373"/>
        <v>2640.2310000000016</v>
      </c>
      <c r="AZ192" s="72">
        <f t="shared" si="374"/>
        <v>3.004705058862656</v>
      </c>
      <c r="BA192" s="1121"/>
      <c r="BB192" s="90">
        <f t="shared" si="367"/>
        <v>6395</v>
      </c>
      <c r="BC192" s="56"/>
      <c r="BD192" s="252">
        <v>6395</v>
      </c>
      <c r="BE192" s="56">
        <f t="shared" si="387"/>
        <v>0</v>
      </c>
      <c r="BF192" s="56">
        <f t="shared" si="388"/>
        <v>90171</v>
      </c>
      <c r="BG192" s="58">
        <f t="shared" si="389"/>
        <v>102.61877080554862</v>
      </c>
      <c r="BH192" s="1133"/>
      <c r="BI192" s="63">
        <f t="shared" si="390"/>
        <v>600</v>
      </c>
      <c r="BJ192" s="64"/>
      <c r="BK192" s="64">
        <v>564</v>
      </c>
      <c r="BL192" s="64">
        <f t="shared" si="391"/>
        <v>36</v>
      </c>
      <c r="BM192" s="65">
        <f t="shared" si="392"/>
        <v>7.9187187513060392E-2</v>
      </c>
      <c r="BN192" s="64">
        <f t="shared" si="393"/>
        <v>12888</v>
      </c>
      <c r="BO192" s="65">
        <f t="shared" si="394"/>
        <v>0.18276272403926266</v>
      </c>
      <c r="BP192" s="1071"/>
      <c r="BQ192" s="77">
        <f t="shared" si="368"/>
        <v>45389</v>
      </c>
      <c r="BR192" s="98"/>
      <c r="BS192" s="35">
        <f>332+27469+17000</f>
        <v>44801</v>
      </c>
      <c r="BT192" s="35">
        <f t="shared" si="363"/>
        <v>588</v>
      </c>
      <c r="BU192" s="74">
        <f t="shared" si="364"/>
        <v>107.03324947848596</v>
      </c>
      <c r="BV192" s="35">
        <f t="shared" si="369"/>
        <v>507803</v>
      </c>
      <c r="BW192" s="74">
        <f t="shared" si="370"/>
        <v>577.90331338645467</v>
      </c>
      <c r="BX192" s="1098"/>
    </row>
    <row r="193" spans="1:76">
      <c r="A193" s="262">
        <v>43410</v>
      </c>
      <c r="B193" s="32">
        <v>394751</v>
      </c>
      <c r="C193" s="1">
        <f t="shared" si="328"/>
        <v>70912413</v>
      </c>
      <c r="D193" s="1">
        <v>4728.0600000000004</v>
      </c>
      <c r="E193" s="93">
        <f t="shared" si="329"/>
        <v>883426.9500000003</v>
      </c>
      <c r="F193" s="271"/>
      <c r="G193" s="271"/>
      <c r="H193" s="271"/>
      <c r="I193" s="271"/>
      <c r="J193" s="271"/>
      <c r="K193" s="240">
        <f t="shared" si="331"/>
        <v>118480</v>
      </c>
      <c r="L193" s="267">
        <f t="shared" si="323"/>
        <v>1.6707935181954675E-3</v>
      </c>
      <c r="M193" s="267">
        <f t="shared" si="332"/>
        <v>2.0458696141168991E-4</v>
      </c>
      <c r="N193" s="1181"/>
      <c r="O193" s="1184"/>
      <c r="P193" s="77">
        <f t="shared" si="365"/>
        <v>38542</v>
      </c>
      <c r="Q193" s="98"/>
      <c r="R193" s="35">
        <v>36948</v>
      </c>
      <c r="S193" s="35">
        <f t="shared" si="395"/>
        <v>1594</v>
      </c>
      <c r="T193" s="36">
        <f t="shared" si="396"/>
        <v>4.0379885041456509</v>
      </c>
      <c r="U193" s="74">
        <f t="shared" si="397"/>
        <v>279331</v>
      </c>
      <c r="V193" s="36">
        <f t="shared" si="398"/>
        <v>3.9390987865551832</v>
      </c>
      <c r="W193" s="1136"/>
      <c r="X193" s="49">
        <f t="shared" si="375"/>
        <v>1048</v>
      </c>
      <c r="Y193" s="50"/>
      <c r="Z193" s="50">
        <f>973+37</f>
        <v>1010</v>
      </c>
      <c r="AA193" s="50">
        <f t="shared" si="399"/>
        <v>38</v>
      </c>
      <c r="AB193" s="51">
        <f t="shared" si="376"/>
        <v>9.6263214026056934E-2</v>
      </c>
      <c r="AC193" s="50">
        <f t="shared" si="377"/>
        <v>9136</v>
      </c>
      <c r="AD193" s="51">
        <f t="shared" si="378"/>
        <v>0.12883498972175716</v>
      </c>
      <c r="AE193" s="1047"/>
      <c r="AF193" s="40">
        <f t="shared" si="366"/>
        <v>224</v>
      </c>
      <c r="AG193" s="41">
        <v>1000</v>
      </c>
      <c r="AH193" s="41">
        <v>1156</v>
      </c>
      <c r="AI193" s="41">
        <f t="shared" si="379"/>
        <v>68</v>
      </c>
      <c r="AJ193" s="42">
        <f t="shared" si="380"/>
        <v>0.17226048825715451</v>
      </c>
      <c r="AK193" s="41">
        <f t="shared" si="381"/>
        <v>6404</v>
      </c>
      <c r="AL193" s="42">
        <f t="shared" si="382"/>
        <v>9.0308589555399846E-2</v>
      </c>
      <c r="AM193" s="1058"/>
      <c r="AN193" s="220">
        <v>6.7</v>
      </c>
      <c r="AO193" s="67">
        <v>24</v>
      </c>
      <c r="AP193" s="68">
        <f t="shared" si="383"/>
        <v>85.224000000000004</v>
      </c>
      <c r="AQ193" s="68">
        <f t="shared" si="384"/>
        <v>18.025151965076585</v>
      </c>
      <c r="AR193" s="258">
        <f t="shared" si="385"/>
        <v>8477.2896000000019</v>
      </c>
      <c r="AS193" s="68">
        <f t="shared" si="386"/>
        <v>9.5959146367450057</v>
      </c>
      <c r="AT193" s="1118"/>
      <c r="AU193" s="70">
        <v>2.5</v>
      </c>
      <c r="AV193" s="71">
        <v>10</v>
      </c>
      <c r="AW193" s="72">
        <f t="shared" si="371"/>
        <v>11.675000000000001</v>
      </c>
      <c r="AX193" s="72">
        <f t="shared" si="372"/>
        <v>2.4693003049876689</v>
      </c>
      <c r="AY193" s="276">
        <f t="shared" si="373"/>
        <v>2651.9060000000018</v>
      </c>
      <c r="AZ193" s="72">
        <f t="shared" si="374"/>
        <v>3.0018395974902066</v>
      </c>
      <c r="BA193" s="1121"/>
      <c r="BB193" s="90">
        <f t="shared" si="367"/>
        <v>6395</v>
      </c>
      <c r="BC193" s="56"/>
      <c r="BD193" s="252">
        <v>6050</v>
      </c>
      <c r="BE193" s="56">
        <f t="shared" si="387"/>
        <v>345</v>
      </c>
      <c r="BF193" s="56">
        <f t="shared" si="388"/>
        <v>90516</v>
      </c>
      <c r="BG193" s="58">
        <f t="shared" si="389"/>
        <v>102.46008456047211</v>
      </c>
      <c r="BH193" s="1133"/>
      <c r="BI193" s="63">
        <f t="shared" si="390"/>
        <v>564</v>
      </c>
      <c r="BJ193" s="64"/>
      <c r="BK193" s="64">
        <v>540</v>
      </c>
      <c r="BL193" s="64">
        <f t="shared" si="391"/>
        <v>24</v>
      </c>
      <c r="BM193" s="65">
        <f t="shared" si="392"/>
        <v>6.0797819384878063E-2</v>
      </c>
      <c r="BN193" s="64">
        <f t="shared" si="393"/>
        <v>12912</v>
      </c>
      <c r="BO193" s="65">
        <f t="shared" si="394"/>
        <v>0.1820837770673521</v>
      </c>
      <c r="BP193" s="1071"/>
      <c r="BQ193" s="77">
        <f t="shared" si="368"/>
        <v>44801</v>
      </c>
      <c r="BR193" s="98"/>
      <c r="BS193" s="35">
        <f>151+27469+17000</f>
        <v>44620</v>
      </c>
      <c r="BT193" s="35">
        <f t="shared" si="363"/>
        <v>181</v>
      </c>
      <c r="BU193" s="74">
        <f t="shared" si="364"/>
        <v>38.282086098738169</v>
      </c>
      <c r="BV193" s="35">
        <f t="shared" si="369"/>
        <v>507984</v>
      </c>
      <c r="BW193" s="74">
        <f t="shared" si="370"/>
        <v>575.01528564416083</v>
      </c>
      <c r="BX193" s="1098"/>
    </row>
    <row r="194" spans="1:76">
      <c r="A194" s="262">
        <v>43411</v>
      </c>
      <c r="B194" s="32">
        <v>473374</v>
      </c>
      <c r="C194" s="1">
        <f t="shared" si="328"/>
        <v>71385787</v>
      </c>
      <c r="D194" s="1">
        <v>5335.5</v>
      </c>
      <c r="E194" s="93">
        <f t="shared" si="329"/>
        <v>888762.4500000003</v>
      </c>
      <c r="F194" s="271"/>
      <c r="G194" s="271"/>
      <c r="H194" s="271"/>
      <c r="I194" s="271"/>
      <c r="J194" s="271"/>
      <c r="K194" s="240">
        <f t="shared" si="331"/>
        <v>118480</v>
      </c>
      <c r="L194" s="267">
        <f t="shared" si="323"/>
        <v>1.6597141388943431E-3</v>
      </c>
      <c r="M194" s="267">
        <f t="shared" si="332"/>
        <v>2.0323030272175629E-4</v>
      </c>
      <c r="N194" s="1181"/>
      <c r="O194" s="1184"/>
      <c r="P194" s="77">
        <f t="shared" si="365"/>
        <v>36948</v>
      </c>
      <c r="Q194" s="98"/>
      <c r="R194" s="35">
        <v>34807</v>
      </c>
      <c r="S194" s="35">
        <f t="shared" si="395"/>
        <v>2141</v>
      </c>
      <c r="T194" s="36">
        <f t="shared" si="396"/>
        <v>4.5228508536590519</v>
      </c>
      <c r="U194" s="74">
        <f t="shared" si="397"/>
        <v>281472</v>
      </c>
      <c r="V194" s="36">
        <f t="shared" si="398"/>
        <v>3.9429697679175266</v>
      </c>
      <c r="W194" s="1136"/>
      <c r="X194" s="49">
        <f t="shared" si="375"/>
        <v>1010</v>
      </c>
      <c r="Y194" s="50"/>
      <c r="Z194" s="50">
        <f>973+20</f>
        <v>993</v>
      </c>
      <c r="AA194" s="50">
        <f t="shared" si="399"/>
        <v>17</v>
      </c>
      <c r="AB194" s="51">
        <f t="shared" si="376"/>
        <v>3.5912407525550624E-2</v>
      </c>
      <c r="AC194" s="50">
        <f t="shared" si="377"/>
        <v>9153</v>
      </c>
      <c r="AD194" s="51">
        <f t="shared" si="378"/>
        <v>0.12821880075371306</v>
      </c>
      <c r="AE194" s="1047"/>
      <c r="AF194" s="40">
        <f t="shared" si="366"/>
        <v>1156</v>
      </c>
      <c r="AG194" s="41"/>
      <c r="AH194" s="41">
        <v>1042</v>
      </c>
      <c r="AI194" s="41">
        <f t="shared" si="379"/>
        <v>114</v>
      </c>
      <c r="AJ194" s="42">
        <f t="shared" si="380"/>
        <v>0.24082437987722183</v>
      </c>
      <c r="AK194" s="41">
        <f t="shared" si="381"/>
        <v>6518</v>
      </c>
      <c r="AL194" s="42">
        <f t="shared" si="382"/>
        <v>9.1306691064427153E-2</v>
      </c>
      <c r="AM194" s="1058"/>
      <c r="AN194" s="260">
        <v>8</v>
      </c>
      <c r="AO194" s="67">
        <v>24</v>
      </c>
      <c r="AP194" s="68">
        <f t="shared" si="383"/>
        <v>101.76</v>
      </c>
      <c r="AQ194" s="68">
        <f t="shared" si="384"/>
        <v>19.072251897666572</v>
      </c>
      <c r="AR194" s="258">
        <f t="shared" si="385"/>
        <v>8579.0496000000021</v>
      </c>
      <c r="AS194" s="68">
        <f t="shared" si="386"/>
        <v>9.6528038510177812</v>
      </c>
      <c r="AT194" s="1118"/>
      <c r="AU194" s="70">
        <v>3.5</v>
      </c>
      <c r="AV194" s="71">
        <v>10</v>
      </c>
      <c r="AW194" s="72">
        <f t="shared" si="371"/>
        <v>16.345000000000002</v>
      </c>
      <c r="AX194" s="72">
        <f t="shared" si="372"/>
        <v>3.0634429762908821</v>
      </c>
      <c r="AY194" s="276">
        <f t="shared" si="373"/>
        <v>2668.2510000000016</v>
      </c>
      <c r="AZ194" s="72">
        <f t="shared" si="374"/>
        <v>3.0022094205262615</v>
      </c>
      <c r="BA194" s="1121"/>
      <c r="BB194" s="90">
        <f t="shared" si="367"/>
        <v>6050</v>
      </c>
      <c r="BC194" s="56"/>
      <c r="BD194" s="252">
        <v>5543</v>
      </c>
      <c r="BE194" s="56">
        <f t="shared" si="387"/>
        <v>507</v>
      </c>
      <c r="BF194" s="56">
        <f t="shared" si="388"/>
        <v>91023</v>
      </c>
      <c r="BG194" s="58">
        <f t="shared" si="389"/>
        <v>102.41544295666404</v>
      </c>
      <c r="BH194" s="1133"/>
      <c r="BI194" s="63">
        <f t="shared" si="390"/>
        <v>540</v>
      </c>
      <c r="BJ194" s="64"/>
      <c r="BK194" s="64">
        <v>504</v>
      </c>
      <c r="BL194" s="64">
        <f t="shared" si="391"/>
        <v>36</v>
      </c>
      <c r="BM194" s="65">
        <f t="shared" si="392"/>
        <v>7.6049804171754262E-2</v>
      </c>
      <c r="BN194" s="64">
        <f t="shared" si="393"/>
        <v>12948</v>
      </c>
      <c r="BO194" s="65">
        <f t="shared" si="394"/>
        <v>0.18138064374074911</v>
      </c>
      <c r="BP194" s="1071"/>
      <c r="BQ194" s="77">
        <f t="shared" si="368"/>
        <v>44620</v>
      </c>
      <c r="BR194" s="98"/>
      <c r="BS194" s="35">
        <f>151+27469+17000</f>
        <v>44620</v>
      </c>
      <c r="BT194" s="35">
        <f t="shared" si="363"/>
        <v>0</v>
      </c>
      <c r="BU194" s="74">
        <f t="shared" si="364"/>
        <v>0</v>
      </c>
      <c r="BV194" s="35">
        <f t="shared" si="369"/>
        <v>507984</v>
      </c>
      <c r="BW194" s="74">
        <f t="shared" si="370"/>
        <v>571.56330130734011</v>
      </c>
      <c r="BX194" s="1098"/>
    </row>
    <row r="195" spans="1:76">
      <c r="A195" s="262">
        <v>43412</v>
      </c>
      <c r="B195" s="32">
        <v>465770</v>
      </c>
      <c r="C195" s="1">
        <f t="shared" si="328"/>
        <v>71851557</v>
      </c>
      <c r="D195" s="1">
        <v>5278.06</v>
      </c>
      <c r="E195" s="93">
        <f t="shared" si="329"/>
        <v>894040.51000000036</v>
      </c>
      <c r="F195" s="271"/>
      <c r="G195" s="271"/>
      <c r="H195" s="271"/>
      <c r="I195" s="271"/>
      <c r="J195" s="271"/>
      <c r="K195" s="240">
        <f t="shared" si="331"/>
        <v>118480</v>
      </c>
      <c r="L195" s="267">
        <f t="shared" si="323"/>
        <v>1.6489552202744889E-3</v>
      </c>
      <c r="M195" s="267">
        <f t="shared" si="332"/>
        <v>2.0191288411524353E-4</v>
      </c>
      <c r="N195" s="1181"/>
      <c r="O195" s="1184"/>
      <c r="P195" s="77">
        <f t="shared" si="365"/>
        <v>34807</v>
      </c>
      <c r="Q195" s="98"/>
      <c r="R195" s="35">
        <v>32926</v>
      </c>
      <c r="S195" s="35">
        <f t="shared" si="395"/>
        <v>1881</v>
      </c>
      <c r="T195" s="36">
        <f t="shared" si="396"/>
        <v>4.0384739248985548</v>
      </c>
      <c r="U195" s="74">
        <f t="shared" si="397"/>
        <v>283353</v>
      </c>
      <c r="V195" s="36">
        <f t="shared" si="398"/>
        <v>3.9435888633561551</v>
      </c>
      <c r="W195" s="1136"/>
      <c r="X195" s="49">
        <f t="shared" si="375"/>
        <v>993</v>
      </c>
      <c r="Y195" s="50"/>
      <c r="Z195" s="50">
        <f>886+60</f>
        <v>946</v>
      </c>
      <c r="AA195" s="50">
        <f t="shared" si="399"/>
        <v>47</v>
      </c>
      <c r="AB195" s="51">
        <f t="shared" si="376"/>
        <v>0.10090817356205853</v>
      </c>
      <c r="AC195" s="50">
        <f t="shared" si="377"/>
        <v>9200</v>
      </c>
      <c r="AD195" s="51">
        <f t="shared" si="378"/>
        <v>0.12804176254663485</v>
      </c>
      <c r="AE195" s="1047"/>
      <c r="AF195" s="40">
        <f t="shared" si="366"/>
        <v>1042</v>
      </c>
      <c r="AG195" s="41"/>
      <c r="AH195" s="41">
        <v>1042</v>
      </c>
      <c r="AI195" s="41">
        <f t="shared" si="379"/>
        <v>0</v>
      </c>
      <c r="AJ195" s="42">
        <f t="shared" si="380"/>
        <v>0</v>
      </c>
      <c r="AK195" s="41">
        <f t="shared" si="381"/>
        <v>6518</v>
      </c>
      <c r="AL195" s="42">
        <f t="shared" si="382"/>
        <v>9.0714805247713706E-2</v>
      </c>
      <c r="AM195" s="1058"/>
      <c r="AN195" s="260">
        <v>9</v>
      </c>
      <c r="AO195" s="67">
        <v>24</v>
      </c>
      <c r="AP195" s="68">
        <f t="shared" si="383"/>
        <v>114.48</v>
      </c>
      <c r="AQ195" s="68">
        <f t="shared" si="384"/>
        <v>21.689787535571782</v>
      </c>
      <c r="AR195" s="258">
        <f t="shared" si="385"/>
        <v>8693.5296000000017</v>
      </c>
      <c r="AS195" s="68">
        <f t="shared" si="386"/>
        <v>9.7238654208185693</v>
      </c>
      <c r="AT195" s="1118"/>
      <c r="AU195" s="70">
        <v>4</v>
      </c>
      <c r="AV195" s="71">
        <v>10</v>
      </c>
      <c r="AW195" s="72">
        <f t="shared" si="371"/>
        <v>18.68</v>
      </c>
      <c r="AX195" s="72">
        <f t="shared" si="372"/>
        <v>3.5391791681034315</v>
      </c>
      <c r="AY195" s="276">
        <f t="shared" si="373"/>
        <v>2686.9310000000014</v>
      </c>
      <c r="AZ195" s="72">
        <f t="shared" si="374"/>
        <v>3.0053794765966479</v>
      </c>
      <c r="BA195" s="1121"/>
      <c r="BB195" s="90">
        <f t="shared" si="367"/>
        <v>5543</v>
      </c>
      <c r="BC195" s="56"/>
      <c r="BD195" s="252">
        <v>5543</v>
      </c>
      <c r="BE195" s="56">
        <f t="shared" si="387"/>
        <v>0</v>
      </c>
      <c r="BF195" s="56">
        <f t="shared" si="388"/>
        <v>91023</v>
      </c>
      <c r="BG195" s="58">
        <f t="shared" si="389"/>
        <v>101.81082286752304</v>
      </c>
      <c r="BH195" s="1133"/>
      <c r="BI195" s="63">
        <f t="shared" si="390"/>
        <v>504</v>
      </c>
      <c r="BJ195" s="64"/>
      <c r="BK195" s="64">
        <v>480</v>
      </c>
      <c r="BL195" s="64">
        <f t="shared" si="391"/>
        <v>24</v>
      </c>
      <c r="BM195" s="65">
        <f t="shared" si="392"/>
        <v>5.1527577989136271E-2</v>
      </c>
      <c r="BN195" s="64">
        <f t="shared" si="393"/>
        <v>12972</v>
      </c>
      <c r="BO195" s="65">
        <f t="shared" si="394"/>
        <v>0.18053888519075514</v>
      </c>
      <c r="BP195" s="1071"/>
      <c r="BQ195" s="77">
        <f t="shared" si="368"/>
        <v>44620</v>
      </c>
      <c r="BR195" s="98"/>
      <c r="BS195" s="35">
        <f>81+27469+17000</f>
        <v>44550</v>
      </c>
      <c r="BT195" s="35">
        <f t="shared" si="363"/>
        <v>70</v>
      </c>
      <c r="BU195" s="74">
        <f t="shared" si="364"/>
        <v>13.262448702743052</v>
      </c>
      <c r="BV195" s="35">
        <f t="shared" si="369"/>
        <v>508054</v>
      </c>
      <c r="BW195" s="74">
        <f t="shared" si="370"/>
        <v>568.26731486697372</v>
      </c>
      <c r="BX195" s="1098"/>
    </row>
    <row r="196" spans="1:76">
      <c r="A196" s="262">
        <v>43413</v>
      </c>
      <c r="B196" s="32">
        <v>421156</v>
      </c>
      <c r="C196" s="1">
        <f t="shared" si="328"/>
        <v>72272713</v>
      </c>
      <c r="D196" s="1">
        <v>4698.9800000000005</v>
      </c>
      <c r="E196" s="93">
        <f t="shared" si="329"/>
        <v>898739.49000000034</v>
      </c>
      <c r="F196" s="271"/>
      <c r="G196" s="271"/>
      <c r="H196" s="271"/>
      <c r="I196" s="271"/>
      <c r="J196" s="271"/>
      <c r="K196" s="240">
        <f t="shared" si="331"/>
        <v>118480</v>
      </c>
      <c r="L196" s="267">
        <f t="shared" si="323"/>
        <v>1.6393462356947912E-3</v>
      </c>
      <c r="M196" s="267">
        <f t="shared" si="332"/>
        <v>2.0073627375854586E-4</v>
      </c>
      <c r="N196" s="1181"/>
      <c r="O196" s="1184"/>
      <c r="P196" s="77">
        <f t="shared" si="365"/>
        <v>32926</v>
      </c>
      <c r="Q196" s="98"/>
      <c r="R196" s="35">
        <v>30233</v>
      </c>
      <c r="S196" s="35">
        <f t="shared" si="395"/>
        <v>2693</v>
      </c>
      <c r="T196" s="36">
        <f t="shared" si="396"/>
        <v>6.394305198073873</v>
      </c>
      <c r="U196" s="74">
        <f t="shared" si="397"/>
        <v>286046</v>
      </c>
      <c r="V196" s="36">
        <f t="shared" si="398"/>
        <v>3.9578699640070245</v>
      </c>
      <c r="W196" s="1136"/>
      <c r="X196" s="49">
        <f t="shared" si="375"/>
        <v>946</v>
      </c>
      <c r="Y196" s="50"/>
      <c r="Z196" s="50">
        <f>886</f>
        <v>886</v>
      </c>
      <c r="AA196" s="50">
        <f t="shared" si="399"/>
        <v>60</v>
      </c>
      <c r="AB196" s="51">
        <f t="shared" si="376"/>
        <v>0.14246502483640267</v>
      </c>
      <c r="AC196" s="50">
        <f t="shared" si="377"/>
        <v>9260</v>
      </c>
      <c r="AD196" s="51">
        <f t="shared" si="378"/>
        <v>0.12812581146635521</v>
      </c>
      <c r="AE196" s="1047"/>
      <c r="AF196" s="40">
        <f t="shared" si="366"/>
        <v>1042</v>
      </c>
      <c r="AG196" s="41"/>
      <c r="AH196" s="41">
        <v>1042</v>
      </c>
      <c r="AI196" s="41">
        <f t="shared" si="379"/>
        <v>0</v>
      </c>
      <c r="AJ196" s="42">
        <f t="shared" si="380"/>
        <v>0</v>
      </c>
      <c r="AK196" s="41">
        <f t="shared" si="381"/>
        <v>6518</v>
      </c>
      <c r="AL196" s="42">
        <f t="shared" si="382"/>
        <v>9.0186181332365375E-2</v>
      </c>
      <c r="AM196" s="1058"/>
      <c r="AN196" s="260">
        <v>7</v>
      </c>
      <c r="AO196" s="67">
        <v>24</v>
      </c>
      <c r="AP196" s="68">
        <f t="shared" si="383"/>
        <v>89.04</v>
      </c>
      <c r="AQ196" s="68">
        <f t="shared" si="384"/>
        <v>18.948793142341529</v>
      </c>
      <c r="AR196" s="258">
        <f t="shared" si="385"/>
        <v>8782.5696000000025</v>
      </c>
      <c r="AS196" s="68">
        <f t="shared" si="386"/>
        <v>9.7720971401846377</v>
      </c>
      <c r="AT196" s="1118"/>
      <c r="AU196" s="70">
        <v>3.2</v>
      </c>
      <c r="AV196" s="71">
        <v>10</v>
      </c>
      <c r="AW196" s="72">
        <f t="shared" si="371"/>
        <v>14.944000000000001</v>
      </c>
      <c r="AX196" s="72">
        <f t="shared" si="372"/>
        <v>3.1802646531800516</v>
      </c>
      <c r="AY196" s="276">
        <f t="shared" si="373"/>
        <v>2701.8750000000014</v>
      </c>
      <c r="AZ196" s="72">
        <f t="shared" si="374"/>
        <v>3.0062938482874504</v>
      </c>
      <c r="BA196" s="1121"/>
      <c r="BB196" s="90">
        <f t="shared" si="367"/>
        <v>5543</v>
      </c>
      <c r="BC196" s="56"/>
      <c r="BD196" s="252">
        <v>5543</v>
      </c>
      <c r="BE196" s="56">
        <f t="shared" si="387"/>
        <v>0</v>
      </c>
      <c r="BF196" s="56">
        <f t="shared" si="388"/>
        <v>91023</v>
      </c>
      <c r="BG196" s="58">
        <f t="shared" si="389"/>
        <v>101.2785139773929</v>
      </c>
      <c r="BH196" s="1133"/>
      <c r="BI196" s="63">
        <f t="shared" si="390"/>
        <v>480</v>
      </c>
      <c r="BJ196" s="64"/>
      <c r="BK196" s="64">
        <v>420</v>
      </c>
      <c r="BL196" s="64">
        <f t="shared" si="391"/>
        <v>60</v>
      </c>
      <c r="BM196" s="65">
        <f t="shared" si="392"/>
        <v>0.14246502483640267</v>
      </c>
      <c r="BN196" s="64">
        <f t="shared" si="393"/>
        <v>13032</v>
      </c>
      <c r="BO196" s="65">
        <f t="shared" si="394"/>
        <v>0.1803170167418511</v>
      </c>
      <c r="BP196" s="1071"/>
      <c r="BQ196" s="77">
        <f t="shared" si="368"/>
        <v>44550</v>
      </c>
      <c r="BR196" s="98"/>
      <c r="BS196" s="35">
        <f>0+27469+17000</f>
        <v>44469</v>
      </c>
      <c r="BT196" s="35">
        <f t="shared" si="363"/>
        <v>81</v>
      </c>
      <c r="BU196" s="74">
        <f t="shared" si="364"/>
        <v>17.237783518976457</v>
      </c>
      <c r="BV196" s="35">
        <f t="shared" si="369"/>
        <v>508135</v>
      </c>
      <c r="BW196" s="74">
        <f t="shared" si="370"/>
        <v>565.38630565793858</v>
      </c>
      <c r="BX196" s="1098"/>
    </row>
    <row r="197" spans="1:76">
      <c r="A197" s="262">
        <v>43414</v>
      </c>
      <c r="B197" s="32">
        <v>360153</v>
      </c>
      <c r="C197" s="1">
        <f t="shared" si="328"/>
        <v>72632866</v>
      </c>
      <c r="D197" s="1">
        <v>3468.02</v>
      </c>
      <c r="E197" s="93">
        <f t="shared" si="329"/>
        <v>902207.51000000036</v>
      </c>
      <c r="F197" s="271"/>
      <c r="G197" s="271"/>
      <c r="H197" s="271"/>
      <c r="I197" s="271"/>
      <c r="J197" s="271"/>
      <c r="K197" s="240">
        <f t="shared" si="331"/>
        <v>118480</v>
      </c>
      <c r="L197" s="267">
        <f t="shared" si="323"/>
        <v>1.6312174711651886E-3</v>
      </c>
      <c r="M197" s="267">
        <f t="shared" si="332"/>
        <v>1.9974091483655369E-4</v>
      </c>
      <c r="N197" s="1181"/>
      <c r="O197" s="1184"/>
      <c r="P197" s="77">
        <f t="shared" si="365"/>
        <v>30233</v>
      </c>
      <c r="Q197" s="98"/>
      <c r="R197" s="35">
        <v>28350</v>
      </c>
      <c r="S197" s="35">
        <f t="shared" si="395"/>
        <v>1883</v>
      </c>
      <c r="T197" s="36">
        <f t="shared" si="396"/>
        <v>5.2283335138121858</v>
      </c>
      <c r="U197" s="74">
        <f t="shared" si="397"/>
        <v>287929</v>
      </c>
      <c r="V197" s="36">
        <f t="shared" si="398"/>
        <v>3.9641696088379605</v>
      </c>
      <c r="W197" s="1136"/>
      <c r="X197" s="49">
        <f t="shared" si="375"/>
        <v>886</v>
      </c>
      <c r="Y197" s="50"/>
      <c r="Z197" s="50">
        <f>832+87-33</f>
        <v>886</v>
      </c>
      <c r="AA197" s="50"/>
      <c r="AB197" s="51">
        <f t="shared" si="376"/>
        <v>0</v>
      </c>
      <c r="AC197" s="50">
        <f t="shared" si="377"/>
        <v>9260</v>
      </c>
      <c r="AD197" s="51">
        <f t="shared" si="378"/>
        <v>0.12749049445467289</v>
      </c>
      <c r="AE197" s="1047"/>
      <c r="AF197" s="40">
        <f t="shared" si="366"/>
        <v>1042</v>
      </c>
      <c r="AG197" s="41"/>
      <c r="AH197" s="41">
        <v>1042</v>
      </c>
      <c r="AI197" s="41">
        <f t="shared" si="379"/>
        <v>0</v>
      </c>
      <c r="AJ197" s="42">
        <f t="shared" si="380"/>
        <v>0</v>
      </c>
      <c r="AK197" s="41">
        <f t="shared" si="381"/>
        <v>6518</v>
      </c>
      <c r="AL197" s="42">
        <f t="shared" si="382"/>
        <v>8.9738989509239517E-2</v>
      </c>
      <c r="AM197" s="1058"/>
      <c r="AN197" s="220">
        <v>6.2</v>
      </c>
      <c r="AO197" s="67">
        <v>24</v>
      </c>
      <c r="AP197" s="68">
        <f t="shared" si="383"/>
        <v>78.864000000000004</v>
      </c>
      <c r="AQ197" s="68">
        <f t="shared" si="384"/>
        <v>22.740353285159831</v>
      </c>
      <c r="AR197" s="258">
        <f t="shared" si="385"/>
        <v>8861.4336000000021</v>
      </c>
      <c r="AS197" s="68">
        <f t="shared" si="386"/>
        <v>9.8219461728931936</v>
      </c>
      <c r="AT197" s="1118"/>
      <c r="AU197" s="70">
        <v>2.6</v>
      </c>
      <c r="AV197" s="71">
        <v>10</v>
      </c>
      <c r="AW197" s="72">
        <f t="shared" si="371"/>
        <v>12.142000000000001</v>
      </c>
      <c r="AX197" s="72">
        <f t="shared" si="372"/>
        <v>3.5011332114578351</v>
      </c>
      <c r="AY197" s="276">
        <f t="shared" si="373"/>
        <v>2714.0170000000012</v>
      </c>
      <c r="AZ197" s="72">
        <f t="shared" si="374"/>
        <v>3.0081959747818994</v>
      </c>
      <c r="BA197" s="1121"/>
      <c r="BB197" s="90">
        <f t="shared" si="367"/>
        <v>5543</v>
      </c>
      <c r="BC197" s="56"/>
      <c r="BD197" s="252">
        <v>5543</v>
      </c>
      <c r="BE197" s="56">
        <f t="shared" si="387"/>
        <v>0</v>
      </c>
      <c r="BF197" s="56">
        <f t="shared" si="388"/>
        <v>91023</v>
      </c>
      <c r="BG197" s="58">
        <f t="shared" si="389"/>
        <v>100.8892067413626</v>
      </c>
      <c r="BH197" s="1133"/>
      <c r="BI197" s="63">
        <f t="shared" si="390"/>
        <v>420</v>
      </c>
      <c r="BJ197" s="64"/>
      <c r="BK197" s="64">
        <v>276</v>
      </c>
      <c r="BL197" s="64">
        <f t="shared" si="391"/>
        <v>144</v>
      </c>
      <c r="BM197" s="65">
        <f t="shared" si="392"/>
        <v>0.39983007221930678</v>
      </c>
      <c r="BN197" s="64">
        <f t="shared" si="393"/>
        <v>13176</v>
      </c>
      <c r="BO197" s="65">
        <f t="shared" si="394"/>
        <v>0.18140548109446761</v>
      </c>
      <c r="BP197" s="1071"/>
      <c r="BQ197" s="77">
        <f t="shared" si="368"/>
        <v>44469</v>
      </c>
      <c r="BR197" s="98"/>
      <c r="BS197" s="35">
        <f>125+27469+11000</f>
        <v>38594</v>
      </c>
      <c r="BT197" s="35">
        <f t="shared" si="363"/>
        <v>5875</v>
      </c>
      <c r="BU197" s="74">
        <f t="shared" si="364"/>
        <v>1694.0502073229104</v>
      </c>
      <c r="BV197" s="35">
        <f t="shared" si="369"/>
        <v>514010</v>
      </c>
      <c r="BW197" s="74">
        <f t="shared" si="370"/>
        <v>569.72480754455239</v>
      </c>
      <c r="BX197" s="1098"/>
    </row>
    <row r="198" spans="1:76">
      <c r="A198" s="262">
        <v>43415</v>
      </c>
      <c r="B198" s="32">
        <v>306353</v>
      </c>
      <c r="C198" s="1">
        <f t="shared" si="328"/>
        <v>72939219</v>
      </c>
      <c r="D198" s="1">
        <v>4545.92</v>
      </c>
      <c r="E198" s="93">
        <f t="shared" si="329"/>
        <v>906753.4300000004</v>
      </c>
      <c r="F198" s="271"/>
      <c r="G198" s="271"/>
      <c r="H198" s="271"/>
      <c r="I198" s="271"/>
      <c r="J198" s="271"/>
      <c r="K198" s="240">
        <f t="shared" si="331"/>
        <v>118480</v>
      </c>
      <c r="L198" s="267">
        <f t="shared" si="323"/>
        <v>1.6243661726073595E-3</v>
      </c>
      <c r="M198" s="267">
        <f t="shared" si="332"/>
        <v>1.9890198031926852E-4</v>
      </c>
      <c r="N198" s="1181"/>
      <c r="O198" s="1184"/>
      <c r="P198" s="77">
        <f t="shared" si="365"/>
        <v>28350</v>
      </c>
      <c r="Q198" s="98"/>
      <c r="R198" s="35">
        <v>27277</v>
      </c>
      <c r="S198" s="35">
        <f t="shared" si="395"/>
        <v>1073</v>
      </c>
      <c r="T198" s="36">
        <f t="shared" si="396"/>
        <v>3.5024954872320495</v>
      </c>
      <c r="U198" s="74">
        <f t="shared" si="397"/>
        <v>289002</v>
      </c>
      <c r="V198" s="36">
        <f t="shared" si="398"/>
        <v>3.962230525117084</v>
      </c>
      <c r="W198" s="1136"/>
      <c r="X198" s="49">
        <f t="shared" si="375"/>
        <v>886</v>
      </c>
      <c r="Y198" s="50"/>
      <c r="Z198" s="50">
        <f>743+95</f>
        <v>838</v>
      </c>
      <c r="AA198" s="50">
        <f t="shared" si="399"/>
        <v>48</v>
      </c>
      <c r="AB198" s="51">
        <f t="shared" si="376"/>
        <v>0.15668199756490062</v>
      </c>
      <c r="AC198" s="50">
        <f t="shared" si="377"/>
        <v>9308</v>
      </c>
      <c r="AD198" s="51">
        <f t="shared" si="378"/>
        <v>0.12761310208161128</v>
      </c>
      <c r="AE198" s="1047"/>
      <c r="AF198" s="40">
        <f t="shared" si="366"/>
        <v>1042</v>
      </c>
      <c r="AG198" s="41"/>
      <c r="AH198" s="41">
        <v>925</v>
      </c>
      <c r="AI198" s="41">
        <f t="shared" si="379"/>
        <v>117</v>
      </c>
      <c r="AJ198" s="42">
        <f t="shared" si="380"/>
        <v>0.38191236906444526</v>
      </c>
      <c r="AK198" s="41">
        <f t="shared" si="381"/>
        <v>6635</v>
      </c>
      <c r="AL198" s="42">
        <f t="shared" si="382"/>
        <v>9.0966150871453669E-2</v>
      </c>
      <c r="AM198" s="1058"/>
      <c r="AN198" s="220">
        <v>6.2</v>
      </c>
      <c r="AO198" s="67">
        <v>24</v>
      </c>
      <c r="AP198" s="68">
        <f t="shared" si="383"/>
        <v>78.864000000000004</v>
      </c>
      <c r="AQ198" s="68">
        <f t="shared" si="384"/>
        <v>17.348303533718148</v>
      </c>
      <c r="AR198" s="258">
        <f t="shared" si="385"/>
        <v>8940.2976000000017</v>
      </c>
      <c r="AS198" s="68">
        <f t="shared" si="386"/>
        <v>9.8596788324252582</v>
      </c>
      <c r="AT198" s="1118"/>
      <c r="AU198" s="70">
        <v>3.6</v>
      </c>
      <c r="AV198" s="71">
        <v>10</v>
      </c>
      <c r="AW198" s="72">
        <f t="shared" si="371"/>
        <v>16.812000000000001</v>
      </c>
      <c r="AX198" s="72">
        <f t="shared" si="372"/>
        <v>3.6982612980430805</v>
      </c>
      <c r="AY198" s="276">
        <f t="shared" si="373"/>
        <v>2730.8290000000011</v>
      </c>
      <c r="AZ198" s="72">
        <f t="shared" si="374"/>
        <v>3.0116555500650266</v>
      </c>
      <c r="BA198" s="1121"/>
      <c r="BB198" s="90">
        <f t="shared" si="367"/>
        <v>5543</v>
      </c>
      <c r="BC198" s="56"/>
      <c r="BD198" s="252">
        <v>5212</v>
      </c>
      <c r="BE198" s="56">
        <f t="shared" si="387"/>
        <v>331</v>
      </c>
      <c r="BF198" s="56">
        <f t="shared" si="388"/>
        <v>91354</v>
      </c>
      <c r="BG198" s="58">
        <f t="shared" si="389"/>
        <v>100.74844712746216</v>
      </c>
      <c r="BH198" s="1133"/>
      <c r="BI198" s="63">
        <f t="shared" si="390"/>
        <v>276</v>
      </c>
      <c r="BJ198" s="64"/>
      <c r="BK198" s="64">
        <v>132</v>
      </c>
      <c r="BL198" s="64">
        <f t="shared" si="391"/>
        <v>144</v>
      </c>
      <c r="BM198" s="65">
        <f t="shared" si="392"/>
        <v>0.47004599269470188</v>
      </c>
      <c r="BN198" s="64">
        <f t="shared" si="393"/>
        <v>13320</v>
      </c>
      <c r="BO198" s="65">
        <f t="shared" si="394"/>
        <v>0.18261780401021294</v>
      </c>
      <c r="BP198" s="1071"/>
      <c r="BQ198" s="77">
        <f t="shared" si="368"/>
        <v>38594</v>
      </c>
      <c r="BR198" s="98"/>
      <c r="BS198" s="35">
        <f>48+27469+11000</f>
        <v>38517</v>
      </c>
      <c r="BT198" s="35">
        <f t="shared" si="363"/>
        <v>77</v>
      </c>
      <c r="BU198" s="74">
        <f t="shared" si="364"/>
        <v>16.938265521610585</v>
      </c>
      <c r="BV198" s="35">
        <f t="shared" si="369"/>
        <v>514087</v>
      </c>
      <c r="BW198" s="74">
        <f t="shared" si="370"/>
        <v>566.95346605967597</v>
      </c>
      <c r="BX198" s="1098"/>
    </row>
    <row r="199" spans="1:76">
      <c r="A199" s="262">
        <v>43416</v>
      </c>
      <c r="B199" s="265">
        <v>351041</v>
      </c>
      <c r="C199" s="1">
        <f t="shared" si="328"/>
        <v>73290260</v>
      </c>
      <c r="D199" s="1">
        <v>4820.22</v>
      </c>
      <c r="E199" s="93">
        <f t="shared" si="329"/>
        <v>911573.65000000037</v>
      </c>
      <c r="F199" s="271"/>
      <c r="G199" s="271"/>
      <c r="H199" s="271"/>
      <c r="I199" s="271"/>
      <c r="J199" s="271"/>
      <c r="K199" s="240">
        <f t="shared" si="331"/>
        <v>118480</v>
      </c>
      <c r="L199" s="267">
        <f t="shared" si="323"/>
        <v>1.6165858874016821E-3</v>
      </c>
      <c r="M199" s="267">
        <f t="shared" si="332"/>
        <v>1.9794929233489986E-4</v>
      </c>
      <c r="N199" s="1181"/>
      <c r="O199" s="1184"/>
      <c r="P199" s="77">
        <f t="shared" si="365"/>
        <v>27277</v>
      </c>
      <c r="Q199" s="98"/>
      <c r="R199" s="35">
        <v>25406</v>
      </c>
      <c r="S199" s="35">
        <f t="shared" si="395"/>
        <v>1871</v>
      </c>
      <c r="T199" s="36">
        <f t="shared" si="396"/>
        <v>5.3298617540401265</v>
      </c>
      <c r="U199" s="74">
        <f t="shared" si="397"/>
        <v>290873</v>
      </c>
      <c r="V199" s="36">
        <f t="shared" si="398"/>
        <v>3.9687811177092289</v>
      </c>
      <c r="W199" s="1136"/>
      <c r="X199" s="49">
        <f t="shared" si="375"/>
        <v>838</v>
      </c>
      <c r="Y199" s="50"/>
      <c r="Z199" s="50">
        <f>528+200</f>
        <v>728</v>
      </c>
      <c r="AA199" s="50">
        <f t="shared" si="399"/>
        <v>110</v>
      </c>
      <c r="AB199" s="51">
        <f t="shared" si="376"/>
        <v>0.31335371082010366</v>
      </c>
      <c r="AC199" s="50">
        <f t="shared" si="377"/>
        <v>9418</v>
      </c>
      <c r="AD199" s="51">
        <f t="shared" si="378"/>
        <v>0.12850275057013033</v>
      </c>
      <c r="AE199" s="1047"/>
      <c r="AF199" s="40">
        <f t="shared" si="366"/>
        <v>925</v>
      </c>
      <c r="AG199" s="41"/>
      <c r="AH199" s="41">
        <v>825</v>
      </c>
      <c r="AI199" s="41">
        <f t="shared" si="379"/>
        <v>100</v>
      </c>
      <c r="AJ199" s="42">
        <f t="shared" si="380"/>
        <v>0.28486700983645785</v>
      </c>
      <c r="AK199" s="41">
        <f t="shared" si="381"/>
        <v>6735</v>
      </c>
      <c r="AL199" s="42">
        <f t="shared" si="382"/>
        <v>9.1894884804611152E-2</v>
      </c>
      <c r="AM199" s="1058"/>
      <c r="AN199" s="220">
        <v>5.6</v>
      </c>
      <c r="AO199" s="67">
        <v>24</v>
      </c>
      <c r="AP199" s="68">
        <f t="shared" si="383"/>
        <v>71.231999999999985</v>
      </c>
      <c r="AQ199" s="68">
        <f t="shared" si="384"/>
        <v>14.777748733460294</v>
      </c>
      <c r="AR199" s="258">
        <f t="shared" si="385"/>
        <v>9011.5296000000017</v>
      </c>
      <c r="AS199" s="68">
        <f t="shared" si="386"/>
        <v>9.8856846070528679</v>
      </c>
      <c r="AT199" s="1118"/>
      <c r="AU199" s="70">
        <v>3.2</v>
      </c>
      <c r="AV199" s="71">
        <v>10</v>
      </c>
      <c r="AW199" s="72">
        <f t="shared" si="371"/>
        <v>14.944000000000001</v>
      </c>
      <c r="AX199" s="72">
        <f t="shared" si="372"/>
        <v>3.1002734315031262</v>
      </c>
      <c r="AY199" s="276">
        <f t="shared" si="373"/>
        <v>2745.773000000001</v>
      </c>
      <c r="AZ199" s="72">
        <f t="shared" si="374"/>
        <v>3.0121241437814703</v>
      </c>
      <c r="BA199" s="1121"/>
      <c r="BB199" s="90">
        <f t="shared" si="367"/>
        <v>5212</v>
      </c>
      <c r="BC199" s="56"/>
      <c r="BD199" s="252">
        <v>4568</v>
      </c>
      <c r="BE199" s="56">
        <f t="shared" si="387"/>
        <v>644</v>
      </c>
      <c r="BF199" s="56">
        <f t="shared" si="388"/>
        <v>91998</v>
      </c>
      <c r="BG199" s="58">
        <f t="shared" si="389"/>
        <v>100.92218001255297</v>
      </c>
      <c r="BH199" s="1133"/>
      <c r="BI199" s="63">
        <f t="shared" si="390"/>
        <v>132</v>
      </c>
      <c r="BJ199" s="64">
        <v>1100</v>
      </c>
      <c r="BK199" s="64">
        <f>1260-28</f>
        <v>1232</v>
      </c>
      <c r="BL199" s="64">
        <f t="shared" si="391"/>
        <v>0</v>
      </c>
      <c r="BM199" s="65">
        <f t="shared" si="392"/>
        <v>0</v>
      </c>
      <c r="BN199" s="64">
        <f t="shared" si="393"/>
        <v>13320</v>
      </c>
      <c r="BO199" s="65">
        <f t="shared" si="394"/>
        <v>0.18174311293205947</v>
      </c>
      <c r="BP199" s="1071"/>
      <c r="BQ199" s="77">
        <f>BS198</f>
        <v>38517</v>
      </c>
      <c r="BR199" s="98"/>
      <c r="BS199" s="35">
        <f>48+27469+9000</f>
        <v>36517</v>
      </c>
      <c r="BT199" s="35">
        <f t="shared" si="363"/>
        <v>2000</v>
      </c>
      <c r="BU199" s="74">
        <f t="shared" si="364"/>
        <v>414.91882113264535</v>
      </c>
      <c r="BV199" s="35">
        <f t="shared" si="369"/>
        <v>516087</v>
      </c>
      <c r="BW199" s="74">
        <f t="shared" si="370"/>
        <v>566.14953712187685</v>
      </c>
      <c r="BX199" s="1098"/>
    </row>
    <row r="200" spans="1:76">
      <c r="A200" s="262">
        <v>43417</v>
      </c>
      <c r="B200" s="32">
        <v>428605</v>
      </c>
      <c r="C200" s="1">
        <f t="shared" si="328"/>
        <v>73718865</v>
      </c>
      <c r="D200" s="1">
        <v>5952.4</v>
      </c>
      <c r="E200" s="93">
        <f t="shared" si="329"/>
        <v>917526.0500000004</v>
      </c>
      <c r="F200" s="271"/>
      <c r="G200" s="271"/>
      <c r="H200" s="271"/>
      <c r="I200" s="271"/>
      <c r="J200" s="271"/>
      <c r="K200" s="240">
        <f t="shared" si="331"/>
        <v>118480</v>
      </c>
      <c r="L200" s="267">
        <f t="shared" si="323"/>
        <v>1.6071869798863561E-3</v>
      </c>
      <c r="M200" s="267">
        <f t="shared" si="332"/>
        <v>1.9679840570037014E-4</v>
      </c>
      <c r="N200" s="1181"/>
      <c r="O200" s="1184"/>
      <c r="P200" s="77">
        <f>R199</f>
        <v>25406</v>
      </c>
      <c r="Q200" s="98"/>
      <c r="R200" s="35">
        <v>23813</v>
      </c>
      <c r="S200" s="35">
        <f>P200+Q200-R200</f>
        <v>1593</v>
      </c>
      <c r="T200" s="36">
        <f>1000*S200/B200</f>
        <v>3.7167088578061387</v>
      </c>
      <c r="U200" s="74">
        <f>U199+S200</f>
        <v>292466</v>
      </c>
      <c r="V200" s="36">
        <f>1000*U200/C200</f>
        <v>3.9673155575577566</v>
      </c>
      <c r="W200" s="1136"/>
      <c r="X200" s="49">
        <f>Z199</f>
        <v>728</v>
      </c>
      <c r="Y200" s="50"/>
      <c r="Z200" s="50">
        <f>528+200</f>
        <v>728</v>
      </c>
      <c r="AA200" s="50"/>
      <c r="AB200" s="51">
        <f>1000*AA200/B200</f>
        <v>0</v>
      </c>
      <c r="AC200" s="50">
        <f>AC199+AA200</f>
        <v>9418</v>
      </c>
      <c r="AD200" s="51">
        <f>AC200*1000/C200</f>
        <v>0.12775562944437627</v>
      </c>
      <c r="AE200" s="1047"/>
      <c r="AF200" s="40">
        <f>AH199</f>
        <v>825</v>
      </c>
      <c r="AG200" s="41"/>
      <c r="AH200" s="41">
        <v>725</v>
      </c>
      <c r="AI200" s="41">
        <f>AF200+AG200-AH200</f>
        <v>100</v>
      </c>
      <c r="AJ200" s="42">
        <f>AI200*1000/B200</f>
        <v>0.23331505698720267</v>
      </c>
      <c r="AK200" s="41">
        <f>AK199+AI200</f>
        <v>6835</v>
      </c>
      <c r="AL200" s="42">
        <f>AK200*1000/C200</f>
        <v>9.2717108436219137E-2</v>
      </c>
      <c r="AM200" s="1058"/>
      <c r="AN200" s="220">
        <v>5.5</v>
      </c>
      <c r="AO200" s="67">
        <v>24</v>
      </c>
      <c r="AP200" s="68">
        <f t="shared" si="383"/>
        <v>69.960000000000008</v>
      </c>
      <c r="AQ200" s="68">
        <f t="shared" si="384"/>
        <v>11.753242389624356</v>
      </c>
      <c r="AR200" s="258">
        <f t="shared" si="385"/>
        <v>9081.4896000000008</v>
      </c>
      <c r="AS200" s="68">
        <f t="shared" si="386"/>
        <v>9.8978002858883389</v>
      </c>
      <c r="AT200" s="1118"/>
      <c r="AU200" s="70">
        <v>4.3</v>
      </c>
      <c r="AV200" s="71">
        <v>10</v>
      </c>
      <c r="AW200" s="72">
        <f t="shared" si="371"/>
        <v>20.081</v>
      </c>
      <c r="AX200" s="72">
        <f t="shared" si="372"/>
        <v>3.373597204488946</v>
      </c>
      <c r="AY200" s="276">
        <f t="shared" si="373"/>
        <v>2765.8540000000012</v>
      </c>
      <c r="AZ200" s="72">
        <f t="shared" si="374"/>
        <v>3.0144691804663206</v>
      </c>
      <c r="BA200" s="1121"/>
      <c r="BB200" s="90">
        <f>BD199</f>
        <v>4568</v>
      </c>
      <c r="BC200" s="56"/>
      <c r="BD200" s="252">
        <v>4568</v>
      </c>
      <c r="BE200" s="56">
        <f>BB200+BC200-BD200</f>
        <v>0</v>
      </c>
      <c r="BF200" s="56">
        <f>BF199+BE200</f>
        <v>91998</v>
      </c>
      <c r="BG200" s="58">
        <f>BF200*1000/E200</f>
        <v>100.26745289684142</v>
      </c>
      <c r="BH200" s="1133"/>
      <c r="BI200" s="63">
        <f t="shared" si="390"/>
        <v>1232</v>
      </c>
      <c r="BJ200" s="64"/>
      <c r="BK200" s="64">
        <f>1260-28</f>
        <v>1232</v>
      </c>
      <c r="BL200" s="64">
        <f>BI200+BJ200-BK200</f>
        <v>0</v>
      </c>
      <c r="BM200" s="65">
        <f>1000*BL200/B200</f>
        <v>0</v>
      </c>
      <c r="BN200" s="64">
        <f>BN199+BL200</f>
        <v>13320</v>
      </c>
      <c r="BO200" s="65">
        <f>BN200*1000/C200</f>
        <v>0.18068644979816226</v>
      </c>
      <c r="BP200" s="1071"/>
      <c r="BQ200" s="77">
        <f>BS199</f>
        <v>36517</v>
      </c>
      <c r="BR200" s="98"/>
      <c r="BS200" s="35">
        <f>48+27469+7000</f>
        <v>34517</v>
      </c>
      <c r="BT200" s="35">
        <f t="shared" si="363"/>
        <v>2000</v>
      </c>
      <c r="BU200" s="74">
        <f t="shared" si="364"/>
        <v>335.99892480344067</v>
      </c>
      <c r="BV200" s="35">
        <f t="shared" si="369"/>
        <v>518087</v>
      </c>
      <c r="BW200" s="74">
        <f t="shared" si="370"/>
        <v>564.65644762892543</v>
      </c>
      <c r="BX200" s="1098"/>
    </row>
    <row r="201" spans="1:76">
      <c r="A201" s="262">
        <v>43418</v>
      </c>
      <c r="B201" s="32">
        <v>399531</v>
      </c>
      <c r="C201" s="1">
        <f t="shared" si="328"/>
        <v>74118396</v>
      </c>
      <c r="D201" s="1">
        <v>4544.5200000000004</v>
      </c>
      <c r="E201" s="93">
        <f t="shared" si="329"/>
        <v>922070.57000000041</v>
      </c>
      <c r="F201" s="271"/>
      <c r="G201" s="271"/>
      <c r="H201" s="271"/>
      <c r="I201" s="271"/>
      <c r="J201" s="271"/>
      <c r="K201" s="240">
        <f t="shared" si="331"/>
        <v>118480</v>
      </c>
      <c r="L201" s="267">
        <f t="shared" si="323"/>
        <v>1.5985235298400144E-3</v>
      </c>
      <c r="M201" s="267">
        <f t="shared" si="332"/>
        <v>1.9573757508245074E-4</v>
      </c>
      <c r="N201" s="1181"/>
      <c r="O201" s="1184"/>
      <c r="P201" s="77">
        <f>R200</f>
        <v>23813</v>
      </c>
      <c r="Q201" s="98"/>
      <c r="R201" s="35">
        <v>22495</v>
      </c>
      <c r="S201" s="35">
        <f>P201+Q201-R201</f>
        <v>1318</v>
      </c>
      <c r="T201" s="36">
        <f>1000*S201/B201</f>
        <v>3.2988679226392947</v>
      </c>
      <c r="U201" s="74">
        <f>U200+S201</f>
        <v>293784</v>
      </c>
      <c r="V201" s="36">
        <f>1000*U201/C201</f>
        <v>3.9637123285830418</v>
      </c>
      <c r="W201" s="1136"/>
      <c r="X201" s="49">
        <f>Z200</f>
        <v>728</v>
      </c>
      <c r="Y201" s="50"/>
      <c r="Z201" s="50">
        <f>528+187</f>
        <v>715</v>
      </c>
      <c r="AA201" s="50">
        <f>X201+Y201-Z201</f>
        <v>13</v>
      </c>
      <c r="AB201" s="51">
        <f>1000*AA201/B201</f>
        <v>3.2538150982026427E-2</v>
      </c>
      <c r="AC201" s="50">
        <f>AC200+AA201</f>
        <v>9431</v>
      </c>
      <c r="AD201" s="51">
        <f>AC201*1000/C201</f>
        <v>0.12724236503984787</v>
      </c>
      <c r="AE201" s="1047"/>
      <c r="AF201" s="40">
        <f>AH200</f>
        <v>725</v>
      </c>
      <c r="AG201" s="41"/>
      <c r="AH201" s="41">
        <v>705</v>
      </c>
      <c r="AI201" s="41">
        <f>AF201+AG201-AH201</f>
        <v>20</v>
      </c>
      <c r="AJ201" s="42">
        <f>AI201*1000/B201</f>
        <v>5.0058693818502191E-2</v>
      </c>
      <c r="AK201" s="41">
        <f>AK200+AI201</f>
        <v>6855</v>
      </c>
      <c r="AL201" s="42">
        <f>AK201*1000/C201</f>
        <v>9.248716067735735E-2</v>
      </c>
      <c r="AM201" s="1058"/>
      <c r="AN201" s="220">
        <v>6.5</v>
      </c>
      <c r="AO201" s="67">
        <v>24</v>
      </c>
      <c r="AP201" s="68">
        <f t="shared" si="383"/>
        <v>82.68</v>
      </c>
      <c r="AQ201" s="68">
        <f t="shared" si="384"/>
        <v>18.193340550817247</v>
      </c>
      <c r="AR201" s="258">
        <f t="shared" si="385"/>
        <v>9164.1696000000011</v>
      </c>
      <c r="AS201" s="68">
        <f t="shared" si="386"/>
        <v>9.9386857125263166</v>
      </c>
      <c r="AT201" s="1118"/>
      <c r="AU201" s="70">
        <v>3.6</v>
      </c>
      <c r="AV201" s="71">
        <v>10</v>
      </c>
      <c r="AW201" s="72">
        <f t="shared" si="371"/>
        <v>16.812000000000001</v>
      </c>
      <c r="AX201" s="72">
        <f t="shared" si="372"/>
        <v>3.6994005967626942</v>
      </c>
      <c r="AY201" s="276">
        <f t="shared" si="373"/>
        <v>2782.6660000000011</v>
      </c>
      <c r="AZ201" s="72">
        <f t="shared" si="374"/>
        <v>3.0178449356647397</v>
      </c>
      <c r="BA201" s="1121"/>
      <c r="BB201" s="90">
        <f>BD200</f>
        <v>4568</v>
      </c>
      <c r="BC201" s="56"/>
      <c r="BD201" s="252">
        <v>4568</v>
      </c>
      <c r="BE201" s="56">
        <f>BB201+BC201-BD201</f>
        <v>0</v>
      </c>
      <c r="BF201" s="56">
        <f>BF200+BE201</f>
        <v>91998</v>
      </c>
      <c r="BG201" s="58">
        <f>BF201*1000/E201</f>
        <v>99.773274403498164</v>
      </c>
      <c r="BH201" s="1133"/>
      <c r="BI201" s="63">
        <f t="shared" si="390"/>
        <v>1232</v>
      </c>
      <c r="BJ201" s="64"/>
      <c r="BK201" s="64">
        <f>1260-28</f>
        <v>1232</v>
      </c>
      <c r="BL201" s="64">
        <f>BI201+BJ201-BK201</f>
        <v>0</v>
      </c>
      <c r="BM201" s="65">
        <f>1000*BL201/B201</f>
        <v>0</v>
      </c>
      <c r="BN201" s="64">
        <f>BN200+BL201</f>
        <v>13320</v>
      </c>
      <c r="BO201" s="65">
        <f>BN201*1000/C201</f>
        <v>0.17971246976256744</v>
      </c>
      <c r="BP201" s="1071"/>
      <c r="BQ201" s="77">
        <f>BS200</f>
        <v>34517</v>
      </c>
      <c r="BR201" s="98"/>
      <c r="BS201" s="35">
        <f>48+27469+7000</f>
        <v>34517</v>
      </c>
      <c r="BT201" s="35">
        <f t="shared" si="363"/>
        <v>0</v>
      </c>
      <c r="BU201" s="74">
        <f t="shared" si="364"/>
        <v>0</v>
      </c>
      <c r="BV201" s="35">
        <f t="shared" si="369"/>
        <v>518087</v>
      </c>
      <c r="BW201" s="74">
        <f t="shared" si="370"/>
        <v>561.8734800309262</v>
      </c>
      <c r="BX201" s="1098"/>
    </row>
    <row r="202" spans="1:76" ht="15.75" thickBot="1">
      <c r="A202" s="263">
        <v>43419</v>
      </c>
      <c r="B202" s="109">
        <v>401473</v>
      </c>
      <c r="C202" s="78">
        <f t="shared" si="328"/>
        <v>74519869</v>
      </c>
      <c r="D202" s="78">
        <v>2464.52</v>
      </c>
      <c r="E202" s="94">
        <f t="shared" si="329"/>
        <v>924535.09000000043</v>
      </c>
      <c r="F202" s="272"/>
      <c r="G202" s="273"/>
      <c r="H202" s="273"/>
      <c r="I202" s="273"/>
      <c r="J202" s="273"/>
      <c r="K202" s="231">
        <f t="shared" si="331"/>
        <v>118480</v>
      </c>
      <c r="L202" s="270">
        <f t="shared" si="323"/>
        <v>1.5899115442621081E-3</v>
      </c>
      <c r="M202" s="270">
        <f t="shared" si="332"/>
        <v>1.946830462361765E-4</v>
      </c>
      <c r="N202" s="1182"/>
      <c r="O202" s="1185"/>
      <c r="P202" s="79">
        <f>R201</f>
        <v>22495</v>
      </c>
      <c r="Q202" s="247"/>
      <c r="R202" s="76">
        <v>20928</v>
      </c>
      <c r="S202" s="76">
        <f>P202+Q202-R202</f>
        <v>1567</v>
      </c>
      <c r="T202" s="80">
        <f>1000*S202/B202</f>
        <v>3.9031267357954333</v>
      </c>
      <c r="U202" s="81">
        <f>U201+S202</f>
        <v>295351</v>
      </c>
      <c r="V202" s="80">
        <f>1000*U202/C202</f>
        <v>3.9633859259736486</v>
      </c>
      <c r="W202" s="1137"/>
      <c r="X202" s="83">
        <f>Z201</f>
        <v>715</v>
      </c>
      <c r="Y202" s="82"/>
      <c r="Z202" s="82">
        <f>528+180</f>
        <v>708</v>
      </c>
      <c r="AA202" s="82">
        <f>X202+Y202-Z202</f>
        <v>7</v>
      </c>
      <c r="AB202" s="84">
        <f>1000*AA202/B202</f>
        <v>1.7435792693406532E-2</v>
      </c>
      <c r="AC202" s="82">
        <f>AC201+AA202</f>
        <v>9438</v>
      </c>
      <c r="AD202" s="84">
        <f>AC202*1000/C202</f>
        <v>0.12665078624869833</v>
      </c>
      <c r="AE202" s="1048"/>
      <c r="AF202" s="95">
        <f>AH201</f>
        <v>705</v>
      </c>
      <c r="AG202" s="96"/>
      <c r="AH202" s="96">
        <v>666</v>
      </c>
      <c r="AI202" s="96">
        <f>AF202+AG202-AH202</f>
        <v>39</v>
      </c>
      <c r="AJ202" s="97">
        <f>AI202*1000/B202</f>
        <v>9.7142273577550675E-2</v>
      </c>
      <c r="AK202" s="96">
        <f>AK201+AI202</f>
        <v>6894</v>
      </c>
      <c r="AL202" s="97">
        <f>AK202*1000/C202</f>
        <v>9.2512239923556491E-2</v>
      </c>
      <c r="AM202" s="1059"/>
      <c r="AN202" s="266">
        <v>5</v>
      </c>
      <c r="AO202" s="101">
        <v>24</v>
      </c>
      <c r="AP202" s="111">
        <f t="shared" si="383"/>
        <v>63.6</v>
      </c>
      <c r="AQ202" s="111">
        <f t="shared" si="384"/>
        <v>25.806242189148396</v>
      </c>
      <c r="AR202" s="259">
        <f t="shared" si="385"/>
        <v>9227.7696000000014</v>
      </c>
      <c r="AS202" s="111">
        <f t="shared" si="386"/>
        <v>9.9809836314595657</v>
      </c>
      <c r="AT202" s="1119"/>
      <c r="AU202" s="113">
        <v>2.9</v>
      </c>
      <c r="AV202" s="104">
        <v>10</v>
      </c>
      <c r="AW202" s="105">
        <f t="shared" si="371"/>
        <v>13.543000000000001</v>
      </c>
      <c r="AX202" s="105">
        <f t="shared" si="372"/>
        <v>5.4951877038936594</v>
      </c>
      <c r="AY202" s="279">
        <f t="shared" si="373"/>
        <v>2796.2090000000012</v>
      </c>
      <c r="AZ202" s="105">
        <f t="shared" si="374"/>
        <v>3.024448752940248</v>
      </c>
      <c r="BA202" s="1122"/>
      <c r="BB202" s="87">
        <f>BD201</f>
        <v>4568</v>
      </c>
      <c r="BC202" s="88"/>
      <c r="BD202" s="274">
        <v>4568</v>
      </c>
      <c r="BE202" s="88">
        <f>BB202+BC202-BD202</f>
        <v>0</v>
      </c>
      <c r="BF202" s="88">
        <f>BF201+BE202</f>
        <v>91998</v>
      </c>
      <c r="BG202" s="89">
        <f>BF202*1000/E202</f>
        <v>99.507310209285791</v>
      </c>
      <c r="BH202" s="1134"/>
      <c r="BI202" s="207">
        <f t="shared" si="390"/>
        <v>1232</v>
      </c>
      <c r="BJ202" s="85"/>
      <c r="BK202" s="85">
        <f>1260-28</f>
        <v>1232</v>
      </c>
      <c r="BL202" s="85">
        <f>BI202+BJ202-BK202</f>
        <v>0</v>
      </c>
      <c r="BM202" s="86">
        <f>1000*BL202/B202</f>
        <v>0</v>
      </c>
      <c r="BN202" s="85">
        <f>BN201+BL202</f>
        <v>13320</v>
      </c>
      <c r="BO202" s="86">
        <f>BN202*1000/C202</f>
        <v>0.17874427557031802</v>
      </c>
      <c r="BP202" s="1072"/>
      <c r="BQ202" s="79">
        <f>BS201</f>
        <v>34517</v>
      </c>
      <c r="BR202" s="247"/>
      <c r="BS202" s="76">
        <f>48+27469+7000</f>
        <v>34517</v>
      </c>
      <c r="BT202" s="76">
        <f t="shared" si="363"/>
        <v>0</v>
      </c>
      <c r="BU202" s="81">
        <f t="shared" si="364"/>
        <v>0</v>
      </c>
      <c r="BV202" s="76">
        <f t="shared" si="369"/>
        <v>518087</v>
      </c>
      <c r="BW202" s="81">
        <f t="shared" si="370"/>
        <v>560.37570191089208</v>
      </c>
      <c r="BX202" s="1099"/>
    </row>
    <row r="203" spans="1:76">
      <c r="A203" s="30">
        <v>43420</v>
      </c>
    </row>
    <row r="204" spans="1:76">
      <c r="A204" s="30">
        <v>43421</v>
      </c>
    </row>
    <row r="205" spans="1:76">
      <c r="A205" s="30">
        <v>43422</v>
      </c>
      <c r="P205" s="268"/>
    </row>
    <row r="206" spans="1:76">
      <c r="A206" s="30">
        <v>43423</v>
      </c>
    </row>
    <row r="207" spans="1:76">
      <c r="A207" s="30">
        <v>43424</v>
      </c>
    </row>
    <row r="208" spans="1:76">
      <c r="A208" s="30">
        <v>43425</v>
      </c>
    </row>
    <row r="209" spans="1:1">
      <c r="A209" s="30">
        <v>43426</v>
      </c>
    </row>
    <row r="210" spans="1:1">
      <c r="A210" s="30">
        <v>43427</v>
      </c>
    </row>
    <row r="211" spans="1:1">
      <c r="A211" s="30">
        <v>43428</v>
      </c>
    </row>
    <row r="212" spans="1:1">
      <c r="A212" s="30">
        <v>43429</v>
      </c>
    </row>
    <row r="213" spans="1:1">
      <c r="A213" s="30">
        <v>43430</v>
      </c>
    </row>
    <row r="214" spans="1:1">
      <c r="A214" s="30">
        <v>43431</v>
      </c>
    </row>
    <row r="215" spans="1:1">
      <c r="A215" s="30">
        <v>43432</v>
      </c>
    </row>
    <row r="216" spans="1:1">
      <c r="A216" s="30">
        <v>43433</v>
      </c>
    </row>
    <row r="217" spans="1:1">
      <c r="A217" s="30">
        <v>43434</v>
      </c>
    </row>
  </sheetData>
  <mergeCells count="73">
    <mergeCell ref="O157:O187"/>
    <mergeCell ref="AT157:AT187"/>
    <mergeCell ref="AT188:AT202"/>
    <mergeCell ref="N157:N187"/>
    <mergeCell ref="W157:W187"/>
    <mergeCell ref="W188:W202"/>
    <mergeCell ref="N188:N202"/>
    <mergeCell ref="O188:O202"/>
    <mergeCell ref="AE188:AE202"/>
    <mergeCell ref="AM188:AM202"/>
    <mergeCell ref="AE157:AE187"/>
    <mergeCell ref="AM157:AM187"/>
    <mergeCell ref="B1:C1"/>
    <mergeCell ref="D1:E1"/>
    <mergeCell ref="AF1:AM1"/>
    <mergeCell ref="AM65:AM95"/>
    <mergeCell ref="AM35:AM64"/>
    <mergeCell ref="P1:W1"/>
    <mergeCell ref="AE4:AE34"/>
    <mergeCell ref="X1:AE1"/>
    <mergeCell ref="W65:W95"/>
    <mergeCell ref="W35:W64"/>
    <mergeCell ref="W4:W34"/>
    <mergeCell ref="AE65:AE95"/>
    <mergeCell ref="AE35:AE64"/>
    <mergeCell ref="AM4:AM34"/>
    <mergeCell ref="F1:O1"/>
    <mergeCell ref="BX65:BX95"/>
    <mergeCell ref="BX35:BX64"/>
    <mergeCell ref="BQ1:BX1"/>
    <mergeCell ref="AT4:AT34"/>
    <mergeCell ref="AT35:AT64"/>
    <mergeCell ref="BA4:BA34"/>
    <mergeCell ref="AU1:BA1"/>
    <mergeCell ref="BA35:BA64"/>
    <mergeCell ref="BI1:BP1"/>
    <mergeCell ref="BA65:BA95"/>
    <mergeCell ref="BX4:BX34"/>
    <mergeCell ref="BP65:BP95"/>
    <mergeCell ref="BP35:BP64"/>
    <mergeCell ref="BP4:BP34"/>
    <mergeCell ref="AN1:AT1"/>
    <mergeCell ref="BB1:BH1"/>
    <mergeCell ref="N127:N156"/>
    <mergeCell ref="O127:O156"/>
    <mergeCell ref="AT65:AT95"/>
    <mergeCell ref="BX96:BX126"/>
    <mergeCell ref="AT96:AT126"/>
    <mergeCell ref="BP96:BP126"/>
    <mergeCell ref="BA96:BA126"/>
    <mergeCell ref="BA127:BA156"/>
    <mergeCell ref="BP127:BP156"/>
    <mergeCell ref="BX127:BX156"/>
    <mergeCell ref="BH127:BH156"/>
    <mergeCell ref="W96:W126"/>
    <mergeCell ref="AE96:AE126"/>
    <mergeCell ref="AM96:AM126"/>
    <mergeCell ref="AT127:AT156"/>
    <mergeCell ref="AM127:AM156"/>
    <mergeCell ref="BH4:BH34"/>
    <mergeCell ref="BH35:BH64"/>
    <mergeCell ref="BH65:BH95"/>
    <mergeCell ref="BH96:BH126"/>
    <mergeCell ref="BH188:BH202"/>
    <mergeCell ref="BP188:BP202"/>
    <mergeCell ref="BX188:BX202"/>
    <mergeCell ref="BX157:BX187"/>
    <mergeCell ref="W127:W156"/>
    <mergeCell ref="AE127:AE156"/>
    <mergeCell ref="BH157:BH187"/>
    <mergeCell ref="BP157:BP187"/>
    <mergeCell ref="BA157:BA187"/>
    <mergeCell ref="BA188:BA202"/>
  </mergeCell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X62"/>
  <sheetViews>
    <sheetView tabSelected="1" zoomScaleNormal="100" workbookViewId="0">
      <selection activeCell="C55" sqref="C55"/>
    </sheetView>
  </sheetViews>
  <sheetFormatPr defaultRowHeight="15"/>
  <cols>
    <col min="1" max="4" width="10.7109375" customWidth="1"/>
    <col min="5" max="5" width="11.7109375" bestFit="1" customWidth="1"/>
    <col min="6" max="7" width="10.7109375" customWidth="1"/>
    <col min="8" max="8" width="12.85546875" customWidth="1"/>
    <col min="9" max="12" width="10.7109375" customWidth="1"/>
    <col min="13" max="13" width="12.7109375" customWidth="1"/>
    <col min="14" max="14" width="20.7109375" customWidth="1"/>
    <col min="15" max="21" width="10.7109375" customWidth="1"/>
    <col min="22" max="22" width="14.28515625" bestFit="1" customWidth="1"/>
    <col min="23" max="38" width="10.7109375" customWidth="1"/>
    <col min="40" max="48" width="10.7109375" customWidth="1"/>
    <col min="49" max="49" width="20.85546875" bestFit="1" customWidth="1"/>
    <col min="50" max="50" width="28.7109375" bestFit="1" customWidth="1"/>
    <col min="51" max="51" width="10.7109375" customWidth="1"/>
  </cols>
  <sheetData>
    <row r="1" spans="1:22" ht="46.5" customHeight="1">
      <c r="A1" s="1188"/>
      <c r="B1" s="1188"/>
      <c r="C1" s="1189" t="s">
        <v>205</v>
      </c>
      <c r="D1" s="1190"/>
      <c r="E1" s="1190"/>
      <c r="F1" s="1190"/>
      <c r="G1" s="1190"/>
      <c r="H1" s="1190"/>
      <c r="I1" s="1190"/>
      <c r="J1" s="1191"/>
      <c r="K1" s="1192" t="s">
        <v>204</v>
      </c>
      <c r="L1" s="1192"/>
    </row>
    <row r="2" spans="1:22" ht="46.5" customHeight="1">
      <c r="A2" s="1188"/>
      <c r="B2" s="1188"/>
      <c r="C2" s="1193" t="s">
        <v>206</v>
      </c>
      <c r="D2" s="1194"/>
      <c r="E2" s="1194"/>
      <c r="F2" s="1194"/>
      <c r="G2" s="1194"/>
      <c r="H2" s="1194"/>
      <c r="I2" s="1194"/>
      <c r="J2" s="1195"/>
      <c r="K2" s="1192"/>
      <c r="L2" s="1192"/>
    </row>
    <row r="4" spans="1:22">
      <c r="A4" s="1198" t="s">
        <v>204</v>
      </c>
      <c r="B4" s="1198"/>
      <c r="C4" s="1197" t="s">
        <v>209</v>
      </c>
      <c r="D4" s="1197"/>
      <c r="E4" s="817">
        <v>1061606.7599999998</v>
      </c>
      <c r="F4" s="813" t="s">
        <v>236</v>
      </c>
      <c r="H4" s="1197" t="s">
        <v>246</v>
      </c>
      <c r="I4" s="1197"/>
      <c r="J4" s="1199">
        <f>SUM(M8:M30)</f>
        <v>3821654.6044060183</v>
      </c>
      <c r="K4" s="1199"/>
    </row>
    <row r="5" spans="1:22">
      <c r="A5" s="1198"/>
      <c r="B5" s="1198"/>
      <c r="C5" s="825" t="s">
        <v>210</v>
      </c>
      <c r="D5" s="825"/>
      <c r="E5" s="14">
        <v>88882819</v>
      </c>
      <c r="F5" s="813" t="s">
        <v>237</v>
      </c>
      <c r="H5" s="825" t="s">
        <v>247</v>
      </c>
      <c r="I5" s="825"/>
      <c r="J5" s="1200">
        <f>J4/E4</f>
        <v>3.5998777969405724</v>
      </c>
      <c r="K5" s="1200"/>
    </row>
    <row r="7" spans="1:22" ht="45" customHeight="1">
      <c r="A7" s="823" t="s">
        <v>233</v>
      </c>
      <c r="B7" s="1208" t="s">
        <v>207</v>
      </c>
      <c r="C7" s="1208"/>
      <c r="D7" s="1208"/>
      <c r="E7" s="1208"/>
      <c r="F7" s="1208"/>
      <c r="G7" s="824" t="s">
        <v>235</v>
      </c>
      <c r="H7" s="824" t="s">
        <v>208</v>
      </c>
      <c r="I7" s="824" t="s">
        <v>238</v>
      </c>
      <c r="J7" s="1202" t="s">
        <v>239</v>
      </c>
      <c r="K7" s="1203"/>
      <c r="L7" s="824" t="s">
        <v>243</v>
      </c>
      <c r="M7" s="824" t="s">
        <v>244</v>
      </c>
      <c r="N7" s="824" t="s">
        <v>245</v>
      </c>
      <c r="P7" s="1206" t="s">
        <v>253</v>
      </c>
      <c r="Q7" s="1206"/>
      <c r="R7" s="1206"/>
      <c r="S7" s="1206"/>
      <c r="T7" s="1206"/>
      <c r="U7" s="1206"/>
      <c r="V7" s="1206"/>
    </row>
    <row r="8" spans="1:22" ht="15" customHeight="1">
      <c r="A8" s="24">
        <v>104980</v>
      </c>
      <c r="B8" s="1196" t="s">
        <v>211</v>
      </c>
      <c r="C8" s="1196"/>
      <c r="D8" s="1196"/>
      <c r="E8" s="1196"/>
      <c r="F8" s="1196"/>
      <c r="G8" s="14">
        <v>293274</v>
      </c>
      <c r="H8" s="814">
        <f t="shared" ref="H8:H19" si="0">G8*1000/$E$5</f>
        <v>3.2995578144298054</v>
      </c>
      <c r="I8" s="814" t="s">
        <v>13</v>
      </c>
      <c r="J8" s="814" t="s">
        <v>13</v>
      </c>
      <c r="K8" s="814" t="s">
        <v>13</v>
      </c>
      <c r="L8" s="821">
        <f>658365.51/297615</f>
        <v>2.2121381986795021</v>
      </c>
      <c r="M8" s="821">
        <f>G8*L8</f>
        <v>648762.61807953229</v>
      </c>
      <c r="N8" s="820">
        <f>M8/$J$4</f>
        <v>0.16975961598716124</v>
      </c>
      <c r="P8" s="1204" t="s">
        <v>252</v>
      </c>
      <c r="Q8" s="1204"/>
      <c r="R8" s="1204"/>
      <c r="S8" s="1204"/>
      <c r="T8" s="1204"/>
      <c r="U8" s="822">
        <f>N32</f>
        <v>0.21302714331219499</v>
      </c>
      <c r="V8" s="821">
        <f>U8*$J$4</f>
        <v>814116.16310251073</v>
      </c>
    </row>
    <row r="9" spans="1:22">
      <c r="A9" s="24">
        <v>105342</v>
      </c>
      <c r="B9" s="1196" t="s">
        <v>212</v>
      </c>
      <c r="C9" s="1196"/>
      <c r="D9" s="1196"/>
      <c r="E9" s="1196"/>
      <c r="F9" s="1196"/>
      <c r="G9" s="14">
        <v>366790</v>
      </c>
      <c r="H9" s="814">
        <f t="shared" si="0"/>
        <v>4.1266692947711299</v>
      </c>
      <c r="I9" s="814" t="s">
        <v>13</v>
      </c>
      <c r="J9" s="814" t="s">
        <v>13</v>
      </c>
      <c r="K9" s="814" t="s">
        <v>13</v>
      </c>
      <c r="L9" s="821">
        <f>41968.38/148720</f>
        <v>0.28219728348574502</v>
      </c>
      <c r="M9" s="821">
        <f t="shared" ref="M9:M30" si="1">G9*L9</f>
        <v>103507.14160973641</v>
      </c>
      <c r="N9" s="820">
        <f t="shared" ref="N9:N33" si="2">M9/$J$4</f>
        <v>2.7084378973024445E-2</v>
      </c>
      <c r="P9" s="1201" t="s">
        <v>125</v>
      </c>
      <c r="Q9" s="1201"/>
      <c r="R9" s="1201"/>
      <c r="S9" s="1201"/>
      <c r="T9" s="1201"/>
      <c r="U9" s="820">
        <f>N31</f>
        <v>0.19684399496018568</v>
      </c>
      <c r="V9" s="821">
        <f t="shared" ref="V9:V20" si="3">U9*$J$4</f>
        <v>752269.75968926866</v>
      </c>
    </row>
    <row r="10" spans="1:22">
      <c r="A10" s="24">
        <v>110894</v>
      </c>
      <c r="B10" s="1196" t="s">
        <v>213</v>
      </c>
      <c r="C10" s="1196"/>
      <c r="D10" s="1196"/>
      <c r="E10" s="1196"/>
      <c r="F10" s="1196"/>
      <c r="G10" s="14">
        <v>115</v>
      </c>
      <c r="H10" s="814">
        <f t="shared" si="0"/>
        <v>1.2938383513691211E-3</v>
      </c>
      <c r="I10" s="814" t="s">
        <v>13</v>
      </c>
      <c r="J10" s="814" t="s">
        <v>13</v>
      </c>
      <c r="K10" s="814" t="s">
        <v>13</v>
      </c>
      <c r="L10" s="821">
        <f>28066.5/120</f>
        <v>233.88749999999999</v>
      </c>
      <c r="M10" s="821">
        <f t="shared" si="1"/>
        <v>26897.0625</v>
      </c>
      <c r="N10" s="820">
        <f t="shared" si="2"/>
        <v>7.038067351505326E-3</v>
      </c>
      <c r="P10" s="1201" t="s">
        <v>250</v>
      </c>
      <c r="Q10" s="1201"/>
      <c r="R10" s="1201"/>
      <c r="S10" s="1201"/>
      <c r="T10" s="1201"/>
      <c r="U10" s="820">
        <f>SUM(N20:N25)</f>
        <v>0.10482379922530458</v>
      </c>
      <c r="V10" s="821">
        <f t="shared" si="3"/>
        <v>400600.35496071726</v>
      </c>
    </row>
    <row r="11" spans="1:22">
      <c r="A11" s="24">
        <v>107875</v>
      </c>
      <c r="B11" s="1196" t="s">
        <v>214</v>
      </c>
      <c r="C11" s="1196"/>
      <c r="D11" s="1196"/>
      <c r="E11" s="1196"/>
      <c r="F11" s="1196"/>
      <c r="G11" s="14">
        <v>148.1</v>
      </c>
      <c r="H11" s="814">
        <f t="shared" si="0"/>
        <v>1.6662387811979726E-3</v>
      </c>
      <c r="I11" s="814" t="s">
        <v>13</v>
      </c>
      <c r="J11" s="814" t="s">
        <v>13</v>
      </c>
      <c r="K11" s="814" t="s">
        <v>13</v>
      </c>
      <c r="L11" s="821">
        <f>58735.2/176.2</f>
        <v>333.34392735527808</v>
      </c>
      <c r="M11" s="821">
        <f t="shared" si="1"/>
        <v>49368.235641316685</v>
      </c>
      <c r="N11" s="820">
        <f t="shared" si="2"/>
        <v>1.2918026549128648E-2</v>
      </c>
      <c r="P11" s="1201" t="s">
        <v>126</v>
      </c>
      <c r="Q11" s="1201"/>
      <c r="R11" s="1201"/>
      <c r="S11" s="1201"/>
      <c r="T11" s="1201"/>
      <c r="U11" s="820">
        <f>N14</f>
        <v>0.10096521348077886</v>
      </c>
      <c r="V11" s="821">
        <f t="shared" si="3"/>
        <v>385854.17298365512</v>
      </c>
    </row>
    <row r="12" spans="1:22">
      <c r="A12" s="24">
        <v>107877</v>
      </c>
      <c r="B12" s="1196" t="s">
        <v>215</v>
      </c>
      <c r="C12" s="1196"/>
      <c r="D12" s="1196"/>
      <c r="E12" s="1196"/>
      <c r="F12" s="1196"/>
      <c r="G12" s="14">
        <v>1619</v>
      </c>
      <c r="H12" s="814">
        <f t="shared" si="0"/>
        <v>1.821499383362267E-2</v>
      </c>
      <c r="I12" s="814" t="s">
        <v>13</v>
      </c>
      <c r="J12" s="814" t="s">
        <v>13</v>
      </c>
      <c r="K12" s="814" t="s">
        <v>13</v>
      </c>
      <c r="L12" s="821">
        <f>193047.49/1675</f>
        <v>115.25223283582089</v>
      </c>
      <c r="M12" s="821">
        <f t="shared" si="1"/>
        <v>186593.36496119402</v>
      </c>
      <c r="N12" s="820">
        <f t="shared" si="2"/>
        <v>4.8825282312553557E-2</v>
      </c>
      <c r="P12" s="1201" t="s">
        <v>248</v>
      </c>
      <c r="Q12" s="1201"/>
      <c r="R12" s="1201"/>
      <c r="S12" s="1201"/>
      <c r="T12" s="1201"/>
      <c r="U12" s="820">
        <f>N33</f>
        <v>9.3392856675416316E-2</v>
      </c>
      <c r="V12" s="821">
        <f t="shared" si="3"/>
        <v>356915.24073223613</v>
      </c>
    </row>
    <row r="13" spans="1:22">
      <c r="A13" s="24">
        <v>110727</v>
      </c>
      <c r="B13" s="1196" t="s">
        <v>216</v>
      </c>
      <c r="C13" s="1196"/>
      <c r="D13" s="1196"/>
      <c r="E13" s="1196"/>
      <c r="F13" s="1196"/>
      <c r="G13" s="14">
        <v>18000</v>
      </c>
      <c r="H13" s="814">
        <f t="shared" si="0"/>
        <v>0.2025138289099494</v>
      </c>
      <c r="I13" s="814" t="s">
        <v>13</v>
      </c>
      <c r="J13" s="814" t="s">
        <v>13</v>
      </c>
      <c r="K13" s="814" t="s">
        <v>13</v>
      </c>
      <c r="L13" s="821">
        <f>551257.5/18000</f>
        <v>30.625416666666666</v>
      </c>
      <c r="M13" s="821">
        <f t="shared" si="1"/>
        <v>551257.5</v>
      </c>
      <c r="N13" s="820">
        <f t="shared" si="2"/>
        <v>0.14424576709900747</v>
      </c>
      <c r="P13" s="1201" t="s">
        <v>127</v>
      </c>
      <c r="Q13" s="1201"/>
      <c r="R13" s="1201"/>
      <c r="S13" s="1201"/>
      <c r="T13" s="1201"/>
      <c r="U13" s="820">
        <f>N15</f>
        <v>8.0715532670598097E-2</v>
      </c>
      <c r="V13" s="821">
        <f t="shared" si="3"/>
        <v>308466.88707767561</v>
      </c>
    </row>
    <row r="14" spans="1:22">
      <c r="A14" s="24">
        <v>103757</v>
      </c>
      <c r="B14" s="1196" t="s">
        <v>217</v>
      </c>
      <c r="C14" s="1196"/>
      <c r="D14" s="1196"/>
      <c r="E14" s="1196"/>
      <c r="F14" s="1196"/>
      <c r="G14" s="14">
        <v>36285</v>
      </c>
      <c r="H14" s="814">
        <f t="shared" si="0"/>
        <v>0.40823412677763965</v>
      </c>
      <c r="I14" s="814">
        <v>0.24</v>
      </c>
      <c r="J14" s="814">
        <f>H14-I14</f>
        <v>0.16823412677763966</v>
      </c>
      <c r="K14" s="820">
        <f>(H14-I14)/H14</f>
        <v>0.41210206531624638</v>
      </c>
      <c r="L14" s="821">
        <f>381513.38/35876.8</f>
        <v>10.633985751237567</v>
      </c>
      <c r="M14" s="821">
        <f t="shared" si="1"/>
        <v>385854.17298365512</v>
      </c>
      <c r="N14" s="820">
        <f t="shared" si="2"/>
        <v>0.10096521348077886</v>
      </c>
      <c r="P14" s="1201" t="s">
        <v>128</v>
      </c>
      <c r="Q14" s="1201"/>
      <c r="R14" s="1201"/>
      <c r="S14" s="1201"/>
      <c r="T14" s="1201"/>
      <c r="U14" s="820">
        <f>N28</f>
        <v>7.534020472803063E-2</v>
      </c>
      <c r="V14" s="821">
        <f>U14*$J$4</f>
        <v>287924.24029577035</v>
      </c>
    </row>
    <row r="15" spans="1:22">
      <c r="A15" s="24">
        <v>107879</v>
      </c>
      <c r="B15" s="1196" t="s">
        <v>218</v>
      </c>
      <c r="C15" s="1196"/>
      <c r="D15" s="1196"/>
      <c r="E15" s="1196"/>
      <c r="F15" s="1196"/>
      <c r="G15" s="14">
        <v>18023</v>
      </c>
      <c r="H15" s="814">
        <f t="shared" si="0"/>
        <v>0.20277259658022323</v>
      </c>
      <c r="I15" s="814">
        <v>0.12</v>
      </c>
      <c r="J15" s="814">
        <f>H15-I15</f>
        <v>8.2772596580223234E-2</v>
      </c>
      <c r="K15" s="820">
        <f>(H15-I15)/H15</f>
        <v>0.40820405703822898</v>
      </c>
      <c r="L15" s="821">
        <f>309315.8/18072.6</f>
        <v>17.115179885572637</v>
      </c>
      <c r="M15" s="821">
        <f t="shared" si="1"/>
        <v>308466.88707767561</v>
      </c>
      <c r="N15" s="820">
        <f t="shared" si="2"/>
        <v>8.0715532670598097E-2</v>
      </c>
      <c r="P15" s="1201" t="s">
        <v>132</v>
      </c>
      <c r="Q15" s="1201"/>
      <c r="R15" s="1201"/>
      <c r="S15" s="1201"/>
      <c r="T15" s="1201"/>
      <c r="U15" s="820">
        <f>N26</f>
        <v>7.3746915830176923E-2</v>
      </c>
      <c r="V15" s="821">
        <f>U15*$J$4</f>
        <v>281835.2404431387</v>
      </c>
    </row>
    <row r="16" spans="1:22">
      <c r="A16" s="24">
        <v>114116</v>
      </c>
      <c r="B16" s="1196" t="s">
        <v>234</v>
      </c>
      <c r="C16" s="1196"/>
      <c r="D16" s="1196"/>
      <c r="E16" s="1196"/>
      <c r="F16" s="1196"/>
      <c r="G16" s="14">
        <v>60200</v>
      </c>
      <c r="H16" s="814">
        <f t="shared" si="0"/>
        <v>0.67729625002105298</v>
      </c>
      <c r="I16" s="814" t="s">
        <v>13</v>
      </c>
      <c r="J16" s="814" t="s">
        <v>13</v>
      </c>
      <c r="K16" s="814" t="s">
        <v>13</v>
      </c>
      <c r="L16" s="821">
        <f>(47007.3+176096.14)/(7977.14+50600)</f>
        <v>3.8087117261102197</v>
      </c>
      <c r="M16" s="821">
        <f t="shared" si="1"/>
        <v>229284.44591183524</v>
      </c>
      <c r="N16" s="820">
        <f t="shared" si="2"/>
        <v>5.9996119389620205E-2</v>
      </c>
      <c r="P16" s="1201" t="s">
        <v>133</v>
      </c>
      <c r="Q16" s="1201"/>
      <c r="R16" s="1201"/>
      <c r="S16" s="1201"/>
      <c r="T16" s="1201"/>
      <c r="U16" s="820">
        <f>N30</f>
        <v>4.0125039029755463E-2</v>
      </c>
      <c r="V16" s="821">
        <f t="shared" si="3"/>
        <v>153344.04016003615</v>
      </c>
    </row>
    <row r="17" spans="1:22">
      <c r="A17" s="24">
        <v>113768</v>
      </c>
      <c r="B17" s="1196" t="s">
        <v>219</v>
      </c>
      <c r="C17" s="1196"/>
      <c r="D17" s="1196"/>
      <c r="E17" s="1196"/>
      <c r="F17" s="1196"/>
      <c r="G17" s="14">
        <v>25275</v>
      </c>
      <c r="H17" s="814">
        <f t="shared" si="0"/>
        <v>0.28436316809438728</v>
      </c>
      <c r="I17" s="814" t="s">
        <v>13</v>
      </c>
      <c r="J17" s="814" t="s">
        <v>13</v>
      </c>
      <c r="K17" s="814" t="s">
        <v>13</v>
      </c>
      <c r="L17" s="821">
        <f>127226.82/25195</f>
        <v>5.0496852550109148</v>
      </c>
      <c r="M17" s="821">
        <f t="shared" si="1"/>
        <v>127630.79482040087</v>
      </c>
      <c r="N17" s="820">
        <f t="shared" si="2"/>
        <v>3.3396737285796112E-2</v>
      </c>
      <c r="P17" s="1201" t="s">
        <v>129</v>
      </c>
      <c r="Q17" s="1201"/>
      <c r="R17" s="1201"/>
      <c r="S17" s="1201"/>
      <c r="T17" s="1201"/>
      <c r="U17" s="820">
        <f>N27</f>
        <v>9.5846325443032614E-3</v>
      </c>
      <c r="V17" s="821">
        <f t="shared" si="3"/>
        <v>36629.155094476329</v>
      </c>
    </row>
    <row r="18" spans="1:22">
      <c r="A18" s="24">
        <v>106937</v>
      </c>
      <c r="B18" s="1196" t="s">
        <v>220</v>
      </c>
      <c r="C18" s="1196"/>
      <c r="D18" s="1196"/>
      <c r="E18" s="1196"/>
      <c r="F18" s="1196"/>
      <c r="G18" s="14">
        <v>2548</v>
      </c>
      <c r="H18" s="814">
        <f t="shared" si="0"/>
        <v>2.8666957559030617E-2</v>
      </c>
      <c r="I18" s="814" t="s">
        <v>13</v>
      </c>
      <c r="J18" s="814" t="s">
        <v>13</v>
      </c>
      <c r="K18" s="814" t="s">
        <v>13</v>
      </c>
      <c r="L18" s="821">
        <f>2039.24/324</f>
        <v>6.2939506172839508</v>
      </c>
      <c r="M18" s="821">
        <f t="shared" si="1"/>
        <v>16036.986172839506</v>
      </c>
      <c r="N18" s="820">
        <f t="shared" si="2"/>
        <v>4.1963463036011487E-3</v>
      </c>
      <c r="P18" s="1201" t="s">
        <v>249</v>
      </c>
      <c r="Q18" s="1201"/>
      <c r="R18" s="1201"/>
      <c r="S18" s="1201"/>
      <c r="T18" s="1201"/>
      <c r="U18" s="820">
        <f>N19</f>
        <v>4.2108200938533406E-3</v>
      </c>
      <c r="V18" s="821">
        <f t="shared" si="3"/>
        <v>16092.300000000001</v>
      </c>
    </row>
    <row r="19" spans="1:22">
      <c r="A19" s="24">
        <v>110112</v>
      </c>
      <c r="B19" s="1196" t="s">
        <v>221</v>
      </c>
      <c r="C19" s="1196"/>
      <c r="D19" s="1196"/>
      <c r="E19" s="1196"/>
      <c r="F19" s="1196"/>
      <c r="G19" s="14">
        <v>2800</v>
      </c>
      <c r="H19" s="814">
        <f t="shared" si="0"/>
        <v>3.1502151163769906E-2</v>
      </c>
      <c r="I19" s="814" t="s">
        <v>13</v>
      </c>
      <c r="J19" s="814" t="s">
        <v>13</v>
      </c>
      <c r="K19" s="814" t="s">
        <v>13</v>
      </c>
      <c r="L19" s="821">
        <f>19540.65/3400</f>
        <v>5.7472500000000002</v>
      </c>
      <c r="M19" s="821">
        <f t="shared" si="1"/>
        <v>16092.300000000001</v>
      </c>
      <c r="N19" s="820">
        <f t="shared" si="2"/>
        <v>4.2108200938533406E-3</v>
      </c>
      <c r="P19" s="1201" t="s">
        <v>130</v>
      </c>
      <c r="Q19" s="1201"/>
      <c r="R19" s="1201"/>
      <c r="S19" s="1201"/>
      <c r="T19" s="1201"/>
      <c r="U19" s="820">
        <f>N18</f>
        <v>4.1963463036011487E-3</v>
      </c>
      <c r="V19" s="821">
        <f t="shared" si="3"/>
        <v>16036.986172839504</v>
      </c>
    </row>
    <row r="20" spans="1:22">
      <c r="A20" s="24">
        <v>107878</v>
      </c>
      <c r="B20" s="1196" t="s">
        <v>222</v>
      </c>
      <c r="C20" s="1196"/>
      <c r="D20" s="1196"/>
      <c r="E20" s="1196"/>
      <c r="F20" s="1196"/>
      <c r="G20" s="14">
        <v>4025</v>
      </c>
      <c r="H20" s="814" t="s">
        <v>13</v>
      </c>
      <c r="I20" s="819">
        <v>0</v>
      </c>
      <c r="J20" s="819">
        <f>G20-I20</f>
        <v>4025</v>
      </c>
      <c r="K20" s="820">
        <f t="shared" ref="K20:K25" si="4">(G20-I20)/G20</f>
        <v>1</v>
      </c>
      <c r="L20" s="821">
        <f>40498.85/4195</f>
        <v>9.6540762812872458</v>
      </c>
      <c r="M20" s="821">
        <f t="shared" si="1"/>
        <v>38857.657032181167</v>
      </c>
      <c r="N20" s="820">
        <f t="shared" si="2"/>
        <v>1.0167757438723489E-2</v>
      </c>
      <c r="P20" s="1201" t="s">
        <v>251</v>
      </c>
      <c r="Q20" s="1201"/>
      <c r="R20" s="1201"/>
      <c r="S20" s="1201"/>
      <c r="T20" s="1201"/>
      <c r="U20" s="820">
        <f>N29</f>
        <v>3.0275011458006876E-3</v>
      </c>
      <c r="V20" s="821">
        <f t="shared" si="3"/>
        <v>11570.063693693693</v>
      </c>
    </row>
    <row r="21" spans="1:22">
      <c r="A21" s="24">
        <v>103776</v>
      </c>
      <c r="B21" s="1196" t="s">
        <v>223</v>
      </c>
      <c r="C21" s="1196"/>
      <c r="D21" s="1196"/>
      <c r="E21" s="1196"/>
      <c r="F21" s="1196"/>
      <c r="G21" s="14">
        <v>83284</v>
      </c>
      <c r="H21" s="814" t="s">
        <v>13</v>
      </c>
      <c r="I21" s="819">
        <v>99667</v>
      </c>
      <c r="J21" s="819">
        <f t="shared" ref="J21:J25" si="5">G21-I21</f>
        <v>-16383</v>
      </c>
      <c r="K21" s="820">
        <f t="shared" si="4"/>
        <v>-0.19671245377263341</v>
      </c>
      <c r="L21" s="821">
        <f>246570.28/83253</f>
        <v>2.9616984372935509</v>
      </c>
      <c r="M21" s="821">
        <f t="shared" si="1"/>
        <v>246662.0926515561</v>
      </c>
      <c r="N21" s="820">
        <f t="shared" si="2"/>
        <v>6.4543272007673652E-2</v>
      </c>
      <c r="P21" s="1205" t="s">
        <v>254</v>
      </c>
      <c r="Q21" s="1205"/>
      <c r="R21" s="1205"/>
      <c r="S21" s="1205"/>
      <c r="T21" s="1205"/>
      <c r="U21" s="820">
        <f>SUM(U8:U20)</f>
        <v>0.99999999999999978</v>
      </c>
      <c r="V21" s="821">
        <f>SUM(V8:V20)</f>
        <v>3821654.6044060192</v>
      </c>
    </row>
    <row r="22" spans="1:22">
      <c r="A22" s="24">
        <v>103777</v>
      </c>
      <c r="B22" s="1196" t="s">
        <v>224</v>
      </c>
      <c r="C22" s="1196"/>
      <c r="D22" s="1196"/>
      <c r="E22" s="1196"/>
      <c r="F22" s="1196"/>
      <c r="G22" s="14">
        <v>2158</v>
      </c>
      <c r="H22" s="814" t="s">
        <v>13</v>
      </c>
      <c r="I22" s="819">
        <v>3260</v>
      </c>
      <c r="J22" s="819">
        <f t="shared" si="5"/>
        <v>-1102</v>
      </c>
      <c r="K22" s="820">
        <f t="shared" si="4"/>
        <v>-0.51065801668211308</v>
      </c>
      <c r="L22" s="821">
        <f>63722.21/2298</f>
        <v>27.729421235857266</v>
      </c>
      <c r="M22" s="821">
        <f t="shared" si="1"/>
        <v>59840.091026979979</v>
      </c>
      <c r="N22" s="820">
        <f t="shared" si="2"/>
        <v>1.5658163078889922E-2</v>
      </c>
    </row>
    <row r="23" spans="1:22">
      <c r="A23" s="24">
        <v>103774</v>
      </c>
      <c r="B23" s="1196" t="s">
        <v>225</v>
      </c>
      <c r="C23" s="1196"/>
      <c r="D23" s="1196"/>
      <c r="E23" s="1196"/>
      <c r="F23" s="1196"/>
      <c r="G23" s="14">
        <v>940</v>
      </c>
      <c r="H23" s="814" t="s">
        <v>13</v>
      </c>
      <c r="I23" s="819">
        <v>2207</v>
      </c>
      <c r="J23" s="819">
        <f t="shared" si="5"/>
        <v>-1267</v>
      </c>
      <c r="K23" s="820">
        <f t="shared" si="4"/>
        <v>-1.3478723404255319</v>
      </c>
      <c r="L23" s="821">
        <f>12508.53/940</f>
        <v>13.30694680851064</v>
      </c>
      <c r="M23" s="821">
        <f t="shared" si="1"/>
        <v>12508.53</v>
      </c>
      <c r="N23" s="820">
        <f t="shared" si="2"/>
        <v>3.2730665889007366E-3</v>
      </c>
    </row>
    <row r="24" spans="1:22">
      <c r="A24" s="24">
        <v>104836</v>
      </c>
      <c r="B24" s="1196" t="s">
        <v>226</v>
      </c>
      <c r="C24" s="1196"/>
      <c r="D24" s="1196"/>
      <c r="E24" s="1196"/>
      <c r="F24" s="1196"/>
      <c r="G24" s="14">
        <v>1053</v>
      </c>
      <c r="H24" s="814" t="s">
        <v>13</v>
      </c>
      <c r="I24" s="819">
        <v>2207</v>
      </c>
      <c r="J24" s="819">
        <f t="shared" si="5"/>
        <v>-1154</v>
      </c>
      <c r="K24" s="820">
        <f t="shared" si="4"/>
        <v>-1.0959164292497625</v>
      </c>
      <c r="L24" s="821">
        <f>22291.54/1040</f>
        <v>21.434173076923077</v>
      </c>
      <c r="M24" s="821">
        <f t="shared" si="1"/>
        <v>22570.184250000002</v>
      </c>
      <c r="N24" s="820">
        <f t="shared" si="2"/>
        <v>5.9058671142019591E-3</v>
      </c>
    </row>
    <row r="25" spans="1:22">
      <c r="A25" s="24">
        <v>107876</v>
      </c>
      <c r="B25" s="1196" t="s">
        <v>227</v>
      </c>
      <c r="C25" s="1196"/>
      <c r="D25" s="1196"/>
      <c r="E25" s="1196"/>
      <c r="F25" s="1196"/>
      <c r="G25" s="14">
        <v>1200</v>
      </c>
      <c r="H25" s="814" t="s">
        <v>13</v>
      </c>
      <c r="I25" s="819">
        <v>2637</v>
      </c>
      <c r="J25" s="819">
        <f t="shared" si="5"/>
        <v>-1437</v>
      </c>
      <c r="K25" s="820">
        <f t="shared" si="4"/>
        <v>-1.1975</v>
      </c>
      <c r="L25" s="821">
        <f>16801.5/1000</f>
        <v>16.801500000000001</v>
      </c>
      <c r="M25" s="821">
        <f t="shared" si="1"/>
        <v>20161.8</v>
      </c>
      <c r="N25" s="820">
        <f t="shared" si="2"/>
        <v>5.2756729969148149E-3</v>
      </c>
    </row>
    <row r="26" spans="1:22">
      <c r="A26" s="24">
        <v>104981</v>
      </c>
      <c r="B26" s="1196" t="s">
        <v>228</v>
      </c>
      <c r="C26" s="1196"/>
      <c r="D26" s="1196"/>
      <c r="E26" s="1196"/>
      <c r="F26" s="1196"/>
      <c r="G26" s="14">
        <v>465282</v>
      </c>
      <c r="H26" s="818">
        <f>G26*1000/$E$4</f>
        <v>438.28093182074321</v>
      </c>
      <c r="I26" s="818">
        <v>480</v>
      </c>
      <c r="J26" s="816">
        <f t="shared" ref="J26:J30" si="6">H26-I26</f>
        <v>-41.719068179256794</v>
      </c>
      <c r="K26" s="820">
        <f>(H26-I26)/H26</f>
        <v>-9.5187960849549086E-2</v>
      </c>
      <c r="L26" s="821">
        <f>282868.01/466987</f>
        <v>0.60572994537321168</v>
      </c>
      <c r="M26" s="821">
        <f t="shared" si="1"/>
        <v>281835.2404431387</v>
      </c>
      <c r="N26" s="820">
        <f t="shared" si="2"/>
        <v>7.3746915830176923E-2</v>
      </c>
    </row>
    <row r="27" spans="1:22">
      <c r="A27" s="24">
        <v>103763</v>
      </c>
      <c r="B27" s="1196" t="s">
        <v>229</v>
      </c>
      <c r="C27" s="1196"/>
      <c r="D27" s="1196"/>
      <c r="E27" s="1196"/>
      <c r="F27" s="1196"/>
      <c r="G27" s="14">
        <v>2200</v>
      </c>
      <c r="H27" s="816">
        <f>G27*1000/$E$4</f>
        <v>2.0723304361777051</v>
      </c>
      <c r="I27" s="816">
        <v>3</v>
      </c>
      <c r="J27" s="816">
        <f t="shared" si="6"/>
        <v>-0.92766956382229493</v>
      </c>
      <c r="K27" s="820">
        <f>(H27-I27)/H27</f>
        <v>-0.44764558181818165</v>
      </c>
      <c r="L27" s="821">
        <f>31712.69/1904.71</f>
        <v>16.649615952034694</v>
      </c>
      <c r="M27" s="821">
        <f t="shared" si="1"/>
        <v>36629.155094476329</v>
      </c>
      <c r="N27" s="820">
        <f t="shared" si="2"/>
        <v>9.5846325443032614E-3</v>
      </c>
    </row>
    <row r="28" spans="1:22">
      <c r="A28" s="24">
        <v>103764</v>
      </c>
      <c r="B28" s="1196" t="s">
        <v>230</v>
      </c>
      <c r="C28" s="1196"/>
      <c r="D28" s="1196"/>
      <c r="E28" s="1196"/>
      <c r="F28" s="1196"/>
      <c r="G28" s="14">
        <v>14025</v>
      </c>
      <c r="H28" s="816">
        <f>G28*1000/$E$4</f>
        <v>13.211106530632872</v>
      </c>
      <c r="I28" s="816">
        <v>10</v>
      </c>
      <c r="J28" s="816">
        <f t="shared" si="6"/>
        <v>3.2111065306328719</v>
      </c>
      <c r="K28" s="820">
        <f>(H28-I28)/H28</f>
        <v>0.24306113368983978</v>
      </c>
      <c r="L28" s="821">
        <f>261952.55/12759.9</f>
        <v>20.529357596846371</v>
      </c>
      <c r="M28" s="821">
        <f t="shared" si="1"/>
        <v>287924.24029577035</v>
      </c>
      <c r="N28" s="820">
        <f t="shared" si="2"/>
        <v>7.534020472803063E-2</v>
      </c>
    </row>
    <row r="29" spans="1:22">
      <c r="A29" s="24">
        <v>103762</v>
      </c>
      <c r="B29" s="1196" t="s">
        <v>231</v>
      </c>
      <c r="C29" s="1196"/>
      <c r="D29" s="1196"/>
      <c r="E29" s="1196"/>
      <c r="F29" s="1196"/>
      <c r="G29" s="14">
        <v>1115</v>
      </c>
      <c r="H29" s="815">
        <f>G29*1000/$E$5</f>
        <v>1.2544606624144089E-2</v>
      </c>
      <c r="I29" s="814" t="s">
        <v>13</v>
      </c>
      <c r="J29" s="814" t="s">
        <v>13</v>
      </c>
      <c r="K29" s="814" t="s">
        <v>13</v>
      </c>
      <c r="L29" s="821">
        <f>11518.18/1110</f>
        <v>10.376738738738739</v>
      </c>
      <c r="M29" s="821">
        <f t="shared" si="1"/>
        <v>11570.063693693693</v>
      </c>
      <c r="N29" s="820">
        <f t="shared" si="2"/>
        <v>3.0275011458006876E-3</v>
      </c>
    </row>
    <row r="30" spans="1:22">
      <c r="A30" s="24">
        <v>104982</v>
      </c>
      <c r="B30" s="1196" t="s">
        <v>232</v>
      </c>
      <c r="C30" s="1196"/>
      <c r="D30" s="1196"/>
      <c r="E30" s="1196"/>
      <c r="F30" s="1196"/>
      <c r="G30" s="14">
        <v>61093</v>
      </c>
      <c r="H30" s="816">
        <f>G30*1000/$E$4</f>
        <v>57.547674244274795</v>
      </c>
      <c r="I30" s="816">
        <v>80</v>
      </c>
      <c r="J30" s="816">
        <f t="shared" si="6"/>
        <v>-22.452325755725205</v>
      </c>
      <c r="K30" s="820">
        <f>(H30-I30)/H30</f>
        <v>-0.39015174897287713</v>
      </c>
      <c r="L30" s="821">
        <f>126664.14/50463.6</f>
        <v>2.5100099873968564</v>
      </c>
      <c r="M30" s="821">
        <f t="shared" si="1"/>
        <v>153344.04016003615</v>
      </c>
      <c r="N30" s="820">
        <f t="shared" si="2"/>
        <v>4.0125039029755463E-2</v>
      </c>
    </row>
    <row r="31" spans="1:22">
      <c r="A31" s="24"/>
      <c r="B31" s="1196" t="s">
        <v>240</v>
      </c>
      <c r="C31" s="1196"/>
      <c r="D31" s="1196"/>
      <c r="E31" s="1196"/>
      <c r="F31" s="1196"/>
      <c r="G31" s="14">
        <f>G8+G9*15/98</f>
        <v>349415.32653061225</v>
      </c>
      <c r="H31" s="814">
        <f t="shared" ref="H31:H33" si="7">G31*1000/$E$5</f>
        <v>3.9311908697519171</v>
      </c>
      <c r="I31" s="814">
        <f>1.5+30*15/98</f>
        <v>6.091836734693878</v>
      </c>
      <c r="J31" s="814">
        <f t="shared" ref="J31:J33" si="8">H31-I31</f>
        <v>-2.1606458649419609</v>
      </c>
      <c r="K31" s="820">
        <f>(H31-I31)/H31</f>
        <v>-0.54961611799793153</v>
      </c>
      <c r="L31" s="821" t="s">
        <v>13</v>
      </c>
      <c r="M31" s="821">
        <f>M8+M9</f>
        <v>752269.75968926866</v>
      </c>
      <c r="N31" s="820">
        <f t="shared" si="2"/>
        <v>0.19684399496018568</v>
      </c>
    </row>
    <row r="32" spans="1:22">
      <c r="A32" s="24"/>
      <c r="B32" s="1196" t="s">
        <v>241</v>
      </c>
      <c r="C32" s="1196"/>
      <c r="D32" s="1196"/>
      <c r="E32" s="1196"/>
      <c r="F32" s="1196"/>
      <c r="G32" s="14">
        <f>SUM(G10:G13)</f>
        <v>19882.099999999999</v>
      </c>
      <c r="H32" s="814">
        <f t="shared" si="7"/>
        <v>0.22368889987613916</v>
      </c>
      <c r="I32" s="814">
        <v>0.2</v>
      </c>
      <c r="J32" s="814">
        <f t="shared" si="8"/>
        <v>2.3688899876139147E-2</v>
      </c>
      <c r="K32" s="820">
        <f>(H32-I32)/H32</f>
        <v>0.10590109696661813</v>
      </c>
      <c r="L32" s="821" t="s">
        <v>13</v>
      </c>
      <c r="M32" s="821">
        <f>SUM(M10:M13)</f>
        <v>814116.16310251073</v>
      </c>
      <c r="N32" s="820">
        <f t="shared" si="2"/>
        <v>0.21302714331219499</v>
      </c>
    </row>
    <row r="33" spans="1:18">
      <c r="A33" s="24"/>
      <c r="B33" s="1196" t="s">
        <v>242</v>
      </c>
      <c r="C33" s="1196"/>
      <c r="D33" s="1196"/>
      <c r="E33" s="1196"/>
      <c r="F33" s="1196"/>
      <c r="G33" s="14">
        <f>G16+G17*46/25</f>
        <v>106706</v>
      </c>
      <c r="H33" s="814">
        <f t="shared" si="7"/>
        <v>1.2005244793147256</v>
      </c>
      <c r="I33" s="814">
        <v>0.8</v>
      </c>
      <c r="J33" s="814">
        <f t="shared" si="8"/>
        <v>0.40052447931472557</v>
      </c>
      <c r="K33" s="820">
        <f>(H33-I33)/H33</f>
        <v>0.33362458343485835</v>
      </c>
      <c r="L33" s="821" t="s">
        <v>13</v>
      </c>
      <c r="M33" s="821">
        <f>M16+M17</f>
        <v>356915.24073223613</v>
      </c>
      <c r="N33" s="820">
        <f t="shared" si="2"/>
        <v>9.3392856675416316E-2</v>
      </c>
    </row>
    <row r="36" spans="1:18">
      <c r="A36" s="1209" t="s">
        <v>255</v>
      </c>
      <c r="B36" s="1209"/>
      <c r="C36" s="1209"/>
      <c r="D36" s="1206" t="s">
        <v>259</v>
      </c>
      <c r="E36" s="1206"/>
      <c r="F36" s="1206"/>
      <c r="G36" s="1206"/>
      <c r="H36" s="1206"/>
      <c r="I36" s="1206"/>
      <c r="J36" s="1206"/>
      <c r="K36" s="1206"/>
      <c r="L36" s="1206"/>
      <c r="M36" s="372"/>
      <c r="N36" s="372"/>
      <c r="O36" s="372"/>
    </row>
    <row r="37" spans="1:18">
      <c r="A37" s="1209"/>
      <c r="B37" s="1209"/>
      <c r="C37" s="1209"/>
      <c r="D37" s="826">
        <v>2014</v>
      </c>
      <c r="E37" s="826">
        <v>2015</v>
      </c>
      <c r="F37" s="826">
        <v>2016</v>
      </c>
      <c r="G37" s="826">
        <v>2017</v>
      </c>
      <c r="H37" s="826">
        <v>2018</v>
      </c>
      <c r="I37" s="826">
        <v>2019</v>
      </c>
      <c r="J37" s="826">
        <v>2020</v>
      </c>
      <c r="K37" s="826">
        <v>2021</v>
      </c>
      <c r="L37" s="826">
        <v>2022</v>
      </c>
      <c r="M37" s="372"/>
      <c r="N37" s="372"/>
      <c r="O37" s="372"/>
    </row>
    <row r="38" spans="1:18">
      <c r="A38" s="1207" t="s">
        <v>260</v>
      </c>
      <c r="B38" s="1207"/>
      <c r="C38" s="812" t="s">
        <v>236</v>
      </c>
      <c r="D38" s="832">
        <v>1841157.74</v>
      </c>
      <c r="E38" s="832">
        <v>2159482.9500000002</v>
      </c>
      <c r="F38" s="832">
        <v>1711781</v>
      </c>
      <c r="G38" s="832">
        <v>1340602.3600000001</v>
      </c>
      <c r="H38" s="832">
        <v>924535.09</v>
      </c>
      <c r="I38" s="832">
        <v>1213913.26</v>
      </c>
      <c r="J38" s="832">
        <v>1005026.93</v>
      </c>
      <c r="K38" s="832">
        <v>994690.66</v>
      </c>
      <c r="L38" s="832">
        <v>1061606.7599999998</v>
      </c>
      <c r="M38" s="372"/>
      <c r="N38" s="372"/>
      <c r="O38" s="372"/>
    </row>
    <row r="39" spans="1:18">
      <c r="A39" s="1207" t="s">
        <v>262</v>
      </c>
      <c r="B39" s="1207"/>
      <c r="C39" s="812" t="s">
        <v>237</v>
      </c>
      <c r="D39" s="833">
        <v>78029017</v>
      </c>
      <c r="E39" s="833">
        <v>99507339</v>
      </c>
      <c r="F39" s="833">
        <v>80870673</v>
      </c>
      <c r="G39" s="833">
        <v>77452430</v>
      </c>
      <c r="H39" s="833">
        <v>74519869</v>
      </c>
      <c r="I39" s="833">
        <v>106991711</v>
      </c>
      <c r="J39" s="833">
        <v>89643429</v>
      </c>
      <c r="K39" s="833">
        <v>89069037</v>
      </c>
      <c r="L39" s="833">
        <v>88882819</v>
      </c>
      <c r="M39" s="372"/>
      <c r="N39" s="19"/>
      <c r="O39" s="372"/>
    </row>
    <row r="40" spans="1:18">
      <c r="A40" s="1207" t="s">
        <v>261</v>
      </c>
      <c r="B40" s="1207"/>
      <c r="C40" s="812" t="s">
        <v>263</v>
      </c>
      <c r="D40" s="14">
        <v>2204655</v>
      </c>
      <c r="E40" s="14">
        <v>2254172</v>
      </c>
      <c r="F40" s="14">
        <v>1654009</v>
      </c>
      <c r="G40" s="14">
        <v>1108780</v>
      </c>
      <c r="H40" s="14">
        <v>113218</v>
      </c>
      <c r="I40" s="14">
        <v>0</v>
      </c>
      <c r="J40" s="14">
        <v>0</v>
      </c>
      <c r="K40" s="14">
        <v>0</v>
      </c>
      <c r="L40" s="14">
        <v>0</v>
      </c>
    </row>
    <row r="41" spans="1:18">
      <c r="A41" s="1207" t="s">
        <v>125</v>
      </c>
      <c r="B41" s="1207"/>
      <c r="C41" s="812" t="s">
        <v>184</v>
      </c>
      <c r="D41" s="15">
        <v>13.94</v>
      </c>
      <c r="E41" s="15">
        <v>11.09</v>
      </c>
      <c r="F41" s="15">
        <v>8.2100000000000009</v>
      </c>
      <c r="G41" s="15">
        <v>6.13</v>
      </c>
      <c r="H41" s="15">
        <v>3.96</v>
      </c>
      <c r="I41" s="15">
        <v>6.63</v>
      </c>
      <c r="J41" s="15">
        <v>6.853812509805274</v>
      </c>
      <c r="K41" s="15">
        <v>5.9616295846960519</v>
      </c>
      <c r="L41" s="15">
        <v>3.9311864468651421</v>
      </c>
    </row>
    <row r="42" spans="1:18">
      <c r="A42" s="1207" t="s">
        <v>252</v>
      </c>
      <c r="B42" s="1207"/>
      <c r="C42" s="812" t="s">
        <v>184</v>
      </c>
      <c r="D42" s="834">
        <v>8.4583918313362837E-3</v>
      </c>
      <c r="E42" s="834">
        <v>2.4169071589784951E-3</v>
      </c>
      <c r="F42" s="834">
        <v>3.4623181632233973E-3</v>
      </c>
      <c r="G42" s="834">
        <v>2.1690733266858122E-3</v>
      </c>
      <c r="H42" s="1254">
        <v>1.3419239907681534E-3</v>
      </c>
      <c r="I42" s="1254">
        <v>1.9627688728148297E-3</v>
      </c>
      <c r="J42" s="1254">
        <v>3.0119329772626169E-3</v>
      </c>
      <c r="K42" s="834">
        <v>3.2951967359880631E-2</v>
      </c>
      <c r="L42" s="15">
        <v>0.22368864820922454</v>
      </c>
    </row>
    <row r="43" spans="1:18">
      <c r="A43" s="1207" t="s">
        <v>126</v>
      </c>
      <c r="B43" s="1207"/>
      <c r="C43" s="812" t="s">
        <v>184</v>
      </c>
      <c r="D43" s="15">
        <v>0.42</v>
      </c>
      <c r="E43" s="15">
        <v>0.61</v>
      </c>
      <c r="F43" s="15">
        <v>0.32</v>
      </c>
      <c r="G43" s="15">
        <v>0.26</v>
      </c>
      <c r="H43" s="1255">
        <v>0.13</v>
      </c>
      <c r="I43" s="1255">
        <v>0.19</v>
      </c>
      <c r="J43" s="1255">
        <v>0.24326378679691069</v>
      </c>
      <c r="K43" s="15">
        <v>0.10044238713804667</v>
      </c>
      <c r="L43" s="15">
        <v>0.40823366748340029</v>
      </c>
    </row>
    <row r="44" spans="1:18">
      <c r="A44" s="1207" t="s">
        <v>127</v>
      </c>
      <c r="B44" s="1207"/>
      <c r="C44" s="812" t="s">
        <v>184</v>
      </c>
      <c r="D44" s="15">
        <v>0.36</v>
      </c>
      <c r="E44" s="15">
        <v>0.33</v>
      </c>
      <c r="F44" s="15">
        <v>0.24</v>
      </c>
      <c r="G44" s="15">
        <v>0.2</v>
      </c>
      <c r="H44" s="1255">
        <v>0.09</v>
      </c>
      <c r="I44" s="1255">
        <v>9.0617258658476835E-2</v>
      </c>
      <c r="J44" s="1255">
        <v>0.11710841627889981</v>
      </c>
      <c r="K44" s="15">
        <v>5.685860142632429E-2</v>
      </c>
      <c r="L44" s="15">
        <v>0.20277236844573027</v>
      </c>
    </row>
    <row r="45" spans="1:18">
      <c r="A45" s="1207" t="s">
        <v>248</v>
      </c>
      <c r="B45" s="1207"/>
      <c r="C45" s="812" t="s">
        <v>184</v>
      </c>
      <c r="D45" s="15">
        <v>0.17</v>
      </c>
      <c r="E45" s="15">
        <v>0.2</v>
      </c>
      <c r="F45" s="15">
        <v>0.08</v>
      </c>
      <c r="G45" s="15">
        <v>0.06</v>
      </c>
      <c r="H45" s="1255">
        <v>0.15</v>
      </c>
      <c r="I45" s="1255">
        <v>0.11</v>
      </c>
      <c r="J45" s="1255">
        <v>0.15874002320906311</v>
      </c>
      <c r="K45" s="15">
        <v>0.47465832660194202</v>
      </c>
      <c r="L45" s="15">
        <v>1.200523128633973</v>
      </c>
      <c r="P45" s="372"/>
      <c r="Q45" s="372"/>
      <c r="R45" s="372"/>
    </row>
    <row r="46" spans="1:18">
      <c r="A46" s="1207" t="s">
        <v>130</v>
      </c>
      <c r="B46" s="1207"/>
      <c r="C46" s="812" t="s">
        <v>184</v>
      </c>
      <c r="D46" s="15">
        <v>0.22</v>
      </c>
      <c r="E46" s="15">
        <v>0.24</v>
      </c>
      <c r="F46" s="15">
        <v>0.2</v>
      </c>
      <c r="G46" s="15">
        <v>0.19</v>
      </c>
      <c r="H46" s="1255">
        <v>0.18</v>
      </c>
      <c r="I46" s="1255">
        <v>0.28999999999999998</v>
      </c>
      <c r="J46" s="1255">
        <v>0.32113898722013412</v>
      </c>
      <c r="K46" s="15">
        <v>0.20313814635537872</v>
      </c>
      <c r="L46" s="15">
        <v>2.8666925306537243E-2</v>
      </c>
    </row>
    <row r="47" spans="1:18">
      <c r="A47" s="1207" t="s">
        <v>132</v>
      </c>
      <c r="B47" s="1207"/>
      <c r="C47" s="812" t="s">
        <v>257</v>
      </c>
      <c r="D47" s="827">
        <v>751.59</v>
      </c>
      <c r="E47" s="827">
        <v>634.92999999999995</v>
      </c>
      <c r="F47" s="827">
        <v>713.71</v>
      </c>
      <c r="G47" s="827">
        <v>547.01</v>
      </c>
      <c r="H47" s="1256">
        <v>562.54</v>
      </c>
      <c r="I47" s="1256">
        <v>434.18</v>
      </c>
      <c r="J47" s="1256">
        <v>475.59422114191506</v>
      </c>
      <c r="K47" s="827">
        <v>428.66115040320358</v>
      </c>
      <c r="L47" s="827">
        <v>438.28093182074321</v>
      </c>
    </row>
    <row r="48" spans="1:18">
      <c r="A48" s="1207" t="s">
        <v>129</v>
      </c>
      <c r="B48" s="1207"/>
      <c r="C48" s="812" t="s">
        <v>257</v>
      </c>
      <c r="D48" s="15">
        <v>2.17</v>
      </c>
      <c r="E48" s="15">
        <v>2.1</v>
      </c>
      <c r="F48" s="15">
        <v>2.71</v>
      </c>
      <c r="G48" s="15">
        <v>3.51</v>
      </c>
      <c r="H48" s="1255">
        <v>2.97</v>
      </c>
      <c r="I48" s="1255">
        <v>3.1252858506546017</v>
      </c>
      <c r="J48" s="1255">
        <v>3.4192727472486713</v>
      </c>
      <c r="K48" s="15">
        <v>3.2675278659448463</v>
      </c>
      <c r="L48" s="15">
        <v>2.0723304361777051</v>
      </c>
    </row>
    <row r="49" spans="1:50">
      <c r="A49" s="1207" t="s">
        <v>128</v>
      </c>
      <c r="B49" s="1207"/>
      <c r="C49" s="812" t="s">
        <v>257</v>
      </c>
      <c r="D49" s="15">
        <v>9.1199999999999992</v>
      </c>
      <c r="E49" s="15">
        <v>6.48</v>
      </c>
      <c r="F49" s="15">
        <v>6.61</v>
      </c>
      <c r="G49" s="15">
        <v>9.86</v>
      </c>
      <c r="H49" s="1255">
        <v>9.98</v>
      </c>
      <c r="I49" s="1255">
        <v>9.0500000000000007</v>
      </c>
      <c r="J49" s="1255">
        <v>10.78465740216533</v>
      </c>
      <c r="K49" s="15">
        <v>11.87131311993798</v>
      </c>
      <c r="L49" s="15">
        <v>13.211106530632872</v>
      </c>
    </row>
    <row r="50" spans="1:50">
      <c r="A50" s="1207" t="s">
        <v>133</v>
      </c>
      <c r="B50" s="1207"/>
      <c r="C50" s="812" t="s">
        <v>257</v>
      </c>
      <c r="D50" s="15">
        <v>99.11</v>
      </c>
      <c r="E50" s="15">
        <v>220.71</v>
      </c>
      <c r="F50" s="15">
        <v>182.28</v>
      </c>
      <c r="G50" s="15">
        <v>107.49</v>
      </c>
      <c r="H50" s="1255">
        <v>99.51</v>
      </c>
      <c r="I50" s="1255">
        <v>76.16</v>
      </c>
      <c r="J50" s="1255">
        <v>57.082052517737011</v>
      </c>
      <c r="K50" s="15">
        <v>66.594235440039398</v>
      </c>
      <c r="L50" s="15">
        <v>57.547674244274795</v>
      </c>
    </row>
    <row r="51" spans="1:50">
      <c r="A51" s="1207" t="s">
        <v>251</v>
      </c>
      <c r="B51" s="1207"/>
      <c r="C51" s="812" t="s">
        <v>184</v>
      </c>
      <c r="D51" s="27">
        <v>0</v>
      </c>
      <c r="E51" s="27">
        <v>0</v>
      </c>
      <c r="F51" s="27">
        <v>0</v>
      </c>
      <c r="G51" s="27">
        <v>6.4555753770411078E-4</v>
      </c>
      <c r="H51" s="1257">
        <v>6.7096199538407668E-4</v>
      </c>
      <c r="I51" s="1257">
        <v>1.1215822130370454E-2</v>
      </c>
      <c r="J51" s="1257">
        <v>1.7011843667872187E-2</v>
      </c>
      <c r="K51" s="27">
        <v>2.1050974201057098E-2</v>
      </c>
      <c r="L51" s="27">
        <v>1.2544592510513746E-2</v>
      </c>
    </row>
    <row r="52" spans="1:50">
      <c r="A52" s="1207" t="s">
        <v>256</v>
      </c>
      <c r="B52" s="1207"/>
      <c r="C52" s="812" t="s">
        <v>264</v>
      </c>
      <c r="D52" s="828">
        <v>0.95</v>
      </c>
      <c r="E52" s="828">
        <v>0.23</v>
      </c>
      <c r="F52" s="828">
        <v>0.9</v>
      </c>
      <c r="G52" s="828">
        <v>0.87</v>
      </c>
      <c r="H52" s="1258">
        <v>0.37137746444508646</v>
      </c>
      <c r="I52" s="1258">
        <v>1.2942464299874594</v>
      </c>
      <c r="J52" s="1258">
        <v>2.5879379290589166</v>
      </c>
      <c r="K52" s="828">
        <v>2.4905251978866687</v>
      </c>
      <c r="L52" s="828">
        <v>4.5070617078425466</v>
      </c>
    </row>
    <row r="53" spans="1:50" ht="21.75" customHeight="1"/>
    <row r="54" spans="1:50" ht="30.75" customHeight="1">
      <c r="A54" s="1186"/>
      <c r="B54" s="1186"/>
      <c r="C54" s="1187" t="s">
        <v>497</v>
      </c>
      <c r="D54" s="1187"/>
      <c r="E54" s="1187"/>
      <c r="F54" s="1187"/>
      <c r="G54" s="1187"/>
      <c r="H54" s="1187"/>
      <c r="I54" s="1187"/>
      <c r="J54" s="1187"/>
      <c r="M54" s="1186"/>
      <c r="N54" s="1186"/>
      <c r="Q54" s="1186" t="s">
        <v>68</v>
      </c>
      <c r="R54" s="1186"/>
      <c r="S54">
        <v>0.13</v>
      </c>
      <c r="U54" s="1186"/>
      <c r="V54" s="1186"/>
      <c r="Y54" s="1186"/>
      <c r="Z54" s="1186"/>
      <c r="AC54" s="1186" t="s">
        <v>68</v>
      </c>
      <c r="AD54" s="1186"/>
      <c r="AE54">
        <v>1.9</v>
      </c>
      <c r="AG54" s="1186"/>
      <c r="AH54" s="1186"/>
      <c r="AK54" s="1186"/>
      <c r="AL54" s="1186"/>
      <c r="AW54" t="s">
        <v>57</v>
      </c>
      <c r="AX54">
        <v>72843</v>
      </c>
    </row>
    <row r="55" spans="1:50">
      <c r="A55" s="1186"/>
      <c r="B55" s="1186"/>
      <c r="E55" s="1186"/>
      <c r="F55" s="1186"/>
      <c r="I55" s="1186"/>
      <c r="J55" s="1186"/>
      <c r="M55" s="1186"/>
      <c r="N55" s="1186"/>
      <c r="Q55" s="1186" t="s">
        <v>69</v>
      </c>
      <c r="R55" s="1186"/>
      <c r="S55">
        <v>0.16</v>
      </c>
      <c r="U55" s="1186"/>
      <c r="V55" s="1186"/>
      <c r="Y55" s="1186"/>
      <c r="Z55" s="1186"/>
      <c r="AC55" s="1186" t="s">
        <v>69</v>
      </c>
      <c r="AD55" s="1186"/>
      <c r="AE55">
        <v>3.04</v>
      </c>
      <c r="AG55" s="1186"/>
      <c r="AH55" s="1186"/>
      <c r="AK55" s="1186"/>
      <c r="AL55" s="1186"/>
      <c r="AW55" t="s">
        <v>60</v>
      </c>
      <c r="AX55">
        <v>43366</v>
      </c>
    </row>
    <row r="56" spans="1:50">
      <c r="A56" s="1186"/>
      <c r="B56" s="1186"/>
      <c r="E56" s="1186"/>
      <c r="F56" s="1186"/>
      <c r="I56" s="1186"/>
      <c r="J56" s="1186"/>
      <c r="M56" s="1186"/>
      <c r="N56" s="1186"/>
      <c r="Q56" s="1186" t="s">
        <v>70</v>
      </c>
      <c r="R56" s="1186"/>
      <c r="S56">
        <v>0.09</v>
      </c>
      <c r="U56" s="1186"/>
      <c r="V56" s="1186"/>
      <c r="Y56" s="1186"/>
      <c r="Z56" s="1186"/>
      <c r="AC56" s="1186" t="s">
        <v>70</v>
      </c>
      <c r="AD56" s="1186"/>
      <c r="AE56">
        <v>2.94</v>
      </c>
      <c r="AG56" s="1186"/>
      <c r="AH56" s="1186"/>
      <c r="AK56" s="1186"/>
      <c r="AL56" s="1186"/>
      <c r="AW56" t="s">
        <v>91</v>
      </c>
      <c r="AX56">
        <v>28770</v>
      </c>
    </row>
    <row r="57" spans="1:50">
      <c r="A57" s="1186"/>
      <c r="B57" s="1186"/>
      <c r="E57" s="1186"/>
      <c r="F57" s="1186"/>
      <c r="I57" s="1186"/>
      <c r="J57" s="1186"/>
      <c r="M57" s="1186"/>
      <c r="N57" s="1186"/>
      <c r="Q57" s="1186" t="s">
        <v>71</v>
      </c>
      <c r="R57" s="1186"/>
      <c r="S57">
        <v>0.05</v>
      </c>
      <c r="U57" s="1186"/>
      <c r="V57" s="1186"/>
      <c r="Y57" s="1186"/>
      <c r="Z57" s="1186"/>
      <c r="AC57" s="1186" t="s">
        <v>71</v>
      </c>
      <c r="AD57" s="1186"/>
      <c r="AE57">
        <v>2.88</v>
      </c>
      <c r="AG57" s="1186"/>
      <c r="AH57" s="1186"/>
      <c r="AK57" s="1186"/>
      <c r="AL57" s="1186"/>
      <c r="AW57" t="s">
        <v>92</v>
      </c>
      <c r="AX57">
        <v>27675</v>
      </c>
    </row>
    <row r="58" spans="1:50">
      <c r="A58" s="1186"/>
      <c r="B58" s="1186"/>
      <c r="E58" s="1186"/>
      <c r="F58" s="1186"/>
      <c r="I58" s="1186"/>
      <c r="J58" s="1186"/>
      <c r="M58" s="1186"/>
      <c r="N58" s="1186"/>
      <c r="Q58" s="1186" t="s">
        <v>72</v>
      </c>
      <c r="R58" s="1186"/>
      <c r="S58">
        <v>0.06</v>
      </c>
      <c r="U58" s="1186"/>
      <c r="V58" s="1186"/>
      <c r="Y58" s="1186"/>
      <c r="Z58" s="1186"/>
      <c r="AC58" s="1186" t="s">
        <v>72</v>
      </c>
      <c r="AD58" s="1186"/>
      <c r="AE58">
        <v>3.24</v>
      </c>
      <c r="AG58" s="1186"/>
      <c r="AH58" s="1186"/>
      <c r="AK58" s="1186"/>
      <c r="AL58" s="1186"/>
      <c r="AW58" t="s">
        <v>93</v>
      </c>
      <c r="AX58">
        <v>22550</v>
      </c>
    </row>
    <row r="59" spans="1:50">
      <c r="A59" s="1186"/>
      <c r="B59" s="1186"/>
      <c r="E59" s="1186"/>
      <c r="F59" s="1186"/>
      <c r="I59" s="1186"/>
      <c r="J59" s="1186"/>
      <c r="M59" s="1186"/>
      <c r="N59" s="1186"/>
      <c r="Q59" s="1186" t="s">
        <v>73</v>
      </c>
      <c r="R59" s="1186"/>
      <c r="S59">
        <v>0.06</v>
      </c>
      <c r="U59" s="1186"/>
      <c r="V59" s="1186"/>
      <c r="Y59" s="1186"/>
      <c r="Z59" s="1186"/>
      <c r="AC59" s="1186" t="s">
        <v>73</v>
      </c>
      <c r="AD59" s="1186"/>
      <c r="AE59">
        <v>3.23</v>
      </c>
      <c r="AG59" s="1186"/>
      <c r="AH59" s="1186"/>
      <c r="AI59" s="31"/>
      <c r="AK59" s="1186"/>
      <c r="AL59" s="1186"/>
      <c r="AM59" s="31"/>
    </row>
    <row r="60" spans="1:50">
      <c r="A60" s="1186"/>
      <c r="B60" s="1186"/>
      <c r="E60" s="1186"/>
      <c r="F60" s="1186"/>
      <c r="I60" s="1186"/>
      <c r="J60" s="1186"/>
      <c r="M60" s="1186"/>
      <c r="N60" s="1186"/>
      <c r="Q60" s="1186" t="s">
        <v>95</v>
      </c>
      <c r="R60" s="1186"/>
      <c r="S60">
        <v>0.14000000000000001</v>
      </c>
      <c r="U60" s="1186"/>
      <c r="V60" s="1186"/>
      <c r="Y60" s="1186"/>
      <c r="Z60" s="1186"/>
      <c r="AC60" s="1186" t="s">
        <v>95</v>
      </c>
      <c r="AD60" s="1186"/>
      <c r="AE60">
        <v>3.87</v>
      </c>
      <c r="AG60" s="1186"/>
      <c r="AH60" s="1186"/>
      <c r="AI60" s="31"/>
      <c r="AK60" s="1"/>
      <c r="AL60" s="1"/>
      <c r="AM60" s="31"/>
    </row>
    <row r="61" spans="1:50">
      <c r="A61" s="1186"/>
      <c r="B61" s="1186"/>
      <c r="E61" s="1186"/>
      <c r="F61" s="1186"/>
      <c r="I61" s="1186"/>
      <c r="J61" s="1186"/>
      <c r="M61" s="1186"/>
      <c r="N61" s="1186"/>
      <c r="Q61" s="1186" t="s">
        <v>96</v>
      </c>
      <c r="R61" s="1186"/>
      <c r="S61">
        <v>0.11</v>
      </c>
      <c r="U61" s="1186"/>
      <c r="V61" s="1186"/>
      <c r="Y61" s="1186"/>
      <c r="Z61" s="1186"/>
      <c r="AC61" s="1186" t="s">
        <v>96</v>
      </c>
      <c r="AD61" s="1186"/>
      <c r="AE61">
        <v>3.06</v>
      </c>
      <c r="AG61" s="1186"/>
      <c r="AH61" s="1186"/>
      <c r="AI61" s="31"/>
      <c r="AK61" s="1"/>
      <c r="AL61" s="1"/>
      <c r="AM61" s="31"/>
    </row>
    <row r="62" spans="1:50">
      <c r="A62" s="1186"/>
      <c r="B62" s="1186"/>
      <c r="E62" s="1186"/>
      <c r="F62" s="1186"/>
      <c r="I62" s="1186"/>
      <c r="J62" s="1186"/>
    </row>
  </sheetData>
  <mergeCells count="149">
    <mergeCell ref="A52:B52"/>
    <mergeCell ref="A36:C37"/>
    <mergeCell ref="D36:L36"/>
    <mergeCell ref="A43:B43"/>
    <mergeCell ref="A44:B44"/>
    <mergeCell ref="A45:B45"/>
    <mergeCell ref="A46:B46"/>
    <mergeCell ref="A47:B47"/>
    <mergeCell ref="A48:B48"/>
    <mergeCell ref="A49:B49"/>
    <mergeCell ref="A50:B50"/>
    <mergeCell ref="A51:B51"/>
    <mergeCell ref="P20:T20"/>
    <mergeCell ref="P16:T16"/>
    <mergeCell ref="P9:T9"/>
    <mergeCell ref="P8:T8"/>
    <mergeCell ref="P21:T21"/>
    <mergeCell ref="P7:V7"/>
    <mergeCell ref="A41:B41"/>
    <mergeCell ref="A42:B42"/>
    <mergeCell ref="P10:T10"/>
    <mergeCell ref="P15:T15"/>
    <mergeCell ref="P17:T17"/>
    <mergeCell ref="P14:T14"/>
    <mergeCell ref="B31:F31"/>
    <mergeCell ref="B32:F32"/>
    <mergeCell ref="B33:F33"/>
    <mergeCell ref="B27:F27"/>
    <mergeCell ref="B28:F28"/>
    <mergeCell ref="B29:F29"/>
    <mergeCell ref="B30:F30"/>
    <mergeCell ref="B7:F7"/>
    <mergeCell ref="A38:B38"/>
    <mergeCell ref="A39:B39"/>
    <mergeCell ref="A40:B40"/>
    <mergeCell ref="H4:I4"/>
    <mergeCell ref="J4:K4"/>
    <mergeCell ref="J5:K5"/>
    <mergeCell ref="P11:T11"/>
    <mergeCell ref="P13:T13"/>
    <mergeCell ref="P12:T12"/>
    <mergeCell ref="P19:T19"/>
    <mergeCell ref="P18:T18"/>
    <mergeCell ref="J7:K7"/>
    <mergeCell ref="C4:D4"/>
    <mergeCell ref="A4:B5"/>
    <mergeCell ref="B21:F21"/>
    <mergeCell ref="B22:F22"/>
    <mergeCell ref="B23:F23"/>
    <mergeCell ref="B24:F24"/>
    <mergeCell ref="B25:F25"/>
    <mergeCell ref="B26:F26"/>
    <mergeCell ref="B15:F15"/>
    <mergeCell ref="B16:F16"/>
    <mergeCell ref="B17:F17"/>
    <mergeCell ref="B18:F18"/>
    <mergeCell ref="B19:F19"/>
    <mergeCell ref="B20:F20"/>
    <mergeCell ref="B9:F9"/>
    <mergeCell ref="B10:F10"/>
    <mergeCell ref="B11:F11"/>
    <mergeCell ref="B12:F12"/>
    <mergeCell ref="B13:F13"/>
    <mergeCell ref="B14:F14"/>
    <mergeCell ref="AC61:AD61"/>
    <mergeCell ref="AG61:AH61"/>
    <mergeCell ref="A62:B62"/>
    <mergeCell ref="E62:F62"/>
    <mergeCell ref="I62:J62"/>
    <mergeCell ref="A1:B2"/>
    <mergeCell ref="C1:J1"/>
    <mergeCell ref="K1:L2"/>
    <mergeCell ref="C2:J2"/>
    <mergeCell ref="B8:F8"/>
    <mergeCell ref="Y60:Z60"/>
    <mergeCell ref="AC60:AD60"/>
    <mergeCell ref="AG60:AH60"/>
    <mergeCell ref="A61:B61"/>
    <mergeCell ref="E61:F61"/>
    <mergeCell ref="I61:J61"/>
    <mergeCell ref="M61:N61"/>
    <mergeCell ref="Q61:R61"/>
    <mergeCell ref="U61:V61"/>
    <mergeCell ref="Y61:Z61"/>
    <mergeCell ref="Y59:Z59"/>
    <mergeCell ref="AC59:AD59"/>
    <mergeCell ref="AG59:AH59"/>
    <mergeCell ref="Y57:Z57"/>
    <mergeCell ref="A58:B58"/>
    <mergeCell ref="E58:F58"/>
    <mergeCell ref="I58:J58"/>
    <mergeCell ref="M58:N58"/>
    <mergeCell ref="Q58:R58"/>
    <mergeCell ref="U58:V58"/>
    <mergeCell ref="AK59:AL59"/>
    <mergeCell ref="A60:B60"/>
    <mergeCell ref="E60:F60"/>
    <mergeCell ref="I60:J60"/>
    <mergeCell ref="M60:N60"/>
    <mergeCell ref="Q60:R60"/>
    <mergeCell ref="U60:V60"/>
    <mergeCell ref="Y58:Z58"/>
    <mergeCell ref="AC58:AD58"/>
    <mergeCell ref="AG58:AH58"/>
    <mergeCell ref="AK58:AL58"/>
    <mergeCell ref="A59:B59"/>
    <mergeCell ref="E59:F59"/>
    <mergeCell ref="I59:J59"/>
    <mergeCell ref="M59:N59"/>
    <mergeCell ref="Q59:R59"/>
    <mergeCell ref="U59:V59"/>
    <mergeCell ref="AK56:AL56"/>
    <mergeCell ref="A57:B57"/>
    <mergeCell ref="E57:F57"/>
    <mergeCell ref="I57:J57"/>
    <mergeCell ref="M57:N57"/>
    <mergeCell ref="Q57:R57"/>
    <mergeCell ref="U57:V57"/>
    <mergeCell ref="AC57:AD57"/>
    <mergeCell ref="AG57:AH57"/>
    <mergeCell ref="AK57:AL57"/>
    <mergeCell ref="A56:B56"/>
    <mergeCell ref="E56:F56"/>
    <mergeCell ref="I56:J56"/>
    <mergeCell ref="M56:N56"/>
    <mergeCell ref="Q56:R56"/>
    <mergeCell ref="U56:V56"/>
    <mergeCell ref="Y56:Z56"/>
    <mergeCell ref="AC56:AD56"/>
    <mergeCell ref="AG56:AH56"/>
    <mergeCell ref="Y54:Z54"/>
    <mergeCell ref="AC54:AD54"/>
    <mergeCell ref="AG54:AH54"/>
    <mergeCell ref="AK54:AL54"/>
    <mergeCell ref="A55:B55"/>
    <mergeCell ref="E55:F55"/>
    <mergeCell ref="I55:J55"/>
    <mergeCell ref="M55:N55"/>
    <mergeCell ref="Q55:R55"/>
    <mergeCell ref="U55:V55"/>
    <mergeCell ref="A54:B54"/>
    <mergeCell ref="M54:N54"/>
    <mergeCell ref="Q54:R54"/>
    <mergeCell ref="U54:V54"/>
    <mergeCell ref="Y55:Z55"/>
    <mergeCell ref="AC55:AD55"/>
    <mergeCell ref="AG55:AH55"/>
    <mergeCell ref="AK55:AL55"/>
    <mergeCell ref="C54:J54"/>
  </mergeCells>
  <conditionalFormatting sqref="J14:J15 J20:J28 J30:J33">
    <cfRule type="cellIs" dxfId="3" priority="3" operator="lessThan">
      <formula>0</formula>
    </cfRule>
    <cfRule type="cellIs" dxfId="2" priority="4" operator="greaterThan">
      <formula>0</formula>
    </cfRule>
  </conditionalFormatting>
  <conditionalFormatting sqref="K14:K15 K20:K28 K30:K33">
    <cfRule type="cellIs" dxfId="1" priority="1" operator="lessThan">
      <formula>0</formula>
    </cfRule>
    <cfRule type="cellIs" dxfId="0" priority="2" operator="greaterThan">
      <formula>0</formula>
    </cfRule>
  </conditionalFormatting>
  <pageMargins left="0.511811024" right="0.511811024" top="0.78740157499999996" bottom="0.78740157499999996" header="0.31496062000000002" footer="0.31496062000000002"/>
  <pageSetup paperSize="9" orientation="portrait" r:id="rId1"/>
  <ignoredErrors>
    <ignoredError sqref="H29:H30 M8:M30 U15" formula="1"/>
    <ignoredError sqref="G32" formulaRange="1"/>
  </ignoredError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6"/>
  <sheetViews>
    <sheetView zoomScaleNormal="100" workbookViewId="0">
      <selection activeCell="E8" sqref="E8:F8"/>
    </sheetView>
  </sheetViews>
  <sheetFormatPr defaultRowHeight="15"/>
  <cols>
    <col min="1" max="38" width="10.7109375" customWidth="1"/>
    <col min="40" max="48" width="10.7109375" customWidth="1"/>
    <col min="49" max="49" width="20.85546875" bestFit="1" customWidth="1"/>
    <col min="50" max="50" width="28.7109375" bestFit="1" customWidth="1"/>
    <col min="51" max="51" width="10.7109375" customWidth="1"/>
  </cols>
  <sheetData>
    <row r="1" spans="1:50" ht="18.75" customHeight="1">
      <c r="A1" s="1186" t="s">
        <v>97</v>
      </c>
      <c r="B1" s="1186"/>
      <c r="C1" s="1186"/>
      <c r="E1" s="1186" t="s">
        <v>79</v>
      </c>
      <c r="F1" s="1186"/>
      <c r="G1" s="1186"/>
      <c r="I1" s="1186" t="s">
        <v>80</v>
      </c>
      <c r="J1" s="1186"/>
      <c r="K1" s="1186"/>
      <c r="M1" s="1186" t="s">
        <v>81</v>
      </c>
      <c r="N1" s="1186"/>
      <c r="O1" s="1186"/>
      <c r="Q1" s="1186" t="s">
        <v>82</v>
      </c>
      <c r="R1" s="1186"/>
      <c r="S1" s="1186"/>
      <c r="U1" s="1186" t="s">
        <v>83</v>
      </c>
      <c r="V1" s="1186"/>
      <c r="W1" s="1186"/>
      <c r="Y1" s="1186" t="s">
        <v>84</v>
      </c>
      <c r="Z1" s="1186"/>
      <c r="AA1" s="1186"/>
      <c r="AC1" s="1210" t="s">
        <v>85</v>
      </c>
      <c r="AD1" s="1210"/>
      <c r="AE1" s="1210"/>
      <c r="AG1" s="1210" t="s">
        <v>86</v>
      </c>
      <c r="AH1" s="1210"/>
      <c r="AI1" s="1210"/>
      <c r="AK1" s="1211" t="s">
        <v>87</v>
      </c>
      <c r="AL1" s="1210"/>
      <c r="AM1" s="1210"/>
      <c r="AO1" s="1210" t="s">
        <v>88</v>
      </c>
      <c r="AP1" s="1210"/>
      <c r="AQ1" s="1210"/>
      <c r="AS1" s="1210" t="s">
        <v>89</v>
      </c>
      <c r="AT1" s="1210"/>
      <c r="AU1" s="1210"/>
      <c r="AW1" t="s">
        <v>2</v>
      </c>
      <c r="AX1" s="238" t="s">
        <v>94</v>
      </c>
    </row>
    <row r="2" spans="1:50">
      <c r="A2" s="1186" t="s">
        <v>76</v>
      </c>
      <c r="B2" s="1186"/>
      <c r="C2">
        <v>99.11</v>
      </c>
      <c r="E2" s="1186" t="s">
        <v>76</v>
      </c>
      <c r="F2" s="1186"/>
      <c r="G2">
        <v>751.59</v>
      </c>
      <c r="I2" s="1186" t="s">
        <v>76</v>
      </c>
      <c r="J2" s="1186"/>
      <c r="K2">
        <v>13.94</v>
      </c>
      <c r="M2" s="1186" t="s">
        <v>76</v>
      </c>
      <c r="N2" s="1186"/>
      <c r="O2">
        <v>9.1199999999999992</v>
      </c>
      <c r="Q2" s="1186" t="s">
        <v>76</v>
      </c>
      <c r="R2" s="1186"/>
      <c r="S2" s="31">
        <v>0.36</v>
      </c>
      <c r="U2" s="1186" t="s">
        <v>76</v>
      </c>
      <c r="V2" s="1186"/>
      <c r="W2">
        <v>0.42</v>
      </c>
      <c r="Y2" s="1186" t="s">
        <v>76</v>
      </c>
      <c r="Z2" s="1186"/>
      <c r="AA2">
        <v>0.22</v>
      </c>
      <c r="AC2" s="1186" t="s">
        <v>76</v>
      </c>
      <c r="AD2" s="1186"/>
      <c r="AE2">
        <v>2.17</v>
      </c>
      <c r="AG2" s="1186" t="s">
        <v>76</v>
      </c>
      <c r="AH2" s="1186"/>
      <c r="AI2">
        <v>0.17</v>
      </c>
      <c r="AK2" s="1186" t="s">
        <v>76</v>
      </c>
      <c r="AL2" s="1186"/>
      <c r="AM2">
        <v>0.95</v>
      </c>
      <c r="AO2" s="1186" t="s">
        <v>76</v>
      </c>
      <c r="AP2" s="1186"/>
      <c r="AQ2">
        <v>1.33</v>
      </c>
      <c r="AS2" s="1186" t="s">
        <v>76</v>
      </c>
      <c r="AT2" s="1186"/>
      <c r="AU2">
        <v>2443</v>
      </c>
      <c r="AW2" t="s">
        <v>90</v>
      </c>
      <c r="AX2">
        <v>316325</v>
      </c>
    </row>
    <row r="3" spans="1:50">
      <c r="A3" s="1186" t="s">
        <v>77</v>
      </c>
      <c r="B3" s="1186"/>
      <c r="C3">
        <v>220.71</v>
      </c>
      <c r="E3" s="1186" t="s">
        <v>77</v>
      </c>
      <c r="F3" s="1186"/>
      <c r="G3">
        <v>634.92999999999995</v>
      </c>
      <c r="I3" s="1186" t="s">
        <v>77</v>
      </c>
      <c r="J3" s="1186"/>
      <c r="K3">
        <v>11.09</v>
      </c>
      <c r="M3" s="1186" t="s">
        <v>77</v>
      </c>
      <c r="N3" s="1186"/>
      <c r="O3">
        <v>6.48</v>
      </c>
      <c r="Q3" s="1186" t="s">
        <v>77</v>
      </c>
      <c r="R3" s="1186"/>
      <c r="S3" s="31">
        <v>0.33</v>
      </c>
      <c r="U3" s="1186" t="s">
        <v>77</v>
      </c>
      <c r="V3" s="1186"/>
      <c r="W3">
        <v>0.61</v>
      </c>
      <c r="Y3" s="1186" t="s">
        <v>77</v>
      </c>
      <c r="Z3" s="1186"/>
      <c r="AA3">
        <v>0.24</v>
      </c>
      <c r="AC3" s="1186" t="s">
        <v>77</v>
      </c>
      <c r="AD3" s="1186"/>
      <c r="AE3">
        <v>2.1</v>
      </c>
      <c r="AG3" s="1186" t="s">
        <v>77</v>
      </c>
      <c r="AH3" s="1186"/>
      <c r="AI3" s="31">
        <v>0.2</v>
      </c>
      <c r="AK3" s="1186" t="s">
        <v>77</v>
      </c>
      <c r="AL3" s="1186"/>
      <c r="AM3" s="31">
        <v>0.23</v>
      </c>
      <c r="AO3" s="1186" t="s">
        <v>77</v>
      </c>
      <c r="AP3" s="1186"/>
      <c r="AQ3" s="31">
        <v>1.77</v>
      </c>
      <c r="AS3" s="1186" t="s">
        <v>77</v>
      </c>
      <c r="AT3" s="1186"/>
      <c r="AU3" s="239">
        <v>3831</v>
      </c>
      <c r="AW3" t="s">
        <v>58</v>
      </c>
      <c r="AX3">
        <v>231336</v>
      </c>
    </row>
    <row r="4" spans="1:50">
      <c r="A4" s="1186" t="s">
        <v>78</v>
      </c>
      <c r="B4" s="1186"/>
      <c r="C4">
        <v>182.28</v>
      </c>
      <c r="E4" s="1186" t="s">
        <v>78</v>
      </c>
      <c r="F4" s="1186"/>
      <c r="G4">
        <v>713.71</v>
      </c>
      <c r="I4" s="1186" t="s">
        <v>78</v>
      </c>
      <c r="J4" s="1186"/>
      <c r="K4">
        <v>8.2100000000000009</v>
      </c>
      <c r="M4" s="1186" t="s">
        <v>78</v>
      </c>
      <c r="N4" s="1186"/>
      <c r="O4">
        <v>6.61</v>
      </c>
      <c r="Q4" s="1186" t="s">
        <v>78</v>
      </c>
      <c r="R4" s="1186"/>
      <c r="S4" s="31">
        <v>0.24</v>
      </c>
      <c r="U4" s="1186" t="s">
        <v>78</v>
      </c>
      <c r="V4" s="1186"/>
      <c r="W4">
        <v>0.32</v>
      </c>
      <c r="Y4" s="1186" t="s">
        <v>78</v>
      </c>
      <c r="Z4" s="1186"/>
      <c r="AA4" s="31">
        <v>0.2</v>
      </c>
      <c r="AC4" s="1186" t="s">
        <v>78</v>
      </c>
      <c r="AD4" s="1186"/>
      <c r="AE4" s="31">
        <v>2.71</v>
      </c>
      <c r="AG4" s="1186" t="s">
        <v>78</v>
      </c>
      <c r="AH4" s="1186"/>
      <c r="AI4" s="31">
        <v>0.08</v>
      </c>
      <c r="AK4" s="1186" t="s">
        <v>78</v>
      </c>
      <c r="AL4" s="1186"/>
      <c r="AM4" s="31">
        <v>0.9</v>
      </c>
      <c r="AO4" s="1186" t="s">
        <v>78</v>
      </c>
      <c r="AP4" s="1186"/>
      <c r="AQ4" s="31">
        <v>1.54</v>
      </c>
      <c r="AS4" s="1186" t="s">
        <v>78</v>
      </c>
      <c r="AT4" s="1186"/>
      <c r="AU4" s="239">
        <v>2628</v>
      </c>
      <c r="AW4" t="s">
        <v>59</v>
      </c>
      <c r="AX4">
        <v>207800</v>
      </c>
    </row>
    <row r="5" spans="1:50">
      <c r="A5" s="1186" t="s">
        <v>75</v>
      </c>
      <c r="B5" s="1186"/>
      <c r="C5">
        <v>107.49</v>
      </c>
      <c r="E5" s="1186" t="s">
        <v>75</v>
      </c>
      <c r="F5" s="1186"/>
      <c r="G5">
        <v>547.01</v>
      </c>
      <c r="I5" s="1186" t="s">
        <v>75</v>
      </c>
      <c r="J5" s="1186"/>
      <c r="K5">
        <v>6.13</v>
      </c>
      <c r="M5" s="1186" t="s">
        <v>75</v>
      </c>
      <c r="N5" s="1186"/>
      <c r="O5">
        <v>9.86</v>
      </c>
      <c r="Q5" s="1186" t="s">
        <v>75</v>
      </c>
      <c r="R5" s="1186"/>
      <c r="S5" s="31">
        <v>0.2</v>
      </c>
      <c r="U5" s="1186" t="s">
        <v>75</v>
      </c>
      <c r="V5" s="1186"/>
      <c r="W5" s="31">
        <v>0.26</v>
      </c>
      <c r="Y5" s="1186" t="s">
        <v>75</v>
      </c>
      <c r="Z5" s="1186"/>
      <c r="AA5" s="31">
        <v>0.19</v>
      </c>
      <c r="AC5" s="1186" t="s">
        <v>75</v>
      </c>
      <c r="AD5" s="1186"/>
      <c r="AE5" s="31">
        <v>3.51</v>
      </c>
      <c r="AG5" s="1186" t="s">
        <v>75</v>
      </c>
      <c r="AH5" s="1186"/>
      <c r="AI5" s="31">
        <v>0.06</v>
      </c>
      <c r="AK5" s="1186" t="s">
        <v>75</v>
      </c>
      <c r="AL5" s="1186"/>
      <c r="AM5" s="31">
        <v>0.87</v>
      </c>
      <c r="AO5" s="1186" t="s">
        <v>75</v>
      </c>
      <c r="AP5" s="1186"/>
      <c r="AQ5" s="31">
        <v>1.39</v>
      </c>
      <c r="AS5" s="1186" t="s">
        <v>75</v>
      </c>
      <c r="AT5" s="1186"/>
      <c r="AU5" s="239">
        <v>1865</v>
      </c>
      <c r="AW5" t="s">
        <v>55</v>
      </c>
      <c r="AX5">
        <v>179487</v>
      </c>
    </row>
    <row r="6" spans="1:50">
      <c r="A6" s="1186" t="s">
        <v>74</v>
      </c>
      <c r="B6" s="1186"/>
      <c r="C6">
        <v>99.51</v>
      </c>
      <c r="E6" s="1186" t="s">
        <v>74</v>
      </c>
      <c r="F6" s="1186"/>
      <c r="G6">
        <v>562.54</v>
      </c>
      <c r="I6" s="1186" t="s">
        <v>74</v>
      </c>
      <c r="J6" s="1186"/>
      <c r="K6">
        <v>3.96</v>
      </c>
      <c r="M6" s="1186" t="s">
        <v>74</v>
      </c>
      <c r="N6" s="1186"/>
      <c r="O6">
        <v>9.98</v>
      </c>
      <c r="Q6" s="1186" t="s">
        <v>74</v>
      </c>
      <c r="R6" s="1186"/>
      <c r="S6" s="31">
        <v>0.09</v>
      </c>
      <c r="U6" s="1186" t="s">
        <v>74</v>
      </c>
      <c r="V6" s="1186"/>
      <c r="W6">
        <v>0.13</v>
      </c>
      <c r="Y6" s="1186" t="s">
        <v>74</v>
      </c>
      <c r="Z6" s="1186"/>
      <c r="AA6">
        <v>0.18</v>
      </c>
      <c r="AC6" s="1186" t="s">
        <v>74</v>
      </c>
      <c r="AD6" s="1186"/>
      <c r="AE6">
        <v>2.97</v>
      </c>
      <c r="AG6" s="1186" t="s">
        <v>74</v>
      </c>
      <c r="AH6" s="1186"/>
      <c r="AI6">
        <v>0.15</v>
      </c>
      <c r="AK6" s="1186" t="s">
        <v>74</v>
      </c>
      <c r="AL6" s="1186"/>
      <c r="AM6">
        <v>0.37</v>
      </c>
      <c r="AO6" s="1186" t="s">
        <v>74</v>
      </c>
      <c r="AP6" s="1186"/>
      <c r="AQ6">
        <v>1.36</v>
      </c>
      <c r="AS6" s="1186" t="s">
        <v>74</v>
      </c>
      <c r="AT6" s="1186"/>
      <c r="AU6">
        <v>1310</v>
      </c>
      <c r="AW6" t="s">
        <v>56</v>
      </c>
      <c r="AX6">
        <v>105243</v>
      </c>
    </row>
    <row r="7" spans="1:50">
      <c r="A7" s="1186" t="s">
        <v>137</v>
      </c>
      <c r="B7" s="1186"/>
      <c r="C7">
        <v>76.16</v>
      </c>
      <c r="E7" s="1186" t="s">
        <v>137</v>
      </c>
      <c r="F7" s="1186"/>
      <c r="G7">
        <v>434.18</v>
      </c>
      <c r="I7" s="1186" t="s">
        <v>137</v>
      </c>
      <c r="J7" s="1186"/>
      <c r="K7">
        <v>6.63</v>
      </c>
      <c r="M7" s="1186" t="s">
        <v>137</v>
      </c>
      <c r="N7" s="1186"/>
      <c r="O7">
        <v>9.0500000000000007</v>
      </c>
      <c r="Q7" s="1186" t="s">
        <v>67</v>
      </c>
      <c r="R7" s="1186"/>
      <c r="S7" s="31">
        <v>0.12</v>
      </c>
      <c r="U7" s="1186" t="s">
        <v>137</v>
      </c>
      <c r="V7" s="1186"/>
      <c r="W7">
        <v>0.19</v>
      </c>
      <c r="Y7" s="1186" t="s">
        <v>137</v>
      </c>
      <c r="Z7" s="1186"/>
      <c r="AA7" s="31">
        <v>0.28999999999999998</v>
      </c>
      <c r="AC7" s="1186" t="s">
        <v>67</v>
      </c>
      <c r="AD7" s="1186"/>
      <c r="AE7" s="31">
        <v>3.5</v>
      </c>
      <c r="AG7" s="1186" t="s">
        <v>137</v>
      </c>
      <c r="AH7" s="1186"/>
      <c r="AI7" s="31">
        <v>0.11</v>
      </c>
      <c r="AK7" s="1186" t="s">
        <v>67</v>
      </c>
      <c r="AL7" s="1186"/>
      <c r="AM7" s="31">
        <v>1.32</v>
      </c>
      <c r="AO7" s="1186" t="s">
        <v>67</v>
      </c>
      <c r="AP7" s="1186"/>
      <c r="AQ7" s="31">
        <v>1.2</v>
      </c>
      <c r="AS7" s="1186" t="s">
        <v>67</v>
      </c>
      <c r="AT7" s="1186"/>
      <c r="AU7" s="239">
        <v>1372</v>
      </c>
      <c r="AW7" t="s">
        <v>44</v>
      </c>
      <c r="AX7">
        <v>74194</v>
      </c>
    </row>
    <row r="8" spans="1:50">
      <c r="A8" s="1186"/>
      <c r="B8" s="1186"/>
      <c r="E8" s="1186"/>
      <c r="F8" s="1186"/>
      <c r="I8" s="1186"/>
      <c r="J8" s="1186"/>
      <c r="M8" s="1186"/>
      <c r="N8" s="1186"/>
      <c r="Q8" s="1186" t="s">
        <v>68</v>
      </c>
      <c r="R8" s="1186"/>
      <c r="S8" s="31">
        <v>0.13</v>
      </c>
      <c r="T8">
        <v>254151</v>
      </c>
      <c r="U8" s="1186">
        <f>T8*S8</f>
        <v>33039.630000000005</v>
      </c>
      <c r="V8" s="1186"/>
      <c r="Y8" s="1186"/>
      <c r="Z8" s="1186"/>
      <c r="AC8" s="1186" t="s">
        <v>68</v>
      </c>
      <c r="AD8" s="1186"/>
      <c r="AE8">
        <v>1.9</v>
      </c>
      <c r="AF8">
        <v>4364.4399999999996</v>
      </c>
      <c r="AG8" s="1186">
        <f>AF8*AE8</f>
        <v>8292.4359999999997</v>
      </c>
      <c r="AH8" s="1186"/>
      <c r="AK8" s="1186"/>
      <c r="AL8" s="1186"/>
      <c r="AW8" t="s">
        <v>57</v>
      </c>
      <c r="AX8">
        <v>72843</v>
      </c>
    </row>
    <row r="9" spans="1:50">
      <c r="A9" s="1186"/>
      <c r="B9" s="1186"/>
      <c r="E9" s="1186"/>
      <c r="F9" s="1186"/>
      <c r="I9" s="1186"/>
      <c r="J9" s="1186"/>
      <c r="M9" s="1186"/>
      <c r="N9" s="1186"/>
      <c r="Q9" s="1186" t="s">
        <v>69</v>
      </c>
      <c r="R9" s="1186"/>
      <c r="S9" s="31">
        <v>0.16</v>
      </c>
      <c r="T9">
        <v>11004144</v>
      </c>
      <c r="U9" s="1186">
        <f t="shared" ref="U9:U15" si="0">T9*S9</f>
        <v>1760663.04</v>
      </c>
      <c r="V9" s="1186"/>
      <c r="Y9" s="1186"/>
      <c r="Z9" s="1186"/>
      <c r="AC9" s="1186" t="s">
        <v>69</v>
      </c>
      <c r="AD9" s="1186"/>
      <c r="AE9">
        <v>3.04</v>
      </c>
      <c r="AF9">
        <v>152333.31</v>
      </c>
      <c r="AG9" s="1186">
        <f t="shared" ref="AG9:AG15" si="1">AF9*AE9</f>
        <v>463093.26240000001</v>
      </c>
      <c r="AH9" s="1186"/>
      <c r="AK9" s="1186"/>
      <c r="AL9" s="1186"/>
      <c r="AW9" t="s">
        <v>60</v>
      </c>
      <c r="AX9">
        <v>43366</v>
      </c>
    </row>
    <row r="10" spans="1:50">
      <c r="A10" s="1186"/>
      <c r="B10" s="1186"/>
      <c r="E10" s="1186"/>
      <c r="F10" s="1186"/>
      <c r="I10" s="1186"/>
      <c r="J10" s="1186"/>
      <c r="M10" s="1186"/>
      <c r="N10" s="1186"/>
      <c r="Q10" s="1186" t="s">
        <v>70</v>
      </c>
      <c r="R10" s="1186"/>
      <c r="S10" s="31">
        <v>0.09</v>
      </c>
      <c r="T10">
        <v>15786388</v>
      </c>
      <c r="U10" s="1186">
        <f t="shared" si="0"/>
        <v>1420774.92</v>
      </c>
      <c r="V10" s="1186"/>
      <c r="Y10" s="1186"/>
      <c r="Z10" s="1186"/>
      <c r="AC10" s="1186" t="s">
        <v>70</v>
      </c>
      <c r="AD10" s="1186"/>
      <c r="AE10">
        <v>2.94</v>
      </c>
      <c r="AF10">
        <v>188263.01</v>
      </c>
      <c r="AG10" s="1186">
        <f t="shared" si="1"/>
        <v>553493.24939999997</v>
      </c>
      <c r="AH10" s="1186"/>
      <c r="AK10" s="1186"/>
      <c r="AL10" s="1186"/>
      <c r="AW10" t="s">
        <v>91</v>
      </c>
      <c r="AX10">
        <v>28770</v>
      </c>
    </row>
    <row r="11" spans="1:50">
      <c r="A11" s="1186"/>
      <c r="B11" s="1186"/>
      <c r="E11" s="1186"/>
      <c r="F11" s="1186"/>
      <c r="I11" s="1186"/>
      <c r="J11" s="1186"/>
      <c r="M11" s="1186"/>
      <c r="N11" s="1186"/>
      <c r="Q11" s="1186" t="s">
        <v>71</v>
      </c>
      <c r="R11" s="1186"/>
      <c r="S11" s="31">
        <v>0.05</v>
      </c>
      <c r="T11">
        <v>16153481</v>
      </c>
      <c r="U11" s="1186">
        <f t="shared" si="0"/>
        <v>807674.05</v>
      </c>
      <c r="V11" s="1186"/>
      <c r="Y11" s="1186"/>
      <c r="Z11" s="1186"/>
      <c r="AC11" s="1186" t="s">
        <v>71</v>
      </c>
      <c r="AD11" s="1186"/>
      <c r="AE11">
        <v>2.88</v>
      </c>
      <c r="AF11">
        <v>189240.92</v>
      </c>
      <c r="AG11" s="1186">
        <f t="shared" si="1"/>
        <v>545013.84960000007</v>
      </c>
      <c r="AH11" s="1186"/>
      <c r="AK11" s="1186"/>
      <c r="AL11" s="1186"/>
      <c r="AW11" t="s">
        <v>92</v>
      </c>
      <c r="AX11">
        <v>27675</v>
      </c>
    </row>
    <row r="12" spans="1:50">
      <c r="A12" s="1186"/>
      <c r="B12" s="1186"/>
      <c r="E12" s="1186"/>
      <c r="F12" s="1186"/>
      <c r="I12" s="1186"/>
      <c r="J12" s="1186"/>
      <c r="M12" s="1186"/>
      <c r="N12" s="1186"/>
      <c r="Q12" s="1186" t="s">
        <v>72</v>
      </c>
      <c r="R12" s="1186"/>
      <c r="S12" s="31">
        <v>0.06</v>
      </c>
      <c r="T12">
        <v>18362306</v>
      </c>
      <c r="U12" s="1186">
        <f t="shared" si="0"/>
        <v>1101738.3599999999</v>
      </c>
      <c r="V12" s="1186"/>
      <c r="Y12" s="1186"/>
      <c r="Z12" s="1186"/>
      <c r="AC12" s="1186" t="s">
        <v>72</v>
      </c>
      <c r="AD12" s="1186"/>
      <c r="AE12">
        <v>3.24</v>
      </c>
      <c r="AF12">
        <v>203337.42</v>
      </c>
      <c r="AG12" s="1186">
        <f t="shared" si="1"/>
        <v>658813.24080000003</v>
      </c>
      <c r="AH12" s="1186"/>
      <c r="AK12" s="1186"/>
      <c r="AL12" s="1186"/>
      <c r="AW12" t="s">
        <v>93</v>
      </c>
      <c r="AX12">
        <v>22550</v>
      </c>
    </row>
    <row r="13" spans="1:50">
      <c r="A13" s="1186"/>
      <c r="B13" s="1186"/>
      <c r="E13" s="1186"/>
      <c r="F13" s="1186"/>
      <c r="I13" s="1186"/>
      <c r="J13" s="1186"/>
      <c r="M13" s="1186"/>
      <c r="N13" s="1186"/>
      <c r="Q13" s="1186" t="s">
        <v>73</v>
      </c>
      <c r="R13" s="1186"/>
      <c r="S13" s="31">
        <v>0.06</v>
      </c>
      <c r="T13">
        <v>15007494</v>
      </c>
      <c r="U13" s="1186">
        <f t="shared" si="0"/>
        <v>900449.64</v>
      </c>
      <c r="V13" s="1186"/>
      <c r="Y13" s="1186"/>
      <c r="Z13" s="1186"/>
      <c r="AC13" s="1186" t="s">
        <v>73</v>
      </c>
      <c r="AD13" s="1186"/>
      <c r="AE13">
        <v>3.23</v>
      </c>
      <c r="AF13">
        <v>158314.04999999999</v>
      </c>
      <c r="AG13" s="1186">
        <f t="shared" si="1"/>
        <v>511354.38149999996</v>
      </c>
      <c r="AH13" s="1186"/>
      <c r="AI13" s="31"/>
      <c r="AK13" s="1186"/>
      <c r="AL13" s="1186"/>
      <c r="AM13" s="31"/>
    </row>
    <row r="14" spans="1:50">
      <c r="A14" s="1186"/>
      <c r="B14" s="1186"/>
      <c r="E14" s="1186"/>
      <c r="F14" s="1186"/>
      <c r="I14" s="1186"/>
      <c r="J14" s="1186"/>
      <c r="M14" s="1186"/>
      <c r="N14" s="1186"/>
      <c r="Q14" s="1186" t="s">
        <v>95</v>
      </c>
      <c r="R14" s="1186"/>
      <c r="S14" s="31">
        <v>0.14000000000000001</v>
      </c>
      <c r="T14">
        <v>17494035</v>
      </c>
      <c r="U14" s="1186">
        <f t="shared" si="0"/>
        <v>2449164.9000000004</v>
      </c>
      <c r="V14" s="1186"/>
      <c r="Y14" s="1186"/>
      <c r="Z14" s="1186"/>
      <c r="AC14" s="1186" t="s">
        <v>95</v>
      </c>
      <c r="AD14" s="1186"/>
      <c r="AE14">
        <v>3.87</v>
      </c>
      <c r="AF14">
        <v>179836.41</v>
      </c>
      <c r="AG14" s="1186">
        <f t="shared" si="1"/>
        <v>695966.90670000005</v>
      </c>
      <c r="AH14" s="1186"/>
      <c r="AI14" s="31"/>
      <c r="AK14" s="1"/>
      <c r="AL14" s="1"/>
      <c r="AM14" s="31"/>
    </row>
    <row r="15" spans="1:50">
      <c r="A15" s="1186"/>
      <c r="B15" s="1186"/>
      <c r="E15" s="1186"/>
      <c r="F15" s="1186"/>
      <c r="I15" s="1186"/>
      <c r="J15" s="1186"/>
      <c r="M15" s="1186"/>
      <c r="N15" s="1186"/>
      <c r="Q15" s="1186" t="s">
        <v>96</v>
      </c>
      <c r="R15" s="1186"/>
      <c r="S15" s="31">
        <v>0.11</v>
      </c>
      <c r="T15">
        <v>11107191</v>
      </c>
      <c r="U15" s="1186">
        <f t="shared" si="0"/>
        <v>1221791.01</v>
      </c>
      <c r="V15" s="1186"/>
      <c r="Y15" s="1186"/>
      <c r="Z15" s="1186"/>
      <c r="AC15" s="1186" t="s">
        <v>96</v>
      </c>
      <c r="AD15" s="1186"/>
      <c r="AE15">
        <v>3.06</v>
      </c>
      <c r="AF15">
        <v>116927.65</v>
      </c>
      <c r="AG15" s="1186">
        <f t="shared" si="1"/>
        <v>357798.609</v>
      </c>
      <c r="AH15" s="1186"/>
      <c r="AI15" s="31"/>
      <c r="AK15" s="1"/>
      <c r="AL15" s="1"/>
      <c r="AM15" s="31"/>
    </row>
    <row r="16" spans="1:50">
      <c r="A16" s="1186"/>
      <c r="B16" s="1186"/>
      <c r="E16" s="1186"/>
      <c r="F16" s="1186"/>
      <c r="I16" s="1186"/>
      <c r="J16" s="1186"/>
      <c r="T16">
        <f>SUM(T8:T15)</f>
        <v>105169190</v>
      </c>
      <c r="U16">
        <f>SUM(U8:U15)</f>
        <v>9695295.5499999989</v>
      </c>
      <c r="AF16">
        <f>SUM(AF8:AF15)</f>
        <v>1192617.21</v>
      </c>
      <c r="AG16">
        <f>SUM(AG8:AG15)</f>
        <v>3793825.9354000008</v>
      </c>
    </row>
  </sheetData>
  <mergeCells count="165">
    <mergeCell ref="A14:B14"/>
    <mergeCell ref="E14:F14"/>
    <mergeCell ref="I14:J14"/>
    <mergeCell ref="M14:N14"/>
    <mergeCell ref="Q14:R14"/>
    <mergeCell ref="U14:V14"/>
    <mergeCell ref="AC15:AD15"/>
    <mergeCell ref="AG15:AH15"/>
    <mergeCell ref="A16:B16"/>
    <mergeCell ref="E16:F16"/>
    <mergeCell ref="I16:J16"/>
    <mergeCell ref="Y14:Z14"/>
    <mergeCell ref="AC14:AD14"/>
    <mergeCell ref="AG14:AH14"/>
    <mergeCell ref="A15:B15"/>
    <mergeCell ref="E15:F15"/>
    <mergeCell ref="I15:J15"/>
    <mergeCell ref="M15:N15"/>
    <mergeCell ref="Q15:R15"/>
    <mergeCell ref="U15:V15"/>
    <mergeCell ref="Y15:Z15"/>
    <mergeCell ref="AK12:AL12"/>
    <mergeCell ref="A13:B13"/>
    <mergeCell ref="E13:F13"/>
    <mergeCell ref="I13:J13"/>
    <mergeCell ref="M13:N13"/>
    <mergeCell ref="Q13:R13"/>
    <mergeCell ref="U13:V13"/>
    <mergeCell ref="Y13:Z13"/>
    <mergeCell ref="AC13:AD13"/>
    <mergeCell ref="AG13:AH13"/>
    <mergeCell ref="AK13:AL13"/>
    <mergeCell ref="A12:B12"/>
    <mergeCell ref="E12:F12"/>
    <mergeCell ref="I12:J12"/>
    <mergeCell ref="M12:N12"/>
    <mergeCell ref="Q12:R12"/>
    <mergeCell ref="U12:V12"/>
    <mergeCell ref="Y12:Z12"/>
    <mergeCell ref="AC12:AD12"/>
    <mergeCell ref="AG12:AH12"/>
    <mergeCell ref="AK10:AL10"/>
    <mergeCell ref="A11:B11"/>
    <mergeCell ref="E11:F11"/>
    <mergeCell ref="I11:J11"/>
    <mergeCell ref="M11:N11"/>
    <mergeCell ref="Q11:R11"/>
    <mergeCell ref="U11:V11"/>
    <mergeCell ref="Y11:Z11"/>
    <mergeCell ref="AC11:AD11"/>
    <mergeCell ref="AG11:AH11"/>
    <mergeCell ref="AK11:AL11"/>
    <mergeCell ref="A10:B10"/>
    <mergeCell ref="E10:F10"/>
    <mergeCell ref="I10:J10"/>
    <mergeCell ref="M10:N10"/>
    <mergeCell ref="Q10:R10"/>
    <mergeCell ref="U10:V10"/>
    <mergeCell ref="Y10:Z10"/>
    <mergeCell ref="AC10:AD10"/>
    <mergeCell ref="AG10:AH10"/>
    <mergeCell ref="Y8:Z8"/>
    <mergeCell ref="AC8:AD8"/>
    <mergeCell ref="AG8:AH8"/>
    <mergeCell ref="AK8:AL8"/>
    <mergeCell ref="A9:B9"/>
    <mergeCell ref="E9:F9"/>
    <mergeCell ref="I9:J9"/>
    <mergeCell ref="M9:N9"/>
    <mergeCell ref="Q9:R9"/>
    <mergeCell ref="U9:V9"/>
    <mergeCell ref="A8:B8"/>
    <mergeCell ref="E8:F8"/>
    <mergeCell ref="I8:J8"/>
    <mergeCell ref="M8:N8"/>
    <mergeCell ref="Q8:R8"/>
    <mergeCell ref="U8:V8"/>
    <mergeCell ref="Y9:Z9"/>
    <mergeCell ref="AC9:AD9"/>
    <mergeCell ref="AG9:AH9"/>
    <mergeCell ref="AK9:AL9"/>
    <mergeCell ref="Y7:Z7"/>
    <mergeCell ref="AC7:AD7"/>
    <mergeCell ref="AG7:AH7"/>
    <mergeCell ref="AK7:AL7"/>
    <mergeCell ref="AO7:AP7"/>
    <mergeCell ref="AS7:AT7"/>
    <mergeCell ref="A7:B7"/>
    <mergeCell ref="E7:F7"/>
    <mergeCell ref="I7:J7"/>
    <mergeCell ref="M7:N7"/>
    <mergeCell ref="Q7:R7"/>
    <mergeCell ref="U7:V7"/>
    <mergeCell ref="Y6:Z6"/>
    <mergeCell ref="AC6:AD6"/>
    <mergeCell ref="AG6:AH6"/>
    <mergeCell ref="AK6:AL6"/>
    <mergeCell ref="AO6:AP6"/>
    <mergeCell ref="AS6:AT6"/>
    <mergeCell ref="A6:B6"/>
    <mergeCell ref="E6:F6"/>
    <mergeCell ref="I6:J6"/>
    <mergeCell ref="M6:N6"/>
    <mergeCell ref="Q6:R6"/>
    <mergeCell ref="U6:V6"/>
    <mergeCell ref="Y5:Z5"/>
    <mergeCell ref="AC5:AD5"/>
    <mergeCell ref="AG5:AH5"/>
    <mergeCell ref="AK5:AL5"/>
    <mergeCell ref="AO5:AP5"/>
    <mergeCell ref="AS5:AT5"/>
    <mergeCell ref="A5:B5"/>
    <mergeCell ref="E5:F5"/>
    <mergeCell ref="I5:J5"/>
    <mergeCell ref="M5:N5"/>
    <mergeCell ref="Q5:R5"/>
    <mergeCell ref="U5:V5"/>
    <mergeCell ref="Y4:Z4"/>
    <mergeCell ref="AC4:AD4"/>
    <mergeCell ref="AG4:AH4"/>
    <mergeCell ref="AK4:AL4"/>
    <mergeCell ref="AO4:AP4"/>
    <mergeCell ref="AS4:AT4"/>
    <mergeCell ref="A4:B4"/>
    <mergeCell ref="E4:F4"/>
    <mergeCell ref="I4:J4"/>
    <mergeCell ref="M4:N4"/>
    <mergeCell ref="Q4:R4"/>
    <mergeCell ref="U4:V4"/>
    <mergeCell ref="Y3:Z3"/>
    <mergeCell ref="AC3:AD3"/>
    <mergeCell ref="AG3:AH3"/>
    <mergeCell ref="AK3:AL3"/>
    <mergeCell ref="AO3:AP3"/>
    <mergeCell ref="AS3:AT3"/>
    <mergeCell ref="A3:B3"/>
    <mergeCell ref="E3:F3"/>
    <mergeCell ref="I3:J3"/>
    <mergeCell ref="M3:N3"/>
    <mergeCell ref="Q3:R3"/>
    <mergeCell ref="U3:V3"/>
    <mergeCell ref="Y2:Z2"/>
    <mergeCell ref="AC2:AD2"/>
    <mergeCell ref="AG2:AH2"/>
    <mergeCell ref="AK2:AL2"/>
    <mergeCell ref="AO2:AP2"/>
    <mergeCell ref="AS2:AT2"/>
    <mergeCell ref="A2:B2"/>
    <mergeCell ref="E2:F2"/>
    <mergeCell ref="I2:J2"/>
    <mergeCell ref="M2:N2"/>
    <mergeCell ref="Q2:R2"/>
    <mergeCell ref="U2:V2"/>
    <mergeCell ref="Y1:AA1"/>
    <mergeCell ref="AC1:AE1"/>
    <mergeCell ref="AG1:AI1"/>
    <mergeCell ref="AK1:AM1"/>
    <mergeCell ref="AO1:AQ1"/>
    <mergeCell ref="AS1:AU1"/>
    <mergeCell ref="A1:C1"/>
    <mergeCell ref="E1:G1"/>
    <mergeCell ref="I1:K1"/>
    <mergeCell ref="M1:O1"/>
    <mergeCell ref="Q1:S1"/>
    <mergeCell ref="U1:W1"/>
  </mergeCell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6"/>
  <sheetViews>
    <sheetView zoomScaleNormal="100" workbookViewId="0">
      <selection activeCell="D9" sqref="D9"/>
    </sheetView>
  </sheetViews>
  <sheetFormatPr defaultRowHeight="15"/>
  <cols>
    <col min="1" max="38" width="10.7109375" customWidth="1"/>
    <col min="40" max="48" width="10.7109375" customWidth="1"/>
    <col min="49" max="49" width="20.85546875" bestFit="1" customWidth="1"/>
    <col min="50" max="50" width="28.7109375" bestFit="1" customWidth="1"/>
    <col min="51" max="51" width="10.7109375" customWidth="1"/>
  </cols>
  <sheetData>
    <row r="1" spans="1:50" ht="18.75" customHeight="1">
      <c r="A1" s="1186" t="s">
        <v>97</v>
      </c>
      <c r="B1" s="1186"/>
      <c r="C1" s="1186"/>
      <c r="E1" s="1186" t="s">
        <v>79</v>
      </c>
      <c r="F1" s="1186"/>
      <c r="G1" s="1186"/>
      <c r="I1" s="1186" t="s">
        <v>80</v>
      </c>
      <c r="J1" s="1186"/>
      <c r="K1" s="1186"/>
      <c r="M1" s="1186" t="s">
        <v>81</v>
      </c>
      <c r="N1" s="1186"/>
      <c r="O1" s="1186"/>
      <c r="Q1" s="1186" t="s">
        <v>82</v>
      </c>
      <c r="R1" s="1186"/>
      <c r="S1" s="1186"/>
      <c r="U1" s="1186" t="s">
        <v>83</v>
      </c>
      <c r="V1" s="1186"/>
      <c r="W1" s="1186"/>
      <c r="Y1" s="1186" t="s">
        <v>84</v>
      </c>
      <c r="Z1" s="1186"/>
      <c r="AA1" s="1186"/>
      <c r="AC1" s="1210" t="s">
        <v>85</v>
      </c>
      <c r="AD1" s="1210"/>
      <c r="AE1" s="1210"/>
      <c r="AG1" s="1210" t="s">
        <v>86</v>
      </c>
      <c r="AH1" s="1210"/>
      <c r="AI1" s="1210"/>
      <c r="AK1" s="1211" t="s">
        <v>87</v>
      </c>
      <c r="AL1" s="1210"/>
      <c r="AM1" s="1210"/>
      <c r="AO1" s="1210" t="s">
        <v>88</v>
      </c>
      <c r="AP1" s="1210"/>
      <c r="AQ1" s="1210"/>
      <c r="AS1" s="1210" t="s">
        <v>89</v>
      </c>
      <c r="AT1" s="1210"/>
      <c r="AU1" s="1210"/>
      <c r="AW1" t="s">
        <v>2</v>
      </c>
      <c r="AX1" s="238" t="s">
        <v>94</v>
      </c>
    </row>
    <row r="2" spans="1:50">
      <c r="A2" s="1186" t="s">
        <v>76</v>
      </c>
      <c r="B2" s="1186"/>
      <c r="C2">
        <v>99.11</v>
      </c>
      <c r="E2" s="1186" t="s">
        <v>76</v>
      </c>
      <c r="F2" s="1186"/>
      <c r="G2">
        <v>751.59</v>
      </c>
      <c r="I2" s="1186" t="s">
        <v>76</v>
      </c>
      <c r="J2" s="1186"/>
      <c r="K2">
        <v>13.94</v>
      </c>
      <c r="M2" s="1186" t="s">
        <v>76</v>
      </c>
      <c r="N2" s="1186"/>
      <c r="O2">
        <v>9.1199999999999992</v>
      </c>
      <c r="Q2" s="1186" t="s">
        <v>76</v>
      </c>
      <c r="R2" s="1186"/>
      <c r="S2">
        <v>0.36</v>
      </c>
      <c r="U2" s="1186" t="s">
        <v>76</v>
      </c>
      <c r="V2" s="1186"/>
      <c r="W2">
        <v>0.42</v>
      </c>
      <c r="Y2" s="1186" t="s">
        <v>76</v>
      </c>
      <c r="Z2" s="1186"/>
      <c r="AA2">
        <v>0.22</v>
      </c>
      <c r="AC2" s="1186" t="s">
        <v>76</v>
      </c>
      <c r="AD2" s="1186"/>
      <c r="AE2">
        <v>2.17</v>
      </c>
      <c r="AG2" s="1186" t="s">
        <v>76</v>
      </c>
      <c r="AH2" s="1186"/>
      <c r="AI2">
        <v>0.17</v>
      </c>
      <c r="AK2" s="1186" t="s">
        <v>76</v>
      </c>
      <c r="AL2" s="1186"/>
      <c r="AM2">
        <v>0.95</v>
      </c>
      <c r="AO2" s="1186" t="s">
        <v>76</v>
      </c>
      <c r="AP2" s="1186"/>
      <c r="AQ2">
        <v>1.33</v>
      </c>
      <c r="AS2" s="1186" t="s">
        <v>76</v>
      </c>
      <c r="AT2" s="1186"/>
      <c r="AU2">
        <v>2443</v>
      </c>
      <c r="AW2" t="s">
        <v>90</v>
      </c>
      <c r="AX2">
        <v>316325</v>
      </c>
    </row>
    <row r="3" spans="1:50">
      <c r="A3" s="1186" t="s">
        <v>77</v>
      </c>
      <c r="B3" s="1186"/>
      <c r="C3">
        <v>220.71</v>
      </c>
      <c r="E3" s="1186" t="s">
        <v>77</v>
      </c>
      <c r="F3" s="1186"/>
      <c r="G3">
        <v>634.92999999999995</v>
      </c>
      <c r="I3" s="1186" t="s">
        <v>77</v>
      </c>
      <c r="J3" s="1186"/>
      <c r="K3">
        <v>11.09</v>
      </c>
      <c r="M3" s="1186" t="s">
        <v>77</v>
      </c>
      <c r="N3" s="1186"/>
      <c r="O3">
        <v>6.48</v>
      </c>
      <c r="Q3" s="1186" t="s">
        <v>77</v>
      </c>
      <c r="R3" s="1186"/>
      <c r="S3">
        <v>0.33</v>
      </c>
      <c r="U3" s="1186" t="s">
        <v>77</v>
      </c>
      <c r="V3" s="1186"/>
      <c r="W3">
        <v>0.61</v>
      </c>
      <c r="Y3" s="1186" t="s">
        <v>77</v>
      </c>
      <c r="Z3" s="1186"/>
      <c r="AA3">
        <v>0.24</v>
      </c>
      <c r="AC3" s="1186" t="s">
        <v>77</v>
      </c>
      <c r="AD3" s="1186"/>
      <c r="AE3">
        <v>2.1</v>
      </c>
      <c r="AG3" s="1186" t="s">
        <v>77</v>
      </c>
      <c r="AH3" s="1186"/>
      <c r="AI3" s="31">
        <v>0.2</v>
      </c>
      <c r="AK3" s="1186" t="s">
        <v>77</v>
      </c>
      <c r="AL3" s="1186"/>
      <c r="AM3" s="31">
        <v>0.23</v>
      </c>
      <c r="AO3" s="1186" t="s">
        <v>77</v>
      </c>
      <c r="AP3" s="1186"/>
      <c r="AQ3" s="31">
        <v>1.77</v>
      </c>
      <c r="AS3" s="1186" t="s">
        <v>77</v>
      </c>
      <c r="AT3" s="1186"/>
      <c r="AU3" s="239">
        <v>3831</v>
      </c>
      <c r="AW3" t="s">
        <v>58</v>
      </c>
      <c r="AX3">
        <v>231336</v>
      </c>
    </row>
    <row r="4" spans="1:50">
      <c r="A4" s="1186" t="s">
        <v>78</v>
      </c>
      <c r="B4" s="1186"/>
      <c r="C4">
        <v>182.28</v>
      </c>
      <c r="E4" s="1186" t="s">
        <v>78</v>
      </c>
      <c r="F4" s="1186"/>
      <c r="G4">
        <v>713.71</v>
      </c>
      <c r="I4" s="1186" t="s">
        <v>78</v>
      </c>
      <c r="J4" s="1186"/>
      <c r="K4">
        <v>8.2100000000000009</v>
      </c>
      <c r="M4" s="1186" t="s">
        <v>78</v>
      </c>
      <c r="N4" s="1186"/>
      <c r="O4">
        <v>6.61</v>
      </c>
      <c r="Q4" s="1186" t="s">
        <v>78</v>
      </c>
      <c r="R4" s="1186"/>
      <c r="S4">
        <v>0.24</v>
      </c>
      <c r="U4" s="1186" t="s">
        <v>78</v>
      </c>
      <c r="V4" s="1186"/>
      <c r="W4">
        <v>0.32</v>
      </c>
      <c r="Y4" s="1186" t="s">
        <v>78</v>
      </c>
      <c r="Z4" s="1186"/>
      <c r="AA4" s="31">
        <v>0.2</v>
      </c>
      <c r="AC4" s="1186" t="s">
        <v>78</v>
      </c>
      <c r="AD4" s="1186"/>
      <c r="AE4" s="31">
        <v>2.71</v>
      </c>
      <c r="AG4" s="1186" t="s">
        <v>78</v>
      </c>
      <c r="AH4" s="1186"/>
      <c r="AI4" s="31">
        <v>0.08</v>
      </c>
      <c r="AK4" s="1186" t="s">
        <v>78</v>
      </c>
      <c r="AL4" s="1186"/>
      <c r="AM4" s="31">
        <v>0.9</v>
      </c>
      <c r="AO4" s="1186" t="s">
        <v>78</v>
      </c>
      <c r="AP4" s="1186"/>
      <c r="AQ4" s="31">
        <v>1.54</v>
      </c>
      <c r="AS4" s="1186" t="s">
        <v>78</v>
      </c>
      <c r="AT4" s="1186"/>
      <c r="AU4" s="239">
        <v>2628</v>
      </c>
      <c r="AW4" t="s">
        <v>59</v>
      </c>
      <c r="AX4">
        <v>207800</v>
      </c>
    </row>
    <row r="5" spans="1:50">
      <c r="A5" s="1186" t="s">
        <v>75</v>
      </c>
      <c r="B5" s="1186"/>
      <c r="C5">
        <v>107.49</v>
      </c>
      <c r="E5" s="1186" t="s">
        <v>75</v>
      </c>
      <c r="F5" s="1186"/>
      <c r="G5">
        <v>547.01</v>
      </c>
      <c r="I5" s="1186" t="s">
        <v>75</v>
      </c>
      <c r="J5" s="1186"/>
      <c r="K5">
        <v>6.13</v>
      </c>
      <c r="M5" s="1186" t="s">
        <v>75</v>
      </c>
      <c r="N5" s="1186"/>
      <c r="O5">
        <v>9.86</v>
      </c>
      <c r="Q5" s="1186" t="s">
        <v>75</v>
      </c>
      <c r="R5" s="1186"/>
      <c r="S5" s="31">
        <v>0.2</v>
      </c>
      <c r="U5" s="1186" t="s">
        <v>75</v>
      </c>
      <c r="V5" s="1186"/>
      <c r="W5" s="31">
        <v>0.26</v>
      </c>
      <c r="Y5" s="1186" t="s">
        <v>75</v>
      </c>
      <c r="Z5" s="1186"/>
      <c r="AA5" s="31">
        <v>0.19</v>
      </c>
      <c r="AC5" s="1186" t="s">
        <v>75</v>
      </c>
      <c r="AD5" s="1186"/>
      <c r="AE5" s="31">
        <v>3.51</v>
      </c>
      <c r="AG5" s="1186" t="s">
        <v>75</v>
      </c>
      <c r="AH5" s="1186"/>
      <c r="AI5" s="31">
        <v>0.06</v>
      </c>
      <c r="AK5" s="1186" t="s">
        <v>75</v>
      </c>
      <c r="AL5" s="1186"/>
      <c r="AM5" s="31">
        <v>0.87</v>
      </c>
      <c r="AO5" s="1186" t="s">
        <v>75</v>
      </c>
      <c r="AP5" s="1186"/>
      <c r="AQ5" s="31">
        <v>1.39</v>
      </c>
      <c r="AS5" s="1186" t="s">
        <v>75</v>
      </c>
      <c r="AT5" s="1186"/>
      <c r="AU5" s="239">
        <v>1865</v>
      </c>
      <c r="AW5" t="s">
        <v>55</v>
      </c>
      <c r="AX5">
        <v>179487</v>
      </c>
    </row>
    <row r="6" spans="1:50">
      <c r="A6" s="1186" t="s">
        <v>74</v>
      </c>
      <c r="B6" s="1186"/>
      <c r="C6">
        <v>99.51</v>
      </c>
      <c r="E6" s="1186" t="s">
        <v>74</v>
      </c>
      <c r="F6" s="1186"/>
      <c r="G6">
        <v>562.54</v>
      </c>
      <c r="I6" s="1186" t="s">
        <v>74</v>
      </c>
      <c r="J6" s="1186"/>
      <c r="K6">
        <v>3.96</v>
      </c>
      <c r="M6" s="1186" t="s">
        <v>74</v>
      </c>
      <c r="N6" s="1186"/>
      <c r="O6">
        <v>9.98</v>
      </c>
      <c r="Q6" s="1186" t="s">
        <v>74</v>
      </c>
      <c r="R6" s="1186"/>
      <c r="S6">
        <v>0.09</v>
      </c>
      <c r="U6" s="1186" t="s">
        <v>74</v>
      </c>
      <c r="V6" s="1186"/>
      <c r="W6">
        <v>0.13</v>
      </c>
      <c r="Y6" s="1186" t="s">
        <v>74</v>
      </c>
      <c r="Z6" s="1186"/>
      <c r="AA6">
        <v>0.18</v>
      </c>
      <c r="AC6" s="1186" t="s">
        <v>74</v>
      </c>
      <c r="AD6" s="1186"/>
      <c r="AE6">
        <v>2.97</v>
      </c>
      <c r="AG6" s="1186" t="s">
        <v>74</v>
      </c>
      <c r="AH6" s="1186"/>
      <c r="AI6">
        <v>0.15</v>
      </c>
      <c r="AK6" s="1186" t="s">
        <v>74</v>
      </c>
      <c r="AL6" s="1186"/>
      <c r="AM6">
        <v>0.37</v>
      </c>
      <c r="AO6" s="1186" t="s">
        <v>74</v>
      </c>
      <c r="AP6" s="1186"/>
      <c r="AQ6">
        <v>1.36</v>
      </c>
      <c r="AS6" s="1186" t="s">
        <v>74</v>
      </c>
      <c r="AT6" s="1186"/>
      <c r="AU6">
        <v>1310</v>
      </c>
      <c r="AW6" t="s">
        <v>56</v>
      </c>
      <c r="AX6">
        <v>105243</v>
      </c>
    </row>
    <row r="7" spans="1:50">
      <c r="A7" s="1186" t="s">
        <v>67</v>
      </c>
      <c r="B7" s="1186"/>
      <c r="C7">
        <v>110</v>
      </c>
      <c r="E7" s="1186" t="s">
        <v>67</v>
      </c>
      <c r="F7" s="1186"/>
      <c r="G7">
        <v>500</v>
      </c>
      <c r="I7" s="1186" t="s">
        <v>67</v>
      </c>
      <c r="J7" s="1186"/>
      <c r="K7">
        <v>6.1</v>
      </c>
      <c r="M7" s="1186" t="s">
        <v>67</v>
      </c>
      <c r="N7" s="1186"/>
      <c r="O7">
        <v>9.5</v>
      </c>
      <c r="Q7" s="1186" t="s">
        <v>67</v>
      </c>
      <c r="R7" s="1186"/>
      <c r="S7">
        <v>0.12</v>
      </c>
      <c r="U7" s="1186" t="s">
        <v>67</v>
      </c>
      <c r="V7" s="1186"/>
      <c r="W7">
        <v>0.22</v>
      </c>
      <c r="Y7" s="1186" t="s">
        <v>67</v>
      </c>
      <c r="Z7" s="1186"/>
      <c r="AA7" s="31">
        <v>0.2</v>
      </c>
      <c r="AC7" s="1186" t="s">
        <v>67</v>
      </c>
      <c r="AD7" s="1186"/>
      <c r="AE7" s="31">
        <v>3.5</v>
      </c>
      <c r="AG7" s="1186" t="s">
        <v>67</v>
      </c>
      <c r="AH7" s="1186"/>
      <c r="AI7" s="31">
        <v>0.1</v>
      </c>
      <c r="AK7" s="1186" t="s">
        <v>67</v>
      </c>
      <c r="AL7" s="1186"/>
      <c r="AM7" s="31">
        <v>1.32</v>
      </c>
      <c r="AO7" s="1186" t="s">
        <v>67</v>
      </c>
      <c r="AP7" s="1186"/>
      <c r="AQ7" s="31">
        <v>1.2</v>
      </c>
      <c r="AS7" s="1186" t="s">
        <v>67</v>
      </c>
      <c r="AT7" s="1186"/>
      <c r="AU7" s="239">
        <v>1372</v>
      </c>
      <c r="AW7" t="s">
        <v>44</v>
      </c>
      <c r="AX7">
        <v>74194</v>
      </c>
    </row>
    <row r="8" spans="1:50">
      <c r="A8" s="1186" t="s">
        <v>68</v>
      </c>
      <c r="B8" s="1186"/>
      <c r="C8">
        <v>476.14</v>
      </c>
      <c r="E8" s="1186" t="s">
        <v>68</v>
      </c>
      <c r="F8" s="1186"/>
      <c r="G8">
        <v>804</v>
      </c>
      <c r="I8" s="1186" t="s">
        <v>68</v>
      </c>
      <c r="J8" s="1186"/>
      <c r="K8">
        <v>0.72</v>
      </c>
      <c r="M8" s="1186" t="s">
        <v>68</v>
      </c>
      <c r="N8" s="1186"/>
      <c r="O8">
        <v>13.29</v>
      </c>
      <c r="Q8" s="1186" t="s">
        <v>68</v>
      </c>
      <c r="R8" s="1186"/>
      <c r="S8">
        <v>0.13</v>
      </c>
      <c r="U8" s="1186" t="s">
        <v>68</v>
      </c>
      <c r="V8" s="1186"/>
      <c r="W8">
        <v>0.15</v>
      </c>
      <c r="Y8" s="1186" t="s">
        <v>68</v>
      </c>
      <c r="Z8" s="1186"/>
      <c r="AA8">
        <v>0.04</v>
      </c>
      <c r="AC8" s="1186" t="s">
        <v>68</v>
      </c>
      <c r="AD8" s="1186"/>
      <c r="AE8">
        <v>1.9</v>
      </c>
      <c r="AG8" s="1186" t="s">
        <v>68</v>
      </c>
      <c r="AH8" s="1186"/>
      <c r="AI8">
        <v>0.98</v>
      </c>
      <c r="AK8" s="1186"/>
      <c r="AL8" s="1186"/>
      <c r="AW8" t="s">
        <v>57</v>
      </c>
      <c r="AX8">
        <v>72843</v>
      </c>
    </row>
    <row r="9" spans="1:50">
      <c r="A9" s="1186" t="s">
        <v>69</v>
      </c>
      <c r="B9" s="1186"/>
      <c r="C9">
        <v>66.97</v>
      </c>
      <c r="E9" s="1186" t="s">
        <v>69</v>
      </c>
      <c r="F9" s="1186"/>
      <c r="G9">
        <v>687</v>
      </c>
      <c r="I9" s="1186" t="s">
        <v>69</v>
      </c>
      <c r="J9" s="1186"/>
      <c r="K9">
        <v>2.99</v>
      </c>
      <c r="M9" s="1186" t="s">
        <v>69</v>
      </c>
      <c r="N9" s="1186"/>
      <c r="O9">
        <v>7.1</v>
      </c>
      <c r="Q9" s="1186" t="s">
        <v>69</v>
      </c>
      <c r="R9" s="1186"/>
      <c r="S9">
        <v>0.16</v>
      </c>
      <c r="U9" s="1186" t="s">
        <v>69</v>
      </c>
      <c r="V9" s="1186"/>
      <c r="W9">
        <v>0.28000000000000003</v>
      </c>
      <c r="Y9" s="1186" t="s">
        <v>69</v>
      </c>
      <c r="Z9" s="1186"/>
      <c r="AA9">
        <v>0.15</v>
      </c>
      <c r="AC9" s="1186" t="s">
        <v>69</v>
      </c>
      <c r="AD9" s="1186"/>
      <c r="AE9">
        <v>3.04</v>
      </c>
      <c r="AG9" s="1186" t="s">
        <v>69</v>
      </c>
      <c r="AH9" s="1186"/>
      <c r="AI9">
        <v>0.08</v>
      </c>
      <c r="AK9" s="1186"/>
      <c r="AL9" s="1186"/>
      <c r="AW9" t="s">
        <v>60</v>
      </c>
      <c r="AX9">
        <v>43366</v>
      </c>
    </row>
    <row r="10" spans="1:50">
      <c r="A10" s="1186" t="s">
        <v>70</v>
      </c>
      <c r="B10" s="1186"/>
      <c r="C10">
        <v>0</v>
      </c>
      <c r="E10" s="1186" t="s">
        <v>70</v>
      </c>
      <c r="F10" s="1186"/>
      <c r="G10">
        <v>505</v>
      </c>
      <c r="I10" s="1186" t="s">
        <v>70</v>
      </c>
      <c r="J10" s="1186"/>
      <c r="K10">
        <v>3.48</v>
      </c>
      <c r="M10" s="1186" t="s">
        <v>70</v>
      </c>
      <c r="N10" s="1186"/>
      <c r="O10">
        <v>8.1</v>
      </c>
      <c r="Q10" s="1186" t="s">
        <v>70</v>
      </c>
      <c r="R10" s="1186"/>
      <c r="S10">
        <v>0.09</v>
      </c>
      <c r="U10" s="1186" t="s">
        <v>70</v>
      </c>
      <c r="V10" s="1186"/>
      <c r="W10">
        <v>0.09</v>
      </c>
      <c r="Y10" s="1186" t="s">
        <v>70</v>
      </c>
      <c r="Z10" s="1186"/>
      <c r="AA10">
        <v>0.15</v>
      </c>
      <c r="AC10" s="1186" t="s">
        <v>70</v>
      </c>
      <c r="AD10" s="1186"/>
      <c r="AE10">
        <v>2.94</v>
      </c>
      <c r="AG10" s="1186" t="s">
        <v>70</v>
      </c>
      <c r="AH10" s="1186"/>
      <c r="AI10">
        <v>0.09</v>
      </c>
      <c r="AK10" s="1186"/>
      <c r="AL10" s="1186"/>
      <c r="AW10" t="s">
        <v>91</v>
      </c>
      <c r="AX10">
        <v>28770</v>
      </c>
    </row>
    <row r="11" spans="1:50">
      <c r="A11" s="1186" t="s">
        <v>71</v>
      </c>
      <c r="B11" s="1186"/>
      <c r="C11">
        <v>132.36000000000001</v>
      </c>
      <c r="E11" s="1186" t="s">
        <v>71</v>
      </c>
      <c r="F11" s="1186"/>
      <c r="G11">
        <v>566</v>
      </c>
      <c r="I11" s="1186" t="s">
        <v>71</v>
      </c>
      <c r="J11" s="1186"/>
      <c r="K11">
        <v>5.03</v>
      </c>
      <c r="M11" s="1186" t="s">
        <v>71</v>
      </c>
      <c r="N11" s="1186"/>
      <c r="O11">
        <v>8.57</v>
      </c>
      <c r="Q11" s="1186" t="s">
        <v>71</v>
      </c>
      <c r="R11" s="1186"/>
      <c r="S11">
        <v>0.05</v>
      </c>
      <c r="U11" s="1186" t="s">
        <v>71</v>
      </c>
      <c r="V11" s="1186"/>
      <c r="W11">
        <v>0.09</v>
      </c>
      <c r="Y11" s="1186" t="s">
        <v>71</v>
      </c>
      <c r="Z11" s="1186"/>
      <c r="AA11">
        <v>0.17</v>
      </c>
      <c r="AC11" s="1186" t="s">
        <v>71</v>
      </c>
      <c r="AD11" s="1186"/>
      <c r="AE11">
        <v>2.88</v>
      </c>
      <c r="AG11" s="1186" t="s">
        <v>71</v>
      </c>
      <c r="AH11" s="1186"/>
      <c r="AI11">
        <v>0.13</v>
      </c>
      <c r="AK11" s="1186"/>
      <c r="AL11" s="1186"/>
      <c r="AW11" t="s">
        <v>92</v>
      </c>
      <c r="AX11">
        <v>27675</v>
      </c>
    </row>
    <row r="12" spans="1:50">
      <c r="A12" s="1186" t="s">
        <v>72</v>
      </c>
      <c r="B12" s="1186"/>
      <c r="C12">
        <v>210.76</v>
      </c>
      <c r="E12" s="1186" t="s">
        <v>72</v>
      </c>
      <c r="F12" s="1186"/>
      <c r="G12">
        <v>565</v>
      </c>
      <c r="I12" s="1186" t="s">
        <v>72</v>
      </c>
      <c r="J12" s="1186"/>
      <c r="K12">
        <v>5.83</v>
      </c>
      <c r="M12" s="1186" t="s">
        <v>72</v>
      </c>
      <c r="N12" s="1186"/>
      <c r="O12">
        <v>10.36</v>
      </c>
      <c r="Q12" s="1186" t="s">
        <v>72</v>
      </c>
      <c r="R12" s="1186"/>
      <c r="S12">
        <v>0.06</v>
      </c>
      <c r="U12" s="1186" t="s">
        <v>72</v>
      </c>
      <c r="V12" s="1186"/>
      <c r="W12">
        <v>0.13</v>
      </c>
      <c r="Y12" s="1186" t="s">
        <v>72</v>
      </c>
      <c r="Z12" s="1186"/>
      <c r="AA12">
        <v>0.23</v>
      </c>
      <c r="AC12" s="1186" t="s">
        <v>72</v>
      </c>
      <c r="AD12" s="1186"/>
      <c r="AE12">
        <v>3.24</v>
      </c>
      <c r="AG12" s="1186" t="s">
        <v>72</v>
      </c>
      <c r="AH12" s="1186"/>
      <c r="AI12">
        <v>0.26</v>
      </c>
      <c r="AK12" s="1186"/>
      <c r="AL12" s="1186"/>
      <c r="AW12" t="s">
        <v>93</v>
      </c>
      <c r="AX12">
        <v>22550</v>
      </c>
    </row>
    <row r="13" spans="1:50">
      <c r="A13" s="1186" t="s">
        <v>73</v>
      </c>
      <c r="B13" s="1186"/>
      <c r="C13">
        <v>46.72</v>
      </c>
      <c r="E13" s="1186" t="s">
        <v>73</v>
      </c>
      <c r="F13" s="1186"/>
      <c r="G13">
        <v>563</v>
      </c>
      <c r="I13" s="1186" t="s">
        <v>73</v>
      </c>
      <c r="J13" s="1186"/>
      <c r="K13">
        <v>4.3499999999999996</v>
      </c>
      <c r="M13" s="1186" t="s">
        <v>73</v>
      </c>
      <c r="N13" s="1186"/>
      <c r="O13">
        <v>10.87</v>
      </c>
      <c r="Q13" s="1186" t="s">
        <v>73</v>
      </c>
      <c r="R13" s="1186"/>
      <c r="S13">
        <v>0.06</v>
      </c>
      <c r="U13" s="1186" t="s">
        <v>73</v>
      </c>
      <c r="V13" s="1186"/>
      <c r="W13">
        <v>0.11</v>
      </c>
      <c r="Y13" s="1186" t="s">
        <v>73</v>
      </c>
      <c r="Z13" s="1186"/>
      <c r="AA13">
        <v>0.23</v>
      </c>
      <c r="AC13" s="1186" t="s">
        <v>73</v>
      </c>
      <c r="AD13" s="1186"/>
      <c r="AE13">
        <v>3.23</v>
      </c>
      <c r="AG13" s="1186" t="s">
        <v>73</v>
      </c>
      <c r="AH13" s="1186"/>
      <c r="AI13" s="31">
        <v>0.1</v>
      </c>
      <c r="AK13" s="1186"/>
      <c r="AL13" s="1186"/>
      <c r="AM13" s="31"/>
    </row>
    <row r="14" spans="1:50">
      <c r="A14" s="1186" t="s">
        <v>95</v>
      </c>
      <c r="B14" s="1186"/>
      <c r="C14">
        <v>108.36</v>
      </c>
      <c r="E14" s="1186" t="s">
        <v>95</v>
      </c>
      <c r="F14" s="1186"/>
      <c r="G14">
        <v>719</v>
      </c>
      <c r="I14" s="1186" t="s">
        <v>95</v>
      </c>
      <c r="J14" s="1186"/>
      <c r="K14">
        <v>4.34</v>
      </c>
      <c r="M14" s="1186" t="s">
        <v>95</v>
      </c>
      <c r="N14" s="1186"/>
      <c r="O14">
        <v>14.54</v>
      </c>
      <c r="Q14" s="1186" t="s">
        <v>95</v>
      </c>
      <c r="R14" s="1186"/>
      <c r="S14">
        <v>0.14000000000000001</v>
      </c>
      <c r="U14" s="1186" t="s">
        <v>95</v>
      </c>
      <c r="V14" s="1186"/>
      <c r="W14">
        <v>0.08</v>
      </c>
      <c r="Y14" s="1186" t="s">
        <v>95</v>
      </c>
      <c r="Z14" s="1186"/>
      <c r="AA14">
        <v>0.22</v>
      </c>
      <c r="AC14" s="1186" t="s">
        <v>95</v>
      </c>
      <c r="AD14" s="1186"/>
      <c r="AE14">
        <v>3.87</v>
      </c>
      <c r="AG14" s="1186" t="s">
        <v>95</v>
      </c>
      <c r="AH14" s="1186"/>
      <c r="AI14" s="31">
        <v>0.47</v>
      </c>
      <c r="AK14" s="1"/>
      <c r="AL14" s="1"/>
      <c r="AM14" s="31"/>
      <c r="AX14" s="837"/>
    </row>
    <row r="15" spans="1:50">
      <c r="A15" s="1186" t="s">
        <v>96</v>
      </c>
      <c r="B15" s="1186"/>
      <c r="C15">
        <v>34.24</v>
      </c>
      <c r="E15" s="1186" t="s">
        <v>96</v>
      </c>
      <c r="F15" s="1186"/>
      <c r="G15">
        <v>199</v>
      </c>
      <c r="I15" s="1186" t="s">
        <v>96</v>
      </c>
      <c r="J15" s="1186"/>
      <c r="K15">
        <v>4.58</v>
      </c>
      <c r="M15" s="1186" t="s">
        <v>96</v>
      </c>
      <c r="N15" s="1186"/>
      <c r="O15">
        <v>19.05</v>
      </c>
      <c r="Q15" s="1186" t="s">
        <v>96</v>
      </c>
      <c r="R15" s="1186"/>
      <c r="S15">
        <v>0.11</v>
      </c>
      <c r="U15" s="1186" t="s">
        <v>96</v>
      </c>
      <c r="V15" s="1186"/>
      <c r="W15">
        <v>0.08</v>
      </c>
      <c r="Y15" s="1186" t="s">
        <v>96</v>
      </c>
      <c r="Z15" s="1186"/>
      <c r="AA15">
        <v>0.14000000000000001</v>
      </c>
      <c r="AC15" s="1186" t="s">
        <v>96</v>
      </c>
      <c r="AD15" s="1186"/>
      <c r="AE15">
        <v>3.06</v>
      </c>
      <c r="AG15" s="1186" t="s">
        <v>96</v>
      </c>
      <c r="AH15" s="1186"/>
      <c r="AI15" s="31">
        <v>0.09</v>
      </c>
      <c r="AK15" s="1"/>
      <c r="AL15" s="1"/>
      <c r="AM15" s="31"/>
      <c r="AX15" s="837"/>
    </row>
    <row r="16" spans="1:50">
      <c r="A16" s="1186"/>
      <c r="B16" s="1186"/>
      <c r="E16" s="1186"/>
      <c r="F16" s="1186"/>
      <c r="I16" s="1186"/>
      <c r="J16" s="1186"/>
    </row>
  </sheetData>
  <mergeCells count="165">
    <mergeCell ref="AK9:AL9"/>
    <mergeCell ref="AK10:AL10"/>
    <mergeCell ref="AK11:AL11"/>
    <mergeCell ref="AK12:AL12"/>
    <mergeCell ref="AK13:AL13"/>
    <mergeCell ref="AG1:AI1"/>
    <mergeCell ref="AK2:AL2"/>
    <mergeCell ref="AK3:AL3"/>
    <mergeCell ref="AK4:AL4"/>
    <mergeCell ref="AK5:AL5"/>
    <mergeCell ref="AK6:AL6"/>
    <mergeCell ref="AK7:AL7"/>
    <mergeCell ref="AK8:AL8"/>
    <mergeCell ref="AK1:AM1"/>
    <mergeCell ref="AC1:AE1"/>
    <mergeCell ref="Y11:Z11"/>
    <mergeCell ref="Y12:Z12"/>
    <mergeCell ref="Y13:Z13"/>
    <mergeCell ref="AC2:AD2"/>
    <mergeCell ref="AC3:AD3"/>
    <mergeCell ref="AC4:AD4"/>
    <mergeCell ref="AC5:AD5"/>
    <mergeCell ref="AC6:AD6"/>
    <mergeCell ref="AC7:AD7"/>
    <mergeCell ref="AC8:AD8"/>
    <mergeCell ref="AC9:AD9"/>
    <mergeCell ref="AC10:AD10"/>
    <mergeCell ref="AC11:AD11"/>
    <mergeCell ref="AC12:AD12"/>
    <mergeCell ref="AC13:AD13"/>
    <mergeCell ref="Y6:Z6"/>
    <mergeCell ref="Y7:Z7"/>
    <mergeCell ref="Y8:Z8"/>
    <mergeCell ref="Y9:Z9"/>
    <mergeCell ref="Y10:Z10"/>
    <mergeCell ref="Y1:AA1"/>
    <mergeCell ref="Y2:Z2"/>
    <mergeCell ref="Y3:Z3"/>
    <mergeCell ref="A2:B2"/>
    <mergeCell ref="E2:F2"/>
    <mergeCell ref="A3:B3"/>
    <mergeCell ref="E3:F3"/>
    <mergeCell ref="A4:B4"/>
    <mergeCell ref="E4:F4"/>
    <mergeCell ref="I6:J6"/>
    <mergeCell ref="I7:J7"/>
    <mergeCell ref="I1:K1"/>
    <mergeCell ref="E1:G1"/>
    <mergeCell ref="A1:C1"/>
    <mergeCell ref="I2:J2"/>
    <mergeCell ref="I3:J3"/>
    <mergeCell ref="I4:J4"/>
    <mergeCell ref="I5:J5"/>
    <mergeCell ref="A5:B5"/>
    <mergeCell ref="E5:F5"/>
    <mergeCell ref="E6:F6"/>
    <mergeCell ref="E7:F7"/>
    <mergeCell ref="A6:B6"/>
    <mergeCell ref="A7:B7"/>
    <mergeCell ref="A16:B16"/>
    <mergeCell ref="E16:F16"/>
    <mergeCell ref="I16:J16"/>
    <mergeCell ref="I8:J8"/>
    <mergeCell ref="I9:J9"/>
    <mergeCell ref="I10:J10"/>
    <mergeCell ref="I11:J11"/>
    <mergeCell ref="I12:J12"/>
    <mergeCell ref="I13:J13"/>
    <mergeCell ref="E12:F12"/>
    <mergeCell ref="E13:F13"/>
    <mergeCell ref="A12:B12"/>
    <mergeCell ref="A13:B13"/>
    <mergeCell ref="E8:F8"/>
    <mergeCell ref="E9:F9"/>
    <mergeCell ref="E10:F10"/>
    <mergeCell ref="E11:F11"/>
    <mergeCell ref="A8:B8"/>
    <mergeCell ref="A9:B9"/>
    <mergeCell ref="A10:B10"/>
    <mergeCell ref="A11:B11"/>
    <mergeCell ref="A14:B14"/>
    <mergeCell ref="A15:B15"/>
    <mergeCell ref="E14:F14"/>
    <mergeCell ref="M1:O1"/>
    <mergeCell ref="M2:N2"/>
    <mergeCell ref="M3:N3"/>
    <mergeCell ref="M4:N4"/>
    <mergeCell ref="M5:N5"/>
    <mergeCell ref="M6:N6"/>
    <mergeCell ref="U2:V2"/>
    <mergeCell ref="U3:V3"/>
    <mergeCell ref="U4:V4"/>
    <mergeCell ref="U5:V5"/>
    <mergeCell ref="Q1:S1"/>
    <mergeCell ref="U1:W1"/>
    <mergeCell ref="M13:N13"/>
    <mergeCell ref="Q2:R2"/>
    <mergeCell ref="Q3:R3"/>
    <mergeCell ref="Q4:R4"/>
    <mergeCell ref="Q5:R5"/>
    <mergeCell ref="Q6:R6"/>
    <mergeCell ref="Q7:R7"/>
    <mergeCell ref="Q8:R8"/>
    <mergeCell ref="Q9:R9"/>
    <mergeCell ref="M7:N7"/>
    <mergeCell ref="M8:N8"/>
    <mergeCell ref="M9:N9"/>
    <mergeCell ref="Q10:R10"/>
    <mergeCell ref="Q11:R11"/>
    <mergeCell ref="Q12:R12"/>
    <mergeCell ref="Q13:R13"/>
    <mergeCell ref="M12:N12"/>
    <mergeCell ref="M10:N10"/>
    <mergeCell ref="M11:N11"/>
    <mergeCell ref="U13:V13"/>
    <mergeCell ref="U6:V6"/>
    <mergeCell ref="U7:V7"/>
    <mergeCell ref="U8:V8"/>
    <mergeCell ref="U9:V9"/>
    <mergeCell ref="U10:V10"/>
    <mergeCell ref="U11:V11"/>
    <mergeCell ref="AG2:AH2"/>
    <mergeCell ref="AG3:AH3"/>
    <mergeCell ref="AG4:AH4"/>
    <mergeCell ref="AG5:AH5"/>
    <mergeCell ref="AG6:AH6"/>
    <mergeCell ref="AG7:AH7"/>
    <mergeCell ref="AG8:AH8"/>
    <mergeCell ref="AG9:AH9"/>
    <mergeCell ref="AG10:AH10"/>
    <mergeCell ref="AG11:AH11"/>
    <mergeCell ref="AG12:AH12"/>
    <mergeCell ref="AG13:AH13"/>
    <mergeCell ref="U12:V12"/>
    <mergeCell ref="Y4:Z4"/>
    <mergeCell ref="Y5:Z5"/>
    <mergeCell ref="AO1:AQ1"/>
    <mergeCell ref="AO2:AP2"/>
    <mergeCell ref="AO3:AP3"/>
    <mergeCell ref="AO4:AP4"/>
    <mergeCell ref="AO5:AP5"/>
    <mergeCell ref="AO6:AP6"/>
    <mergeCell ref="AO7:AP7"/>
    <mergeCell ref="AS2:AT2"/>
    <mergeCell ref="AS3:AT3"/>
    <mergeCell ref="AS4:AT4"/>
    <mergeCell ref="AS5:AT5"/>
    <mergeCell ref="AS6:AT6"/>
    <mergeCell ref="AS7:AT7"/>
    <mergeCell ref="AS1:AU1"/>
    <mergeCell ref="AG15:AH15"/>
    <mergeCell ref="AG14:AH14"/>
    <mergeCell ref="E15:F15"/>
    <mergeCell ref="I14:J14"/>
    <mergeCell ref="I15:J15"/>
    <mergeCell ref="Y14:Z14"/>
    <mergeCell ref="Y15:Z15"/>
    <mergeCell ref="U14:V14"/>
    <mergeCell ref="U15:V15"/>
    <mergeCell ref="Q14:R14"/>
    <mergeCell ref="Q15:R15"/>
    <mergeCell ref="M14:N14"/>
    <mergeCell ref="M15:N15"/>
    <mergeCell ref="AC14:AD14"/>
    <mergeCell ref="AC15:AD15"/>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019"/>
  <sheetViews>
    <sheetView workbookViewId="0">
      <selection activeCell="E10" sqref="E10"/>
    </sheetView>
  </sheetViews>
  <sheetFormatPr defaultRowHeight="15"/>
  <cols>
    <col min="1" max="1" width="14.42578125" customWidth="1"/>
    <col min="2" max="2" width="34.28515625" bestFit="1" customWidth="1"/>
    <col min="3" max="22" width="14.42578125" customWidth="1"/>
  </cols>
  <sheetData>
    <row r="1" spans="1:44" ht="92.25" customHeight="1">
      <c r="A1" s="1222"/>
      <c r="B1" s="1222"/>
      <c r="C1" s="1223" t="s">
        <v>267</v>
      </c>
      <c r="D1" s="1223"/>
      <c r="E1" s="1223"/>
      <c r="F1" s="1223"/>
      <c r="G1" s="1223"/>
      <c r="H1" s="1223"/>
      <c r="I1" s="1223"/>
      <c r="J1" s="1223"/>
      <c r="K1" s="1223"/>
      <c r="L1" s="1223"/>
      <c r="M1" s="1223"/>
      <c r="N1" s="1223"/>
      <c r="O1" s="1223"/>
      <c r="P1" s="1223"/>
      <c r="Q1" s="1223"/>
      <c r="R1" s="1223"/>
      <c r="S1" s="1223"/>
      <c r="T1" s="1223"/>
      <c r="U1" s="1223"/>
      <c r="V1" s="1223"/>
      <c r="W1" s="873"/>
      <c r="X1" s="873"/>
      <c r="Y1" s="873"/>
      <c r="Z1" s="873"/>
      <c r="AA1" s="873"/>
      <c r="AB1" s="873"/>
      <c r="AC1" s="873"/>
      <c r="AD1" s="873"/>
      <c r="AE1" s="873"/>
      <c r="AF1" s="873"/>
      <c r="AG1" s="873"/>
      <c r="AH1" s="873"/>
      <c r="AI1" s="873"/>
      <c r="AJ1" s="873"/>
      <c r="AK1" s="873"/>
      <c r="AL1" s="873"/>
      <c r="AM1" s="873"/>
      <c r="AN1" s="873"/>
      <c r="AO1" s="873"/>
      <c r="AP1" s="873"/>
      <c r="AQ1" s="873"/>
      <c r="AR1" s="873"/>
    </row>
    <row r="2" spans="1:44">
      <c r="A2" s="1222"/>
      <c r="B2" s="1222"/>
      <c r="C2" s="1224" t="s">
        <v>268</v>
      </c>
      <c r="D2" s="1224"/>
      <c r="E2" s="1224"/>
      <c r="F2" s="1224"/>
      <c r="G2" s="1224"/>
      <c r="H2" s="1225" t="s">
        <v>269</v>
      </c>
      <c r="I2" s="1225"/>
      <c r="J2" s="1225"/>
      <c r="K2" s="1224" t="s">
        <v>270</v>
      </c>
      <c r="L2" s="1224"/>
      <c r="M2" s="1224"/>
      <c r="N2" s="1224"/>
      <c r="O2" s="1224"/>
      <c r="P2" s="1226" t="s">
        <v>271</v>
      </c>
      <c r="Q2" s="1226" t="s">
        <v>272</v>
      </c>
      <c r="R2" s="1226"/>
      <c r="S2" s="1225" t="s">
        <v>273</v>
      </c>
      <c r="T2" s="1225"/>
      <c r="U2" s="1226" t="s">
        <v>274</v>
      </c>
      <c r="V2" s="1226"/>
      <c r="W2" s="873"/>
      <c r="X2" s="873"/>
      <c r="Y2" s="873"/>
      <c r="Z2" s="873"/>
      <c r="AA2" s="873"/>
      <c r="AB2" s="873"/>
      <c r="AC2" s="873"/>
      <c r="AD2" s="873"/>
      <c r="AE2" s="873"/>
      <c r="AF2" s="873"/>
      <c r="AG2" s="873"/>
      <c r="AH2" s="873"/>
      <c r="AI2" s="873"/>
      <c r="AJ2" s="873"/>
      <c r="AK2" s="873"/>
      <c r="AL2" s="873"/>
      <c r="AM2" s="873"/>
      <c r="AN2" s="873"/>
      <c r="AO2" s="873"/>
      <c r="AP2" s="873"/>
      <c r="AQ2" s="873"/>
      <c r="AR2" s="873"/>
    </row>
    <row r="3" spans="1:44">
      <c r="A3" s="1222"/>
      <c r="B3" s="1222"/>
      <c r="C3" s="874" t="s">
        <v>275</v>
      </c>
      <c r="D3" s="874" t="s">
        <v>276</v>
      </c>
      <c r="E3" s="875" t="s">
        <v>277</v>
      </c>
      <c r="F3" s="875" t="s">
        <v>278</v>
      </c>
      <c r="G3" s="875" t="s">
        <v>279</v>
      </c>
      <c r="H3" s="875" t="s">
        <v>3</v>
      </c>
      <c r="I3" s="876" t="s">
        <v>279</v>
      </c>
      <c r="J3" s="876" t="s">
        <v>280</v>
      </c>
      <c r="K3" s="874" t="s">
        <v>275</v>
      </c>
      <c r="L3" s="874" t="s">
        <v>276</v>
      </c>
      <c r="M3" s="875" t="s">
        <v>277</v>
      </c>
      <c r="N3" s="875" t="s">
        <v>278</v>
      </c>
      <c r="O3" s="875" t="s">
        <v>279</v>
      </c>
      <c r="P3" s="1226"/>
      <c r="Q3" s="877" t="s">
        <v>257</v>
      </c>
      <c r="R3" s="878" t="s">
        <v>184</v>
      </c>
      <c r="S3" s="1225"/>
      <c r="T3" s="1225"/>
      <c r="U3" s="877" t="s">
        <v>258</v>
      </c>
      <c r="V3" s="878" t="s">
        <v>264</v>
      </c>
      <c r="W3" s="873"/>
      <c r="X3" s="873"/>
      <c r="Y3" s="873"/>
      <c r="Z3" s="873"/>
      <c r="AA3" s="873"/>
      <c r="AB3" s="873"/>
      <c r="AC3" s="873"/>
      <c r="AD3" s="873"/>
      <c r="AE3" s="873"/>
      <c r="AF3" s="873"/>
      <c r="AG3" s="873"/>
      <c r="AH3" s="873"/>
      <c r="AI3" s="873"/>
      <c r="AJ3" s="873"/>
      <c r="AK3" s="873"/>
      <c r="AL3" s="873"/>
      <c r="AM3" s="873"/>
      <c r="AN3" s="873"/>
      <c r="AO3" s="873"/>
      <c r="AP3" s="873"/>
      <c r="AQ3" s="873"/>
      <c r="AR3" s="873"/>
    </row>
    <row r="4" spans="1:44" ht="17.25">
      <c r="A4" s="879" t="s">
        <v>281</v>
      </c>
      <c r="B4" s="880"/>
      <c r="C4" s="881"/>
      <c r="D4" s="881"/>
      <c r="E4" s="881"/>
      <c r="F4" s="881"/>
      <c r="G4" s="881"/>
      <c r="H4" s="881"/>
      <c r="I4" s="881"/>
      <c r="J4" s="881"/>
      <c r="K4" s="881"/>
      <c r="L4" s="881"/>
      <c r="M4" s="881"/>
      <c r="N4" s="881"/>
      <c r="O4" s="881"/>
      <c r="P4" s="881"/>
      <c r="Q4" s="881"/>
      <c r="R4" s="881"/>
      <c r="S4" s="881"/>
      <c r="T4" s="881"/>
      <c r="U4" s="881"/>
      <c r="V4" s="881"/>
      <c r="W4" s="873"/>
      <c r="X4" s="873"/>
      <c r="Y4" s="873"/>
      <c r="Z4" s="873"/>
      <c r="AA4" s="873"/>
      <c r="AB4" s="873"/>
      <c r="AC4" s="873"/>
      <c r="AD4" s="873"/>
      <c r="AE4" s="873"/>
      <c r="AF4" s="873"/>
      <c r="AG4" s="873"/>
      <c r="AH4" s="873"/>
      <c r="AI4" s="873"/>
      <c r="AJ4" s="873"/>
      <c r="AK4" s="873"/>
      <c r="AL4" s="873"/>
      <c r="AM4" s="873"/>
      <c r="AN4" s="873"/>
      <c r="AO4" s="873"/>
      <c r="AP4" s="873"/>
      <c r="AQ4" s="873"/>
      <c r="AR4" s="873"/>
    </row>
    <row r="5" spans="1:44">
      <c r="A5" s="882">
        <v>56484001</v>
      </c>
      <c r="B5" s="883" t="s">
        <v>12</v>
      </c>
      <c r="C5" s="884">
        <v>0</v>
      </c>
      <c r="D5" s="884">
        <v>0</v>
      </c>
      <c r="E5" s="884">
        <f t="shared" ref="E5:E22" si="0">C5+D5</f>
        <v>0</v>
      </c>
      <c r="F5" s="885">
        <v>0.61</v>
      </c>
      <c r="G5" s="885">
        <f t="shared" ref="G5:G22" si="1">F5*E5</f>
        <v>0</v>
      </c>
      <c r="H5" s="884">
        <v>485870</v>
      </c>
      <c r="I5" s="885">
        <v>497936.85</v>
      </c>
      <c r="J5" s="885">
        <f t="shared" ref="J5:J22" si="2">I5/H5</f>
        <v>1.0248355527198634</v>
      </c>
      <c r="K5" s="884">
        <v>0</v>
      </c>
      <c r="L5" s="884">
        <v>11089.498547733487</v>
      </c>
      <c r="M5" s="884">
        <f t="shared" ref="M5:M22" si="3">K5+L5</f>
        <v>11089.498547733487</v>
      </c>
      <c r="N5" s="885">
        <v>1.145</v>
      </c>
      <c r="O5" s="885">
        <f t="shared" ref="O5:O39" si="4">N5*M5</f>
        <v>12697.475837154843</v>
      </c>
      <c r="P5" s="884">
        <f t="shared" ref="P5:P39" si="5">E5+H5-M5</f>
        <v>474780.50145226653</v>
      </c>
      <c r="Q5" s="886">
        <f>P5*1000/$F$41</f>
        <v>354.15460662941587</v>
      </c>
      <c r="R5" s="886">
        <f>P5*1000/$F$42</f>
        <v>6.1299626293489631</v>
      </c>
      <c r="S5" s="885">
        <f t="shared" ref="S5:S39" si="6">G5+I5-O5</f>
        <v>485239.37416284514</v>
      </c>
      <c r="T5" s="887">
        <f>S5/$S$41</f>
        <v>0.26011390708979515</v>
      </c>
      <c r="U5" s="885">
        <f>S5/$F$41</f>
        <v>0.361956228514207</v>
      </c>
      <c r="V5" s="885">
        <f>S5*1000/$F$42</f>
        <v>6.2649987116329999</v>
      </c>
      <c r="W5" s="873"/>
      <c r="X5" s="873"/>
      <c r="Y5" s="873"/>
      <c r="Z5" s="873"/>
      <c r="AA5" s="873"/>
      <c r="AB5" s="873"/>
      <c r="AC5" s="873"/>
      <c r="AD5" s="873"/>
      <c r="AE5" s="873"/>
      <c r="AF5" s="873"/>
      <c r="AG5" s="873"/>
      <c r="AH5" s="873"/>
      <c r="AI5" s="873"/>
      <c r="AJ5" s="873"/>
      <c r="AK5" s="873"/>
      <c r="AL5" s="873"/>
      <c r="AM5" s="873"/>
      <c r="AN5" s="873"/>
      <c r="AO5" s="873"/>
      <c r="AP5" s="873"/>
      <c r="AQ5" s="873"/>
      <c r="AR5" s="873"/>
    </row>
    <row r="6" spans="1:44">
      <c r="A6" s="882">
        <v>56480004</v>
      </c>
      <c r="B6" s="883" t="s">
        <v>14</v>
      </c>
      <c r="C6" s="884">
        <v>0</v>
      </c>
      <c r="D6" s="884">
        <v>1764</v>
      </c>
      <c r="E6" s="884">
        <f t="shared" si="0"/>
        <v>1764</v>
      </c>
      <c r="F6" s="885">
        <v>7</v>
      </c>
      <c r="G6" s="885">
        <f t="shared" si="1"/>
        <v>12348</v>
      </c>
      <c r="H6" s="884">
        <v>16200</v>
      </c>
      <c r="I6" s="885">
        <v>113400</v>
      </c>
      <c r="J6" s="885">
        <f t="shared" si="2"/>
        <v>7</v>
      </c>
      <c r="K6" s="884">
        <v>900</v>
      </c>
      <c r="L6" s="884">
        <v>245.6370488182306</v>
      </c>
      <c r="M6" s="884">
        <f t="shared" si="3"/>
        <v>1145.6370488182306</v>
      </c>
      <c r="N6" s="885">
        <v>7.35</v>
      </c>
      <c r="O6" s="885">
        <f t="shared" si="4"/>
        <v>8420.4323088139936</v>
      </c>
      <c r="P6" s="884">
        <f t="shared" si="5"/>
        <v>16818.362951181771</v>
      </c>
      <c r="Q6" s="886">
        <f t="shared" ref="Q6:Q39" si="7">P6*1000/$F$41</f>
        <v>12.545377699604954</v>
      </c>
      <c r="R6" s="886">
        <f t="shared" ref="R6:R27" si="8">P6*1000/$F$42</f>
        <v>0.21714441949957888</v>
      </c>
      <c r="S6" s="885">
        <f t="shared" si="6"/>
        <v>117327.56769118601</v>
      </c>
      <c r="T6" s="887">
        <f t="shared" ref="T6:T22" si="9">S6/$S$41</f>
        <v>6.2893766801485618E-2</v>
      </c>
      <c r="U6" s="885">
        <f t="shared" ref="U6:U39" si="10">S6/$F$41</f>
        <v>8.7518544791451824E-2</v>
      </c>
      <c r="V6" s="885">
        <f t="shared" ref="V6:V31" si="11">S6*1000/$F$42</f>
        <v>1.5148339140706883</v>
      </c>
      <c r="W6" s="873"/>
      <c r="X6" s="873"/>
      <c r="Y6" s="873"/>
      <c r="Z6" s="873"/>
      <c r="AA6" s="873"/>
      <c r="AB6" s="873"/>
      <c r="AC6" s="873"/>
      <c r="AD6" s="873"/>
      <c r="AE6" s="873"/>
      <c r="AF6" s="873"/>
      <c r="AG6" s="873"/>
      <c r="AH6" s="873"/>
      <c r="AI6" s="873"/>
      <c r="AJ6" s="873"/>
      <c r="AK6" s="873"/>
      <c r="AL6" s="873"/>
      <c r="AM6" s="873"/>
      <c r="AN6" s="873"/>
      <c r="AO6" s="873"/>
      <c r="AP6" s="873"/>
      <c r="AQ6" s="873"/>
      <c r="AR6" s="873"/>
    </row>
    <row r="7" spans="1:44">
      <c r="A7" s="882">
        <v>56480007</v>
      </c>
      <c r="B7" s="883" t="s">
        <v>15</v>
      </c>
      <c r="C7" s="884">
        <v>900</v>
      </c>
      <c r="D7" s="884">
        <v>406.86065151745402</v>
      </c>
      <c r="E7" s="884">
        <f t="shared" si="0"/>
        <v>1306.860651517454</v>
      </c>
      <c r="F7" s="885">
        <v>6.8</v>
      </c>
      <c r="G7" s="885">
        <f t="shared" si="1"/>
        <v>8886.652430318687</v>
      </c>
      <c r="H7" s="884">
        <v>0</v>
      </c>
      <c r="I7" s="885">
        <v>0</v>
      </c>
      <c r="J7" s="885" t="e">
        <f t="shared" si="2"/>
        <v>#DIV/0!</v>
      </c>
      <c r="K7" s="884">
        <v>0</v>
      </c>
      <c r="L7" s="884">
        <v>0</v>
      </c>
      <c r="M7" s="884">
        <f t="shared" si="3"/>
        <v>0</v>
      </c>
      <c r="N7" s="885">
        <v>7.14</v>
      </c>
      <c r="O7" s="885">
        <f t="shared" si="4"/>
        <v>0</v>
      </c>
      <c r="P7" s="884">
        <f t="shared" si="5"/>
        <v>1306.860651517454</v>
      </c>
      <c r="Q7" s="886">
        <f t="shared" si="7"/>
        <v>0.97483093459380021</v>
      </c>
      <c r="R7" s="886">
        <f t="shared" si="8"/>
        <v>1.6873074886319953E-2</v>
      </c>
      <c r="S7" s="885">
        <f t="shared" si="6"/>
        <v>8886.652430318687</v>
      </c>
      <c r="T7" s="887">
        <f t="shared" si="9"/>
        <v>4.7637145864083763E-3</v>
      </c>
      <c r="U7" s="885">
        <f t="shared" si="10"/>
        <v>6.6288503552378412E-3</v>
      </c>
      <c r="V7" s="885">
        <f t="shared" si="11"/>
        <v>0.11473690922697567</v>
      </c>
      <c r="W7" s="873"/>
      <c r="X7" s="873"/>
      <c r="Y7" s="873"/>
      <c r="Z7" s="873"/>
      <c r="AA7" s="873"/>
      <c r="AB7" s="873"/>
      <c r="AC7" s="873"/>
      <c r="AD7" s="873"/>
      <c r="AE7" s="873"/>
      <c r="AF7" s="873"/>
      <c r="AG7" s="873"/>
      <c r="AH7" s="873"/>
      <c r="AI7" s="873"/>
      <c r="AJ7" s="873"/>
      <c r="AK7" s="873"/>
      <c r="AL7" s="873"/>
      <c r="AM7" s="873"/>
      <c r="AN7" s="873"/>
      <c r="AO7" s="873"/>
      <c r="AP7" s="873"/>
      <c r="AQ7" s="873"/>
      <c r="AR7" s="873"/>
    </row>
    <row r="8" spans="1:44">
      <c r="A8" s="882">
        <v>56480008</v>
      </c>
      <c r="B8" s="883" t="s">
        <v>16</v>
      </c>
      <c r="C8" s="884">
        <v>1800</v>
      </c>
      <c r="D8" s="884">
        <v>0</v>
      </c>
      <c r="E8" s="884">
        <f t="shared" si="0"/>
        <v>1800</v>
      </c>
      <c r="F8" s="885">
        <v>7.6229388888888892</v>
      </c>
      <c r="G8" s="885">
        <f t="shared" si="1"/>
        <v>13721.29</v>
      </c>
      <c r="H8" s="884">
        <v>0</v>
      </c>
      <c r="I8" s="885">
        <v>0</v>
      </c>
      <c r="J8" s="885" t="e">
        <f t="shared" si="2"/>
        <v>#DIV/0!</v>
      </c>
      <c r="K8" s="884">
        <v>0</v>
      </c>
      <c r="L8" s="884">
        <v>0</v>
      </c>
      <c r="M8" s="884">
        <f t="shared" si="3"/>
        <v>0</v>
      </c>
      <c r="N8" s="885">
        <v>7.2450000000000001</v>
      </c>
      <c r="O8" s="885">
        <f t="shared" si="4"/>
        <v>0</v>
      </c>
      <c r="P8" s="884">
        <f t="shared" si="5"/>
        <v>1800</v>
      </c>
      <c r="Q8" s="886">
        <f t="shared" si="7"/>
        <v>1.3426800173617479</v>
      </c>
      <c r="R8" s="886">
        <f t="shared" si="8"/>
        <v>2.3240071357347989E-2</v>
      </c>
      <c r="S8" s="885">
        <f t="shared" si="6"/>
        <v>13721.29</v>
      </c>
      <c r="T8" s="887">
        <f t="shared" si="9"/>
        <v>7.3553354122791259E-3</v>
      </c>
      <c r="U8" s="885">
        <f t="shared" si="10"/>
        <v>1.0235167719680877E-2</v>
      </c>
      <c r="V8" s="885">
        <f t="shared" si="11"/>
        <v>0.17715764373048076</v>
      </c>
      <c r="W8" s="873"/>
      <c r="X8" s="873"/>
      <c r="Y8" s="873"/>
      <c r="Z8" s="873"/>
      <c r="AA8" s="873"/>
      <c r="AB8" s="873"/>
      <c r="AC8" s="873"/>
      <c r="AD8" s="873"/>
      <c r="AE8" s="873"/>
      <c r="AF8" s="873"/>
      <c r="AG8" s="873"/>
      <c r="AH8" s="873"/>
      <c r="AI8" s="873"/>
      <c r="AJ8" s="873"/>
      <c r="AK8" s="873"/>
      <c r="AL8" s="873"/>
      <c r="AM8" s="873"/>
      <c r="AN8" s="873"/>
      <c r="AO8" s="873"/>
      <c r="AP8" s="873"/>
      <c r="AQ8" s="873"/>
      <c r="AR8" s="873"/>
    </row>
    <row r="9" spans="1:44">
      <c r="A9" s="882">
        <v>56481004</v>
      </c>
      <c r="B9" s="883" t="s">
        <v>282</v>
      </c>
      <c r="C9" s="884">
        <v>30</v>
      </c>
      <c r="D9" s="884">
        <v>0</v>
      </c>
      <c r="E9" s="884">
        <f t="shared" si="0"/>
        <v>30</v>
      </c>
      <c r="F9" s="885">
        <v>315.60133333333334</v>
      </c>
      <c r="G9" s="885">
        <f t="shared" si="1"/>
        <v>9468.0400000000009</v>
      </c>
      <c r="H9" s="884">
        <v>10</v>
      </c>
      <c r="I9" s="885">
        <v>2900</v>
      </c>
      <c r="J9" s="885">
        <f t="shared" si="2"/>
        <v>290</v>
      </c>
      <c r="K9" s="884">
        <v>0</v>
      </c>
      <c r="L9" s="884">
        <v>0</v>
      </c>
      <c r="M9" s="884">
        <f t="shared" si="3"/>
        <v>0</v>
      </c>
      <c r="N9" s="885">
        <v>290</v>
      </c>
      <c r="O9" s="885">
        <f t="shared" si="4"/>
        <v>0</v>
      </c>
      <c r="P9" s="884">
        <f t="shared" si="5"/>
        <v>40</v>
      </c>
      <c r="Q9" s="886">
        <f t="shared" si="7"/>
        <v>2.9837333719149952E-2</v>
      </c>
      <c r="R9" s="886">
        <f t="shared" si="8"/>
        <v>5.1644603016328858E-4</v>
      </c>
      <c r="S9" s="885">
        <f t="shared" si="6"/>
        <v>12368.04</v>
      </c>
      <c r="T9" s="887">
        <f t="shared" si="9"/>
        <v>6.6299220111581871E-3</v>
      </c>
      <c r="U9" s="885">
        <f t="shared" si="10"/>
        <v>9.2257334232948851E-3</v>
      </c>
      <c r="V9" s="885">
        <f t="shared" si="11"/>
        <v>0.15968562897251901</v>
      </c>
      <c r="W9" s="873"/>
      <c r="X9" s="873"/>
      <c r="Y9" s="873"/>
      <c r="Z9" s="873"/>
      <c r="AA9" s="873"/>
      <c r="AB9" s="873"/>
      <c r="AC9" s="873"/>
      <c r="AD9" s="873"/>
      <c r="AE9" s="873"/>
      <c r="AF9" s="873"/>
      <c r="AG9" s="873"/>
      <c r="AH9" s="873"/>
      <c r="AI9" s="873"/>
      <c r="AJ9" s="873"/>
      <c r="AK9" s="873"/>
      <c r="AL9" s="873"/>
      <c r="AM9" s="873"/>
      <c r="AN9" s="873"/>
      <c r="AO9" s="873"/>
      <c r="AP9" s="873"/>
      <c r="AQ9" s="873"/>
      <c r="AR9" s="873"/>
    </row>
    <row r="10" spans="1:44">
      <c r="A10" s="882">
        <v>56481005</v>
      </c>
      <c r="B10" s="883" t="s">
        <v>283</v>
      </c>
      <c r="C10" s="884">
        <v>0</v>
      </c>
      <c r="D10" s="884">
        <v>0</v>
      </c>
      <c r="E10" s="884">
        <f t="shared" si="0"/>
        <v>0</v>
      </c>
      <c r="F10" s="885">
        <v>0</v>
      </c>
      <c r="G10" s="885">
        <f t="shared" si="1"/>
        <v>0</v>
      </c>
      <c r="H10" s="884">
        <v>30</v>
      </c>
      <c r="I10" s="885">
        <v>11949.13</v>
      </c>
      <c r="J10" s="885">
        <f t="shared" si="2"/>
        <v>398.30433333333332</v>
      </c>
      <c r="K10" s="884">
        <v>0</v>
      </c>
      <c r="L10" s="884">
        <v>0</v>
      </c>
      <c r="M10" s="884">
        <f t="shared" si="3"/>
        <v>0</v>
      </c>
      <c r="N10" s="885">
        <v>385</v>
      </c>
      <c r="O10" s="885">
        <f t="shared" si="4"/>
        <v>0</v>
      </c>
      <c r="P10" s="884">
        <f t="shared" si="5"/>
        <v>30</v>
      </c>
      <c r="Q10" s="886">
        <f t="shared" si="7"/>
        <v>2.2378000289362463E-2</v>
      </c>
      <c r="R10" s="886">
        <f t="shared" si="8"/>
        <v>3.8733452262246644E-4</v>
      </c>
      <c r="S10" s="885">
        <f t="shared" si="6"/>
        <v>11949.13</v>
      </c>
      <c r="T10" s="887">
        <f t="shared" si="9"/>
        <v>6.4053641483364067E-3</v>
      </c>
      <c r="U10" s="885">
        <f t="shared" si="10"/>
        <v>8.9132544865876562E-3</v>
      </c>
      <c r="V10" s="885">
        <f t="shared" si="11"/>
        <v>0.15427701881012643</v>
      </c>
      <c r="W10" s="873"/>
      <c r="X10" s="873"/>
      <c r="Y10" s="873"/>
      <c r="Z10" s="873"/>
      <c r="AA10" s="873"/>
      <c r="AB10" s="873"/>
      <c r="AC10" s="873"/>
      <c r="AD10" s="873"/>
      <c r="AE10" s="873"/>
      <c r="AF10" s="873"/>
      <c r="AG10" s="873"/>
      <c r="AH10" s="873"/>
      <c r="AI10" s="873"/>
      <c r="AJ10" s="873"/>
      <c r="AK10" s="873"/>
      <c r="AL10" s="873"/>
      <c r="AM10" s="873"/>
      <c r="AN10" s="873"/>
      <c r="AO10" s="873"/>
      <c r="AP10" s="873"/>
      <c r="AQ10" s="873"/>
      <c r="AR10" s="873"/>
    </row>
    <row r="11" spans="1:44">
      <c r="A11" s="882">
        <v>56481008</v>
      </c>
      <c r="B11" s="883" t="s">
        <v>284</v>
      </c>
      <c r="C11" s="884">
        <v>2.5</v>
      </c>
      <c r="D11" s="884">
        <v>0</v>
      </c>
      <c r="E11" s="884">
        <f t="shared" si="0"/>
        <v>2.5</v>
      </c>
      <c r="F11" s="885">
        <v>154</v>
      </c>
      <c r="G11" s="885">
        <f t="shared" si="1"/>
        <v>385</v>
      </c>
      <c r="H11" s="884">
        <v>0</v>
      </c>
      <c r="I11" s="885">
        <v>0</v>
      </c>
      <c r="J11" s="885" t="e">
        <f t="shared" si="2"/>
        <v>#DIV/0!</v>
      </c>
      <c r="K11" s="884">
        <v>0</v>
      </c>
      <c r="L11" s="884">
        <v>0</v>
      </c>
      <c r="M11" s="884">
        <f t="shared" si="3"/>
        <v>0</v>
      </c>
      <c r="N11" s="885">
        <v>154</v>
      </c>
      <c r="O11" s="885">
        <f t="shared" si="4"/>
        <v>0</v>
      </c>
      <c r="P11" s="884">
        <f t="shared" si="5"/>
        <v>2.5</v>
      </c>
      <c r="Q11" s="886">
        <f t="shared" si="7"/>
        <v>1.864833357446872E-3</v>
      </c>
      <c r="R11" s="886">
        <f t="shared" si="8"/>
        <v>3.2277876885205536E-5</v>
      </c>
      <c r="S11" s="885">
        <f t="shared" si="6"/>
        <v>385</v>
      </c>
      <c r="T11" s="887">
        <f t="shared" si="9"/>
        <v>2.063803136386931E-4</v>
      </c>
      <c r="U11" s="885">
        <f t="shared" si="10"/>
        <v>2.871843370468183E-4</v>
      </c>
      <c r="V11" s="885">
        <f t="shared" si="11"/>
        <v>4.9707930403216525E-3</v>
      </c>
      <c r="W11" s="873"/>
      <c r="X11" s="873"/>
      <c r="Y11" s="873"/>
      <c r="Z11" s="873"/>
      <c r="AA11" s="873"/>
      <c r="AB11" s="873"/>
      <c r="AC11" s="873"/>
      <c r="AD11" s="873"/>
      <c r="AE11" s="873"/>
      <c r="AF11" s="873"/>
      <c r="AG11" s="873"/>
      <c r="AH11" s="873"/>
      <c r="AI11" s="873"/>
      <c r="AJ11" s="873"/>
      <c r="AK11" s="873"/>
      <c r="AL11" s="873"/>
      <c r="AM11" s="873"/>
      <c r="AN11" s="873"/>
      <c r="AO11" s="873"/>
      <c r="AP11" s="873"/>
      <c r="AQ11" s="873"/>
      <c r="AR11" s="873"/>
    </row>
    <row r="12" spans="1:44">
      <c r="A12" s="882">
        <v>56481010</v>
      </c>
      <c r="B12" s="883" t="s">
        <v>285</v>
      </c>
      <c r="C12" s="884">
        <v>5</v>
      </c>
      <c r="D12" s="884">
        <v>0</v>
      </c>
      <c r="E12" s="884">
        <f t="shared" si="0"/>
        <v>5</v>
      </c>
      <c r="F12" s="885">
        <v>180</v>
      </c>
      <c r="G12" s="885">
        <f t="shared" si="1"/>
        <v>900</v>
      </c>
      <c r="H12" s="884">
        <v>0</v>
      </c>
      <c r="I12" s="885">
        <v>0</v>
      </c>
      <c r="J12" s="885" t="e">
        <f t="shared" si="2"/>
        <v>#DIV/0!</v>
      </c>
      <c r="K12" s="884">
        <v>0</v>
      </c>
      <c r="L12" s="884">
        <v>0</v>
      </c>
      <c r="M12" s="884">
        <f t="shared" si="3"/>
        <v>0</v>
      </c>
      <c r="N12" s="885">
        <v>180</v>
      </c>
      <c r="O12" s="885">
        <f t="shared" si="4"/>
        <v>0</v>
      </c>
      <c r="P12" s="884">
        <f t="shared" si="5"/>
        <v>5</v>
      </c>
      <c r="Q12" s="886">
        <f t="shared" si="7"/>
        <v>3.729666714893744E-3</v>
      </c>
      <c r="R12" s="886">
        <f t="shared" si="8"/>
        <v>6.4555753770411073E-5</v>
      </c>
      <c r="S12" s="885">
        <f t="shared" si="6"/>
        <v>900</v>
      </c>
      <c r="T12" s="887">
        <f t="shared" si="9"/>
        <v>4.8244748642811377E-4</v>
      </c>
      <c r="U12" s="885">
        <f t="shared" si="10"/>
        <v>6.7134000868087392E-4</v>
      </c>
      <c r="V12" s="885">
        <f t="shared" si="11"/>
        <v>1.1620035678673995E-2</v>
      </c>
      <c r="W12" s="873"/>
      <c r="X12" s="873"/>
      <c r="Y12" s="873"/>
      <c r="Z12" s="873"/>
      <c r="AA12" s="873"/>
      <c r="AB12" s="873"/>
      <c r="AC12" s="873"/>
      <c r="AD12" s="873"/>
      <c r="AE12" s="873"/>
      <c r="AF12" s="873"/>
      <c r="AG12" s="873"/>
      <c r="AH12" s="873"/>
      <c r="AI12" s="873"/>
      <c r="AJ12" s="873"/>
      <c r="AK12" s="873"/>
      <c r="AL12" s="873"/>
      <c r="AM12" s="873"/>
      <c r="AN12" s="873"/>
      <c r="AO12" s="873"/>
      <c r="AP12" s="873"/>
      <c r="AQ12" s="873"/>
      <c r="AR12" s="873"/>
    </row>
    <row r="13" spans="1:44">
      <c r="A13" s="882">
        <v>56481018</v>
      </c>
      <c r="B13" s="883" t="s">
        <v>286</v>
      </c>
      <c r="C13" s="884">
        <v>0</v>
      </c>
      <c r="D13" s="884">
        <v>0</v>
      </c>
      <c r="E13" s="884">
        <f t="shared" si="0"/>
        <v>0</v>
      </c>
      <c r="F13" s="885">
        <v>130.79849999999999</v>
      </c>
      <c r="G13" s="885">
        <f t="shared" si="1"/>
        <v>0</v>
      </c>
      <c r="H13" s="884">
        <v>80</v>
      </c>
      <c r="I13" s="885">
        <v>7871.6</v>
      </c>
      <c r="J13" s="885">
        <f t="shared" si="2"/>
        <v>98.39500000000001</v>
      </c>
      <c r="K13" s="884">
        <v>0</v>
      </c>
      <c r="L13" s="884">
        <v>0</v>
      </c>
      <c r="M13" s="884">
        <f t="shared" si="3"/>
        <v>0</v>
      </c>
      <c r="N13" s="885">
        <v>130.79849999999999</v>
      </c>
      <c r="O13" s="885">
        <f t="shared" si="4"/>
        <v>0</v>
      </c>
      <c r="P13" s="884">
        <f t="shared" si="5"/>
        <v>80</v>
      </c>
      <c r="Q13" s="886">
        <f t="shared" si="7"/>
        <v>5.9674667438299904E-2</v>
      </c>
      <c r="R13" s="886">
        <f t="shared" si="8"/>
        <v>1.0328920603265772E-3</v>
      </c>
      <c r="S13" s="885">
        <f t="shared" si="6"/>
        <v>7871.6</v>
      </c>
      <c r="T13" s="887">
        <f t="shared" si="9"/>
        <v>4.2195929268528222E-3</v>
      </c>
      <c r="U13" s="885">
        <f t="shared" si="10"/>
        <v>5.8716889025915197E-3</v>
      </c>
      <c r="V13" s="885">
        <f t="shared" si="11"/>
        <v>0.10163141427583357</v>
      </c>
      <c r="W13" s="873"/>
      <c r="X13" s="873"/>
      <c r="Y13" s="873"/>
      <c r="Z13" s="873"/>
      <c r="AA13" s="873"/>
      <c r="AB13" s="873"/>
      <c r="AC13" s="873"/>
      <c r="AD13" s="873"/>
      <c r="AE13" s="873"/>
      <c r="AF13" s="873"/>
      <c r="AG13" s="873"/>
      <c r="AH13" s="873"/>
      <c r="AI13" s="873"/>
      <c r="AJ13" s="873"/>
      <c r="AK13" s="873"/>
      <c r="AL13" s="873"/>
      <c r="AM13" s="873"/>
      <c r="AN13" s="873"/>
      <c r="AO13" s="873"/>
      <c r="AP13" s="873"/>
      <c r="AQ13" s="873"/>
      <c r="AR13" s="873"/>
    </row>
    <row r="14" spans="1:44">
      <c r="A14" s="882">
        <v>56481021</v>
      </c>
      <c r="B14" s="883" t="s">
        <v>287</v>
      </c>
      <c r="C14" s="884">
        <v>0</v>
      </c>
      <c r="D14" s="884">
        <v>0</v>
      </c>
      <c r="E14" s="884">
        <f t="shared" si="0"/>
        <v>0</v>
      </c>
      <c r="F14" s="885">
        <v>289.7595</v>
      </c>
      <c r="G14" s="885">
        <f t="shared" si="1"/>
        <v>0</v>
      </c>
      <c r="H14" s="884">
        <v>10</v>
      </c>
      <c r="I14" s="885">
        <v>3234.8</v>
      </c>
      <c r="J14" s="885">
        <f t="shared" si="2"/>
        <v>323.48</v>
      </c>
      <c r="K14" s="884">
        <v>0</v>
      </c>
      <c r="L14" s="884">
        <v>0</v>
      </c>
      <c r="M14" s="884">
        <f t="shared" si="3"/>
        <v>0</v>
      </c>
      <c r="N14" s="885">
        <v>310</v>
      </c>
      <c r="O14" s="885">
        <f t="shared" si="4"/>
        <v>0</v>
      </c>
      <c r="P14" s="884">
        <f t="shared" si="5"/>
        <v>10</v>
      </c>
      <c r="Q14" s="886">
        <f t="shared" si="7"/>
        <v>7.459333429787488E-3</v>
      </c>
      <c r="R14" s="886">
        <f t="shared" si="8"/>
        <v>1.2911150754082215E-4</v>
      </c>
      <c r="S14" s="885">
        <f t="shared" si="6"/>
        <v>3234.8</v>
      </c>
      <c r="T14" s="887">
        <f t="shared" si="9"/>
        <v>1.7340234767751804E-3</v>
      </c>
      <c r="U14" s="885">
        <f t="shared" si="10"/>
        <v>2.4129451778676569E-3</v>
      </c>
      <c r="V14" s="885">
        <f t="shared" si="11"/>
        <v>4.1764990459305151E-2</v>
      </c>
      <c r="W14" s="873"/>
      <c r="X14" s="873"/>
      <c r="Y14" s="873"/>
      <c r="Z14" s="873"/>
      <c r="AA14" s="873"/>
      <c r="AB14" s="873"/>
      <c r="AC14" s="873"/>
      <c r="AD14" s="873"/>
      <c r="AE14" s="873"/>
      <c r="AF14" s="873"/>
      <c r="AG14" s="873"/>
      <c r="AH14" s="873"/>
      <c r="AI14" s="873"/>
      <c r="AJ14" s="873"/>
      <c r="AK14" s="873"/>
      <c r="AL14" s="873"/>
      <c r="AM14" s="873"/>
      <c r="AN14" s="873"/>
      <c r="AO14" s="873"/>
      <c r="AP14" s="873"/>
      <c r="AQ14" s="873"/>
      <c r="AR14" s="873"/>
    </row>
    <row r="15" spans="1:44">
      <c r="A15" s="882">
        <v>56482007</v>
      </c>
      <c r="B15" s="883" t="s">
        <v>17</v>
      </c>
      <c r="C15" s="884">
        <v>2000</v>
      </c>
      <c r="D15" s="884">
        <v>1456.77083838874</v>
      </c>
      <c r="E15" s="884">
        <f t="shared" si="0"/>
        <v>3456.7708383887402</v>
      </c>
      <c r="F15" s="885">
        <v>13.9</v>
      </c>
      <c r="G15" s="885">
        <f t="shared" si="1"/>
        <v>48049.114653603494</v>
      </c>
      <c r="H15" s="884">
        <v>13000</v>
      </c>
      <c r="I15" s="885">
        <v>180700</v>
      </c>
      <c r="J15" s="885">
        <f t="shared" si="2"/>
        <v>13.9</v>
      </c>
      <c r="K15" s="884">
        <v>1000</v>
      </c>
      <c r="L15" s="884">
        <v>1360.0393166778726</v>
      </c>
      <c r="M15" s="884">
        <f t="shared" si="3"/>
        <v>2360.0393166778726</v>
      </c>
      <c r="N15" s="885">
        <v>14.595000000000001</v>
      </c>
      <c r="O15" s="885">
        <f t="shared" si="4"/>
        <v>34444.773826913552</v>
      </c>
      <c r="P15" s="884">
        <f t="shared" si="5"/>
        <v>14096.731521710868</v>
      </c>
      <c r="Q15" s="886">
        <f t="shared" si="7"/>
        <v>10.515222069063693</v>
      </c>
      <c r="R15" s="886">
        <f t="shared" si="8"/>
        <v>0.18200502581663183</v>
      </c>
      <c r="S15" s="885">
        <f t="shared" si="6"/>
        <v>194304.34082668994</v>
      </c>
      <c r="T15" s="887">
        <f t="shared" si="9"/>
        <v>0.10415737870434232</v>
      </c>
      <c r="U15" s="885">
        <f t="shared" si="10"/>
        <v>0.144938086508135</v>
      </c>
      <c r="V15" s="885">
        <f t="shared" si="11"/>
        <v>2.5086926365859656</v>
      </c>
      <c r="W15" s="873"/>
      <c r="X15" s="873"/>
      <c r="Y15" s="873"/>
      <c r="Z15" s="873"/>
      <c r="AA15" s="873"/>
      <c r="AB15" s="873"/>
      <c r="AC15" s="873"/>
      <c r="AD15" s="873"/>
      <c r="AE15" s="873"/>
      <c r="AF15" s="873"/>
      <c r="AG15" s="873"/>
      <c r="AH15" s="873"/>
      <c r="AI15" s="873"/>
      <c r="AJ15" s="873"/>
      <c r="AK15" s="873"/>
      <c r="AL15" s="873"/>
      <c r="AM15" s="873"/>
      <c r="AN15" s="873"/>
      <c r="AO15" s="873"/>
      <c r="AP15" s="873"/>
      <c r="AQ15" s="873"/>
      <c r="AR15" s="873"/>
    </row>
    <row r="16" spans="1:44">
      <c r="A16" s="882">
        <v>56482010</v>
      </c>
      <c r="B16" s="883" t="s">
        <v>18</v>
      </c>
      <c r="C16" s="884">
        <v>0</v>
      </c>
      <c r="D16" s="884">
        <v>500</v>
      </c>
      <c r="E16" s="884">
        <f t="shared" si="0"/>
        <v>500</v>
      </c>
      <c r="F16" s="885">
        <v>13.8</v>
      </c>
      <c r="G16" s="885">
        <f t="shared" si="1"/>
        <v>6900</v>
      </c>
      <c r="H16" s="884">
        <v>0</v>
      </c>
      <c r="I16" s="885">
        <v>0</v>
      </c>
      <c r="J16" s="885" t="e">
        <f t="shared" si="2"/>
        <v>#DIV/0!</v>
      </c>
      <c r="K16" s="884">
        <v>0</v>
      </c>
      <c r="L16" s="884">
        <v>0</v>
      </c>
      <c r="M16" s="884">
        <f t="shared" si="3"/>
        <v>0</v>
      </c>
      <c r="N16" s="885">
        <v>14.49</v>
      </c>
      <c r="O16" s="885">
        <f t="shared" si="4"/>
        <v>0</v>
      </c>
      <c r="P16" s="884">
        <f t="shared" si="5"/>
        <v>500</v>
      </c>
      <c r="Q16" s="886">
        <f t="shared" si="7"/>
        <v>0.3729666714893744</v>
      </c>
      <c r="R16" s="886">
        <f t="shared" si="8"/>
        <v>6.4555753770411074E-3</v>
      </c>
      <c r="S16" s="885">
        <f t="shared" si="6"/>
        <v>6900</v>
      </c>
      <c r="T16" s="887">
        <f t="shared" si="9"/>
        <v>3.6987640626155388E-3</v>
      </c>
      <c r="U16" s="885">
        <f t="shared" si="10"/>
        <v>5.146940066553367E-3</v>
      </c>
      <c r="V16" s="885">
        <f t="shared" si="11"/>
        <v>8.9086940203167292E-2</v>
      </c>
      <c r="W16" s="873"/>
      <c r="X16" s="873"/>
      <c r="Y16" s="873"/>
      <c r="Z16" s="873"/>
      <c r="AA16" s="873"/>
      <c r="AB16" s="873"/>
      <c r="AC16" s="873"/>
      <c r="AD16" s="873"/>
      <c r="AE16" s="873"/>
      <c r="AF16" s="873"/>
      <c r="AG16" s="873"/>
      <c r="AH16" s="873"/>
      <c r="AI16" s="873"/>
      <c r="AJ16" s="873"/>
      <c r="AK16" s="873"/>
      <c r="AL16" s="873"/>
      <c r="AM16" s="873"/>
      <c r="AN16" s="873"/>
      <c r="AO16" s="873"/>
      <c r="AP16" s="873"/>
      <c r="AQ16" s="873"/>
      <c r="AR16" s="873"/>
    </row>
    <row r="17" spans="1:44">
      <c r="A17" s="882">
        <v>56482011</v>
      </c>
      <c r="B17" s="883" t="s">
        <v>19</v>
      </c>
      <c r="C17" s="884">
        <v>1000</v>
      </c>
      <c r="D17" s="884">
        <v>0</v>
      </c>
      <c r="E17" s="884">
        <f t="shared" si="0"/>
        <v>1000</v>
      </c>
      <c r="F17" s="885">
        <v>15.135399999999999</v>
      </c>
      <c r="G17" s="885">
        <f t="shared" si="1"/>
        <v>15135.4</v>
      </c>
      <c r="H17" s="884">
        <v>0</v>
      </c>
      <c r="I17" s="885">
        <v>0</v>
      </c>
      <c r="J17" s="885" t="e">
        <f t="shared" si="2"/>
        <v>#DIV/0!</v>
      </c>
      <c r="K17" s="884">
        <v>0</v>
      </c>
      <c r="L17" s="884">
        <v>0</v>
      </c>
      <c r="M17" s="884">
        <f t="shared" si="3"/>
        <v>0</v>
      </c>
      <c r="N17" s="885">
        <v>14.385</v>
      </c>
      <c r="O17" s="885">
        <f t="shared" si="4"/>
        <v>0</v>
      </c>
      <c r="P17" s="884">
        <f t="shared" si="5"/>
        <v>1000</v>
      </c>
      <c r="Q17" s="886">
        <f t="shared" si="7"/>
        <v>0.7459333429787488</v>
      </c>
      <c r="R17" s="886">
        <f t="shared" si="8"/>
        <v>1.2911150754082215E-2</v>
      </c>
      <c r="S17" s="885">
        <f t="shared" si="6"/>
        <v>15135.4</v>
      </c>
      <c r="T17" s="887">
        <f t="shared" si="9"/>
        <v>8.1133729845378581E-3</v>
      </c>
      <c r="U17" s="885">
        <f t="shared" si="10"/>
        <v>1.1289999519320554E-2</v>
      </c>
      <c r="V17" s="885">
        <f t="shared" si="11"/>
        <v>0.19541543112333595</v>
      </c>
      <c r="W17" s="873"/>
      <c r="X17" s="873"/>
      <c r="Y17" s="873"/>
      <c r="Z17" s="873"/>
      <c r="AA17" s="873"/>
      <c r="AB17" s="873"/>
      <c r="AC17" s="873"/>
      <c r="AD17" s="873"/>
      <c r="AE17" s="873"/>
      <c r="AF17" s="873"/>
      <c r="AG17" s="873"/>
      <c r="AH17" s="873"/>
      <c r="AI17" s="873"/>
      <c r="AJ17" s="873"/>
      <c r="AK17" s="873"/>
      <c r="AL17" s="873"/>
      <c r="AM17" s="873"/>
      <c r="AN17" s="873"/>
      <c r="AO17" s="873"/>
      <c r="AP17" s="873"/>
      <c r="AQ17" s="873"/>
      <c r="AR17" s="873"/>
    </row>
    <row r="18" spans="1:44">
      <c r="A18" s="882">
        <v>56484026</v>
      </c>
      <c r="B18" s="883" t="s">
        <v>288</v>
      </c>
      <c r="C18" s="884">
        <v>0</v>
      </c>
      <c r="D18" s="884">
        <v>0</v>
      </c>
      <c r="E18" s="884">
        <f>C18+D18</f>
        <v>0</v>
      </c>
      <c r="F18" s="885">
        <v>0</v>
      </c>
      <c r="G18" s="885">
        <f>F18*E18</f>
        <v>0</v>
      </c>
      <c r="H18" s="884">
        <v>12000</v>
      </c>
      <c r="I18" s="885">
        <v>54000</v>
      </c>
      <c r="J18" s="885">
        <f>I18/H18</f>
        <v>4.5</v>
      </c>
      <c r="K18" s="884">
        <v>3600</v>
      </c>
      <c r="L18" s="884">
        <v>0</v>
      </c>
      <c r="M18" s="884">
        <f>K18+L18</f>
        <v>3600</v>
      </c>
      <c r="N18" s="885">
        <v>4.5</v>
      </c>
      <c r="O18" s="885">
        <f t="shared" si="4"/>
        <v>16200</v>
      </c>
      <c r="P18" s="884">
        <f t="shared" si="5"/>
        <v>8400</v>
      </c>
      <c r="Q18" s="886">
        <f t="shared" si="7"/>
        <v>6.2658400810214898</v>
      </c>
      <c r="R18" s="886">
        <f t="shared" si="8"/>
        <v>0.10845366633429061</v>
      </c>
      <c r="S18" s="885">
        <f t="shared" si="6"/>
        <v>37800</v>
      </c>
      <c r="T18" s="887">
        <f t="shared" si="9"/>
        <v>2.0262794429980777E-2</v>
      </c>
      <c r="U18" s="885">
        <f t="shared" si="10"/>
        <v>2.8196280364596704E-2</v>
      </c>
      <c r="V18" s="885">
        <f t="shared" si="11"/>
        <v>0.48804149850430772</v>
      </c>
      <c r="W18" s="873"/>
      <c r="X18" s="873"/>
      <c r="Y18" s="873"/>
      <c r="Z18" s="873"/>
      <c r="AA18" s="873"/>
      <c r="AB18" s="873"/>
      <c r="AC18" s="873"/>
      <c r="AD18" s="873"/>
      <c r="AE18" s="873"/>
      <c r="AF18" s="873"/>
      <c r="AG18" s="873"/>
      <c r="AH18" s="873"/>
      <c r="AI18" s="873"/>
      <c r="AJ18" s="873"/>
      <c r="AK18" s="873"/>
      <c r="AL18" s="873"/>
      <c r="AM18" s="873"/>
      <c r="AN18" s="873"/>
      <c r="AO18" s="873"/>
      <c r="AP18" s="873"/>
      <c r="AQ18" s="873"/>
      <c r="AR18" s="873"/>
    </row>
    <row r="19" spans="1:44">
      <c r="A19" s="882">
        <v>56484029</v>
      </c>
      <c r="B19" s="883" t="s">
        <v>289</v>
      </c>
      <c r="C19" s="884">
        <v>0</v>
      </c>
      <c r="D19" s="884">
        <v>7500</v>
      </c>
      <c r="E19" s="884">
        <f t="shared" si="0"/>
        <v>7500</v>
      </c>
      <c r="F19" s="885">
        <v>1.7</v>
      </c>
      <c r="G19" s="885">
        <f t="shared" si="1"/>
        <v>12750</v>
      </c>
      <c r="H19" s="884">
        <v>0</v>
      </c>
      <c r="I19" s="885">
        <v>0</v>
      </c>
      <c r="J19" s="885" t="e">
        <f t="shared" si="2"/>
        <v>#DIV/0!</v>
      </c>
      <c r="K19" s="884">
        <v>1250</v>
      </c>
      <c r="L19" s="884">
        <v>1250</v>
      </c>
      <c r="M19" s="884">
        <f t="shared" si="3"/>
        <v>2500</v>
      </c>
      <c r="N19" s="885">
        <v>1.75</v>
      </c>
      <c r="O19" s="885">
        <f t="shared" si="4"/>
        <v>4375</v>
      </c>
      <c r="P19" s="884">
        <f t="shared" si="5"/>
        <v>5000</v>
      </c>
      <c r="Q19" s="886">
        <f t="shared" si="7"/>
        <v>3.7296667148937441</v>
      </c>
      <c r="R19" s="886">
        <f t="shared" si="8"/>
        <v>6.4555753770411076E-2</v>
      </c>
      <c r="S19" s="885">
        <f t="shared" si="6"/>
        <v>8375</v>
      </c>
      <c r="T19" s="887">
        <f t="shared" si="9"/>
        <v>4.4894418875949475E-3</v>
      </c>
      <c r="U19" s="885">
        <f t="shared" si="10"/>
        <v>6.247191747447021E-3</v>
      </c>
      <c r="V19" s="885">
        <f t="shared" si="11"/>
        <v>0.10813088756543855</v>
      </c>
      <c r="W19" s="873"/>
      <c r="X19" s="873"/>
      <c r="Y19" s="873"/>
      <c r="Z19" s="873"/>
      <c r="AA19" s="873"/>
      <c r="AB19" s="873"/>
      <c r="AC19" s="873"/>
      <c r="AD19" s="873"/>
      <c r="AE19" s="873"/>
      <c r="AF19" s="873"/>
      <c r="AG19" s="873"/>
      <c r="AH19" s="873"/>
      <c r="AI19" s="873"/>
      <c r="AJ19" s="873"/>
      <c r="AK19" s="873"/>
      <c r="AL19" s="873"/>
      <c r="AM19" s="873"/>
      <c r="AN19" s="873"/>
      <c r="AO19" s="873"/>
      <c r="AP19" s="873"/>
      <c r="AQ19" s="873"/>
      <c r="AR19" s="873"/>
    </row>
    <row r="20" spans="1:44">
      <c r="A20" s="882">
        <v>56484035</v>
      </c>
      <c r="B20" s="883" t="s">
        <v>290</v>
      </c>
      <c r="C20" s="884">
        <v>3300</v>
      </c>
      <c r="D20" s="884">
        <v>352</v>
      </c>
      <c r="E20" s="884">
        <f>C20+D20</f>
        <v>3652</v>
      </c>
      <c r="F20" s="885">
        <v>5.9</v>
      </c>
      <c r="G20" s="885">
        <f>F20*E20</f>
        <v>21546.800000000003</v>
      </c>
      <c r="H20" s="884">
        <v>2200</v>
      </c>
      <c r="I20" s="885">
        <v>13239.54</v>
      </c>
      <c r="J20" s="885">
        <f>I20/H20</f>
        <v>6.0179727272727277</v>
      </c>
      <c r="K20" s="884">
        <v>0</v>
      </c>
      <c r="L20" s="884">
        <v>0</v>
      </c>
      <c r="M20" s="884">
        <f>K20+L20</f>
        <v>0</v>
      </c>
      <c r="N20" s="885">
        <v>4.5</v>
      </c>
      <c r="O20" s="885">
        <f t="shared" si="4"/>
        <v>0</v>
      </c>
      <c r="P20" s="884">
        <f t="shared" si="5"/>
        <v>5852</v>
      </c>
      <c r="Q20" s="886">
        <f t="shared" si="7"/>
        <v>4.3652019231116377</v>
      </c>
      <c r="R20" s="886">
        <f t="shared" si="8"/>
        <v>7.555605421288912E-2</v>
      </c>
      <c r="S20" s="885">
        <f t="shared" si="6"/>
        <v>34786.340000000004</v>
      </c>
      <c r="T20" s="887">
        <f t="shared" si="9"/>
        <v>1.8647313661148614E-2</v>
      </c>
      <c r="U20" s="885">
        <f t="shared" si="10"/>
        <v>2.5948290886195373E-2</v>
      </c>
      <c r="V20" s="885">
        <f t="shared" si="11"/>
        <v>0.44913167992276043</v>
      </c>
      <c r="W20" s="873"/>
      <c r="X20" s="873"/>
      <c r="Y20" s="873"/>
      <c r="Z20" s="873"/>
      <c r="AA20" s="873"/>
      <c r="AB20" s="873"/>
      <c r="AC20" s="873"/>
      <c r="AD20" s="873"/>
      <c r="AE20" s="873"/>
      <c r="AF20" s="873"/>
      <c r="AG20" s="873"/>
      <c r="AH20" s="873"/>
      <c r="AI20" s="873"/>
      <c r="AJ20" s="873"/>
      <c r="AK20" s="873"/>
      <c r="AL20" s="873"/>
      <c r="AM20" s="873"/>
      <c r="AN20" s="873"/>
      <c r="AO20" s="873"/>
      <c r="AP20" s="873"/>
      <c r="AQ20" s="873"/>
      <c r="AR20" s="873"/>
    </row>
    <row r="21" spans="1:44">
      <c r="A21" s="882">
        <v>56484037</v>
      </c>
      <c r="B21" s="883" t="s">
        <v>291</v>
      </c>
      <c r="C21" s="884">
        <v>0</v>
      </c>
      <c r="D21" s="884">
        <v>0</v>
      </c>
      <c r="E21" s="884">
        <f>C21+D21</f>
        <v>0</v>
      </c>
      <c r="F21" s="885">
        <v>0.1</v>
      </c>
      <c r="G21" s="885">
        <f>F21*E21</f>
        <v>0</v>
      </c>
      <c r="H21" s="884">
        <v>1000</v>
      </c>
      <c r="I21" s="885">
        <v>100</v>
      </c>
      <c r="J21" s="885">
        <f>I21/H21</f>
        <v>0.1</v>
      </c>
      <c r="K21" s="884">
        <v>0</v>
      </c>
      <c r="L21" s="884">
        <v>440.00000000000006</v>
      </c>
      <c r="M21" s="884">
        <f>K21+L21</f>
        <v>440.00000000000006</v>
      </c>
      <c r="N21" s="885">
        <v>0</v>
      </c>
      <c r="O21" s="885">
        <f t="shared" si="4"/>
        <v>0</v>
      </c>
      <c r="P21" s="884">
        <f t="shared" si="5"/>
        <v>560</v>
      </c>
      <c r="Q21" s="886">
        <f t="shared" si="7"/>
        <v>0.41772267206809932</v>
      </c>
      <c r="R21" s="886">
        <f t="shared" si="8"/>
        <v>7.2302444222860406E-3</v>
      </c>
      <c r="S21" s="885">
        <f t="shared" si="6"/>
        <v>100</v>
      </c>
      <c r="T21" s="887">
        <f t="shared" si="9"/>
        <v>5.3605276269790417E-5</v>
      </c>
      <c r="U21" s="885">
        <f t="shared" si="10"/>
        <v>7.4593334297874887E-5</v>
      </c>
      <c r="V21" s="885">
        <f t="shared" si="11"/>
        <v>1.2911150754082216E-3</v>
      </c>
      <c r="W21" s="873"/>
      <c r="X21" s="873"/>
      <c r="Y21" s="873"/>
      <c r="Z21" s="873"/>
      <c r="AA21" s="873"/>
      <c r="AB21" s="873"/>
      <c r="AC21" s="873"/>
      <c r="AD21" s="873"/>
      <c r="AE21" s="873"/>
      <c r="AF21" s="873"/>
      <c r="AG21" s="873"/>
      <c r="AH21" s="873"/>
      <c r="AI21" s="873"/>
      <c r="AJ21" s="873"/>
      <c r="AK21" s="873"/>
      <c r="AL21" s="873"/>
      <c r="AM21" s="873"/>
      <c r="AN21" s="873"/>
      <c r="AO21" s="873"/>
      <c r="AP21" s="873"/>
      <c r="AQ21" s="873"/>
      <c r="AR21" s="873"/>
    </row>
    <row r="22" spans="1:44">
      <c r="A22" s="882">
        <v>56485033</v>
      </c>
      <c r="B22" s="883" t="s">
        <v>292</v>
      </c>
      <c r="C22" s="884">
        <v>0</v>
      </c>
      <c r="D22" s="884">
        <v>1070</v>
      </c>
      <c r="E22" s="884">
        <f t="shared" si="0"/>
        <v>1070</v>
      </c>
      <c r="F22" s="885">
        <v>4.3</v>
      </c>
      <c r="G22" s="885">
        <f t="shared" si="1"/>
        <v>4601</v>
      </c>
      <c r="H22" s="884">
        <v>2300</v>
      </c>
      <c r="I22" s="885">
        <v>10572.55</v>
      </c>
      <c r="J22" s="885">
        <f t="shared" si="2"/>
        <v>4.5967608695652169</v>
      </c>
      <c r="K22" s="884">
        <v>1150</v>
      </c>
      <c r="L22" s="884">
        <v>0</v>
      </c>
      <c r="M22" s="884">
        <f t="shared" si="3"/>
        <v>1150</v>
      </c>
      <c r="N22" s="885">
        <v>4.08</v>
      </c>
      <c r="O22" s="885">
        <f t="shared" si="4"/>
        <v>4692</v>
      </c>
      <c r="P22" s="884">
        <f t="shared" si="5"/>
        <v>2220</v>
      </c>
      <c r="Q22" s="886">
        <f t="shared" si="7"/>
        <v>1.6559720214128224</v>
      </c>
      <c r="R22" s="886">
        <f t="shared" si="8"/>
        <v>2.866275467406252E-2</v>
      </c>
      <c r="S22" s="885">
        <f t="shared" si="6"/>
        <v>10481.549999999999</v>
      </c>
      <c r="T22" s="887">
        <f t="shared" si="9"/>
        <v>5.6186638348562166E-3</v>
      </c>
      <c r="U22" s="885">
        <f t="shared" si="10"/>
        <v>7.8185376310989044E-3</v>
      </c>
      <c r="V22" s="885">
        <f t="shared" si="11"/>
        <v>0.13532887218645046</v>
      </c>
      <c r="W22" s="873"/>
      <c r="X22" s="873"/>
      <c r="Y22" s="873"/>
      <c r="Z22" s="873"/>
      <c r="AA22" s="873"/>
      <c r="AB22" s="873"/>
      <c r="AC22" s="873"/>
      <c r="AD22" s="873"/>
      <c r="AE22" s="873"/>
      <c r="AF22" s="873"/>
      <c r="AG22" s="873"/>
      <c r="AH22" s="873"/>
      <c r="AI22" s="873"/>
      <c r="AJ22" s="873"/>
      <c r="AK22" s="873"/>
      <c r="AL22" s="873"/>
      <c r="AM22" s="873"/>
      <c r="AN22" s="873"/>
      <c r="AO22" s="873"/>
      <c r="AP22" s="873"/>
      <c r="AQ22" s="873"/>
      <c r="AR22" s="873"/>
    </row>
    <row r="23" spans="1:44" ht="17.25">
      <c r="A23" s="879" t="s">
        <v>293</v>
      </c>
      <c r="B23" s="880"/>
      <c r="C23" s="881"/>
      <c r="D23" s="881"/>
      <c r="E23" s="881"/>
      <c r="F23" s="888"/>
      <c r="G23" s="888"/>
      <c r="H23" s="881"/>
      <c r="I23" s="889"/>
      <c r="J23" s="889"/>
      <c r="K23" s="881"/>
      <c r="L23" s="881"/>
      <c r="M23" s="881"/>
      <c r="N23" s="888"/>
      <c r="O23" s="888"/>
      <c r="P23" s="888"/>
      <c r="Q23" s="888"/>
      <c r="R23" s="890" t="s">
        <v>294</v>
      </c>
      <c r="S23" s="891">
        <f>SUM(S5:S22)</f>
        <v>969766.08511103992</v>
      </c>
      <c r="T23" s="892">
        <f>SUM(T5:T22)</f>
        <v>0.51984578909450374</v>
      </c>
      <c r="U23" s="891">
        <f>SUM(U5:U22)</f>
        <v>0.72338085777429173</v>
      </c>
      <c r="V23" s="891">
        <f>SUM(V5:V22)</f>
        <v>12.520796121064762</v>
      </c>
      <c r="W23" s="873"/>
      <c r="X23" s="873"/>
      <c r="Y23" s="873"/>
      <c r="Z23" s="873"/>
      <c r="AA23" s="873"/>
      <c r="AB23" s="873"/>
      <c r="AC23" s="873"/>
      <c r="AD23" s="873"/>
      <c r="AE23" s="873"/>
      <c r="AF23" s="873"/>
      <c r="AG23" s="873"/>
      <c r="AH23" s="873"/>
      <c r="AI23" s="873"/>
      <c r="AJ23" s="873"/>
      <c r="AK23" s="873"/>
      <c r="AL23" s="873"/>
      <c r="AM23" s="873"/>
      <c r="AN23" s="873"/>
      <c r="AO23" s="873"/>
      <c r="AP23" s="873"/>
      <c r="AQ23" s="873"/>
      <c r="AR23" s="873"/>
    </row>
    <row r="24" spans="1:44">
      <c r="A24" s="882">
        <v>56485023</v>
      </c>
      <c r="B24" s="883" t="s">
        <v>295</v>
      </c>
      <c r="C24" s="884">
        <v>220</v>
      </c>
      <c r="D24" s="884">
        <v>0</v>
      </c>
      <c r="E24" s="884">
        <f>C24+D24</f>
        <v>220</v>
      </c>
      <c r="F24" s="885">
        <v>8.77</v>
      </c>
      <c r="G24" s="885">
        <f>F24*E24</f>
        <v>1929.3999999999999</v>
      </c>
      <c r="H24" s="884">
        <v>990</v>
      </c>
      <c r="I24" s="885">
        <v>8785.58</v>
      </c>
      <c r="J24" s="885">
        <f>I24/H24</f>
        <v>8.8743232323232331</v>
      </c>
      <c r="K24" s="884">
        <v>220</v>
      </c>
      <c r="L24" s="884">
        <v>0</v>
      </c>
      <c r="M24" s="884">
        <f>K24+L24</f>
        <v>220</v>
      </c>
      <c r="N24" s="885">
        <v>9.2085000000000008</v>
      </c>
      <c r="O24" s="885">
        <f t="shared" si="4"/>
        <v>2025.8700000000001</v>
      </c>
      <c r="P24" s="884">
        <f t="shared" si="5"/>
        <v>990</v>
      </c>
      <c r="Q24" s="886">
        <f t="shared" si="7"/>
        <v>0.73847400954896136</v>
      </c>
      <c r="R24" s="886">
        <f t="shared" si="8"/>
        <v>1.2782039246541393E-2</v>
      </c>
      <c r="S24" s="885">
        <f t="shared" si="6"/>
        <v>8689.1099999999988</v>
      </c>
      <c r="T24" s="887">
        <f>S24/$S$41</f>
        <v>4.6578214208859853E-3</v>
      </c>
      <c r="U24" s="885">
        <f t="shared" si="10"/>
        <v>6.4814968698100753E-3</v>
      </c>
      <c r="V24" s="885">
        <f t="shared" si="11"/>
        <v>0.11218640912880329</v>
      </c>
      <c r="W24" s="873"/>
      <c r="X24" s="873"/>
      <c r="Y24" s="873"/>
      <c r="Z24" s="873"/>
      <c r="AA24" s="873"/>
      <c r="AB24" s="873"/>
      <c r="AC24" s="873"/>
      <c r="AD24" s="873"/>
      <c r="AE24" s="873"/>
      <c r="AF24" s="873"/>
      <c r="AG24" s="873"/>
      <c r="AH24" s="873"/>
      <c r="AI24" s="873"/>
      <c r="AJ24" s="873"/>
      <c r="AK24" s="873"/>
      <c r="AL24" s="873"/>
      <c r="AM24" s="873"/>
      <c r="AN24" s="873"/>
      <c r="AO24" s="873"/>
      <c r="AP24" s="873"/>
      <c r="AQ24" s="873"/>
      <c r="AR24" s="873"/>
    </row>
    <row r="25" spans="1:44">
      <c r="A25" s="882">
        <v>56485024</v>
      </c>
      <c r="B25" s="883" t="s">
        <v>296</v>
      </c>
      <c r="C25" s="884">
        <v>200</v>
      </c>
      <c r="D25" s="884">
        <v>0</v>
      </c>
      <c r="E25" s="884">
        <f>C25+D25</f>
        <v>200</v>
      </c>
      <c r="F25" s="885">
        <v>17.079999999999998</v>
      </c>
      <c r="G25" s="885">
        <f>F25*E25</f>
        <v>3415.9999999999995</v>
      </c>
      <c r="H25" s="884">
        <v>900</v>
      </c>
      <c r="I25" s="885">
        <v>15472.26</v>
      </c>
      <c r="J25" s="885">
        <f>I25/H25</f>
        <v>17.191400000000002</v>
      </c>
      <c r="K25" s="884">
        <v>200</v>
      </c>
      <c r="L25" s="884">
        <v>0</v>
      </c>
      <c r="M25" s="884">
        <f>K25+L25</f>
        <v>200</v>
      </c>
      <c r="N25" s="885">
        <v>16.23</v>
      </c>
      <c r="O25" s="885">
        <f t="shared" si="4"/>
        <v>3246</v>
      </c>
      <c r="P25" s="884">
        <f t="shared" si="5"/>
        <v>900</v>
      </c>
      <c r="Q25" s="886">
        <f t="shared" si="7"/>
        <v>0.67134000868087396</v>
      </c>
      <c r="R25" s="886">
        <f t="shared" si="8"/>
        <v>1.1620035678673995E-2</v>
      </c>
      <c r="S25" s="885">
        <f t="shared" si="6"/>
        <v>15642.259999999998</v>
      </c>
      <c r="T25" s="887">
        <f t="shared" ref="T25:T27" si="12">S25/$S$41</f>
        <v>8.3850766878389178E-3</v>
      </c>
      <c r="U25" s="885">
        <f t="shared" si="10"/>
        <v>1.1668083293542762E-2</v>
      </c>
      <c r="V25" s="885">
        <f t="shared" si="11"/>
        <v>0.20195957699455006</v>
      </c>
      <c r="W25" s="873"/>
      <c r="X25" s="873"/>
      <c r="Y25" s="873"/>
      <c r="Z25" s="873"/>
      <c r="AA25" s="873"/>
      <c r="AB25" s="873"/>
      <c r="AC25" s="873"/>
      <c r="AD25" s="873"/>
      <c r="AE25" s="873"/>
      <c r="AF25" s="873"/>
      <c r="AG25" s="873"/>
      <c r="AH25" s="873"/>
      <c r="AI25" s="873"/>
      <c r="AJ25" s="873"/>
      <c r="AK25" s="873"/>
      <c r="AL25" s="873"/>
      <c r="AM25" s="873"/>
      <c r="AN25" s="873"/>
      <c r="AO25" s="873"/>
      <c r="AP25" s="873"/>
      <c r="AQ25" s="873"/>
      <c r="AR25" s="873"/>
    </row>
    <row r="26" spans="1:44">
      <c r="A26" s="882">
        <v>56485025</v>
      </c>
      <c r="B26" s="883" t="s">
        <v>297</v>
      </c>
      <c r="C26" s="884">
        <v>0</v>
      </c>
      <c r="D26" s="884">
        <v>890</v>
      </c>
      <c r="E26" s="884">
        <f>C26+D26</f>
        <v>890</v>
      </c>
      <c r="F26" s="885">
        <v>16.976659999999999</v>
      </c>
      <c r="G26" s="885">
        <f>F26*E26</f>
        <v>15109.2274</v>
      </c>
      <c r="H26" s="884">
        <v>2200</v>
      </c>
      <c r="I26" s="885">
        <v>32472.3</v>
      </c>
      <c r="J26" s="885">
        <f>I26/H26</f>
        <v>14.760136363636363</v>
      </c>
      <c r="K26" s="884">
        <v>1000</v>
      </c>
      <c r="L26" s="884">
        <v>100</v>
      </c>
      <c r="M26" s="884">
        <f>K26+L26</f>
        <v>1100</v>
      </c>
      <c r="N26" s="885">
        <v>13.76</v>
      </c>
      <c r="O26" s="885">
        <f t="shared" si="4"/>
        <v>15136</v>
      </c>
      <c r="P26" s="884">
        <f t="shared" si="5"/>
        <v>1990</v>
      </c>
      <c r="Q26" s="886">
        <f t="shared" si="7"/>
        <v>1.4844073525277102</v>
      </c>
      <c r="R26" s="886">
        <f t="shared" si="8"/>
        <v>2.569319000062361E-2</v>
      </c>
      <c r="S26" s="885">
        <f t="shared" si="6"/>
        <v>32445.527399999999</v>
      </c>
      <c r="T26" s="887">
        <f t="shared" si="12"/>
        <v>1.7392514599960548E-2</v>
      </c>
      <c r="U26" s="885">
        <f t="shared" si="10"/>
        <v>2.420220071819059E-2</v>
      </c>
      <c r="V26" s="885">
        <f t="shared" si="11"/>
        <v>0.41890909555710515</v>
      </c>
      <c r="W26" s="873"/>
      <c r="X26" s="873"/>
      <c r="Y26" s="873"/>
      <c r="Z26" s="873"/>
      <c r="AA26" s="873"/>
      <c r="AB26" s="873"/>
      <c r="AC26" s="873"/>
      <c r="AD26" s="873"/>
      <c r="AE26" s="873"/>
      <c r="AF26" s="873"/>
      <c r="AG26" s="873"/>
      <c r="AH26" s="873"/>
      <c r="AI26" s="873"/>
      <c r="AJ26" s="873"/>
      <c r="AK26" s="873"/>
      <c r="AL26" s="873"/>
      <c r="AM26" s="873"/>
      <c r="AN26" s="873"/>
      <c r="AO26" s="873"/>
      <c r="AP26" s="873"/>
      <c r="AQ26" s="873"/>
      <c r="AR26" s="873"/>
    </row>
    <row r="27" spans="1:44">
      <c r="A27" s="882">
        <v>56485026</v>
      </c>
      <c r="B27" s="883" t="s">
        <v>298</v>
      </c>
      <c r="C27" s="884">
        <v>420</v>
      </c>
      <c r="D27" s="884">
        <v>0</v>
      </c>
      <c r="E27" s="884">
        <f>C27+D27</f>
        <v>420</v>
      </c>
      <c r="F27" s="885">
        <v>14.735404761904762</v>
      </c>
      <c r="G27" s="885">
        <f>F27*E27</f>
        <v>6188.87</v>
      </c>
      <c r="H27" s="884">
        <v>518</v>
      </c>
      <c r="I27" s="885">
        <v>8686.36</v>
      </c>
      <c r="J27" s="885">
        <f>I27/H27</f>
        <v>16.769034749034748</v>
      </c>
      <c r="K27" s="884">
        <v>238</v>
      </c>
      <c r="L27" s="884">
        <v>42</v>
      </c>
      <c r="M27" s="884">
        <f>K27+L27</f>
        <v>280</v>
      </c>
      <c r="N27" s="885">
        <v>15.77</v>
      </c>
      <c r="O27" s="885">
        <f t="shared" si="4"/>
        <v>4415.5999999999995</v>
      </c>
      <c r="P27" s="884">
        <f t="shared" si="5"/>
        <v>658</v>
      </c>
      <c r="Q27" s="886">
        <f t="shared" si="7"/>
        <v>0.4908241396800167</v>
      </c>
      <c r="R27" s="886">
        <f t="shared" si="8"/>
        <v>8.4955371961860978E-3</v>
      </c>
      <c r="S27" s="885">
        <f t="shared" si="6"/>
        <v>10459.630000000001</v>
      </c>
      <c r="T27" s="887">
        <f t="shared" si="12"/>
        <v>5.60691355829788E-3</v>
      </c>
      <c r="U27" s="885">
        <f t="shared" si="10"/>
        <v>7.8021867722208116E-3</v>
      </c>
      <c r="V27" s="885">
        <f t="shared" si="11"/>
        <v>0.13504585976192099</v>
      </c>
      <c r="W27" s="873"/>
      <c r="X27" s="873"/>
      <c r="Y27" s="873"/>
      <c r="Z27" s="873"/>
      <c r="AA27" s="873"/>
      <c r="AB27" s="873"/>
      <c r="AC27" s="873"/>
      <c r="AD27" s="873"/>
      <c r="AE27" s="873"/>
      <c r="AF27" s="873"/>
      <c r="AG27" s="873"/>
      <c r="AH27" s="873"/>
      <c r="AI27" s="873"/>
      <c r="AJ27" s="873"/>
      <c r="AK27" s="873"/>
      <c r="AL27" s="873"/>
      <c r="AM27" s="873"/>
      <c r="AN27" s="873"/>
      <c r="AO27" s="873"/>
      <c r="AP27" s="873"/>
      <c r="AQ27" s="873"/>
      <c r="AR27" s="873"/>
    </row>
    <row r="28" spans="1:44" ht="17.25">
      <c r="A28" s="879" t="s">
        <v>299</v>
      </c>
      <c r="B28" s="880"/>
      <c r="C28" s="881"/>
      <c r="D28" s="881"/>
      <c r="E28" s="881"/>
      <c r="F28" s="888"/>
      <c r="G28" s="888"/>
      <c r="H28" s="881"/>
      <c r="I28" s="889"/>
      <c r="J28" s="889"/>
      <c r="K28" s="881"/>
      <c r="L28" s="881"/>
      <c r="M28" s="881"/>
      <c r="N28" s="888"/>
      <c r="O28" s="888"/>
      <c r="P28" s="888"/>
      <c r="Q28" s="888"/>
      <c r="R28" s="890" t="s">
        <v>294</v>
      </c>
      <c r="S28" s="891">
        <f>SUM(S24:S27)</f>
        <v>67236.527399999992</v>
      </c>
      <c r="T28" s="892">
        <f>SUM(T24:T27)</f>
        <v>3.6042326266983331E-2</v>
      </c>
      <c r="U28" s="891">
        <f>SUM(U24:U27)</f>
        <v>5.0153967653764238E-2</v>
      </c>
      <c r="V28" s="891">
        <f>SUM(V24:V27)</f>
        <v>0.86810094144237937</v>
      </c>
      <c r="W28" s="873"/>
      <c r="X28" s="873"/>
      <c r="Y28" s="873"/>
      <c r="Z28" s="873"/>
      <c r="AA28" s="873"/>
      <c r="AB28" s="873"/>
      <c r="AC28" s="873"/>
      <c r="AD28" s="873"/>
      <c r="AE28" s="873"/>
      <c r="AF28" s="873"/>
      <c r="AG28" s="873"/>
      <c r="AH28" s="873"/>
      <c r="AI28" s="873"/>
      <c r="AJ28" s="873"/>
      <c r="AK28" s="873"/>
      <c r="AL28" s="873"/>
      <c r="AM28" s="873"/>
      <c r="AN28" s="873"/>
      <c r="AO28" s="873"/>
      <c r="AP28" s="873"/>
      <c r="AQ28" s="873"/>
      <c r="AR28" s="873"/>
    </row>
    <row r="29" spans="1:44">
      <c r="A29" s="882">
        <v>56484009</v>
      </c>
      <c r="B29" s="883" t="s">
        <v>20</v>
      </c>
      <c r="C29" s="884">
        <v>0</v>
      </c>
      <c r="D29" s="884">
        <v>29486.5686937108</v>
      </c>
      <c r="E29" s="884">
        <f>C29+D29</f>
        <v>29486.5686937108</v>
      </c>
      <c r="F29" s="885">
        <v>1.5</v>
      </c>
      <c r="G29" s="885">
        <f>F29*E29</f>
        <v>44229.853040566202</v>
      </c>
      <c r="H29" s="884">
        <v>144996</v>
      </c>
      <c r="I29" s="885">
        <v>271673.24</v>
      </c>
      <c r="J29" s="885">
        <f>I29/H29</f>
        <v>1.873660238903142</v>
      </c>
      <c r="K29" s="884">
        <v>0</v>
      </c>
      <c r="L29" s="884">
        <v>30386.992105636647</v>
      </c>
      <c r="M29" s="884">
        <f>K29+L29</f>
        <v>30386.992105636647</v>
      </c>
      <c r="N29" s="885">
        <v>2.33</v>
      </c>
      <c r="O29" s="885">
        <f t="shared" si="4"/>
        <v>70801.69160613339</v>
      </c>
      <c r="P29" s="884">
        <f t="shared" si="5"/>
        <v>144095.57658807415</v>
      </c>
      <c r="Q29" s="886">
        <f t="shared" si="7"/>
        <v>107.48569515279249</v>
      </c>
      <c r="R29" s="886" t="s">
        <v>13</v>
      </c>
      <c r="S29" s="885">
        <f t="shared" si="6"/>
        <v>245101.4014344328</v>
      </c>
      <c r="T29" s="887">
        <f>S29/$S$41</f>
        <v>0.13138728338005576</v>
      </c>
      <c r="U29" s="885">
        <f t="shared" si="10"/>
        <v>0.18282930774076275</v>
      </c>
      <c r="V29" s="893" t="s">
        <v>13</v>
      </c>
      <c r="W29" s="873"/>
      <c r="X29" s="873"/>
      <c r="Y29" s="873"/>
      <c r="Z29" s="873"/>
      <c r="AA29" s="873"/>
      <c r="AB29" s="873"/>
      <c r="AC29" s="873"/>
      <c r="AD29" s="873"/>
      <c r="AE29" s="873"/>
      <c r="AF29" s="873"/>
      <c r="AG29" s="873"/>
      <c r="AH29" s="873"/>
      <c r="AI29" s="873"/>
      <c r="AJ29" s="873"/>
      <c r="AK29" s="873"/>
      <c r="AL29" s="873"/>
      <c r="AM29" s="873"/>
      <c r="AN29" s="873"/>
      <c r="AO29" s="873"/>
      <c r="AP29" s="873"/>
      <c r="AQ29" s="873"/>
      <c r="AR29" s="873"/>
    </row>
    <row r="30" spans="1:44" ht="17.25">
      <c r="A30" s="879" t="s">
        <v>300</v>
      </c>
      <c r="B30" s="880"/>
      <c r="C30" s="881"/>
      <c r="D30" s="881"/>
      <c r="E30" s="881"/>
      <c r="F30" s="888"/>
      <c r="G30" s="888"/>
      <c r="H30" s="881"/>
      <c r="I30" s="889"/>
      <c r="J30" s="889"/>
      <c r="K30" s="881"/>
      <c r="L30" s="881"/>
      <c r="M30" s="881"/>
      <c r="N30" s="888"/>
      <c r="O30" s="888"/>
      <c r="P30" s="888"/>
      <c r="Q30" s="888"/>
      <c r="R30" s="890" t="s">
        <v>294</v>
      </c>
      <c r="S30" s="891">
        <f>SUM(S29)</f>
        <v>245101.4014344328</v>
      </c>
      <c r="T30" s="892">
        <f>SUM(T29)</f>
        <v>0.13138728338005576</v>
      </c>
      <c r="U30" s="891">
        <f>SUM(U29)</f>
        <v>0.18282930774076275</v>
      </c>
      <c r="V30" s="894" t="s">
        <v>13</v>
      </c>
      <c r="W30" s="873"/>
      <c r="X30" s="873"/>
      <c r="Y30" s="873"/>
      <c r="Z30" s="873"/>
      <c r="AA30" s="873"/>
      <c r="AB30" s="873"/>
      <c r="AC30" s="873"/>
      <c r="AD30" s="873"/>
      <c r="AE30" s="873"/>
      <c r="AF30" s="873"/>
      <c r="AG30" s="873"/>
      <c r="AH30" s="873"/>
      <c r="AI30" s="873"/>
      <c r="AJ30" s="873"/>
      <c r="AK30" s="873"/>
      <c r="AL30" s="873"/>
      <c r="AM30" s="873"/>
      <c r="AN30" s="873"/>
      <c r="AO30" s="873"/>
      <c r="AP30" s="873"/>
      <c r="AQ30" s="873"/>
      <c r="AR30" s="873"/>
    </row>
    <row r="31" spans="1:44">
      <c r="A31" s="882">
        <v>56484034</v>
      </c>
      <c r="B31" s="883" t="s">
        <v>301</v>
      </c>
      <c r="C31" s="884">
        <v>400</v>
      </c>
      <c r="D31" s="884">
        <v>0</v>
      </c>
      <c r="E31" s="884">
        <f>C31+D31</f>
        <v>400</v>
      </c>
      <c r="F31" s="885">
        <v>8.6807750000000006</v>
      </c>
      <c r="G31" s="885">
        <f>F31*E31</f>
        <v>3472.3100000000004</v>
      </c>
      <c r="H31" s="884">
        <v>0</v>
      </c>
      <c r="I31" s="885">
        <v>0</v>
      </c>
      <c r="J31" s="885" t="e">
        <f>I31/H31</f>
        <v>#DIV/0!</v>
      </c>
      <c r="K31" s="884">
        <v>350</v>
      </c>
      <c r="L31" s="884">
        <v>0</v>
      </c>
      <c r="M31" s="884">
        <f>K31+L31</f>
        <v>350</v>
      </c>
      <c r="N31" s="885">
        <v>8</v>
      </c>
      <c r="O31" s="885">
        <f t="shared" si="4"/>
        <v>2800</v>
      </c>
      <c r="P31" s="884">
        <f t="shared" si="5"/>
        <v>50</v>
      </c>
      <c r="Q31" s="886">
        <f t="shared" si="7"/>
        <v>3.7296667148937444E-2</v>
      </c>
      <c r="R31" s="886">
        <f t="shared" ref="R31" si="13">P31*1000/$F$42</f>
        <v>6.4555753770411078E-4</v>
      </c>
      <c r="S31" s="885">
        <f t="shared" si="6"/>
        <v>672.3100000000004</v>
      </c>
      <c r="T31" s="887">
        <f>S31/$S$41</f>
        <v>3.6039363288942818E-4</v>
      </c>
      <c r="U31" s="885">
        <f t="shared" si="10"/>
        <v>5.0149844581804293E-4</v>
      </c>
      <c r="V31" s="885">
        <f t="shared" si="11"/>
        <v>8.6802957634770188E-3</v>
      </c>
      <c r="W31" s="873"/>
      <c r="X31" s="873"/>
      <c r="Y31" s="873"/>
      <c r="Z31" s="873"/>
      <c r="AA31" s="873"/>
      <c r="AB31" s="873"/>
      <c r="AC31" s="873"/>
      <c r="AD31" s="873"/>
      <c r="AE31" s="873"/>
      <c r="AF31" s="873"/>
      <c r="AG31" s="873"/>
      <c r="AH31" s="873"/>
      <c r="AI31" s="873"/>
      <c r="AJ31" s="873"/>
      <c r="AK31" s="873"/>
      <c r="AL31" s="873"/>
      <c r="AM31" s="873"/>
      <c r="AN31" s="873"/>
      <c r="AO31" s="873"/>
      <c r="AP31" s="873"/>
      <c r="AQ31" s="873"/>
      <c r="AR31" s="873"/>
    </row>
    <row r="32" spans="1:44" ht="17.25">
      <c r="A32" s="879" t="s">
        <v>302</v>
      </c>
      <c r="B32" s="880"/>
      <c r="C32" s="881"/>
      <c r="D32" s="881"/>
      <c r="E32" s="881"/>
      <c r="F32" s="888"/>
      <c r="G32" s="888"/>
      <c r="H32" s="881"/>
      <c r="I32" s="889"/>
      <c r="J32" s="889"/>
      <c r="K32" s="881"/>
      <c r="L32" s="881"/>
      <c r="M32" s="881"/>
      <c r="N32" s="888"/>
      <c r="O32" s="888"/>
      <c r="P32" s="888"/>
      <c r="Q32" s="888"/>
      <c r="R32" s="890" t="s">
        <v>294</v>
      </c>
      <c r="S32" s="891">
        <f>SUM(S31)</f>
        <v>672.3100000000004</v>
      </c>
      <c r="T32" s="892">
        <f>SUM(T31)</f>
        <v>3.6039363288942818E-4</v>
      </c>
      <c r="U32" s="891">
        <f>SUM(U31)</f>
        <v>5.0149844581804293E-4</v>
      </c>
      <c r="V32" s="891">
        <f>SUM(V31)</f>
        <v>8.6802957634770188E-3</v>
      </c>
      <c r="W32" s="873"/>
      <c r="X32" s="873"/>
      <c r="Y32" s="873"/>
      <c r="Z32" s="873"/>
      <c r="AA32" s="873"/>
      <c r="AB32" s="873"/>
      <c r="AC32" s="873"/>
      <c r="AD32" s="873"/>
      <c r="AE32" s="873"/>
      <c r="AF32" s="873"/>
      <c r="AG32" s="873"/>
      <c r="AH32" s="873"/>
      <c r="AI32" s="873"/>
      <c r="AJ32" s="873"/>
      <c r="AK32" s="873"/>
      <c r="AL32" s="873"/>
      <c r="AM32" s="873"/>
      <c r="AN32" s="873"/>
      <c r="AO32" s="873"/>
      <c r="AP32" s="873"/>
      <c r="AQ32" s="873"/>
      <c r="AR32" s="873"/>
    </row>
    <row r="33" spans="1:44">
      <c r="A33" s="882">
        <v>56484003</v>
      </c>
      <c r="B33" s="883" t="s">
        <v>22</v>
      </c>
      <c r="C33" s="884">
        <v>0</v>
      </c>
      <c r="D33" s="884">
        <v>20000</v>
      </c>
      <c r="E33" s="884">
        <f t="shared" ref="E33:E39" si="14">C33+D33</f>
        <v>20000</v>
      </c>
      <c r="F33" s="885">
        <v>0.40289987038237202</v>
      </c>
      <c r="G33" s="885">
        <f t="shared" ref="G33:G39" si="15">F33*E33</f>
        <v>8057.99740764744</v>
      </c>
      <c r="H33" s="884">
        <v>738260</v>
      </c>
      <c r="I33" s="885">
        <v>297444.96000000002</v>
      </c>
      <c r="J33" s="885">
        <f t="shared" ref="J33:J39" si="16">I33/H33</f>
        <v>0.4029000081272181</v>
      </c>
      <c r="K33" s="884">
        <v>0</v>
      </c>
      <c r="L33" s="884">
        <v>24943.509497543193</v>
      </c>
      <c r="M33" s="884">
        <f t="shared" ref="M33:M39" si="17">K33+L33</f>
        <v>24943.509497543193</v>
      </c>
      <c r="N33" s="885">
        <v>0.40289999999999998</v>
      </c>
      <c r="O33" s="885">
        <f t="shared" si="4"/>
        <v>10049.739976560151</v>
      </c>
      <c r="P33" s="884">
        <f t="shared" si="5"/>
        <v>733316.49050245679</v>
      </c>
      <c r="Q33" s="886">
        <f t="shared" si="7"/>
        <v>547.0052212219415</v>
      </c>
      <c r="R33" s="886" t="s">
        <v>13</v>
      </c>
      <c r="S33" s="885">
        <f t="shared" si="6"/>
        <v>295453.21743108728</v>
      </c>
      <c r="T33" s="887">
        <f>S33/$S$41</f>
        <v>0.15837851345191892</v>
      </c>
      <c r="U33" s="885">
        <f t="shared" si="10"/>
        <v>0.22038840617219807</v>
      </c>
      <c r="V33" s="893" t="s">
        <v>13</v>
      </c>
      <c r="W33" s="873"/>
      <c r="X33" s="873"/>
      <c r="Y33" s="873"/>
      <c r="Z33" s="873"/>
      <c r="AA33" s="873"/>
      <c r="AB33" s="873"/>
      <c r="AC33" s="873"/>
      <c r="AD33" s="873"/>
      <c r="AE33" s="873"/>
      <c r="AF33" s="873"/>
      <c r="AG33" s="873"/>
      <c r="AH33" s="873"/>
      <c r="AI33" s="873"/>
      <c r="AJ33" s="873"/>
      <c r="AK33" s="873"/>
      <c r="AL33" s="873"/>
      <c r="AM33" s="873"/>
      <c r="AN33" s="873"/>
      <c r="AO33" s="873"/>
      <c r="AP33" s="873"/>
      <c r="AQ33" s="873"/>
      <c r="AR33" s="873"/>
    </row>
    <row r="34" spans="1:44">
      <c r="A34" s="882">
        <v>56483014</v>
      </c>
      <c r="B34" s="883" t="s">
        <v>303</v>
      </c>
      <c r="C34" s="884">
        <v>2200</v>
      </c>
      <c r="D34" s="884">
        <v>100</v>
      </c>
      <c r="E34" s="884">
        <f t="shared" si="14"/>
        <v>2300</v>
      </c>
      <c r="F34" s="885">
        <v>15.540365</v>
      </c>
      <c r="G34" s="885">
        <f t="shared" si="15"/>
        <v>35742.839500000002</v>
      </c>
      <c r="H34" s="884">
        <v>500</v>
      </c>
      <c r="I34" s="885">
        <v>7636.62</v>
      </c>
      <c r="J34" s="885">
        <f t="shared" si="16"/>
        <v>15.273239999999999</v>
      </c>
      <c r="K34" s="884">
        <v>0</v>
      </c>
      <c r="L34" s="884">
        <v>0</v>
      </c>
      <c r="M34" s="884">
        <f t="shared" si="17"/>
        <v>0</v>
      </c>
      <c r="N34" s="885">
        <v>15.497999999999999</v>
      </c>
      <c r="O34" s="885">
        <f t="shared" si="4"/>
        <v>0</v>
      </c>
      <c r="P34" s="884">
        <f t="shared" si="5"/>
        <v>2800</v>
      </c>
      <c r="Q34" s="886">
        <f t="shared" si="7"/>
        <v>2.0886133603404966</v>
      </c>
      <c r="R34" s="886" t="s">
        <v>13</v>
      </c>
      <c r="S34" s="885">
        <f t="shared" si="6"/>
        <v>43379.459500000004</v>
      </c>
      <c r="T34" s="887">
        <f t="shared" ref="T34:T39" si="18">S34/$S$41</f>
        <v>2.3253679109316847E-2</v>
      </c>
      <c r="U34" s="885">
        <f t="shared" si="10"/>
        <v>3.235818524144625E-2</v>
      </c>
      <c r="V34" s="893" t="s">
        <v>13</v>
      </c>
      <c r="W34" s="873"/>
      <c r="X34" s="873"/>
      <c r="Y34" s="873"/>
      <c r="Z34" s="873"/>
      <c r="AA34" s="873"/>
      <c r="AB34" s="873"/>
      <c r="AC34" s="873"/>
      <c r="AD34" s="873"/>
      <c r="AE34" s="873"/>
      <c r="AF34" s="873"/>
      <c r="AG34" s="873"/>
      <c r="AH34" s="873"/>
      <c r="AI34" s="873"/>
      <c r="AJ34" s="873"/>
      <c r="AK34" s="873"/>
      <c r="AL34" s="873"/>
      <c r="AM34" s="873"/>
      <c r="AN34" s="873"/>
      <c r="AO34" s="873"/>
      <c r="AP34" s="873"/>
      <c r="AQ34" s="873"/>
      <c r="AR34" s="873"/>
    </row>
    <row r="35" spans="1:44">
      <c r="A35" s="882">
        <v>56483021</v>
      </c>
      <c r="B35" s="883" t="s">
        <v>304</v>
      </c>
      <c r="C35" s="884">
        <v>0</v>
      </c>
      <c r="D35" s="884">
        <v>0</v>
      </c>
      <c r="E35" s="884">
        <f t="shared" si="14"/>
        <v>0</v>
      </c>
      <c r="F35" s="885">
        <v>0</v>
      </c>
      <c r="G35" s="885">
        <f t="shared" si="15"/>
        <v>0</v>
      </c>
      <c r="H35" s="884">
        <v>1500</v>
      </c>
      <c r="I35" s="885">
        <v>23459.1</v>
      </c>
      <c r="J35" s="885">
        <f t="shared" si="16"/>
        <v>15.639399999999998</v>
      </c>
      <c r="K35" s="884">
        <v>375</v>
      </c>
      <c r="L35" s="884">
        <v>0</v>
      </c>
      <c r="M35" s="884">
        <f t="shared" si="17"/>
        <v>375</v>
      </c>
      <c r="N35" s="885">
        <v>16.42137</v>
      </c>
      <c r="O35" s="885">
        <f t="shared" si="4"/>
        <v>6158.0137500000001</v>
      </c>
      <c r="P35" s="884">
        <f t="shared" si="5"/>
        <v>1125</v>
      </c>
      <c r="Q35" s="886">
        <f t="shared" si="7"/>
        <v>0.83917501085109247</v>
      </c>
      <c r="R35" s="886" t="s">
        <v>13</v>
      </c>
      <c r="S35" s="885">
        <f t="shared" si="6"/>
        <v>17301.08625</v>
      </c>
      <c r="T35" s="887">
        <f t="shared" si="18"/>
        <v>9.2742950819872227E-3</v>
      </c>
      <c r="U35" s="885">
        <f t="shared" si="10"/>
        <v>1.2905457103626165E-2</v>
      </c>
      <c r="V35" s="893" t="s">
        <v>13</v>
      </c>
      <c r="W35" s="873"/>
      <c r="X35" s="873"/>
      <c r="Y35" s="873"/>
      <c r="Z35" s="873"/>
      <c r="AA35" s="873"/>
      <c r="AB35" s="873"/>
      <c r="AC35" s="873"/>
      <c r="AD35" s="873"/>
      <c r="AE35" s="873"/>
      <c r="AF35" s="873"/>
      <c r="AG35" s="873"/>
      <c r="AH35" s="873"/>
      <c r="AI35" s="873"/>
      <c r="AJ35" s="873"/>
      <c r="AK35" s="873"/>
      <c r="AL35" s="873"/>
      <c r="AM35" s="873"/>
      <c r="AN35" s="873"/>
      <c r="AO35" s="873"/>
      <c r="AP35" s="873"/>
      <c r="AQ35" s="873"/>
      <c r="AR35" s="873"/>
    </row>
    <row r="36" spans="1:44">
      <c r="A36" s="882">
        <v>56483024</v>
      </c>
      <c r="B36" s="883" t="s">
        <v>305</v>
      </c>
      <c r="C36" s="884">
        <v>4500</v>
      </c>
      <c r="D36" s="884">
        <v>5295</v>
      </c>
      <c r="E36" s="884">
        <f t="shared" si="14"/>
        <v>9795</v>
      </c>
      <c r="F36" s="885">
        <v>3.1</v>
      </c>
      <c r="G36" s="885">
        <f t="shared" si="15"/>
        <v>30364.5</v>
      </c>
      <c r="H36" s="884">
        <v>15000</v>
      </c>
      <c r="I36" s="885">
        <v>46500</v>
      </c>
      <c r="J36" s="885">
        <f t="shared" si="16"/>
        <v>3.1</v>
      </c>
      <c r="K36" s="884">
        <v>13500</v>
      </c>
      <c r="L36" s="884">
        <v>5295</v>
      </c>
      <c r="M36" s="884">
        <f t="shared" si="17"/>
        <v>18795</v>
      </c>
      <c r="N36" s="885">
        <v>3.1</v>
      </c>
      <c r="O36" s="885">
        <f t="shared" si="4"/>
        <v>58264.5</v>
      </c>
      <c r="P36" s="884">
        <f t="shared" si="5"/>
        <v>6000</v>
      </c>
      <c r="Q36" s="886">
        <f t="shared" si="7"/>
        <v>4.4756000578724926</v>
      </c>
      <c r="R36" s="886" t="s">
        <v>13</v>
      </c>
      <c r="S36" s="885">
        <f t="shared" si="6"/>
        <v>18600</v>
      </c>
      <c r="T36" s="887">
        <f t="shared" si="18"/>
        <v>9.9705813861810169E-3</v>
      </c>
      <c r="U36" s="885">
        <f t="shared" si="10"/>
        <v>1.3874360179404728E-2</v>
      </c>
      <c r="V36" s="893" t="s">
        <v>13</v>
      </c>
      <c r="W36" s="873"/>
      <c r="X36" s="873"/>
      <c r="Y36" s="873"/>
      <c r="Z36" s="873"/>
      <c r="AA36" s="873"/>
      <c r="AB36" s="873"/>
      <c r="AC36" s="873"/>
      <c r="AD36" s="873"/>
      <c r="AE36" s="873"/>
      <c r="AF36" s="873"/>
      <c r="AG36" s="873"/>
      <c r="AH36" s="873"/>
      <c r="AI36" s="873"/>
      <c r="AJ36" s="873"/>
      <c r="AK36" s="873"/>
      <c r="AL36" s="873"/>
      <c r="AM36" s="873"/>
      <c r="AN36" s="873"/>
      <c r="AO36" s="873"/>
      <c r="AP36" s="873"/>
      <c r="AQ36" s="873"/>
      <c r="AR36" s="873"/>
    </row>
    <row r="37" spans="1:44">
      <c r="A37" s="882">
        <v>56483025</v>
      </c>
      <c r="B37" s="883" t="s">
        <v>306</v>
      </c>
      <c r="C37" s="884">
        <v>700</v>
      </c>
      <c r="D37" s="884">
        <v>50</v>
      </c>
      <c r="E37" s="884">
        <f t="shared" si="14"/>
        <v>750</v>
      </c>
      <c r="F37" s="885">
        <v>21</v>
      </c>
      <c r="G37" s="885">
        <f t="shared" si="15"/>
        <v>15750</v>
      </c>
      <c r="H37" s="884">
        <v>1000</v>
      </c>
      <c r="I37" s="885">
        <v>15200</v>
      </c>
      <c r="J37" s="885">
        <f t="shared" si="16"/>
        <v>15.2</v>
      </c>
      <c r="K37" s="884">
        <v>0</v>
      </c>
      <c r="L37" s="884">
        <v>0</v>
      </c>
      <c r="M37" s="884">
        <f t="shared" si="17"/>
        <v>0</v>
      </c>
      <c r="N37" s="885">
        <v>15.96</v>
      </c>
      <c r="O37" s="885">
        <f t="shared" si="4"/>
        <v>0</v>
      </c>
      <c r="P37" s="884">
        <f t="shared" si="5"/>
        <v>1750</v>
      </c>
      <c r="Q37" s="886">
        <f t="shared" si="7"/>
        <v>1.3053833502128105</v>
      </c>
      <c r="R37" s="886" t="s">
        <v>13</v>
      </c>
      <c r="S37" s="885">
        <f t="shared" si="6"/>
        <v>30950</v>
      </c>
      <c r="T37" s="887">
        <f t="shared" si="18"/>
        <v>1.6590833005500134E-2</v>
      </c>
      <c r="U37" s="885">
        <f t="shared" si="10"/>
        <v>2.3086636965192277E-2</v>
      </c>
      <c r="V37" s="893" t="s">
        <v>13</v>
      </c>
      <c r="W37" s="873"/>
      <c r="X37" s="873"/>
      <c r="Y37" s="873"/>
      <c r="Z37" s="873"/>
      <c r="AA37" s="873"/>
      <c r="AB37" s="873"/>
      <c r="AC37" s="873"/>
      <c r="AD37" s="873"/>
      <c r="AE37" s="873"/>
      <c r="AF37" s="873"/>
      <c r="AG37" s="873"/>
      <c r="AH37" s="873"/>
      <c r="AI37" s="873"/>
      <c r="AJ37" s="873"/>
      <c r="AK37" s="873"/>
      <c r="AL37" s="873"/>
      <c r="AM37" s="873"/>
      <c r="AN37" s="873"/>
      <c r="AO37" s="873"/>
      <c r="AP37" s="873"/>
      <c r="AQ37" s="873"/>
      <c r="AR37" s="873"/>
    </row>
    <row r="38" spans="1:44">
      <c r="A38" s="882">
        <v>56483028</v>
      </c>
      <c r="B38" s="883" t="s">
        <v>307</v>
      </c>
      <c r="C38" s="884">
        <v>0</v>
      </c>
      <c r="D38" s="884">
        <v>0</v>
      </c>
      <c r="E38" s="884">
        <f t="shared" si="14"/>
        <v>0</v>
      </c>
      <c r="F38" s="885">
        <v>15.645</v>
      </c>
      <c r="G38" s="885">
        <f t="shared" si="15"/>
        <v>0</v>
      </c>
      <c r="H38" s="884">
        <v>11575</v>
      </c>
      <c r="I38" s="885">
        <v>172411.67</v>
      </c>
      <c r="J38" s="885">
        <f t="shared" si="16"/>
        <v>14.895176673866091</v>
      </c>
      <c r="K38" s="884">
        <v>1150</v>
      </c>
      <c r="L38" s="884">
        <v>0</v>
      </c>
      <c r="M38" s="884">
        <f t="shared" si="17"/>
        <v>1150</v>
      </c>
      <c r="N38" s="885">
        <v>15.645</v>
      </c>
      <c r="O38" s="885">
        <f t="shared" si="4"/>
        <v>17991.75</v>
      </c>
      <c r="P38" s="884">
        <f t="shared" si="5"/>
        <v>10425</v>
      </c>
      <c r="Q38" s="886">
        <f t="shared" si="7"/>
        <v>7.7763551005534568</v>
      </c>
      <c r="R38" s="886" t="s">
        <v>13</v>
      </c>
      <c r="S38" s="885">
        <f t="shared" si="6"/>
        <v>154419.92000000001</v>
      </c>
      <c r="T38" s="887">
        <f t="shared" si="18"/>
        <v>8.2777224731589355E-2</v>
      </c>
      <c r="U38" s="885">
        <f t="shared" si="10"/>
        <v>0.11518696714811097</v>
      </c>
      <c r="V38" s="893" t="s">
        <v>13</v>
      </c>
      <c r="W38" s="873"/>
      <c r="X38" s="873"/>
      <c r="Y38" s="873"/>
      <c r="Z38" s="873"/>
      <c r="AA38" s="873"/>
      <c r="AB38" s="873"/>
      <c r="AC38" s="873"/>
      <c r="AD38" s="873"/>
      <c r="AE38" s="873"/>
      <c r="AF38" s="873"/>
      <c r="AG38" s="873"/>
      <c r="AH38" s="873"/>
      <c r="AI38" s="873"/>
      <c r="AJ38" s="873"/>
      <c r="AK38" s="873"/>
      <c r="AL38" s="873"/>
      <c r="AM38" s="873"/>
      <c r="AN38" s="873"/>
      <c r="AO38" s="873"/>
      <c r="AP38" s="873"/>
      <c r="AQ38" s="873"/>
      <c r="AR38" s="873"/>
    </row>
    <row r="39" spans="1:44">
      <c r="A39" s="882">
        <v>56483029</v>
      </c>
      <c r="B39" s="883" t="s">
        <v>308</v>
      </c>
      <c r="C39" s="884">
        <v>0</v>
      </c>
      <c r="D39" s="884">
        <v>0</v>
      </c>
      <c r="E39" s="884">
        <f t="shared" si="14"/>
        <v>0</v>
      </c>
      <c r="F39" s="885">
        <v>13.44</v>
      </c>
      <c r="G39" s="885">
        <f t="shared" si="15"/>
        <v>0</v>
      </c>
      <c r="H39" s="884">
        <v>3000</v>
      </c>
      <c r="I39" s="885">
        <v>38400</v>
      </c>
      <c r="J39" s="885">
        <f t="shared" si="16"/>
        <v>12.8</v>
      </c>
      <c r="K39" s="884">
        <v>975</v>
      </c>
      <c r="L39" s="884">
        <v>200</v>
      </c>
      <c r="M39" s="884">
        <f t="shared" si="17"/>
        <v>1175</v>
      </c>
      <c r="N39" s="885">
        <v>13.44</v>
      </c>
      <c r="O39" s="885">
        <f t="shared" si="4"/>
        <v>15792</v>
      </c>
      <c r="P39" s="884">
        <f t="shared" si="5"/>
        <v>1825</v>
      </c>
      <c r="Q39" s="886">
        <f t="shared" si="7"/>
        <v>1.3613283509362166</v>
      </c>
      <c r="R39" s="886" t="s">
        <v>13</v>
      </c>
      <c r="S39" s="885">
        <f t="shared" si="6"/>
        <v>22608</v>
      </c>
      <c r="T39" s="887">
        <f t="shared" si="18"/>
        <v>1.2119080859074217E-2</v>
      </c>
      <c r="U39" s="885">
        <f t="shared" si="10"/>
        <v>1.6864061018063554E-2</v>
      </c>
      <c r="V39" s="893" t="s">
        <v>13</v>
      </c>
      <c r="W39" s="873"/>
      <c r="X39" s="873"/>
      <c r="Y39" s="873"/>
      <c r="Z39" s="873"/>
      <c r="AA39" s="873"/>
      <c r="AB39" s="873"/>
      <c r="AC39" s="873"/>
      <c r="AD39" s="873"/>
      <c r="AE39" s="873"/>
      <c r="AF39" s="873"/>
      <c r="AG39" s="873"/>
      <c r="AH39" s="873"/>
      <c r="AI39" s="873"/>
      <c r="AJ39" s="873"/>
      <c r="AK39" s="873"/>
      <c r="AL39" s="873"/>
      <c r="AM39" s="873"/>
      <c r="AN39" s="873"/>
      <c r="AO39" s="873"/>
      <c r="AP39" s="873"/>
      <c r="AQ39" s="873"/>
      <c r="AR39" s="873"/>
    </row>
    <row r="40" spans="1:44" ht="17.25">
      <c r="A40" s="879"/>
      <c r="B40" s="880"/>
      <c r="C40" s="881"/>
      <c r="D40" s="881"/>
      <c r="E40" s="881"/>
      <c r="F40" s="881"/>
      <c r="G40" s="881"/>
      <c r="H40" s="881"/>
      <c r="I40" s="895"/>
      <c r="J40" s="895"/>
      <c r="K40" s="881"/>
      <c r="L40" s="881"/>
      <c r="M40" s="881"/>
      <c r="N40" s="881"/>
      <c r="O40" s="881"/>
      <c r="P40" s="881"/>
      <c r="Q40" s="881"/>
      <c r="R40" s="890" t="s">
        <v>294</v>
      </c>
      <c r="S40" s="891">
        <f>SUM(S33:S39)</f>
        <v>582711.68318108725</v>
      </c>
      <c r="T40" s="892">
        <f>SUM(T33:T39)</f>
        <v>0.31236420762556766</v>
      </c>
      <c r="U40" s="891">
        <f>SUM(U33:U39)</f>
        <v>0.43466407382804201</v>
      </c>
      <c r="V40" s="894" t="s">
        <v>13</v>
      </c>
      <c r="W40" s="873"/>
      <c r="X40" s="873"/>
      <c r="Y40" s="873"/>
      <c r="Z40" s="873"/>
      <c r="AA40" s="873"/>
      <c r="AB40" s="873"/>
      <c r="AC40" s="873"/>
      <c r="AD40" s="873"/>
      <c r="AE40" s="873"/>
      <c r="AF40" s="873"/>
      <c r="AG40" s="873"/>
      <c r="AH40" s="873"/>
      <c r="AI40" s="873"/>
      <c r="AJ40" s="873"/>
      <c r="AK40" s="873"/>
      <c r="AL40" s="873"/>
      <c r="AM40" s="873"/>
      <c r="AN40" s="873"/>
      <c r="AO40" s="873"/>
      <c r="AP40" s="873"/>
      <c r="AQ40" s="873"/>
      <c r="AR40" s="873"/>
    </row>
    <row r="41" spans="1:44" ht="17.25">
      <c r="A41" s="1227" t="s">
        <v>309</v>
      </c>
      <c r="B41" s="896" t="s">
        <v>310</v>
      </c>
      <c r="C41" s="897">
        <v>42851</v>
      </c>
      <c r="D41" s="1221" t="s">
        <v>311</v>
      </c>
      <c r="E41" s="1221"/>
      <c r="F41" s="1228">
        <f>'[2]Acompanhamento de Safra'!C34</f>
        <v>1340602.3599999999</v>
      </c>
      <c r="G41" s="1228"/>
      <c r="H41" s="898"/>
      <c r="I41" s="898"/>
      <c r="J41" s="898"/>
      <c r="K41" s="898"/>
      <c r="L41" s="898"/>
      <c r="M41" s="898"/>
      <c r="N41" s="898"/>
      <c r="O41" s="899">
        <f>SUM(O5:O39)</f>
        <v>287510.84730557597</v>
      </c>
      <c r="P41" s="900">
        <f>SUM(P5:P39)</f>
        <v>1438427.0236672075</v>
      </c>
      <c r="Q41" s="873"/>
      <c r="R41" s="901" t="s">
        <v>254</v>
      </c>
      <c r="S41" s="902">
        <f>SUM(S5:S22,S24:S27,S29,S33:S39,S31)</f>
        <v>1865488.00712656</v>
      </c>
      <c r="T41" s="903">
        <f>SUM(T5:T22,T24:T27,T29,T33:T39,T31)</f>
        <v>0.99999999999999989</v>
      </c>
      <c r="U41" s="904">
        <f>SUM(U40,U32,U28,U23,U30)</f>
        <v>1.3915297054426787</v>
      </c>
      <c r="V41" s="904">
        <f>SUM(V32,V28,V23)</f>
        <v>13.397577358270619</v>
      </c>
      <c r="W41" s="873"/>
      <c r="X41" s="873"/>
      <c r="Y41" s="873"/>
      <c r="Z41" s="873"/>
      <c r="AA41" s="873"/>
      <c r="AB41" s="873"/>
      <c r="AC41" s="873"/>
      <c r="AD41" s="873"/>
      <c r="AE41" s="873"/>
      <c r="AF41" s="873"/>
      <c r="AG41" s="873"/>
      <c r="AH41" s="873"/>
      <c r="AI41" s="873"/>
      <c r="AJ41" s="873"/>
      <c r="AK41" s="873"/>
      <c r="AL41" s="873"/>
      <c r="AM41" s="873"/>
      <c r="AN41" s="873"/>
      <c r="AO41" s="873"/>
      <c r="AP41" s="873"/>
      <c r="AQ41" s="873"/>
      <c r="AR41" s="873"/>
    </row>
    <row r="42" spans="1:44" ht="17.25">
      <c r="A42" s="1227"/>
      <c r="B42" s="896" t="s">
        <v>312</v>
      </c>
      <c r="C42" s="897">
        <v>43057</v>
      </c>
      <c r="D42" s="1221" t="s">
        <v>313</v>
      </c>
      <c r="E42" s="1221"/>
      <c r="F42" s="1229">
        <f>'[2]Acompanhamento de Safra'!D34</f>
        <v>77452430</v>
      </c>
      <c r="G42" s="1229"/>
      <c r="H42" s="898"/>
      <c r="I42" s="898"/>
      <c r="J42" s="898"/>
      <c r="K42" s="898"/>
      <c r="L42" s="898"/>
      <c r="M42" s="898"/>
      <c r="N42" s="898"/>
      <c r="O42" s="898"/>
      <c r="P42" s="873"/>
      <c r="Q42" s="873"/>
      <c r="R42" s="873"/>
      <c r="S42" s="873"/>
      <c r="T42" s="873"/>
      <c r="U42" s="873"/>
      <c r="V42" s="873"/>
      <c r="W42" s="873"/>
      <c r="X42" s="873"/>
      <c r="Y42" s="873"/>
      <c r="Z42" s="873"/>
      <c r="AA42" s="873"/>
      <c r="AB42" s="873"/>
      <c r="AC42" s="873"/>
      <c r="AD42" s="873"/>
      <c r="AE42" s="873"/>
      <c r="AF42" s="873"/>
      <c r="AG42" s="873"/>
      <c r="AH42" s="873"/>
      <c r="AI42" s="873"/>
      <c r="AJ42" s="873"/>
      <c r="AK42" s="873"/>
      <c r="AL42" s="873"/>
      <c r="AM42" s="873"/>
      <c r="AN42" s="873"/>
      <c r="AO42" s="873"/>
      <c r="AP42" s="873"/>
      <c r="AQ42" s="873"/>
      <c r="AR42" s="873"/>
    </row>
    <row r="43" spans="1:44">
      <c r="A43" s="898"/>
      <c r="B43" s="898"/>
      <c r="C43" s="898"/>
      <c r="D43" s="898"/>
      <c r="E43" s="873"/>
      <c r="F43" s="898"/>
      <c r="G43" s="898"/>
      <c r="H43" s="898"/>
      <c r="I43" s="898"/>
      <c r="J43" s="898"/>
      <c r="K43" s="898"/>
      <c r="L43" s="898"/>
      <c r="M43" s="898"/>
      <c r="N43" s="898"/>
      <c r="O43" s="898"/>
      <c r="P43" s="905"/>
      <c r="Q43" s="873"/>
      <c r="R43" s="873"/>
      <c r="S43" s="873"/>
      <c r="T43" s="873"/>
      <c r="U43" s="873"/>
      <c r="V43" s="873"/>
      <c r="W43" s="873"/>
      <c r="X43" s="873"/>
      <c r="Y43" s="873"/>
      <c r="Z43" s="873"/>
      <c r="AA43" s="873"/>
      <c r="AB43" s="873"/>
      <c r="AC43" s="873"/>
      <c r="AD43" s="873"/>
      <c r="AE43" s="873"/>
      <c r="AF43" s="873"/>
      <c r="AG43" s="873"/>
      <c r="AH43" s="873"/>
      <c r="AI43" s="873"/>
      <c r="AJ43" s="873"/>
      <c r="AK43" s="873"/>
      <c r="AL43" s="873"/>
      <c r="AM43" s="873"/>
      <c r="AN43" s="873"/>
      <c r="AO43" s="873"/>
      <c r="AP43" s="873"/>
      <c r="AQ43" s="873"/>
      <c r="AR43" s="873"/>
    </row>
    <row r="44" spans="1:44" ht="30" customHeight="1">
      <c r="A44" s="1221" t="s">
        <v>314</v>
      </c>
      <c r="B44" s="1221"/>
      <c r="C44" s="877" t="s">
        <v>315</v>
      </c>
      <c r="D44" s="877" t="s">
        <v>316</v>
      </c>
      <c r="E44" s="877" t="s">
        <v>317</v>
      </c>
      <c r="F44" s="877" t="s">
        <v>309</v>
      </c>
      <c r="G44" s="372" t="s">
        <v>318</v>
      </c>
      <c r="L44" s="898"/>
      <c r="S44" s="873"/>
      <c r="T44" s="873"/>
      <c r="U44" s="873"/>
      <c r="V44" s="873"/>
      <c r="W44" s="873"/>
      <c r="X44" s="873"/>
      <c r="Y44" s="873"/>
      <c r="Z44" s="873"/>
      <c r="AA44" s="873"/>
      <c r="AB44" s="873"/>
      <c r="AC44" s="873"/>
      <c r="AD44" s="873"/>
      <c r="AE44" s="873"/>
      <c r="AF44" s="873"/>
      <c r="AG44" s="873"/>
      <c r="AH44" s="873"/>
      <c r="AI44" s="873"/>
      <c r="AJ44" s="873"/>
      <c r="AK44" s="873"/>
      <c r="AL44" s="873"/>
      <c r="AM44" s="873"/>
      <c r="AN44" s="873"/>
      <c r="AO44" s="873"/>
      <c r="AP44" s="873"/>
      <c r="AQ44" s="873"/>
      <c r="AR44" s="873"/>
    </row>
    <row r="45" spans="1:44">
      <c r="A45" s="1213" t="s">
        <v>311</v>
      </c>
      <c r="B45" s="1213"/>
      <c r="C45" s="906">
        <v>1841157.74</v>
      </c>
      <c r="D45" s="906">
        <v>2159482.9500000002</v>
      </c>
      <c r="E45" s="906">
        <v>1711781.0000000002</v>
      </c>
      <c r="F45" s="906">
        <v>1340602.3599999999</v>
      </c>
      <c r="G45" s="1" t="s">
        <v>319</v>
      </c>
      <c r="H45" s="17"/>
      <c r="L45" s="898"/>
      <c r="M45" s="17"/>
      <c r="S45" s="873"/>
      <c r="T45" s="873"/>
      <c r="U45" s="873"/>
      <c r="V45" s="873"/>
      <c r="W45" s="873"/>
      <c r="X45" s="873"/>
      <c r="Y45" s="873"/>
      <c r="Z45" s="873"/>
      <c r="AA45" s="873"/>
      <c r="AB45" s="873"/>
      <c r="AC45" s="873"/>
      <c r="AD45" s="873"/>
      <c r="AE45" s="873"/>
      <c r="AF45" s="873"/>
      <c r="AG45" s="873"/>
      <c r="AH45" s="873"/>
      <c r="AI45" s="873"/>
      <c r="AJ45" s="873"/>
      <c r="AK45" s="873"/>
      <c r="AL45" s="873"/>
      <c r="AM45" s="873"/>
      <c r="AN45" s="873"/>
      <c r="AO45" s="873"/>
      <c r="AP45" s="873"/>
      <c r="AQ45" s="873"/>
      <c r="AR45" s="873"/>
    </row>
    <row r="46" spans="1:44">
      <c r="A46" s="1213" t="s">
        <v>313</v>
      </c>
      <c r="B46" s="1213"/>
      <c r="C46" s="884">
        <v>78029017</v>
      </c>
      <c r="D46" s="884">
        <v>99507339</v>
      </c>
      <c r="E46" s="884">
        <v>80870673</v>
      </c>
      <c r="F46" s="884">
        <v>77452430</v>
      </c>
      <c r="G46" s="1" t="str">
        <f t="shared" ref="G46:G61" si="19">G45</f>
        <v>Moagem</v>
      </c>
      <c r="L46" s="898"/>
      <c r="O46" s="17"/>
      <c r="S46" s="873"/>
      <c r="T46" s="873"/>
      <c r="U46" s="873"/>
      <c r="V46" s="873"/>
      <c r="W46" s="873"/>
      <c r="X46" s="873"/>
      <c r="Y46" s="873"/>
      <c r="Z46" s="873"/>
      <c r="AA46" s="873"/>
      <c r="AB46" s="873"/>
      <c r="AC46" s="873"/>
      <c r="AD46" s="873"/>
      <c r="AE46" s="873"/>
      <c r="AF46" s="873"/>
      <c r="AG46" s="873"/>
      <c r="AH46" s="873"/>
      <c r="AI46" s="873"/>
      <c r="AJ46" s="873"/>
      <c r="AK46" s="873"/>
      <c r="AL46" s="873"/>
      <c r="AM46" s="873"/>
      <c r="AN46" s="873"/>
      <c r="AO46" s="873"/>
      <c r="AP46" s="873"/>
      <c r="AQ46" s="873"/>
      <c r="AR46" s="873"/>
    </row>
    <row r="47" spans="1:44">
      <c r="A47" s="1213" t="s">
        <v>320</v>
      </c>
      <c r="B47" s="1213"/>
      <c r="C47" s="884">
        <v>2204655</v>
      </c>
      <c r="D47" s="884">
        <v>2254172</v>
      </c>
      <c r="E47" s="884">
        <v>1654009</v>
      </c>
      <c r="F47" s="884">
        <v>1108780</v>
      </c>
      <c r="G47" s="1" t="str">
        <f t="shared" si="19"/>
        <v>Moagem</v>
      </c>
      <c r="L47" s="898"/>
      <c r="S47" s="873"/>
      <c r="T47" s="873"/>
      <c r="U47" s="873"/>
      <c r="V47" s="873"/>
      <c r="W47" s="873"/>
      <c r="X47" s="873"/>
      <c r="Y47" s="873"/>
      <c r="Z47" s="873"/>
      <c r="AA47" s="873"/>
      <c r="AB47" s="873"/>
      <c r="AC47" s="873"/>
      <c r="AD47" s="873"/>
      <c r="AE47" s="873"/>
      <c r="AF47" s="873"/>
      <c r="AG47" s="873"/>
      <c r="AH47" s="873"/>
      <c r="AI47" s="873"/>
      <c r="AJ47" s="873"/>
      <c r="AK47" s="873"/>
      <c r="AL47" s="873"/>
      <c r="AM47" s="873"/>
      <c r="AN47" s="873"/>
      <c r="AO47" s="873"/>
      <c r="AP47" s="873"/>
      <c r="AQ47" s="873"/>
      <c r="AR47" s="873"/>
    </row>
    <row r="48" spans="1:44">
      <c r="A48" s="1213" t="s">
        <v>321</v>
      </c>
      <c r="B48" s="1213"/>
      <c r="C48" s="885">
        <v>2443012.5500000003</v>
      </c>
      <c r="D48" s="885">
        <v>3830635.2849999997</v>
      </c>
      <c r="E48" s="885">
        <v>2627956.4130582684</v>
      </c>
      <c r="F48" s="885">
        <f>S41</f>
        <v>1865488.00712656</v>
      </c>
      <c r="G48" s="1" t="str">
        <f t="shared" si="19"/>
        <v>Moagem</v>
      </c>
      <c r="L48" s="898"/>
      <c r="S48" s="873"/>
      <c r="T48" s="873"/>
      <c r="U48" s="873"/>
      <c r="V48" s="873"/>
      <c r="W48" s="873"/>
      <c r="X48" s="873"/>
      <c r="Y48" s="873"/>
      <c r="Z48" s="873"/>
      <c r="AA48" s="873"/>
      <c r="AB48" s="873"/>
      <c r="AC48" s="873"/>
      <c r="AD48" s="873"/>
      <c r="AE48" s="873"/>
      <c r="AF48" s="873"/>
      <c r="AG48" s="873"/>
      <c r="AH48" s="873"/>
      <c r="AI48" s="873"/>
      <c r="AJ48" s="873"/>
      <c r="AK48" s="873"/>
      <c r="AL48" s="873"/>
      <c r="AM48" s="873"/>
      <c r="AN48" s="873"/>
      <c r="AO48" s="873"/>
      <c r="AP48" s="873"/>
      <c r="AQ48" s="873"/>
      <c r="AR48" s="873"/>
    </row>
    <row r="49" spans="1:44">
      <c r="A49" s="1213" t="s">
        <v>322</v>
      </c>
      <c r="B49" s="1213"/>
      <c r="C49" s="907">
        <f>C48/C45</f>
        <v>1.3268893245398954</v>
      </c>
      <c r="D49" s="907">
        <f>D48/D45</f>
        <v>1.7738668809587033</v>
      </c>
      <c r="E49" s="907">
        <v>1.5352176552130605</v>
      </c>
      <c r="F49" s="907">
        <f>F48/F45</f>
        <v>1.391529705442679</v>
      </c>
      <c r="G49" s="1" t="str">
        <f t="shared" si="19"/>
        <v>Moagem</v>
      </c>
      <c r="L49" s="898"/>
      <c r="S49" s="873"/>
      <c r="T49" s="873"/>
      <c r="U49" s="873"/>
      <c r="V49" s="873"/>
      <c r="W49" s="873"/>
      <c r="X49" s="873"/>
      <c r="Y49" s="873"/>
      <c r="Z49" s="873"/>
      <c r="AA49" s="873"/>
      <c r="AB49" s="873"/>
      <c r="AC49" s="873"/>
      <c r="AD49" s="873"/>
      <c r="AE49" s="873"/>
      <c r="AF49" s="873"/>
      <c r="AG49" s="873"/>
      <c r="AH49" s="873"/>
      <c r="AI49" s="873"/>
      <c r="AJ49" s="873"/>
      <c r="AK49" s="873"/>
      <c r="AL49" s="873"/>
      <c r="AM49" s="873"/>
      <c r="AN49" s="873"/>
      <c r="AO49" s="873"/>
      <c r="AP49" s="873"/>
      <c r="AQ49" s="873"/>
      <c r="AR49" s="873"/>
    </row>
    <row r="50" spans="1:44">
      <c r="A50" s="1217" t="s">
        <v>323</v>
      </c>
      <c r="B50" s="1218"/>
      <c r="C50" s="1212"/>
      <c r="D50" s="1212"/>
      <c r="E50" s="1212"/>
      <c r="F50" s="1212"/>
      <c r="G50" s="1" t="str">
        <f t="shared" si="19"/>
        <v>Moagem</v>
      </c>
      <c r="L50" s="898"/>
      <c r="S50" s="873"/>
      <c r="T50" s="873"/>
      <c r="U50" s="873"/>
      <c r="V50" s="873"/>
      <c r="W50" s="873"/>
      <c r="X50" s="873"/>
      <c r="Y50" s="873"/>
      <c r="Z50" s="873"/>
      <c r="AA50" s="873"/>
      <c r="AB50" s="873"/>
      <c r="AC50" s="873"/>
      <c r="AD50" s="873"/>
      <c r="AE50" s="873"/>
      <c r="AF50" s="873"/>
      <c r="AG50" s="873"/>
      <c r="AH50" s="873"/>
      <c r="AI50" s="873"/>
      <c r="AJ50" s="873"/>
      <c r="AK50" s="873"/>
      <c r="AL50" s="873"/>
      <c r="AM50" s="873"/>
      <c r="AN50" s="873"/>
      <c r="AO50" s="873"/>
      <c r="AP50" s="873"/>
      <c r="AQ50" s="873"/>
      <c r="AR50" s="873"/>
    </row>
    <row r="51" spans="1:44">
      <c r="A51" s="1213" t="s">
        <v>90</v>
      </c>
      <c r="B51" s="1213"/>
      <c r="C51" s="884">
        <v>1087670</v>
      </c>
      <c r="D51" s="884">
        <v>1103180</v>
      </c>
      <c r="E51" s="884">
        <v>663580</v>
      </c>
      <c r="F51" s="884">
        <f>P5</f>
        <v>474780.50145226653</v>
      </c>
      <c r="G51" s="1" t="str">
        <f t="shared" si="19"/>
        <v>Moagem</v>
      </c>
      <c r="L51" s="908"/>
      <c r="S51" s="873"/>
      <c r="T51" s="873"/>
      <c r="U51" s="873"/>
      <c r="V51" s="873"/>
      <c r="W51" s="873"/>
      <c r="X51" s="873"/>
      <c r="Y51" s="873"/>
      <c r="Z51" s="873"/>
      <c r="AA51" s="873"/>
      <c r="AB51" s="873"/>
      <c r="AC51" s="873"/>
      <c r="AD51" s="873"/>
      <c r="AE51" s="873"/>
      <c r="AF51" s="873"/>
      <c r="AG51" s="873"/>
      <c r="AH51" s="873"/>
      <c r="AI51" s="873"/>
      <c r="AJ51" s="873"/>
      <c r="AK51" s="873"/>
      <c r="AL51" s="873"/>
      <c r="AM51" s="873"/>
      <c r="AN51" s="873"/>
      <c r="AO51" s="873"/>
      <c r="AP51" s="873"/>
      <c r="AQ51" s="873"/>
      <c r="AR51" s="873"/>
    </row>
    <row r="52" spans="1:44">
      <c r="A52" s="1213" t="s">
        <v>44</v>
      </c>
      <c r="B52" s="1213"/>
      <c r="C52" s="884">
        <v>32400</v>
      </c>
      <c r="D52" s="884">
        <v>60300</v>
      </c>
      <c r="E52" s="884">
        <v>26213.139348482546</v>
      </c>
      <c r="F52" s="884">
        <f>P6+P7+P8</f>
        <v>19925.223602699225</v>
      </c>
      <c r="G52" s="1" t="str">
        <f t="shared" si="19"/>
        <v>Moagem</v>
      </c>
      <c r="L52" s="908"/>
      <c r="S52" s="873"/>
      <c r="T52" s="873"/>
      <c r="U52" s="873"/>
      <c r="V52" s="873"/>
      <c r="W52" s="873"/>
      <c r="X52" s="873"/>
      <c r="Y52" s="873"/>
      <c r="Z52" s="873"/>
      <c r="AA52" s="873"/>
      <c r="AB52" s="873"/>
      <c r="AC52" s="873"/>
      <c r="AD52" s="873"/>
      <c r="AE52" s="873"/>
      <c r="AF52" s="873"/>
      <c r="AG52" s="873"/>
      <c r="AH52" s="873"/>
      <c r="AI52" s="873"/>
      <c r="AJ52" s="873"/>
      <c r="AK52" s="873"/>
      <c r="AL52" s="873"/>
      <c r="AM52" s="873"/>
      <c r="AN52" s="873"/>
      <c r="AO52" s="873"/>
      <c r="AP52" s="873"/>
      <c r="AQ52" s="873"/>
      <c r="AR52" s="873"/>
    </row>
    <row r="53" spans="1:44">
      <c r="A53" s="1213" t="s">
        <v>56</v>
      </c>
      <c r="B53" s="1213"/>
      <c r="C53" s="884">
        <v>28000</v>
      </c>
      <c r="D53" s="884">
        <v>33090</v>
      </c>
      <c r="E53" s="884">
        <v>19543.22916161126</v>
      </c>
      <c r="F53" s="884">
        <f>P15+P16+P17</f>
        <v>15596.731521710868</v>
      </c>
      <c r="G53" s="1" t="str">
        <f t="shared" si="19"/>
        <v>Moagem</v>
      </c>
      <c r="L53" s="873"/>
      <c r="S53" s="873"/>
      <c r="T53" s="873"/>
      <c r="U53" s="873"/>
      <c r="V53" s="873"/>
      <c r="W53" s="873"/>
      <c r="X53" s="873"/>
      <c r="Y53" s="873"/>
      <c r="Z53" s="873"/>
      <c r="AA53" s="873"/>
      <c r="AB53" s="873"/>
      <c r="AC53" s="873"/>
      <c r="AD53" s="873"/>
      <c r="AE53" s="873"/>
      <c r="AF53" s="873"/>
      <c r="AG53" s="873"/>
      <c r="AH53" s="873"/>
      <c r="AI53" s="873"/>
      <c r="AJ53" s="873"/>
      <c r="AK53" s="873"/>
      <c r="AL53" s="873"/>
      <c r="AM53" s="873"/>
      <c r="AN53" s="873"/>
      <c r="AO53" s="873"/>
      <c r="AP53" s="873"/>
      <c r="AQ53" s="873"/>
      <c r="AR53" s="873"/>
    </row>
    <row r="54" spans="1:44">
      <c r="A54" s="1213" t="s">
        <v>93</v>
      </c>
      <c r="B54" s="1213"/>
      <c r="C54" s="884">
        <v>13000</v>
      </c>
      <c r="D54" s="884">
        <v>19500</v>
      </c>
      <c r="E54" s="884">
        <v>6250</v>
      </c>
      <c r="F54" s="884">
        <f>P19</f>
        <v>5000</v>
      </c>
      <c r="G54" s="1" t="str">
        <f t="shared" si="19"/>
        <v>Moagem</v>
      </c>
      <c r="L54" s="873"/>
      <c r="S54" s="873"/>
      <c r="T54" s="873"/>
      <c r="U54" s="873"/>
      <c r="V54" s="873"/>
      <c r="W54" s="873"/>
      <c r="X54" s="873"/>
      <c r="Y54" s="873"/>
      <c r="Z54" s="873"/>
      <c r="AA54" s="873"/>
      <c r="AB54" s="873"/>
      <c r="AC54" s="873"/>
      <c r="AD54" s="873"/>
      <c r="AE54" s="873"/>
      <c r="AF54" s="873"/>
      <c r="AG54" s="873"/>
      <c r="AH54" s="873"/>
      <c r="AI54" s="873"/>
      <c r="AJ54" s="873"/>
      <c r="AK54" s="873"/>
      <c r="AL54" s="873"/>
      <c r="AM54" s="873"/>
      <c r="AN54" s="873"/>
      <c r="AO54" s="873"/>
      <c r="AP54" s="873"/>
      <c r="AQ54" s="873"/>
      <c r="AR54" s="873"/>
    </row>
    <row r="55" spans="1:44">
      <c r="A55" s="1213" t="s">
        <v>57</v>
      </c>
      <c r="B55" s="1213"/>
      <c r="C55" s="884">
        <v>16950</v>
      </c>
      <c r="D55" s="884">
        <v>24000</v>
      </c>
      <c r="E55" s="884">
        <v>15961</v>
      </c>
      <c r="F55" s="884">
        <f>P18+P20+P21</f>
        <v>14812</v>
      </c>
      <c r="G55" s="1" t="str">
        <f t="shared" si="19"/>
        <v>Moagem</v>
      </c>
      <c r="L55" s="873"/>
      <c r="S55" s="873"/>
      <c r="T55" s="873"/>
      <c r="U55" s="873"/>
      <c r="V55" s="873"/>
      <c r="W55" s="873"/>
      <c r="X55" s="873"/>
      <c r="Y55" s="873"/>
      <c r="Z55" s="873"/>
      <c r="AA55" s="873"/>
      <c r="AB55" s="873"/>
      <c r="AC55" s="873"/>
      <c r="AD55" s="873"/>
      <c r="AE55" s="873"/>
      <c r="AF55" s="873"/>
      <c r="AG55" s="873"/>
      <c r="AH55" s="873"/>
      <c r="AI55" s="873"/>
      <c r="AJ55" s="873"/>
      <c r="AK55" s="873"/>
      <c r="AL55" s="873"/>
      <c r="AM55" s="873"/>
      <c r="AN55" s="873"/>
      <c r="AO55" s="873"/>
      <c r="AP55" s="873"/>
      <c r="AQ55" s="873"/>
      <c r="AR55" s="873"/>
    </row>
    <row r="56" spans="1:44">
      <c r="A56" s="1213" t="s">
        <v>324</v>
      </c>
      <c r="B56" s="1213"/>
      <c r="C56" s="884">
        <v>182470</v>
      </c>
      <c r="D56" s="884">
        <v>476628</v>
      </c>
      <c r="E56" s="884">
        <v>312023.09850628924</v>
      </c>
      <c r="F56" s="884">
        <f>P29</f>
        <v>144095.57658807415</v>
      </c>
      <c r="G56" s="1" t="str">
        <f t="shared" si="19"/>
        <v>Moagem</v>
      </c>
      <c r="L56" s="873"/>
      <c r="S56" s="873"/>
      <c r="T56" s="873"/>
      <c r="U56" s="873"/>
      <c r="V56" s="873"/>
      <c r="W56" s="873"/>
      <c r="X56" s="873"/>
      <c r="Y56" s="873"/>
      <c r="Z56" s="873"/>
      <c r="AA56" s="873"/>
      <c r="AB56" s="873"/>
      <c r="AC56" s="873"/>
      <c r="AD56" s="873"/>
      <c r="AE56" s="873"/>
      <c r="AF56" s="873"/>
      <c r="AG56" s="873"/>
      <c r="AH56" s="873"/>
      <c r="AI56" s="873"/>
      <c r="AJ56" s="873"/>
      <c r="AK56" s="873"/>
      <c r="AL56" s="873"/>
      <c r="AM56" s="873"/>
      <c r="AN56" s="873"/>
      <c r="AO56" s="873"/>
      <c r="AP56" s="873"/>
      <c r="AQ56" s="873"/>
      <c r="AR56" s="873"/>
    </row>
    <row r="57" spans="1:44">
      <c r="A57" s="1213" t="s">
        <v>59</v>
      </c>
      <c r="B57" s="1213"/>
      <c r="C57" s="884">
        <v>1383790</v>
      </c>
      <c r="D57" s="884">
        <v>1371120</v>
      </c>
      <c r="E57" s="884">
        <v>1221722.3</v>
      </c>
      <c r="F57" s="884">
        <f>P33</f>
        <v>733316.49050245679</v>
      </c>
      <c r="G57" s="1" t="str">
        <f t="shared" si="19"/>
        <v>Moagem</v>
      </c>
      <c r="L57" s="873"/>
      <c r="S57" s="873"/>
      <c r="T57" s="873"/>
      <c r="U57" s="873"/>
      <c r="V57" s="873"/>
      <c r="W57" s="873"/>
      <c r="X57" s="873"/>
      <c r="Y57" s="873"/>
      <c r="Z57" s="873"/>
      <c r="AA57" s="873"/>
      <c r="AB57" s="873"/>
      <c r="AC57" s="873"/>
      <c r="AD57" s="873"/>
      <c r="AE57" s="873"/>
      <c r="AF57" s="873"/>
      <c r="AG57" s="873"/>
      <c r="AH57" s="873"/>
      <c r="AI57" s="873"/>
      <c r="AJ57" s="873"/>
      <c r="AK57" s="873"/>
      <c r="AL57" s="873"/>
      <c r="AM57" s="873"/>
      <c r="AN57" s="873"/>
      <c r="AO57" s="873"/>
      <c r="AP57" s="873"/>
      <c r="AQ57" s="873"/>
      <c r="AR57" s="873"/>
    </row>
    <row r="58" spans="1:44">
      <c r="A58" s="1219" t="s">
        <v>325</v>
      </c>
      <c r="B58" s="909" t="s">
        <v>326</v>
      </c>
      <c r="C58" s="884">
        <v>4000</v>
      </c>
      <c r="D58" s="884">
        <v>4525</v>
      </c>
      <c r="E58" s="884">
        <v>4639</v>
      </c>
      <c r="F58" s="884">
        <f>P35+P37+P39</f>
        <v>4700</v>
      </c>
      <c r="G58" s="1" t="str">
        <f t="shared" si="19"/>
        <v>Moagem</v>
      </c>
      <c r="L58" s="873"/>
      <c r="S58" s="873"/>
      <c r="T58" s="873"/>
      <c r="U58" s="873"/>
      <c r="V58" s="873"/>
      <c r="W58" s="873"/>
      <c r="X58" s="873"/>
      <c r="Y58" s="873"/>
      <c r="Z58" s="873"/>
      <c r="AA58" s="873"/>
      <c r="AB58" s="873"/>
      <c r="AC58" s="873"/>
      <c r="AD58" s="873"/>
      <c r="AE58" s="873"/>
      <c r="AF58" s="873"/>
      <c r="AG58" s="873"/>
      <c r="AH58" s="873"/>
      <c r="AI58" s="873"/>
      <c r="AJ58" s="873"/>
      <c r="AK58" s="873"/>
      <c r="AL58" s="873"/>
      <c r="AM58" s="873"/>
      <c r="AN58" s="873"/>
      <c r="AO58" s="873"/>
      <c r="AP58" s="873"/>
      <c r="AQ58" s="873"/>
      <c r="AR58" s="873"/>
    </row>
    <row r="59" spans="1:44">
      <c r="A59" s="1220"/>
      <c r="B59" s="909" t="s">
        <v>327</v>
      </c>
      <c r="C59" s="884">
        <v>16800</v>
      </c>
      <c r="D59" s="884">
        <v>14000</v>
      </c>
      <c r="E59" s="884">
        <v>11320.0823</v>
      </c>
      <c r="F59" s="884">
        <f>P34+P38</f>
        <v>13225</v>
      </c>
      <c r="G59" s="1" t="str">
        <f t="shared" si="19"/>
        <v>Moagem</v>
      </c>
      <c r="L59" s="873"/>
      <c r="S59" s="873"/>
      <c r="T59" s="873"/>
      <c r="U59" s="873"/>
      <c r="V59" s="873"/>
      <c r="W59" s="873"/>
      <c r="X59" s="873"/>
      <c r="Y59" s="873"/>
      <c r="Z59" s="873"/>
      <c r="AA59" s="873"/>
      <c r="AB59" s="873"/>
      <c r="AC59" s="873"/>
      <c r="AD59" s="873"/>
      <c r="AE59" s="873"/>
      <c r="AF59" s="873"/>
      <c r="AG59" s="873"/>
      <c r="AH59" s="873"/>
      <c r="AI59" s="873"/>
      <c r="AJ59" s="873"/>
      <c r="AK59" s="873"/>
      <c r="AL59" s="873"/>
      <c r="AM59" s="873"/>
      <c r="AN59" s="873"/>
      <c r="AO59" s="873"/>
      <c r="AP59" s="873"/>
      <c r="AQ59" s="873"/>
      <c r="AR59" s="873"/>
    </row>
    <row r="60" spans="1:44">
      <c r="A60" s="1213" t="s">
        <v>328</v>
      </c>
      <c r="B60" s="1213"/>
      <c r="C60" s="884">
        <v>0</v>
      </c>
      <c r="D60" s="884">
        <v>0</v>
      </c>
      <c r="E60" s="884">
        <v>30705</v>
      </c>
      <c r="F60" s="884">
        <f>P36</f>
        <v>6000</v>
      </c>
      <c r="G60" s="1" t="str">
        <f t="shared" si="19"/>
        <v>Moagem</v>
      </c>
      <c r="L60" s="873"/>
      <c r="S60" s="873"/>
      <c r="T60" s="873"/>
      <c r="U60" s="873"/>
      <c r="V60" s="873"/>
      <c r="W60" s="873"/>
      <c r="X60" s="873"/>
      <c r="Y60" s="873"/>
      <c r="Z60" s="873"/>
      <c r="AA60" s="873"/>
      <c r="AB60" s="873"/>
      <c r="AC60" s="873"/>
      <c r="AD60" s="873"/>
      <c r="AE60" s="873"/>
      <c r="AF60" s="873"/>
      <c r="AG60" s="873"/>
      <c r="AH60" s="873"/>
      <c r="AI60" s="873"/>
      <c r="AJ60" s="873"/>
      <c r="AK60" s="873"/>
      <c r="AL60" s="873"/>
      <c r="AM60" s="873"/>
      <c r="AN60" s="873"/>
      <c r="AO60" s="873"/>
      <c r="AP60" s="873"/>
      <c r="AQ60" s="873"/>
      <c r="AR60" s="873"/>
    </row>
    <row r="61" spans="1:44">
      <c r="A61" s="1215" t="s">
        <v>272</v>
      </c>
      <c r="B61" s="1216"/>
      <c r="C61" s="1212"/>
      <c r="D61" s="1212"/>
      <c r="E61" s="1212"/>
      <c r="F61" s="1212"/>
      <c r="G61" s="1" t="str">
        <f t="shared" si="19"/>
        <v>Moagem</v>
      </c>
      <c r="L61" s="873"/>
      <c r="S61" s="873"/>
      <c r="T61" s="873"/>
      <c r="U61" s="873"/>
      <c r="V61" s="873"/>
      <c r="W61" s="873"/>
      <c r="X61" s="873"/>
      <c r="Y61" s="873"/>
      <c r="Z61" s="873"/>
      <c r="AA61" s="873"/>
      <c r="AB61" s="873"/>
      <c r="AC61" s="873"/>
      <c r="AD61" s="873"/>
      <c r="AE61" s="873"/>
      <c r="AF61" s="873"/>
      <c r="AG61" s="873"/>
      <c r="AH61" s="873"/>
      <c r="AI61" s="873"/>
      <c r="AJ61" s="873"/>
      <c r="AK61" s="873"/>
      <c r="AL61" s="873"/>
      <c r="AM61" s="873"/>
      <c r="AN61" s="873"/>
      <c r="AO61" s="873"/>
      <c r="AP61" s="873"/>
      <c r="AQ61" s="873"/>
      <c r="AR61" s="873"/>
    </row>
    <row r="62" spans="1:44">
      <c r="A62" s="1213" t="s">
        <v>329</v>
      </c>
      <c r="B62" s="1213"/>
      <c r="C62" s="906">
        <f>C51*1000/$C$46</f>
        <v>13.939301580590206</v>
      </c>
      <c r="D62" s="906">
        <f>D51*1000/$D$46</f>
        <v>11.086418460049464</v>
      </c>
      <c r="E62" s="906">
        <f>E51*1000/$E$46</f>
        <v>8.2054467383992211</v>
      </c>
      <c r="F62" s="906">
        <f>F51*1000/$F$46</f>
        <v>6.1299626293489631</v>
      </c>
      <c r="G62" s="1" t="s">
        <v>49</v>
      </c>
      <c r="L62" s="873"/>
      <c r="S62" s="873"/>
      <c r="T62" s="873"/>
      <c r="U62" s="873"/>
      <c r="V62" s="873"/>
      <c r="W62" s="873"/>
      <c r="X62" s="873"/>
      <c r="Y62" s="873"/>
      <c r="Z62" s="873"/>
      <c r="AA62" s="873"/>
      <c r="AB62" s="873"/>
      <c r="AC62" s="873"/>
      <c r="AD62" s="873"/>
      <c r="AE62" s="873"/>
      <c r="AF62" s="873"/>
      <c r="AG62" s="873"/>
      <c r="AH62" s="873"/>
      <c r="AI62" s="873"/>
      <c r="AJ62" s="873"/>
      <c r="AK62" s="873"/>
      <c r="AL62" s="873"/>
      <c r="AM62" s="873"/>
      <c r="AN62" s="873"/>
      <c r="AO62" s="873"/>
      <c r="AP62" s="873"/>
      <c r="AQ62" s="873"/>
      <c r="AR62" s="873"/>
    </row>
    <row r="63" spans="1:44">
      <c r="A63" s="1213" t="s">
        <v>330</v>
      </c>
      <c r="B63" s="1213"/>
      <c r="C63" s="906">
        <f t="shared" ref="C63:C66" si="20">C52*1000/$C$46</f>
        <v>0.41523014444741757</v>
      </c>
      <c r="D63" s="906">
        <f t="shared" ref="D63:D66" si="21">D52*1000/$D$46</f>
        <v>0.60598545399751869</v>
      </c>
      <c r="E63" s="906">
        <f t="shared" ref="E63:E66" si="22">E52*1000/$E$46</f>
        <v>0.32413653029056089</v>
      </c>
      <c r="F63" s="906">
        <f t="shared" ref="F63:F66" si="23">F52*1000/$F$46</f>
        <v>0.25725756574324682</v>
      </c>
      <c r="G63" s="1" t="str">
        <f t="shared" ref="G63:G78" si="24">G62</f>
        <v>Etanol</v>
      </c>
      <c r="L63" s="873"/>
      <c r="S63" s="873"/>
      <c r="T63" s="873"/>
      <c r="U63" s="873"/>
      <c r="V63" s="873"/>
      <c r="W63" s="873"/>
      <c r="X63" s="873"/>
      <c r="Y63" s="873"/>
      <c r="Z63" s="873"/>
      <c r="AA63" s="873"/>
      <c r="AB63" s="873"/>
      <c r="AC63" s="873"/>
      <c r="AD63" s="873"/>
      <c r="AE63" s="873"/>
      <c r="AF63" s="873"/>
      <c r="AG63" s="873"/>
      <c r="AH63" s="873"/>
      <c r="AI63" s="873"/>
      <c r="AJ63" s="873"/>
      <c r="AK63" s="873"/>
      <c r="AL63" s="873"/>
      <c r="AM63" s="873"/>
      <c r="AN63" s="873"/>
      <c r="AO63" s="873"/>
      <c r="AP63" s="873"/>
      <c r="AQ63" s="873"/>
      <c r="AR63" s="873"/>
    </row>
    <row r="64" spans="1:44">
      <c r="A64" s="1213" t="s">
        <v>331</v>
      </c>
      <c r="B64" s="1213"/>
      <c r="C64" s="906">
        <f t="shared" si="20"/>
        <v>0.3588408655718423</v>
      </c>
      <c r="D64" s="906">
        <f t="shared" si="21"/>
        <v>0.33253828644739458</v>
      </c>
      <c r="E64" s="906">
        <f t="shared" si="22"/>
        <v>0.24166027605101367</v>
      </c>
      <c r="F64" s="906">
        <f t="shared" si="23"/>
        <v>0.20137175194775514</v>
      </c>
      <c r="G64" s="1" t="str">
        <f t="shared" si="24"/>
        <v>Etanol</v>
      </c>
      <c r="L64" s="873"/>
      <c r="S64" s="873"/>
      <c r="T64" s="873"/>
      <c r="U64" s="873"/>
      <c r="V64" s="873"/>
      <c r="W64" s="873"/>
      <c r="X64" s="873"/>
      <c r="Y64" s="873"/>
      <c r="Z64" s="873"/>
      <c r="AA64" s="873"/>
      <c r="AB64" s="873"/>
      <c r="AC64" s="873"/>
      <c r="AD64" s="873"/>
      <c r="AE64" s="873"/>
      <c r="AF64" s="873"/>
      <c r="AG64" s="873"/>
      <c r="AH64" s="873"/>
      <c r="AI64" s="873"/>
      <c r="AJ64" s="873"/>
      <c r="AK64" s="873"/>
      <c r="AL64" s="873"/>
      <c r="AM64" s="873"/>
      <c r="AN64" s="873"/>
      <c r="AO64" s="873"/>
      <c r="AP64" s="873"/>
      <c r="AQ64" s="873"/>
      <c r="AR64" s="873"/>
    </row>
    <row r="65" spans="1:44">
      <c r="A65" s="1213" t="s">
        <v>332</v>
      </c>
      <c r="B65" s="1213"/>
      <c r="C65" s="906">
        <f t="shared" si="20"/>
        <v>0.16660468758692679</v>
      </c>
      <c r="D65" s="906">
        <f t="shared" si="21"/>
        <v>0.19596544532258067</v>
      </c>
      <c r="E65" s="906">
        <f t="shared" si="22"/>
        <v>7.7283887571950829E-2</v>
      </c>
      <c r="F65" s="906">
        <f t="shared" si="23"/>
        <v>6.4555753770411076E-2</v>
      </c>
      <c r="G65" s="1" t="str">
        <f t="shared" si="24"/>
        <v>Etanol</v>
      </c>
      <c r="L65" s="873"/>
      <c r="S65" s="873"/>
      <c r="T65" s="873"/>
      <c r="U65" s="873"/>
      <c r="V65" s="873"/>
      <c r="W65" s="873"/>
      <c r="X65" s="873"/>
      <c r="Y65" s="873"/>
      <c r="Z65" s="873"/>
      <c r="AA65" s="873"/>
      <c r="AB65" s="873"/>
      <c r="AC65" s="873"/>
      <c r="AD65" s="873"/>
      <c r="AE65" s="873"/>
      <c r="AF65" s="873"/>
      <c r="AG65" s="873"/>
      <c r="AH65" s="873"/>
      <c r="AI65" s="873"/>
      <c r="AJ65" s="873"/>
      <c r="AK65" s="873"/>
      <c r="AL65" s="873"/>
      <c r="AM65" s="873"/>
      <c r="AN65" s="873"/>
      <c r="AO65" s="873"/>
      <c r="AP65" s="873"/>
      <c r="AQ65" s="873"/>
      <c r="AR65" s="873"/>
    </row>
    <row r="66" spans="1:44">
      <c r="A66" s="1213" t="s">
        <v>333</v>
      </c>
      <c r="B66" s="1213"/>
      <c r="C66" s="906">
        <f t="shared" si="20"/>
        <v>0.21722688112295455</v>
      </c>
      <c r="D66" s="906">
        <f t="shared" si="21"/>
        <v>0.24118824039702239</v>
      </c>
      <c r="E66" s="906">
        <f t="shared" si="22"/>
        <v>0.19736450072574516</v>
      </c>
      <c r="F66" s="906">
        <f t="shared" si="23"/>
        <v>0.19123996496946577</v>
      </c>
      <c r="G66" s="1" t="str">
        <f t="shared" si="24"/>
        <v>Etanol</v>
      </c>
      <c r="L66" s="873"/>
      <c r="S66" s="873"/>
      <c r="T66" s="873"/>
      <c r="U66" s="873"/>
      <c r="V66" s="873"/>
      <c r="W66" s="873"/>
      <c r="X66" s="873"/>
      <c r="Y66" s="873"/>
      <c r="Z66" s="873"/>
      <c r="AA66" s="873"/>
      <c r="AB66" s="873"/>
      <c r="AC66" s="873"/>
      <c r="AD66" s="873"/>
      <c r="AE66" s="873"/>
      <c r="AF66" s="873"/>
      <c r="AG66" s="873"/>
      <c r="AH66" s="873"/>
      <c r="AI66" s="873"/>
      <c r="AJ66" s="873"/>
      <c r="AK66" s="873"/>
      <c r="AL66" s="873"/>
      <c r="AM66" s="873"/>
      <c r="AN66" s="873"/>
      <c r="AO66" s="873"/>
      <c r="AP66" s="873"/>
      <c r="AQ66" s="873"/>
      <c r="AR66" s="873"/>
    </row>
    <row r="67" spans="1:44">
      <c r="A67" s="1213" t="s">
        <v>334</v>
      </c>
      <c r="B67" s="1213"/>
      <c r="C67" s="906">
        <f>C56*1000/$C$45</f>
        <v>99.106120043793752</v>
      </c>
      <c r="D67" s="906">
        <f>D56*1000/$D$45</f>
        <v>220.71394451157855</v>
      </c>
      <c r="E67" s="906">
        <f>E56*1000/$E$45</f>
        <v>182.27980010660781</v>
      </c>
      <c r="F67" s="906">
        <f>F56*1000/$F$45</f>
        <v>107.48569515279249</v>
      </c>
      <c r="G67" s="1" t="str">
        <f t="shared" si="24"/>
        <v>Etanol</v>
      </c>
      <c r="L67" s="873"/>
      <c r="S67" s="873"/>
      <c r="T67" s="873"/>
      <c r="U67" s="873"/>
      <c r="V67" s="873"/>
      <c r="W67" s="873"/>
      <c r="X67" s="873"/>
      <c r="Y67" s="873"/>
      <c r="Z67" s="873"/>
      <c r="AA67" s="873"/>
      <c r="AB67" s="873"/>
      <c r="AC67" s="873"/>
      <c r="AD67" s="873"/>
      <c r="AE67" s="873"/>
      <c r="AF67" s="873"/>
      <c r="AG67" s="873"/>
      <c r="AH67" s="873"/>
      <c r="AI67" s="873"/>
      <c r="AJ67" s="873"/>
      <c r="AK67" s="873"/>
      <c r="AL67" s="873"/>
      <c r="AM67" s="873"/>
      <c r="AN67" s="873"/>
      <c r="AO67" s="873"/>
      <c r="AP67" s="873"/>
      <c r="AQ67" s="873"/>
      <c r="AR67" s="873"/>
    </row>
    <row r="68" spans="1:44">
      <c r="A68" s="1213" t="s">
        <v>335</v>
      </c>
      <c r="B68" s="1213"/>
      <c r="C68" s="906">
        <f>C57*1000/$C$45</f>
        <v>751.58687924262267</v>
      </c>
      <c r="D68" s="906">
        <f>D57*1000/$D$45</f>
        <v>634.92976409005678</v>
      </c>
      <c r="E68" s="906">
        <f>E57*1000/$E$45</f>
        <v>713.71413749772887</v>
      </c>
      <c r="F68" s="906">
        <f>F57*1000/$F$45</f>
        <v>547.0052212219415</v>
      </c>
      <c r="G68" s="1" t="str">
        <f t="shared" si="24"/>
        <v>Etanol</v>
      </c>
      <c r="L68" s="873"/>
      <c r="S68" s="873"/>
      <c r="T68" s="873"/>
      <c r="U68" s="873"/>
      <c r="V68" s="873"/>
      <c r="W68" s="873"/>
      <c r="X68" s="873"/>
      <c r="Y68" s="873"/>
      <c r="Z68" s="873"/>
      <c r="AA68" s="873"/>
      <c r="AB68" s="873"/>
      <c r="AC68" s="873"/>
      <c r="AD68" s="873"/>
      <c r="AE68" s="873"/>
      <c r="AF68" s="873"/>
      <c r="AG68" s="873"/>
      <c r="AH68" s="873"/>
      <c r="AI68" s="873"/>
      <c r="AJ68" s="873"/>
      <c r="AK68" s="873"/>
      <c r="AL68" s="873"/>
      <c r="AM68" s="873"/>
      <c r="AN68" s="873"/>
      <c r="AO68" s="873"/>
      <c r="AP68" s="873"/>
      <c r="AQ68" s="873"/>
      <c r="AR68" s="873"/>
    </row>
    <row r="69" spans="1:44" ht="15" customHeight="1">
      <c r="A69" s="1214" t="s">
        <v>336</v>
      </c>
      <c r="B69" s="909" t="s">
        <v>326</v>
      </c>
      <c r="C69" s="906">
        <f>C58*1000/$C$45</f>
        <v>2.1725460633264371</v>
      </c>
      <c r="D69" s="906">
        <f>D58*1000/$D$45</f>
        <v>2.0954089959358093</v>
      </c>
      <c r="E69" s="906">
        <f>E58*1000/$E$45</f>
        <v>2.7100429318937409</v>
      </c>
      <c r="F69" s="906">
        <f>F58*1000/$F$45</f>
        <v>3.5058867120001196</v>
      </c>
      <c r="G69" s="1" t="str">
        <f t="shared" si="24"/>
        <v>Etanol</v>
      </c>
      <c r="H69" s="873"/>
      <c r="I69" s="873"/>
      <c r="J69" s="873"/>
      <c r="K69" s="873"/>
      <c r="L69" s="873"/>
      <c r="M69" s="873"/>
      <c r="N69" s="873"/>
      <c r="O69" s="873"/>
      <c r="P69" s="873"/>
      <c r="Q69" s="873"/>
      <c r="R69" s="873"/>
      <c r="S69" s="873"/>
      <c r="T69" s="873"/>
      <c r="U69" s="873"/>
      <c r="V69" s="873"/>
      <c r="W69" s="873"/>
      <c r="X69" s="873"/>
      <c r="Y69" s="873"/>
      <c r="Z69" s="873"/>
      <c r="AA69" s="873"/>
      <c r="AB69" s="873"/>
      <c r="AC69" s="873"/>
      <c r="AD69" s="873"/>
      <c r="AE69" s="873"/>
      <c r="AF69" s="873"/>
      <c r="AG69" s="873"/>
      <c r="AH69" s="873"/>
      <c r="AI69" s="873"/>
      <c r="AJ69" s="873"/>
      <c r="AK69" s="873"/>
      <c r="AL69" s="873"/>
      <c r="AM69" s="873"/>
      <c r="AN69" s="873"/>
      <c r="AO69" s="873"/>
      <c r="AP69" s="873"/>
      <c r="AQ69" s="873"/>
      <c r="AR69" s="873"/>
    </row>
    <row r="70" spans="1:44">
      <c r="A70" s="1214"/>
      <c r="B70" s="909" t="s">
        <v>327</v>
      </c>
      <c r="C70" s="906">
        <f t="shared" ref="C70" si="25">C59*1000/$C$45</f>
        <v>9.1246934659710366</v>
      </c>
      <c r="D70" s="906">
        <f t="shared" ref="D70" si="26">D59*1000/$D$45</f>
        <v>6.483033357591454</v>
      </c>
      <c r="E70" s="906">
        <f t="shared" ref="E70" si="27">E59*1000/$E$45</f>
        <v>6.6130435493792721</v>
      </c>
      <c r="F70" s="906">
        <f t="shared" ref="F70" si="28">F59*1000/$F$45</f>
        <v>9.8649684608939534</v>
      </c>
      <c r="G70" s="1" t="str">
        <f t="shared" si="24"/>
        <v>Etanol</v>
      </c>
      <c r="H70" s="873"/>
      <c r="I70" s="873"/>
      <c r="J70" s="873"/>
      <c r="K70" s="873"/>
      <c r="L70" s="873"/>
      <c r="M70" s="873"/>
      <c r="N70" s="873"/>
      <c r="O70" s="873"/>
      <c r="P70" s="873"/>
      <c r="Q70" s="873"/>
      <c r="R70" s="873"/>
      <c r="S70" s="873"/>
      <c r="T70" s="873"/>
      <c r="U70" s="873"/>
      <c r="V70" s="873"/>
      <c r="W70" s="873"/>
      <c r="X70" s="873"/>
      <c r="Y70" s="873"/>
      <c r="Z70" s="873"/>
      <c r="AA70" s="873"/>
      <c r="AB70" s="873"/>
      <c r="AC70" s="873"/>
      <c r="AD70" s="873"/>
      <c r="AE70" s="873"/>
      <c r="AF70" s="873"/>
      <c r="AG70" s="873"/>
      <c r="AH70" s="873"/>
      <c r="AI70" s="873"/>
      <c r="AJ70" s="873"/>
      <c r="AK70" s="873"/>
      <c r="AL70" s="873"/>
      <c r="AM70" s="873"/>
      <c r="AN70" s="873"/>
      <c r="AO70" s="873"/>
      <c r="AP70" s="873"/>
      <c r="AQ70" s="873"/>
      <c r="AR70" s="873"/>
    </row>
    <row r="71" spans="1:44">
      <c r="A71" s="1214"/>
      <c r="B71" s="909" t="s">
        <v>277</v>
      </c>
      <c r="C71" s="910">
        <f>C70+C69</f>
        <v>11.297239529297475</v>
      </c>
      <c r="D71" s="910">
        <f t="shared" ref="D71:F71" si="29">D70+D69</f>
        <v>8.5784423535272634</v>
      </c>
      <c r="E71" s="910">
        <f t="shared" si="29"/>
        <v>9.3230864812730125</v>
      </c>
      <c r="F71" s="910">
        <f t="shared" si="29"/>
        <v>13.370855172894073</v>
      </c>
      <c r="G71" s="1" t="str">
        <f t="shared" si="24"/>
        <v>Etanol</v>
      </c>
      <c r="H71" s="873"/>
      <c r="I71" s="873"/>
      <c r="J71" s="873"/>
      <c r="K71" s="873"/>
      <c r="L71" s="873"/>
      <c r="M71" s="873"/>
      <c r="N71" s="873"/>
      <c r="O71" s="873"/>
      <c r="P71" s="873"/>
      <c r="Q71" s="873"/>
      <c r="R71" s="873"/>
      <c r="S71" s="873"/>
      <c r="T71" s="873"/>
      <c r="U71" s="873"/>
      <c r="V71" s="873"/>
      <c r="W71" s="873"/>
      <c r="X71" s="873"/>
      <c r="Y71" s="873"/>
      <c r="Z71" s="873"/>
      <c r="AA71" s="873"/>
      <c r="AB71" s="873"/>
      <c r="AC71" s="873"/>
      <c r="AD71" s="873"/>
      <c r="AE71" s="873"/>
      <c r="AF71" s="873"/>
      <c r="AG71" s="873"/>
      <c r="AH71" s="873"/>
      <c r="AI71" s="873"/>
      <c r="AJ71" s="873"/>
      <c r="AK71" s="873"/>
      <c r="AL71" s="873"/>
      <c r="AM71" s="873"/>
      <c r="AN71" s="873"/>
      <c r="AO71" s="873"/>
      <c r="AP71" s="873"/>
      <c r="AQ71" s="873"/>
      <c r="AR71" s="873"/>
    </row>
    <row r="72" spans="1:44">
      <c r="A72" s="1213" t="s">
        <v>337</v>
      </c>
      <c r="B72" s="1213"/>
      <c r="C72" s="906">
        <f>C60*1000/$C$45</f>
        <v>0</v>
      </c>
      <c r="D72" s="906">
        <f>D60*1000/$D$45</f>
        <v>0</v>
      </c>
      <c r="E72" s="906">
        <f>E60*1000/$E$45</f>
        <v>17.937458121103106</v>
      </c>
      <c r="F72" s="906">
        <f>F60*1000/$F$45</f>
        <v>4.4756000578724926</v>
      </c>
      <c r="G72" s="1" t="str">
        <f t="shared" si="24"/>
        <v>Etanol</v>
      </c>
      <c r="H72" s="873"/>
      <c r="I72" s="873"/>
      <c r="J72" s="873"/>
      <c r="K72" s="873"/>
      <c r="L72" s="873"/>
      <c r="M72" s="873"/>
      <c r="N72" s="873"/>
      <c r="O72" s="873"/>
      <c r="P72" s="873"/>
      <c r="Q72" s="873"/>
      <c r="R72" s="873"/>
      <c r="S72" s="873"/>
      <c r="T72" s="873"/>
      <c r="U72" s="873"/>
      <c r="V72" s="873"/>
      <c r="W72" s="873"/>
      <c r="X72" s="873"/>
      <c r="Y72" s="873"/>
      <c r="Z72" s="873"/>
      <c r="AA72" s="873"/>
      <c r="AB72" s="873"/>
      <c r="AC72" s="873"/>
      <c r="AD72" s="873"/>
      <c r="AE72" s="873"/>
      <c r="AF72" s="873"/>
      <c r="AG72" s="873"/>
      <c r="AH72" s="873"/>
      <c r="AI72" s="873"/>
      <c r="AJ72" s="873"/>
      <c r="AK72" s="873"/>
      <c r="AL72" s="873"/>
      <c r="AM72" s="873"/>
      <c r="AN72" s="873"/>
      <c r="AO72" s="873"/>
      <c r="AP72" s="873"/>
      <c r="AQ72" s="873"/>
      <c r="AR72" s="873"/>
    </row>
    <row r="73" spans="1:44">
      <c r="A73" s="1215" t="s">
        <v>338</v>
      </c>
      <c r="B73" s="1216"/>
      <c r="C73" s="1212"/>
      <c r="D73" s="1212"/>
      <c r="E73" s="1212"/>
      <c r="F73" s="1212"/>
      <c r="G73" s="1" t="str">
        <f t="shared" si="24"/>
        <v>Etanol</v>
      </c>
      <c r="H73" s="873"/>
      <c r="I73" s="873"/>
      <c r="J73" s="873"/>
      <c r="K73" s="873"/>
      <c r="L73" s="873"/>
      <c r="M73" s="873"/>
      <c r="N73" s="873"/>
      <c r="O73" s="873"/>
      <c r="P73" s="873"/>
      <c r="Q73" s="873"/>
      <c r="R73" s="873"/>
      <c r="S73" s="873"/>
      <c r="T73" s="873"/>
      <c r="U73" s="873"/>
      <c r="V73" s="873"/>
      <c r="W73" s="873"/>
      <c r="X73" s="873"/>
      <c r="Y73" s="873"/>
      <c r="Z73" s="873"/>
      <c r="AA73" s="873"/>
      <c r="AB73" s="873"/>
      <c r="AC73" s="873"/>
      <c r="AD73" s="873"/>
      <c r="AE73" s="873"/>
      <c r="AF73" s="873"/>
      <c r="AG73" s="873"/>
      <c r="AH73" s="873"/>
      <c r="AI73" s="873"/>
      <c r="AJ73" s="873"/>
      <c r="AK73" s="873"/>
      <c r="AL73" s="873"/>
      <c r="AM73" s="873"/>
      <c r="AN73" s="873"/>
      <c r="AO73" s="873"/>
      <c r="AP73" s="873"/>
      <c r="AQ73" s="873"/>
      <c r="AR73" s="873"/>
    </row>
    <row r="74" spans="1:44" ht="15" customHeight="1">
      <c r="A74" s="1214" t="s">
        <v>339</v>
      </c>
      <c r="B74" s="909" t="s">
        <v>44</v>
      </c>
      <c r="C74" s="885">
        <v>2.6436289720271628</v>
      </c>
      <c r="D74" s="885">
        <v>4.0419196618251441</v>
      </c>
      <c r="E74" s="885">
        <v>2.2781115762819812</v>
      </c>
      <c r="F74" s="885">
        <f>V6+V7+V8</f>
        <v>1.8067284670281447</v>
      </c>
      <c r="G74" s="1" t="str">
        <f t="shared" si="24"/>
        <v>Etanol</v>
      </c>
      <c r="H74" s="873"/>
      <c r="I74" s="873"/>
      <c r="J74" s="873"/>
      <c r="K74" s="873"/>
      <c r="L74" s="873"/>
      <c r="M74" s="873"/>
      <c r="N74" s="873"/>
      <c r="O74" s="873"/>
      <c r="P74" s="873"/>
      <c r="Q74" s="873"/>
      <c r="R74" s="873"/>
      <c r="S74" s="873"/>
      <c r="T74" s="873"/>
      <c r="U74" s="873"/>
      <c r="V74" s="873"/>
      <c r="W74" s="873"/>
      <c r="X74" s="873"/>
      <c r="Y74" s="873"/>
      <c r="Z74" s="873"/>
      <c r="AA74" s="873"/>
      <c r="AB74" s="873"/>
      <c r="AC74" s="873"/>
      <c r="AD74" s="873"/>
      <c r="AE74" s="873"/>
      <c r="AF74" s="873"/>
      <c r="AG74" s="873"/>
      <c r="AH74" s="873"/>
      <c r="AI74" s="873"/>
      <c r="AJ74" s="873"/>
      <c r="AK74" s="873"/>
      <c r="AL74" s="873"/>
      <c r="AM74" s="873"/>
      <c r="AN74" s="873"/>
      <c r="AO74" s="873"/>
      <c r="AP74" s="873"/>
      <c r="AQ74" s="873"/>
      <c r="AR74" s="873"/>
    </row>
    <row r="75" spans="1:44">
      <c r="A75" s="1214"/>
      <c r="B75" s="909" t="s">
        <v>56</v>
      </c>
      <c r="C75" s="885">
        <v>3.6601768288327916</v>
      </c>
      <c r="D75" s="885">
        <v>3.8300692575047153</v>
      </c>
      <c r="E75" s="885">
        <v>3.3026918836992554</v>
      </c>
      <c r="F75" s="885">
        <f>V15+V16+V17</f>
        <v>2.7931950079124688</v>
      </c>
      <c r="G75" s="1" t="str">
        <f t="shared" si="24"/>
        <v>Etanol</v>
      </c>
      <c r="H75" s="873"/>
      <c r="I75" s="873"/>
      <c r="J75" s="873"/>
      <c r="K75" s="873"/>
      <c r="L75" s="873"/>
      <c r="M75" s="873"/>
      <c r="N75" s="873"/>
      <c r="O75" s="873"/>
      <c r="P75" s="873"/>
      <c r="Q75" s="873"/>
      <c r="R75" s="873"/>
      <c r="S75" s="873"/>
      <c r="T75" s="873"/>
      <c r="U75" s="873"/>
      <c r="V75" s="873"/>
      <c r="W75" s="873"/>
      <c r="X75" s="873"/>
      <c r="Y75" s="873"/>
      <c r="Z75" s="873"/>
      <c r="AA75" s="873"/>
      <c r="AB75" s="873"/>
      <c r="AC75" s="873"/>
      <c r="AD75" s="873"/>
      <c r="AE75" s="873"/>
      <c r="AF75" s="873"/>
      <c r="AG75" s="873"/>
      <c r="AH75" s="873"/>
      <c r="AI75" s="873"/>
      <c r="AJ75" s="873"/>
      <c r="AK75" s="873"/>
      <c r="AL75" s="873"/>
      <c r="AM75" s="873"/>
      <c r="AN75" s="873"/>
      <c r="AO75" s="873"/>
      <c r="AP75" s="873"/>
      <c r="AQ75" s="873"/>
      <c r="AR75" s="873"/>
    </row>
    <row r="76" spans="1:44" ht="15" customHeight="1">
      <c r="A76" s="1214"/>
      <c r="B76" s="909" t="s">
        <v>277</v>
      </c>
      <c r="C76" s="907">
        <f>C74+C75</f>
        <v>6.3038058008599549</v>
      </c>
      <c r="D76" s="907">
        <f t="shared" ref="D76:F76" si="30">D74+D75</f>
        <v>7.8719889193298593</v>
      </c>
      <c r="E76" s="907">
        <f t="shared" si="30"/>
        <v>5.5808034599812366</v>
      </c>
      <c r="F76" s="907">
        <f t="shared" si="30"/>
        <v>4.5999234749406135</v>
      </c>
      <c r="G76" s="1" t="str">
        <f t="shared" si="24"/>
        <v>Etanol</v>
      </c>
      <c r="H76" s="873"/>
      <c r="I76" s="873"/>
      <c r="J76" s="873"/>
      <c r="K76" s="873"/>
      <c r="L76" s="873"/>
      <c r="M76" s="873"/>
      <c r="N76" s="873"/>
      <c r="O76" s="873"/>
      <c r="P76" s="873"/>
      <c r="Q76" s="873"/>
      <c r="R76" s="873"/>
      <c r="S76" s="873"/>
      <c r="T76" s="873"/>
      <c r="U76" s="873"/>
      <c r="V76" s="873"/>
      <c r="W76" s="873"/>
      <c r="X76" s="873"/>
      <c r="Y76" s="873"/>
      <c r="Z76" s="873"/>
      <c r="AA76" s="873"/>
      <c r="AB76" s="873"/>
      <c r="AC76" s="873"/>
      <c r="AD76" s="873"/>
      <c r="AE76" s="873"/>
      <c r="AF76" s="873"/>
      <c r="AG76" s="873"/>
      <c r="AH76" s="873"/>
      <c r="AI76" s="873"/>
      <c r="AJ76" s="873"/>
      <c r="AK76" s="873"/>
      <c r="AL76" s="873"/>
      <c r="AM76" s="873"/>
      <c r="AN76" s="873"/>
      <c r="AO76" s="873"/>
      <c r="AP76" s="873"/>
      <c r="AQ76" s="873"/>
      <c r="AR76" s="873"/>
    </row>
    <row r="77" spans="1:44">
      <c r="A77" s="1213" t="s">
        <v>340</v>
      </c>
      <c r="B77" s="1213"/>
      <c r="C77" s="907">
        <v>0.95149295549884982</v>
      </c>
      <c r="D77" s="907">
        <v>0.23272132721788485</v>
      </c>
      <c r="E77" s="907">
        <v>0.90009182988305858</v>
      </c>
      <c r="F77" s="907">
        <f>V28</f>
        <v>0.86810094144237937</v>
      </c>
      <c r="G77" s="1" t="str">
        <f t="shared" si="24"/>
        <v>Etanol</v>
      </c>
      <c r="H77" s="873"/>
      <c r="I77" s="873"/>
      <c r="J77" s="873"/>
      <c r="K77" s="873"/>
      <c r="L77" s="873"/>
      <c r="M77" s="873"/>
      <c r="N77" s="873"/>
      <c r="O77" s="873"/>
      <c r="P77" s="873"/>
      <c r="Q77" s="873"/>
      <c r="R77" s="873"/>
      <c r="S77" s="873"/>
      <c r="T77" s="873"/>
      <c r="U77" s="873"/>
      <c r="V77" s="873"/>
      <c r="W77" s="873"/>
      <c r="X77" s="873"/>
      <c r="Y77" s="873"/>
      <c r="Z77" s="873"/>
      <c r="AA77" s="873"/>
      <c r="AB77" s="873"/>
      <c r="AC77" s="873"/>
      <c r="AD77" s="873"/>
      <c r="AE77" s="873"/>
      <c r="AF77" s="873"/>
      <c r="AG77" s="873"/>
      <c r="AH77" s="873"/>
      <c r="AI77" s="873"/>
      <c r="AJ77" s="873"/>
      <c r="AK77" s="873"/>
      <c r="AL77" s="873"/>
      <c r="AM77" s="873"/>
      <c r="AN77" s="873"/>
      <c r="AO77" s="873"/>
      <c r="AP77" s="873"/>
      <c r="AQ77" s="873"/>
      <c r="AR77" s="873"/>
    </row>
    <row r="78" spans="1:44">
      <c r="E78" s="873"/>
      <c r="F78" s="873"/>
      <c r="G78" s="1" t="str">
        <f t="shared" si="24"/>
        <v>Etanol</v>
      </c>
      <c r="H78" s="873"/>
      <c r="I78" s="873"/>
      <c r="J78" s="873"/>
      <c r="K78" s="873"/>
      <c r="L78" s="873"/>
      <c r="M78" s="873"/>
      <c r="N78" s="873"/>
      <c r="O78" s="873"/>
      <c r="P78" s="873"/>
      <c r="Q78" s="873"/>
      <c r="R78" s="873"/>
      <c r="S78" s="873"/>
      <c r="T78" s="873"/>
      <c r="U78" s="873"/>
      <c r="V78" s="873"/>
      <c r="W78" s="873"/>
      <c r="X78" s="873"/>
      <c r="Y78" s="873"/>
      <c r="Z78" s="873"/>
      <c r="AA78" s="873"/>
      <c r="AB78" s="873"/>
      <c r="AC78" s="873"/>
      <c r="AD78" s="873"/>
      <c r="AE78" s="873"/>
      <c r="AF78" s="873"/>
      <c r="AG78" s="873"/>
      <c r="AH78" s="873"/>
      <c r="AI78" s="873"/>
      <c r="AJ78" s="873"/>
      <c r="AK78" s="873"/>
      <c r="AL78" s="873"/>
      <c r="AM78" s="873"/>
      <c r="AN78" s="873"/>
      <c r="AO78" s="873"/>
      <c r="AP78" s="873"/>
      <c r="AQ78" s="873"/>
      <c r="AR78" s="873"/>
    </row>
    <row r="79" spans="1:44">
      <c r="A79" s="1212" t="s">
        <v>309</v>
      </c>
      <c r="B79" s="1212"/>
      <c r="C79" s="1212"/>
      <c r="D79" s="873"/>
      <c r="E79" s="873"/>
      <c r="F79" s="873"/>
      <c r="G79" s="1" t="s">
        <v>341</v>
      </c>
      <c r="L79" s="873"/>
      <c r="N79" s="873"/>
      <c r="V79" s="873"/>
      <c r="W79" s="873"/>
      <c r="X79" s="873"/>
      <c r="Y79" s="873"/>
      <c r="Z79" s="873"/>
      <c r="AA79" s="873"/>
      <c r="AB79" s="873"/>
      <c r="AC79" s="873"/>
      <c r="AD79" s="873"/>
      <c r="AE79" s="873"/>
      <c r="AF79" s="873"/>
      <c r="AG79" s="873"/>
      <c r="AH79" s="873"/>
      <c r="AI79" s="873"/>
      <c r="AJ79" s="873"/>
      <c r="AK79" s="873"/>
      <c r="AL79" s="873"/>
      <c r="AM79" s="873"/>
      <c r="AN79" s="873"/>
      <c r="AO79" s="873"/>
      <c r="AP79" s="873"/>
      <c r="AQ79" s="873"/>
      <c r="AR79" s="873"/>
    </row>
    <row r="80" spans="1:44">
      <c r="A80" s="1213" t="s">
        <v>342</v>
      </c>
      <c r="B80" s="1213"/>
      <c r="C80" s="911">
        <f>T5</f>
        <v>0.26011390708979515</v>
      </c>
      <c r="D80" s="873"/>
      <c r="E80" s="873"/>
      <c r="F80" s="873"/>
      <c r="G80" s="1" t="str">
        <f t="shared" ref="G80:G95" si="31">G79</f>
        <v>Açúcar</v>
      </c>
      <c r="L80" s="873"/>
      <c r="N80" s="873"/>
      <c r="V80" s="873"/>
      <c r="W80" s="873"/>
      <c r="X80" s="873"/>
      <c r="Y80" s="873"/>
      <c r="Z80" s="873"/>
      <c r="AA80" s="873"/>
      <c r="AB80" s="873"/>
      <c r="AC80" s="873"/>
      <c r="AD80" s="873"/>
      <c r="AE80" s="873"/>
      <c r="AF80" s="873"/>
      <c r="AG80" s="873"/>
      <c r="AH80" s="873"/>
      <c r="AI80" s="873"/>
      <c r="AJ80" s="873"/>
      <c r="AK80" s="873"/>
      <c r="AL80" s="873"/>
      <c r="AM80" s="873"/>
      <c r="AN80" s="873"/>
      <c r="AO80" s="873"/>
      <c r="AP80" s="873"/>
      <c r="AQ80" s="873"/>
      <c r="AR80" s="873"/>
    </row>
    <row r="81" spans="1:44">
      <c r="A81" s="1213" t="s">
        <v>343</v>
      </c>
      <c r="B81" s="1213"/>
      <c r="C81" s="911">
        <f>T33</f>
        <v>0.15837851345191892</v>
      </c>
      <c r="D81" s="873"/>
      <c r="E81" s="873"/>
      <c r="F81" s="873"/>
      <c r="G81" s="1" t="str">
        <f t="shared" si="31"/>
        <v>Açúcar</v>
      </c>
      <c r="L81" s="873"/>
      <c r="N81" s="873"/>
      <c r="V81" s="873"/>
      <c r="W81" s="873"/>
      <c r="X81" s="873"/>
      <c r="Y81" s="873"/>
      <c r="Z81" s="873"/>
      <c r="AA81" s="873"/>
      <c r="AB81" s="873"/>
      <c r="AC81" s="873"/>
      <c r="AD81" s="873"/>
      <c r="AE81" s="873"/>
      <c r="AF81" s="873"/>
      <c r="AG81" s="873"/>
      <c r="AH81" s="873"/>
      <c r="AI81" s="873"/>
      <c r="AJ81" s="873"/>
      <c r="AK81" s="873"/>
      <c r="AL81" s="873"/>
      <c r="AM81" s="873"/>
      <c r="AN81" s="873"/>
      <c r="AO81" s="873"/>
      <c r="AP81" s="873"/>
      <c r="AQ81" s="873"/>
      <c r="AR81" s="873"/>
    </row>
    <row r="82" spans="1:44">
      <c r="A82" s="1213" t="s">
        <v>344</v>
      </c>
      <c r="B82" s="1213"/>
      <c r="C82" s="911">
        <f>T34+T35+T37+T38+T39</f>
        <v>0.14401511278746776</v>
      </c>
      <c r="D82" s="873"/>
      <c r="E82" s="873"/>
      <c r="F82" s="873"/>
      <c r="G82" s="1" t="str">
        <f t="shared" si="31"/>
        <v>Açúcar</v>
      </c>
      <c r="L82" s="873"/>
      <c r="N82" s="873"/>
      <c r="V82" s="873"/>
      <c r="W82" s="873"/>
      <c r="X82" s="873"/>
      <c r="Y82" s="873"/>
      <c r="Z82" s="873"/>
      <c r="AA82" s="873"/>
      <c r="AB82" s="873"/>
      <c r="AC82" s="873"/>
      <c r="AD82" s="873"/>
      <c r="AE82" s="873"/>
      <c r="AF82" s="873"/>
      <c r="AG82" s="873"/>
      <c r="AH82" s="873"/>
      <c r="AI82" s="873"/>
      <c r="AJ82" s="873"/>
      <c r="AK82" s="873"/>
      <c r="AL82" s="873"/>
      <c r="AM82" s="873"/>
      <c r="AN82" s="873"/>
      <c r="AO82" s="873"/>
      <c r="AP82" s="873"/>
      <c r="AQ82" s="873"/>
      <c r="AR82" s="873"/>
    </row>
    <row r="83" spans="1:44">
      <c r="A83" s="1213" t="s">
        <v>345</v>
      </c>
      <c r="B83" s="1213"/>
      <c r="C83" s="911">
        <f>T29</f>
        <v>0.13138728338005576</v>
      </c>
      <c r="D83" s="873"/>
      <c r="E83" s="873"/>
      <c r="F83" s="873"/>
      <c r="G83" s="1" t="str">
        <f t="shared" si="31"/>
        <v>Açúcar</v>
      </c>
      <c r="L83" s="873"/>
      <c r="N83" s="873"/>
      <c r="V83" s="873"/>
      <c r="W83" s="873"/>
      <c r="X83" s="873"/>
      <c r="Y83" s="873"/>
      <c r="Z83" s="873"/>
      <c r="AA83" s="873"/>
      <c r="AB83" s="873"/>
      <c r="AC83" s="873"/>
      <c r="AD83" s="873"/>
      <c r="AE83" s="873"/>
      <c r="AF83" s="873"/>
      <c r="AG83" s="873"/>
      <c r="AH83" s="873"/>
      <c r="AI83" s="873"/>
      <c r="AJ83" s="873"/>
      <c r="AK83" s="873"/>
      <c r="AL83" s="873"/>
      <c r="AM83" s="873"/>
      <c r="AN83" s="873"/>
      <c r="AO83" s="873"/>
      <c r="AP83" s="873"/>
      <c r="AQ83" s="873"/>
      <c r="AR83" s="873"/>
    </row>
    <row r="84" spans="1:44">
      <c r="A84" s="1213" t="s">
        <v>346</v>
      </c>
      <c r="B84" s="1213"/>
      <c r="C84" s="911">
        <f>T15+T16+T17</f>
        <v>0.11596951575149572</v>
      </c>
      <c r="D84" s="873"/>
      <c r="E84" s="873"/>
      <c r="F84" s="873"/>
      <c r="G84" s="1" t="str">
        <f t="shared" si="31"/>
        <v>Açúcar</v>
      </c>
      <c r="L84" s="873"/>
      <c r="N84" s="873"/>
      <c r="V84" s="873"/>
      <c r="W84" s="873"/>
      <c r="X84" s="873"/>
      <c r="Y84" s="873"/>
      <c r="Z84" s="873"/>
      <c r="AA84" s="873"/>
      <c r="AB84" s="873"/>
      <c r="AC84" s="873"/>
      <c r="AD84" s="873"/>
      <c r="AE84" s="873"/>
      <c r="AF84" s="873"/>
      <c r="AG84" s="873"/>
      <c r="AH84" s="873"/>
      <c r="AI84" s="873"/>
      <c r="AJ84" s="873"/>
      <c r="AK84" s="873"/>
      <c r="AL84" s="873"/>
      <c r="AM84" s="873"/>
      <c r="AN84" s="873"/>
      <c r="AO84" s="873"/>
      <c r="AP84" s="873"/>
      <c r="AQ84" s="873"/>
      <c r="AR84" s="873"/>
    </row>
    <row r="85" spans="1:44">
      <c r="A85" s="1213" t="s">
        <v>347</v>
      </c>
      <c r="B85" s="1213"/>
      <c r="C85" s="912">
        <f>T6+T7+T8</f>
        <v>7.5012816800173132E-2</v>
      </c>
      <c r="D85" s="873"/>
      <c r="E85" s="873"/>
      <c r="F85" s="873"/>
      <c r="G85" s="1" t="str">
        <f t="shared" si="31"/>
        <v>Açúcar</v>
      </c>
      <c r="L85" s="873"/>
      <c r="N85" s="873"/>
      <c r="V85" s="873"/>
      <c r="W85" s="873"/>
      <c r="X85" s="873"/>
      <c r="Y85" s="873"/>
      <c r="Z85" s="873"/>
      <c r="AA85" s="873"/>
      <c r="AB85" s="873"/>
      <c r="AC85" s="873"/>
      <c r="AD85" s="873"/>
      <c r="AE85" s="873"/>
      <c r="AF85" s="873"/>
      <c r="AG85" s="873"/>
      <c r="AH85" s="873"/>
      <c r="AI85" s="873"/>
      <c r="AJ85" s="873"/>
      <c r="AK85" s="873"/>
      <c r="AL85" s="873"/>
      <c r="AM85" s="873"/>
      <c r="AN85" s="873"/>
      <c r="AO85" s="873"/>
      <c r="AP85" s="873"/>
      <c r="AQ85" s="873"/>
      <c r="AR85" s="873"/>
    </row>
    <row r="86" spans="1:44">
      <c r="A86" s="1213" t="s">
        <v>348</v>
      </c>
      <c r="B86" s="1213"/>
      <c r="C86" s="912">
        <f>T18+T20+T21</f>
        <v>3.8963713367399185E-2</v>
      </c>
      <c r="D86" s="873"/>
      <c r="E86" s="873"/>
      <c r="F86" s="873"/>
      <c r="G86" s="1" t="str">
        <f t="shared" si="31"/>
        <v>Açúcar</v>
      </c>
      <c r="H86" s="873"/>
      <c r="I86" s="873"/>
      <c r="J86" s="873"/>
      <c r="K86" s="873"/>
      <c r="L86" s="873"/>
      <c r="M86" s="873"/>
      <c r="N86" s="873"/>
      <c r="V86" s="873"/>
      <c r="W86" s="873"/>
      <c r="X86" s="873"/>
      <c r="Y86" s="873"/>
      <c r="Z86" s="873"/>
      <c r="AA86" s="873"/>
      <c r="AB86" s="873"/>
      <c r="AC86" s="873"/>
      <c r="AD86" s="873"/>
      <c r="AE86" s="873"/>
      <c r="AF86" s="873"/>
      <c r="AG86" s="873"/>
      <c r="AH86" s="873"/>
      <c r="AI86" s="873"/>
      <c r="AJ86" s="873"/>
      <c r="AK86" s="873"/>
      <c r="AL86" s="873"/>
      <c r="AM86" s="873"/>
      <c r="AN86" s="873"/>
      <c r="AO86" s="873"/>
      <c r="AP86" s="873"/>
      <c r="AQ86" s="873"/>
      <c r="AR86" s="873"/>
    </row>
    <row r="87" spans="1:44">
      <c r="A87" s="1213" t="s">
        <v>349</v>
      </c>
      <c r="B87" s="1213"/>
      <c r="C87" s="912">
        <f>T28</f>
        <v>3.6042326266983331E-2</v>
      </c>
      <c r="D87" s="873"/>
      <c r="E87" s="873"/>
      <c r="F87" s="873"/>
      <c r="G87" s="1" t="str">
        <f t="shared" si="31"/>
        <v>Açúcar</v>
      </c>
      <c r="H87" s="873"/>
      <c r="I87" s="873"/>
      <c r="J87" s="873"/>
      <c r="K87" s="873"/>
      <c r="L87" s="873"/>
      <c r="M87" s="873"/>
      <c r="N87" s="873"/>
      <c r="V87" s="873"/>
      <c r="W87" s="873"/>
      <c r="X87" s="873"/>
      <c r="Y87" s="873"/>
      <c r="Z87" s="873"/>
      <c r="AA87" s="873"/>
      <c r="AB87" s="873"/>
      <c r="AC87" s="873"/>
      <c r="AD87" s="873"/>
      <c r="AE87" s="873"/>
      <c r="AF87" s="873"/>
      <c r="AG87" s="873"/>
      <c r="AH87" s="873"/>
      <c r="AI87" s="873"/>
      <c r="AJ87" s="873"/>
      <c r="AK87" s="873"/>
      <c r="AL87" s="873"/>
      <c r="AM87" s="873"/>
      <c r="AN87" s="873"/>
      <c r="AO87" s="873"/>
      <c r="AP87" s="873"/>
      <c r="AQ87" s="873"/>
      <c r="AR87" s="873"/>
    </row>
    <row r="88" spans="1:44">
      <c r="A88" s="1213" t="s">
        <v>350</v>
      </c>
      <c r="B88" s="1213"/>
      <c r="C88" s="912">
        <f>T36</f>
        <v>9.9705813861810169E-3</v>
      </c>
      <c r="D88" s="873"/>
      <c r="E88" s="873"/>
      <c r="F88" s="873"/>
      <c r="G88" s="1" t="str">
        <f t="shared" si="31"/>
        <v>Açúcar</v>
      </c>
      <c r="H88" s="873"/>
      <c r="I88" s="873"/>
      <c r="J88" s="873"/>
      <c r="K88" s="873"/>
      <c r="L88" s="873"/>
      <c r="M88" s="873"/>
      <c r="N88" s="873"/>
      <c r="V88" s="873"/>
      <c r="W88" s="873"/>
      <c r="X88" s="873"/>
      <c r="Y88" s="873"/>
      <c r="Z88" s="873"/>
      <c r="AA88" s="873"/>
      <c r="AB88" s="873"/>
      <c r="AC88" s="873"/>
      <c r="AD88" s="873"/>
      <c r="AE88" s="873"/>
      <c r="AF88" s="873"/>
      <c r="AG88" s="873"/>
      <c r="AH88" s="873"/>
      <c r="AI88" s="873"/>
      <c r="AJ88" s="873"/>
      <c r="AK88" s="873"/>
      <c r="AL88" s="873"/>
      <c r="AM88" s="873"/>
      <c r="AN88" s="873"/>
      <c r="AO88" s="873"/>
      <c r="AP88" s="873"/>
      <c r="AQ88" s="873"/>
      <c r="AR88" s="873"/>
    </row>
    <row r="89" spans="1:44">
      <c r="A89" s="1213" t="s">
        <v>351</v>
      </c>
      <c r="B89" s="1213"/>
      <c r="C89" s="912">
        <f>T19</f>
        <v>4.4894418875949475E-3</v>
      </c>
      <c r="D89" s="873"/>
      <c r="E89" s="873"/>
      <c r="F89" s="873"/>
      <c r="G89" s="1" t="str">
        <f t="shared" si="31"/>
        <v>Açúcar</v>
      </c>
      <c r="H89" s="873"/>
      <c r="I89" s="873"/>
      <c r="J89" s="873"/>
      <c r="K89" s="873"/>
      <c r="L89" s="873"/>
      <c r="M89" s="873"/>
      <c r="N89" s="873"/>
      <c r="V89" s="873"/>
      <c r="W89" s="873"/>
      <c r="X89" s="873"/>
      <c r="Y89" s="873"/>
      <c r="Z89" s="873"/>
      <c r="AA89" s="873"/>
      <c r="AB89" s="873"/>
      <c r="AC89" s="873"/>
      <c r="AD89" s="873"/>
      <c r="AE89" s="873"/>
      <c r="AF89" s="873"/>
      <c r="AG89" s="873"/>
      <c r="AH89" s="873"/>
      <c r="AI89" s="873"/>
      <c r="AJ89" s="873"/>
      <c r="AK89" s="873"/>
      <c r="AL89" s="873"/>
      <c r="AM89" s="873"/>
      <c r="AN89" s="873"/>
      <c r="AO89" s="873"/>
      <c r="AP89" s="873"/>
      <c r="AQ89" s="873"/>
      <c r="AR89" s="873"/>
    </row>
    <row r="90" spans="1:44">
      <c r="A90" s="873"/>
      <c r="B90" s="873"/>
      <c r="C90" s="913"/>
      <c r="D90" s="873"/>
      <c r="E90" s="873"/>
      <c r="F90" s="873"/>
      <c r="G90" s="1" t="str">
        <f t="shared" si="31"/>
        <v>Açúcar</v>
      </c>
      <c r="H90" s="873"/>
      <c r="I90" s="873"/>
      <c r="J90" s="873"/>
      <c r="K90" s="873"/>
      <c r="L90" s="873"/>
      <c r="M90" s="873"/>
      <c r="N90" s="873"/>
      <c r="V90" s="873"/>
      <c r="W90" s="873"/>
      <c r="X90" s="873"/>
      <c r="Y90" s="873"/>
      <c r="Z90" s="873"/>
      <c r="AA90" s="873"/>
      <c r="AB90" s="873"/>
      <c r="AC90" s="873"/>
      <c r="AD90" s="873"/>
      <c r="AE90" s="873"/>
      <c r="AF90" s="873"/>
      <c r="AG90" s="873"/>
      <c r="AH90" s="873"/>
      <c r="AI90" s="873"/>
      <c r="AJ90" s="873"/>
      <c r="AK90" s="873"/>
      <c r="AL90" s="873"/>
      <c r="AM90" s="873"/>
      <c r="AN90" s="873"/>
      <c r="AO90" s="873"/>
      <c r="AP90" s="873"/>
      <c r="AQ90" s="873"/>
      <c r="AR90" s="873"/>
    </row>
    <row r="91" spans="1:44">
      <c r="C91" s="913"/>
      <c r="D91" s="873"/>
      <c r="E91" s="873"/>
      <c r="F91" s="873"/>
      <c r="G91" s="1" t="str">
        <f t="shared" si="31"/>
        <v>Açúcar</v>
      </c>
      <c r="H91" s="873"/>
      <c r="I91" s="873"/>
      <c r="J91" s="873"/>
      <c r="K91" s="873"/>
      <c r="L91" s="873"/>
      <c r="M91" s="873"/>
      <c r="N91" s="873"/>
      <c r="V91" s="873"/>
      <c r="W91" s="873"/>
      <c r="X91" s="873"/>
      <c r="Y91" s="873"/>
      <c r="Z91" s="873"/>
      <c r="AA91" s="873"/>
      <c r="AB91" s="873"/>
      <c r="AC91" s="873"/>
      <c r="AD91" s="873"/>
      <c r="AE91" s="873"/>
      <c r="AF91" s="873"/>
      <c r="AG91" s="873"/>
      <c r="AH91" s="873"/>
      <c r="AI91" s="873"/>
      <c r="AJ91" s="873"/>
      <c r="AK91" s="873"/>
      <c r="AL91" s="873"/>
      <c r="AM91" s="873"/>
      <c r="AN91" s="873"/>
      <c r="AO91" s="873"/>
      <c r="AP91" s="873"/>
      <c r="AQ91" s="873"/>
      <c r="AR91" s="873"/>
    </row>
    <row r="92" spans="1:44">
      <c r="C92" s="913"/>
      <c r="D92" s="873"/>
      <c r="E92" s="873"/>
      <c r="F92" s="873"/>
      <c r="G92" s="1" t="str">
        <f t="shared" si="31"/>
        <v>Açúcar</v>
      </c>
      <c r="H92" s="873"/>
      <c r="I92" s="873"/>
      <c r="J92" s="873"/>
      <c r="K92" s="873"/>
      <c r="L92" s="873"/>
      <c r="M92" s="873"/>
      <c r="N92" s="873"/>
      <c r="V92" s="873"/>
      <c r="W92" s="873"/>
      <c r="X92" s="873"/>
      <c r="Y92" s="873"/>
      <c r="Z92" s="873"/>
      <c r="AA92" s="873"/>
      <c r="AB92" s="873"/>
      <c r="AC92" s="873"/>
      <c r="AD92" s="873"/>
      <c r="AE92" s="873"/>
      <c r="AF92" s="873"/>
      <c r="AG92" s="873"/>
      <c r="AH92" s="873"/>
      <c r="AI92" s="873"/>
      <c r="AJ92" s="873"/>
      <c r="AK92" s="873"/>
      <c r="AL92" s="873"/>
      <c r="AM92" s="873"/>
      <c r="AN92" s="873"/>
      <c r="AO92" s="873"/>
      <c r="AP92" s="873"/>
      <c r="AQ92" s="873"/>
      <c r="AR92" s="873"/>
    </row>
    <row r="93" spans="1:44">
      <c r="D93" s="873"/>
      <c r="E93" s="873"/>
      <c r="F93" s="873"/>
      <c r="G93" s="1" t="str">
        <f t="shared" si="31"/>
        <v>Açúcar</v>
      </c>
      <c r="H93" s="873"/>
      <c r="I93" s="873"/>
      <c r="J93" s="873"/>
      <c r="K93" s="873"/>
      <c r="L93" s="873"/>
      <c r="M93" s="873"/>
      <c r="N93" s="873"/>
      <c r="V93" s="873"/>
      <c r="W93" s="873"/>
      <c r="X93" s="873"/>
      <c r="Y93" s="873"/>
      <c r="Z93" s="873"/>
      <c r="AA93" s="873"/>
      <c r="AB93" s="873"/>
      <c r="AC93" s="873"/>
      <c r="AD93" s="873"/>
      <c r="AE93" s="873"/>
      <c r="AF93" s="873"/>
      <c r="AG93" s="873"/>
      <c r="AH93" s="873"/>
      <c r="AI93" s="873"/>
      <c r="AJ93" s="873"/>
      <c r="AK93" s="873"/>
      <c r="AL93" s="873"/>
      <c r="AM93" s="873"/>
      <c r="AN93" s="873"/>
      <c r="AO93" s="873"/>
      <c r="AP93" s="873"/>
      <c r="AQ93" s="873"/>
      <c r="AR93" s="873"/>
    </row>
    <row r="94" spans="1:44">
      <c r="D94" s="873"/>
      <c r="E94" s="873"/>
      <c r="F94" s="873"/>
      <c r="G94" s="1" t="str">
        <f t="shared" si="31"/>
        <v>Açúcar</v>
      </c>
      <c r="H94" s="873"/>
      <c r="I94" s="873"/>
      <c r="J94" s="873"/>
      <c r="K94" s="873"/>
      <c r="L94" s="873"/>
      <c r="M94" s="873"/>
      <c r="N94" s="873"/>
      <c r="V94" s="873"/>
      <c r="W94" s="873"/>
      <c r="X94" s="873"/>
      <c r="Y94" s="873"/>
      <c r="Z94" s="873"/>
      <c r="AA94" s="873"/>
      <c r="AB94" s="873"/>
      <c r="AC94" s="873"/>
      <c r="AD94" s="873"/>
      <c r="AE94" s="873"/>
      <c r="AF94" s="873"/>
      <c r="AG94" s="873"/>
      <c r="AH94" s="873"/>
      <c r="AI94" s="873"/>
      <c r="AJ94" s="873"/>
      <c r="AK94" s="873"/>
      <c r="AL94" s="873"/>
      <c r="AM94" s="873"/>
      <c r="AN94" s="873"/>
      <c r="AO94" s="873"/>
      <c r="AP94" s="873"/>
      <c r="AQ94" s="873"/>
      <c r="AR94" s="873"/>
    </row>
    <row r="95" spans="1:44">
      <c r="C95" s="913"/>
      <c r="D95" s="873"/>
      <c r="E95" s="873"/>
      <c r="F95" s="873"/>
      <c r="G95" s="1" t="str">
        <f t="shared" si="31"/>
        <v>Açúcar</v>
      </c>
      <c r="H95" s="873"/>
      <c r="I95" s="873"/>
      <c r="J95" s="873"/>
      <c r="K95" s="873"/>
      <c r="L95" s="873"/>
      <c r="M95" s="873"/>
      <c r="N95" s="873"/>
      <c r="V95" s="873"/>
      <c r="W95" s="873"/>
      <c r="X95" s="873"/>
      <c r="Y95" s="873"/>
      <c r="Z95" s="873"/>
      <c r="AA95" s="873"/>
      <c r="AB95" s="873"/>
      <c r="AC95" s="873"/>
      <c r="AD95" s="873"/>
      <c r="AE95" s="873"/>
      <c r="AF95" s="873"/>
      <c r="AG95" s="873"/>
      <c r="AH95" s="873"/>
      <c r="AI95" s="873"/>
      <c r="AJ95" s="873"/>
      <c r="AK95" s="873"/>
      <c r="AL95" s="873"/>
      <c r="AM95" s="873"/>
      <c r="AN95" s="873"/>
      <c r="AO95" s="873"/>
      <c r="AP95" s="873"/>
      <c r="AQ95" s="873"/>
      <c r="AR95" s="873"/>
    </row>
    <row r="96" spans="1:44">
      <c r="C96" s="913"/>
      <c r="D96" s="873"/>
      <c r="E96" s="873"/>
      <c r="F96" s="873"/>
      <c r="G96" s="1" t="s">
        <v>352</v>
      </c>
      <c r="L96" s="873"/>
      <c r="N96" s="873"/>
      <c r="O96" s="873"/>
      <c r="P96" s="873"/>
      <c r="Q96" s="873"/>
      <c r="R96" s="873"/>
      <c r="S96" s="873"/>
      <c r="T96" s="873"/>
      <c r="U96" s="873"/>
      <c r="V96" s="873"/>
      <c r="W96" s="873"/>
      <c r="X96" s="873"/>
      <c r="Y96" s="873"/>
      <c r="Z96" s="873"/>
      <c r="AA96" s="873"/>
      <c r="AB96" s="873"/>
      <c r="AC96" s="873"/>
      <c r="AD96" s="873"/>
      <c r="AE96" s="873"/>
      <c r="AF96" s="873"/>
      <c r="AG96" s="873"/>
      <c r="AH96" s="873"/>
      <c r="AI96" s="873"/>
      <c r="AJ96" s="873"/>
      <c r="AK96" s="873"/>
      <c r="AL96" s="873"/>
      <c r="AM96" s="873"/>
      <c r="AN96" s="873"/>
      <c r="AO96" s="873"/>
      <c r="AP96" s="873"/>
      <c r="AQ96" s="873"/>
      <c r="AR96" s="873"/>
    </row>
    <row r="97" spans="1:44">
      <c r="C97" s="913"/>
      <c r="D97" s="873"/>
      <c r="E97" s="873"/>
      <c r="F97" s="873"/>
      <c r="G97" s="1" t="str">
        <f t="shared" ref="G97:G112" si="32">G96</f>
        <v>Custo Total</v>
      </c>
      <c r="L97" s="873"/>
      <c r="N97" s="873"/>
      <c r="O97" s="873"/>
      <c r="P97" s="873"/>
      <c r="Q97" s="873"/>
      <c r="R97" s="873"/>
      <c r="S97" s="873"/>
      <c r="T97" s="873"/>
      <c r="U97" s="873"/>
      <c r="V97" s="873"/>
      <c r="W97" s="873"/>
      <c r="X97" s="873"/>
      <c r="Y97" s="873"/>
      <c r="Z97" s="873"/>
      <c r="AA97" s="873"/>
      <c r="AB97" s="873"/>
      <c r="AC97" s="873"/>
      <c r="AD97" s="873"/>
      <c r="AE97" s="873"/>
      <c r="AF97" s="873"/>
      <c r="AG97" s="873"/>
      <c r="AH97" s="873"/>
      <c r="AI97" s="873"/>
      <c r="AJ97" s="873"/>
      <c r="AK97" s="873"/>
      <c r="AL97" s="873"/>
      <c r="AM97" s="873"/>
      <c r="AN97" s="873"/>
      <c r="AO97" s="873"/>
      <c r="AP97" s="873"/>
      <c r="AQ97" s="873"/>
      <c r="AR97" s="873"/>
    </row>
    <row r="98" spans="1:44">
      <c r="D98" s="873"/>
      <c r="E98" s="873"/>
      <c r="F98" s="873"/>
      <c r="G98" s="1" t="str">
        <f t="shared" si="32"/>
        <v>Custo Total</v>
      </c>
      <c r="L98" s="873"/>
      <c r="N98" s="873"/>
      <c r="O98" s="873"/>
      <c r="P98" s="873"/>
      <c r="Q98" s="873"/>
      <c r="R98" s="873"/>
      <c r="S98" s="873"/>
      <c r="T98" s="873"/>
      <c r="U98" s="873"/>
      <c r="V98" s="873"/>
      <c r="W98" s="873"/>
      <c r="X98" s="873"/>
      <c r="Y98" s="873"/>
      <c r="Z98" s="873"/>
      <c r="AA98" s="873"/>
      <c r="AB98" s="873"/>
      <c r="AC98" s="873"/>
      <c r="AD98" s="873"/>
      <c r="AE98" s="873"/>
      <c r="AF98" s="873"/>
      <c r="AG98" s="873"/>
      <c r="AH98" s="873"/>
      <c r="AI98" s="873"/>
      <c r="AJ98" s="873"/>
      <c r="AK98" s="873"/>
      <c r="AL98" s="873"/>
      <c r="AM98" s="873"/>
      <c r="AN98" s="873"/>
      <c r="AO98" s="873"/>
      <c r="AP98" s="873"/>
      <c r="AQ98" s="873"/>
      <c r="AR98" s="873"/>
    </row>
    <row r="99" spans="1:44">
      <c r="D99" s="873"/>
      <c r="E99" s="873"/>
      <c r="F99" s="873"/>
      <c r="G99" s="1" t="str">
        <f t="shared" si="32"/>
        <v>Custo Total</v>
      </c>
      <c r="L99" s="873"/>
      <c r="N99" s="873"/>
      <c r="O99" s="873"/>
      <c r="P99" s="873"/>
      <c r="Q99" s="873"/>
      <c r="R99" s="873"/>
      <c r="S99" s="873"/>
      <c r="T99" s="873"/>
      <c r="U99" s="873"/>
      <c r="V99" s="873"/>
      <c r="W99" s="873"/>
      <c r="X99" s="873"/>
      <c r="Y99" s="873"/>
      <c r="Z99" s="873"/>
      <c r="AA99" s="873"/>
      <c r="AB99" s="873"/>
      <c r="AC99" s="873"/>
      <c r="AD99" s="873"/>
      <c r="AE99" s="873"/>
      <c r="AF99" s="873"/>
      <c r="AG99" s="873"/>
      <c r="AH99" s="873"/>
      <c r="AI99" s="873"/>
      <c r="AJ99" s="873"/>
      <c r="AK99" s="873"/>
      <c r="AL99" s="873"/>
      <c r="AM99" s="873"/>
      <c r="AN99" s="873"/>
      <c r="AO99" s="873"/>
      <c r="AP99" s="873"/>
      <c r="AQ99" s="873"/>
      <c r="AR99" s="873"/>
    </row>
    <row r="100" spans="1:44">
      <c r="A100" s="873"/>
      <c r="B100" s="873"/>
      <c r="C100" s="873"/>
      <c r="D100" s="873"/>
      <c r="E100" s="873"/>
      <c r="F100" s="873"/>
      <c r="G100" s="1" t="str">
        <f t="shared" si="32"/>
        <v>Custo Total</v>
      </c>
      <c r="L100" s="873"/>
      <c r="N100" s="873"/>
      <c r="O100" s="873"/>
      <c r="P100" s="873"/>
      <c r="Q100" s="873"/>
      <c r="R100" s="873"/>
      <c r="S100" s="873"/>
      <c r="T100" s="873"/>
      <c r="U100" s="873"/>
      <c r="V100" s="873"/>
      <c r="W100" s="873"/>
      <c r="X100" s="873"/>
      <c r="Y100" s="873"/>
      <c r="Z100" s="873"/>
      <c r="AA100" s="873"/>
      <c r="AB100" s="873"/>
      <c r="AC100" s="873"/>
      <c r="AD100" s="873"/>
      <c r="AE100" s="873"/>
      <c r="AF100" s="873"/>
      <c r="AG100" s="873"/>
      <c r="AH100" s="873"/>
      <c r="AI100" s="873"/>
      <c r="AJ100" s="873"/>
      <c r="AK100" s="873"/>
      <c r="AL100" s="873"/>
      <c r="AM100" s="873"/>
      <c r="AN100" s="873"/>
      <c r="AO100" s="873"/>
      <c r="AP100" s="873"/>
      <c r="AQ100" s="873"/>
      <c r="AR100" s="873"/>
    </row>
    <row r="101" spans="1:44">
      <c r="A101" s="873"/>
      <c r="B101" s="873"/>
      <c r="C101" s="873"/>
      <c r="D101" s="873"/>
      <c r="E101" s="873"/>
      <c r="F101" s="873"/>
      <c r="G101" s="1" t="str">
        <f t="shared" si="32"/>
        <v>Custo Total</v>
      </c>
      <c r="L101" s="873"/>
      <c r="N101" s="873"/>
      <c r="O101" s="873"/>
      <c r="P101" s="873"/>
      <c r="Q101" s="873"/>
      <c r="R101" s="873"/>
      <c r="S101" s="873"/>
      <c r="T101" s="873"/>
      <c r="U101" s="873"/>
      <c r="V101" s="873"/>
      <c r="W101" s="873"/>
      <c r="X101" s="873"/>
      <c r="Y101" s="873"/>
      <c r="Z101" s="873"/>
      <c r="AA101" s="873"/>
      <c r="AB101" s="873"/>
      <c r="AC101" s="873"/>
      <c r="AD101" s="873"/>
      <c r="AE101" s="873"/>
      <c r="AF101" s="873"/>
      <c r="AG101" s="873"/>
      <c r="AH101" s="873"/>
      <c r="AI101" s="873"/>
      <c r="AJ101" s="873"/>
      <c r="AK101" s="873"/>
      <c r="AL101" s="873"/>
      <c r="AM101" s="873"/>
      <c r="AN101" s="873"/>
      <c r="AO101" s="873"/>
      <c r="AP101" s="873"/>
      <c r="AQ101" s="873"/>
      <c r="AR101" s="873"/>
    </row>
    <row r="102" spans="1:44">
      <c r="A102" s="873"/>
      <c r="B102" s="873"/>
      <c r="C102" s="873"/>
      <c r="D102" s="873"/>
      <c r="E102" s="873"/>
      <c r="F102" s="873"/>
      <c r="G102" s="1" t="str">
        <f t="shared" si="32"/>
        <v>Custo Total</v>
      </c>
      <c r="L102" s="873"/>
      <c r="N102" s="873"/>
      <c r="O102" s="873"/>
      <c r="P102" s="873"/>
      <c r="Q102" s="873"/>
      <c r="R102" s="873"/>
      <c r="S102" s="873"/>
      <c r="T102" s="873"/>
      <c r="U102" s="873"/>
      <c r="V102" s="873"/>
      <c r="W102" s="873"/>
      <c r="X102" s="873"/>
      <c r="Y102" s="873"/>
      <c r="Z102" s="873"/>
      <c r="AA102" s="873"/>
      <c r="AB102" s="873"/>
      <c r="AC102" s="873"/>
      <c r="AD102" s="873"/>
      <c r="AE102" s="873"/>
      <c r="AF102" s="873"/>
      <c r="AG102" s="873"/>
      <c r="AH102" s="873"/>
      <c r="AI102" s="873"/>
      <c r="AJ102" s="873"/>
      <c r="AK102" s="873"/>
      <c r="AL102" s="873"/>
      <c r="AM102" s="873"/>
      <c r="AN102" s="873"/>
      <c r="AO102" s="873"/>
      <c r="AP102" s="873"/>
      <c r="AQ102" s="873"/>
      <c r="AR102" s="873"/>
    </row>
    <row r="103" spans="1:44">
      <c r="A103" s="873"/>
      <c r="B103" s="873"/>
      <c r="C103" s="873"/>
      <c r="D103" s="873"/>
      <c r="E103" s="873"/>
      <c r="F103" s="873"/>
      <c r="G103" s="1" t="str">
        <f t="shared" si="32"/>
        <v>Custo Total</v>
      </c>
      <c r="H103" s="873"/>
      <c r="I103" s="873"/>
      <c r="J103" s="873"/>
      <c r="K103" s="873"/>
      <c r="L103" s="873"/>
      <c r="M103" s="873"/>
      <c r="N103" s="873"/>
      <c r="O103" s="873"/>
      <c r="P103" s="873"/>
      <c r="Q103" s="873"/>
      <c r="R103" s="873"/>
      <c r="S103" s="873"/>
      <c r="T103" s="873"/>
      <c r="U103" s="873"/>
      <c r="V103" s="873"/>
      <c r="W103" s="873"/>
      <c r="X103" s="873"/>
      <c r="Y103" s="873"/>
      <c r="Z103" s="873"/>
      <c r="AA103" s="873"/>
      <c r="AB103" s="873"/>
      <c r="AC103" s="873"/>
      <c r="AD103" s="873"/>
      <c r="AE103" s="873"/>
      <c r="AF103" s="873"/>
      <c r="AG103" s="873"/>
      <c r="AH103" s="873"/>
      <c r="AI103" s="873"/>
      <c r="AJ103" s="873"/>
      <c r="AK103" s="873"/>
      <c r="AL103" s="873"/>
      <c r="AM103" s="873"/>
      <c r="AN103" s="873"/>
      <c r="AO103" s="873"/>
      <c r="AP103" s="873"/>
      <c r="AQ103" s="873"/>
      <c r="AR103" s="873"/>
    </row>
    <row r="104" spans="1:44">
      <c r="A104" s="873"/>
      <c r="B104" s="873"/>
      <c r="C104" s="873"/>
      <c r="D104" s="873"/>
      <c r="E104" s="873"/>
      <c r="F104" s="873"/>
      <c r="G104" s="1" t="str">
        <f t="shared" si="32"/>
        <v>Custo Total</v>
      </c>
      <c r="H104" s="873"/>
      <c r="I104" s="873"/>
      <c r="J104" s="873"/>
      <c r="K104" s="873"/>
      <c r="L104" s="873"/>
      <c r="M104" s="873"/>
      <c r="N104" s="873"/>
      <c r="O104" s="873"/>
      <c r="P104" s="873"/>
      <c r="Q104" s="873"/>
      <c r="R104" s="873"/>
      <c r="S104" s="873"/>
      <c r="T104" s="873"/>
      <c r="U104" s="873"/>
      <c r="V104" s="873"/>
      <c r="W104" s="873"/>
      <c r="X104" s="873"/>
      <c r="Y104" s="873"/>
      <c r="Z104" s="873"/>
      <c r="AA104" s="873"/>
      <c r="AB104" s="873"/>
      <c r="AC104" s="873"/>
      <c r="AD104" s="873"/>
      <c r="AE104" s="873"/>
      <c r="AF104" s="873"/>
      <c r="AG104" s="873"/>
      <c r="AH104" s="873"/>
      <c r="AI104" s="873"/>
      <c r="AJ104" s="873"/>
      <c r="AK104" s="873"/>
      <c r="AL104" s="873"/>
      <c r="AM104" s="873"/>
      <c r="AN104" s="873"/>
      <c r="AO104" s="873"/>
      <c r="AP104" s="873"/>
      <c r="AQ104" s="873"/>
      <c r="AR104" s="873"/>
    </row>
    <row r="105" spans="1:44">
      <c r="A105" s="873"/>
      <c r="B105" s="873"/>
      <c r="C105" s="873"/>
      <c r="D105" s="873"/>
      <c r="E105" s="873"/>
      <c r="F105" s="873"/>
      <c r="G105" s="1" t="str">
        <f t="shared" si="32"/>
        <v>Custo Total</v>
      </c>
      <c r="H105" s="873"/>
      <c r="I105" s="873"/>
      <c r="J105" s="873"/>
      <c r="K105" s="873"/>
      <c r="L105" s="873"/>
      <c r="M105" s="873"/>
      <c r="N105" s="873"/>
      <c r="O105" s="873"/>
      <c r="P105" s="873"/>
      <c r="Q105" s="873"/>
      <c r="R105" s="873"/>
      <c r="S105" s="873"/>
      <c r="T105" s="873"/>
      <c r="U105" s="873"/>
      <c r="V105" s="873"/>
      <c r="W105" s="873"/>
      <c r="X105" s="873"/>
      <c r="Y105" s="873"/>
      <c r="Z105" s="873"/>
      <c r="AA105" s="873"/>
      <c r="AB105" s="873"/>
      <c r="AC105" s="873"/>
      <c r="AD105" s="873"/>
      <c r="AE105" s="873"/>
      <c r="AF105" s="873"/>
      <c r="AG105" s="873"/>
      <c r="AH105" s="873"/>
      <c r="AI105" s="873"/>
      <c r="AJ105" s="873"/>
      <c r="AK105" s="873"/>
      <c r="AL105" s="873"/>
      <c r="AM105" s="873"/>
      <c r="AN105" s="873"/>
      <c r="AO105" s="873"/>
      <c r="AP105" s="873"/>
      <c r="AQ105" s="873"/>
      <c r="AR105" s="873"/>
    </row>
    <row r="106" spans="1:44">
      <c r="A106" s="873"/>
      <c r="B106" s="873"/>
      <c r="C106" s="873"/>
      <c r="D106" s="873"/>
      <c r="E106" s="873"/>
      <c r="F106" s="873"/>
      <c r="G106" s="1" t="str">
        <f t="shared" si="32"/>
        <v>Custo Total</v>
      </c>
      <c r="H106" s="873"/>
      <c r="I106" s="873"/>
      <c r="J106" s="873"/>
      <c r="K106" s="873"/>
      <c r="L106" s="873"/>
      <c r="M106" s="873"/>
      <c r="N106" s="873"/>
      <c r="O106" s="873"/>
      <c r="P106" s="873"/>
      <c r="Q106" s="873"/>
      <c r="R106" s="873"/>
      <c r="S106" s="873"/>
      <c r="T106" s="873"/>
      <c r="U106" s="873"/>
      <c r="V106" s="873"/>
      <c r="W106" s="873"/>
      <c r="X106" s="873"/>
      <c r="Y106" s="873"/>
      <c r="Z106" s="873"/>
      <c r="AA106" s="873"/>
      <c r="AB106" s="873"/>
      <c r="AC106" s="873"/>
      <c r="AD106" s="873"/>
      <c r="AE106" s="873"/>
      <c r="AF106" s="873"/>
      <c r="AG106" s="873"/>
      <c r="AH106" s="873"/>
      <c r="AI106" s="873"/>
      <c r="AJ106" s="873"/>
      <c r="AK106" s="873"/>
      <c r="AL106" s="873"/>
      <c r="AM106" s="873"/>
      <c r="AN106" s="873"/>
      <c r="AO106" s="873"/>
      <c r="AP106" s="873"/>
      <c r="AQ106" s="873"/>
      <c r="AR106" s="873"/>
    </row>
    <row r="107" spans="1:44">
      <c r="A107" s="873"/>
      <c r="B107" s="873"/>
      <c r="C107" s="873"/>
      <c r="D107" s="873"/>
      <c r="E107" s="873"/>
      <c r="F107" s="873"/>
      <c r="G107" s="1" t="str">
        <f t="shared" si="32"/>
        <v>Custo Total</v>
      </c>
      <c r="H107" s="873"/>
      <c r="I107" s="873"/>
      <c r="J107" s="873"/>
      <c r="K107" s="873"/>
      <c r="L107" s="873"/>
      <c r="M107" s="873"/>
      <c r="N107" s="873"/>
      <c r="O107" s="873"/>
      <c r="P107" s="873"/>
      <c r="Q107" s="873"/>
      <c r="R107" s="873"/>
      <c r="S107" s="873"/>
      <c r="T107" s="873"/>
      <c r="U107" s="873"/>
      <c r="V107" s="873"/>
      <c r="W107" s="873"/>
      <c r="X107" s="873"/>
      <c r="Y107" s="873"/>
      <c r="Z107" s="873"/>
      <c r="AA107" s="873"/>
      <c r="AB107" s="873"/>
      <c r="AC107" s="873"/>
      <c r="AD107" s="873"/>
      <c r="AE107" s="873"/>
      <c r="AF107" s="873"/>
      <c r="AG107" s="873"/>
      <c r="AH107" s="873"/>
      <c r="AI107" s="873"/>
      <c r="AJ107" s="873"/>
      <c r="AK107" s="873"/>
      <c r="AL107" s="873"/>
      <c r="AM107" s="873"/>
      <c r="AN107" s="873"/>
      <c r="AO107" s="873"/>
      <c r="AP107" s="873"/>
      <c r="AQ107" s="873"/>
      <c r="AR107" s="873"/>
    </row>
    <row r="108" spans="1:44">
      <c r="A108" s="873"/>
      <c r="B108" s="873"/>
      <c r="C108" s="873"/>
      <c r="D108" s="873"/>
      <c r="E108" s="873"/>
      <c r="F108" s="873"/>
      <c r="G108" s="1" t="str">
        <f t="shared" si="32"/>
        <v>Custo Total</v>
      </c>
      <c r="H108" s="873"/>
      <c r="I108" s="873"/>
      <c r="J108" s="873"/>
      <c r="K108" s="873"/>
      <c r="L108" s="873"/>
      <c r="M108" s="873"/>
      <c r="N108" s="873"/>
      <c r="O108" s="873"/>
      <c r="P108" s="873"/>
      <c r="Q108" s="873"/>
      <c r="R108" s="873"/>
      <c r="S108" s="873"/>
      <c r="T108" s="873"/>
      <c r="U108" s="873"/>
      <c r="V108" s="873"/>
      <c r="W108" s="873"/>
      <c r="X108" s="873"/>
      <c r="Y108" s="873"/>
      <c r="Z108" s="873"/>
      <c r="AA108" s="873"/>
      <c r="AB108" s="873"/>
      <c r="AC108" s="873"/>
      <c r="AD108" s="873"/>
      <c r="AE108" s="873"/>
      <c r="AF108" s="873"/>
      <c r="AG108" s="873"/>
      <c r="AH108" s="873"/>
      <c r="AI108" s="873"/>
      <c r="AJ108" s="873"/>
      <c r="AK108" s="873"/>
      <c r="AL108" s="873"/>
      <c r="AM108" s="873"/>
      <c r="AN108" s="873"/>
      <c r="AO108" s="873"/>
      <c r="AP108" s="873"/>
      <c r="AQ108" s="873"/>
      <c r="AR108" s="873"/>
    </row>
    <row r="109" spans="1:44">
      <c r="A109" s="873"/>
      <c r="B109" s="873"/>
      <c r="C109" s="873"/>
      <c r="D109" s="873"/>
      <c r="E109" s="873"/>
      <c r="F109" s="873"/>
      <c r="G109" s="1" t="str">
        <f t="shared" si="32"/>
        <v>Custo Total</v>
      </c>
      <c r="H109" s="873"/>
      <c r="I109" s="873"/>
      <c r="J109" s="873"/>
      <c r="K109" s="873"/>
      <c r="L109" s="873"/>
      <c r="M109" s="873"/>
      <c r="N109" s="873"/>
      <c r="O109" s="873"/>
      <c r="P109" s="873"/>
      <c r="Q109" s="873"/>
      <c r="R109" s="873"/>
      <c r="S109" s="873"/>
      <c r="T109" s="873"/>
      <c r="U109" s="873"/>
      <c r="V109" s="873"/>
      <c r="W109" s="873"/>
      <c r="X109" s="873"/>
      <c r="Y109" s="873"/>
      <c r="Z109" s="873"/>
      <c r="AA109" s="873"/>
      <c r="AB109" s="873"/>
      <c r="AC109" s="873"/>
      <c r="AD109" s="873"/>
      <c r="AE109" s="873"/>
      <c r="AF109" s="873"/>
      <c r="AG109" s="873"/>
      <c r="AH109" s="873"/>
      <c r="AI109" s="873"/>
      <c r="AJ109" s="873"/>
      <c r="AK109" s="873"/>
      <c r="AL109" s="873"/>
      <c r="AM109" s="873"/>
      <c r="AN109" s="873"/>
      <c r="AO109" s="873"/>
      <c r="AP109" s="873"/>
      <c r="AQ109" s="873"/>
      <c r="AR109" s="873"/>
    </row>
    <row r="110" spans="1:44">
      <c r="A110" s="873"/>
      <c r="B110" s="873"/>
      <c r="C110" s="873"/>
      <c r="D110" s="873"/>
      <c r="E110" s="873"/>
      <c r="F110" s="873"/>
      <c r="G110" s="1" t="str">
        <f t="shared" si="32"/>
        <v>Custo Total</v>
      </c>
      <c r="H110" s="873"/>
      <c r="I110" s="873"/>
      <c r="J110" s="873"/>
      <c r="K110" s="873"/>
      <c r="L110" s="873"/>
      <c r="M110" s="873"/>
      <c r="N110" s="873"/>
      <c r="O110" s="873"/>
      <c r="P110" s="873"/>
      <c r="Q110" s="873"/>
      <c r="R110" s="873"/>
      <c r="S110" s="873"/>
      <c r="T110" s="873"/>
      <c r="U110" s="873"/>
      <c r="V110" s="873"/>
      <c r="W110" s="873"/>
      <c r="X110" s="873"/>
      <c r="Y110" s="873"/>
      <c r="Z110" s="873"/>
      <c r="AA110" s="873"/>
      <c r="AB110" s="873"/>
      <c r="AC110" s="873"/>
      <c r="AD110" s="873"/>
      <c r="AE110" s="873"/>
      <c r="AF110" s="873"/>
      <c r="AG110" s="873"/>
      <c r="AH110" s="873"/>
      <c r="AI110" s="873"/>
      <c r="AJ110" s="873"/>
      <c r="AK110" s="873"/>
      <c r="AL110" s="873"/>
      <c r="AM110" s="873"/>
      <c r="AN110" s="873"/>
      <c r="AO110" s="873"/>
      <c r="AP110" s="873"/>
      <c r="AQ110" s="873"/>
      <c r="AR110" s="873"/>
    </row>
    <row r="111" spans="1:44">
      <c r="A111" s="873"/>
      <c r="B111" s="873"/>
      <c r="C111" s="873"/>
      <c r="D111" s="873"/>
      <c r="E111" s="873"/>
      <c r="F111" s="873"/>
      <c r="G111" s="1" t="str">
        <f t="shared" si="32"/>
        <v>Custo Total</v>
      </c>
      <c r="H111" s="873"/>
      <c r="I111" s="873"/>
      <c r="J111" s="873"/>
      <c r="K111" s="873"/>
      <c r="L111" s="873"/>
      <c r="M111" s="873"/>
      <c r="N111" s="873"/>
      <c r="O111" s="873"/>
      <c r="P111" s="873"/>
      <c r="Q111" s="873"/>
      <c r="R111" s="873"/>
      <c r="S111" s="873"/>
      <c r="T111" s="873"/>
      <c r="U111" s="873"/>
      <c r="V111" s="873"/>
      <c r="W111" s="873"/>
      <c r="X111" s="873"/>
      <c r="Y111" s="873"/>
      <c r="Z111" s="873"/>
      <c r="AA111" s="873"/>
      <c r="AB111" s="873"/>
      <c r="AC111" s="873"/>
      <c r="AD111" s="873"/>
      <c r="AE111" s="873"/>
      <c r="AF111" s="873"/>
      <c r="AG111" s="873"/>
      <c r="AH111" s="873"/>
      <c r="AI111" s="873"/>
      <c r="AJ111" s="873"/>
      <c r="AK111" s="873"/>
      <c r="AL111" s="873"/>
      <c r="AM111" s="873"/>
      <c r="AN111" s="873"/>
      <c r="AO111" s="873"/>
      <c r="AP111" s="873"/>
      <c r="AQ111" s="873"/>
      <c r="AR111" s="873"/>
    </row>
    <row r="112" spans="1:44">
      <c r="A112" s="873"/>
      <c r="B112" s="873"/>
      <c r="C112" s="873"/>
      <c r="D112" s="873"/>
      <c r="E112" s="873"/>
      <c r="F112" s="873"/>
      <c r="G112" s="1" t="str">
        <f t="shared" si="32"/>
        <v>Custo Total</v>
      </c>
      <c r="H112" s="873"/>
      <c r="I112" s="873"/>
      <c r="J112" s="873"/>
      <c r="K112" s="873"/>
      <c r="L112" s="873"/>
      <c r="M112" s="873"/>
      <c r="N112" s="873"/>
      <c r="O112" s="873"/>
      <c r="P112" s="873"/>
      <c r="Q112" s="873"/>
      <c r="R112" s="873"/>
      <c r="S112" s="873"/>
      <c r="T112" s="873"/>
      <c r="U112" s="873"/>
      <c r="V112" s="873"/>
      <c r="W112" s="873"/>
      <c r="X112" s="873"/>
      <c r="Y112" s="873"/>
      <c r="Z112" s="873"/>
      <c r="AA112" s="873"/>
      <c r="AB112" s="873"/>
      <c r="AC112" s="873"/>
      <c r="AD112" s="873"/>
      <c r="AE112" s="873"/>
      <c r="AF112" s="873"/>
      <c r="AG112" s="873"/>
      <c r="AH112" s="873"/>
      <c r="AI112" s="873"/>
      <c r="AJ112" s="873"/>
      <c r="AK112" s="873"/>
      <c r="AL112" s="873"/>
      <c r="AM112" s="873"/>
      <c r="AN112" s="873"/>
      <c r="AO112" s="873"/>
      <c r="AP112" s="873"/>
      <c r="AQ112" s="873"/>
      <c r="AR112" s="873"/>
    </row>
    <row r="113" spans="1:44">
      <c r="A113" s="873"/>
      <c r="B113" s="873"/>
      <c r="C113" s="873"/>
      <c r="D113" s="873"/>
      <c r="E113" s="873"/>
      <c r="F113" s="873"/>
      <c r="G113" s="1" t="s">
        <v>353</v>
      </c>
      <c r="L113" s="873"/>
      <c r="N113" s="873"/>
      <c r="O113" s="873"/>
      <c r="P113" s="873"/>
      <c r="Q113" s="873"/>
      <c r="R113" s="873"/>
      <c r="S113" s="873"/>
      <c r="T113" s="873"/>
      <c r="U113" s="873"/>
      <c r="V113" s="873"/>
      <c r="W113" s="873"/>
      <c r="X113" s="873"/>
      <c r="Y113" s="873"/>
      <c r="Z113" s="873"/>
      <c r="AA113" s="873"/>
      <c r="AB113" s="873"/>
      <c r="AC113" s="873"/>
      <c r="AD113" s="873"/>
      <c r="AE113" s="873"/>
      <c r="AF113" s="873"/>
      <c r="AG113" s="873"/>
      <c r="AH113" s="873"/>
      <c r="AI113" s="873"/>
      <c r="AJ113" s="873"/>
      <c r="AK113" s="873"/>
      <c r="AL113" s="873"/>
      <c r="AM113" s="873"/>
      <c r="AN113" s="873"/>
      <c r="AO113" s="873"/>
      <c r="AP113" s="873"/>
      <c r="AQ113" s="873"/>
      <c r="AR113" s="873"/>
    </row>
    <row r="114" spans="1:44">
      <c r="A114" s="873"/>
      <c r="B114" s="873"/>
      <c r="C114" s="873"/>
      <c r="D114" s="873"/>
      <c r="E114" s="873"/>
      <c r="F114" s="873"/>
      <c r="G114" s="1" t="str">
        <f t="shared" ref="G114:G129" si="33">G113</f>
        <v>Custo Específico</v>
      </c>
      <c r="L114" s="873"/>
      <c r="N114" s="873"/>
      <c r="O114" s="873"/>
      <c r="P114" s="873"/>
      <c r="Q114" s="873"/>
      <c r="R114" s="873"/>
      <c r="S114" s="873"/>
      <c r="T114" s="873"/>
      <c r="U114" s="873"/>
      <c r="V114" s="873"/>
      <c r="W114" s="873"/>
      <c r="X114" s="873"/>
      <c r="Y114" s="873"/>
      <c r="Z114" s="873"/>
      <c r="AA114" s="873"/>
      <c r="AB114" s="873"/>
      <c r="AC114" s="873"/>
      <c r="AD114" s="873"/>
      <c r="AE114" s="873"/>
      <c r="AF114" s="873"/>
      <c r="AG114" s="873"/>
      <c r="AH114" s="873"/>
      <c r="AI114" s="873"/>
      <c r="AJ114" s="873"/>
      <c r="AK114" s="873"/>
      <c r="AL114" s="873"/>
      <c r="AM114" s="873"/>
      <c r="AN114" s="873"/>
      <c r="AO114" s="873"/>
      <c r="AP114" s="873"/>
      <c r="AQ114" s="873"/>
      <c r="AR114" s="873"/>
    </row>
    <row r="115" spans="1:44">
      <c r="A115" s="873"/>
      <c r="B115" s="873"/>
      <c r="C115" s="873"/>
      <c r="D115" s="873"/>
      <c r="E115" s="873"/>
      <c r="F115" s="873"/>
      <c r="G115" s="1" t="str">
        <f t="shared" si="33"/>
        <v>Custo Específico</v>
      </c>
      <c r="L115" s="873"/>
      <c r="N115" s="873"/>
      <c r="O115" s="873"/>
      <c r="P115" s="873"/>
      <c r="Q115" s="873"/>
      <c r="R115" s="873"/>
      <c r="S115" s="873"/>
      <c r="T115" s="873"/>
      <c r="U115" s="873"/>
      <c r="V115" s="873"/>
      <c r="W115" s="873"/>
      <c r="X115" s="873"/>
      <c r="Y115" s="873"/>
      <c r="Z115" s="873"/>
      <c r="AA115" s="873"/>
      <c r="AB115" s="873"/>
      <c r="AC115" s="873"/>
      <c r="AD115" s="873"/>
      <c r="AE115" s="873"/>
      <c r="AF115" s="873"/>
      <c r="AG115" s="873"/>
      <c r="AH115" s="873"/>
      <c r="AI115" s="873"/>
      <c r="AJ115" s="873"/>
      <c r="AK115" s="873"/>
      <c r="AL115" s="873"/>
      <c r="AM115" s="873"/>
      <c r="AN115" s="873"/>
      <c r="AO115" s="873"/>
      <c r="AP115" s="873"/>
      <c r="AQ115" s="873"/>
      <c r="AR115" s="873"/>
    </row>
    <row r="116" spans="1:44">
      <c r="A116" s="873"/>
      <c r="B116" s="873"/>
      <c r="C116" s="873"/>
      <c r="D116" s="873"/>
      <c r="E116" s="873"/>
      <c r="F116" s="873"/>
      <c r="G116" s="1" t="str">
        <f t="shared" si="33"/>
        <v>Custo Específico</v>
      </c>
      <c r="L116" s="873"/>
      <c r="N116" s="873"/>
      <c r="O116" s="873"/>
      <c r="P116" s="873"/>
      <c r="Q116" s="873"/>
      <c r="R116" s="873"/>
      <c r="S116" s="873"/>
      <c r="T116" s="873"/>
      <c r="U116" s="873"/>
      <c r="V116" s="873"/>
      <c r="W116" s="873"/>
      <c r="X116" s="873"/>
      <c r="Y116" s="873"/>
      <c r="Z116" s="873"/>
      <c r="AA116" s="873"/>
      <c r="AB116" s="873"/>
      <c r="AC116" s="873"/>
      <c r="AD116" s="873"/>
      <c r="AE116" s="873"/>
      <c r="AF116" s="873"/>
      <c r="AG116" s="873"/>
      <c r="AH116" s="873"/>
      <c r="AI116" s="873"/>
      <c r="AJ116" s="873"/>
      <c r="AK116" s="873"/>
      <c r="AL116" s="873"/>
      <c r="AM116" s="873"/>
      <c r="AN116" s="873"/>
      <c r="AO116" s="873"/>
      <c r="AP116" s="873"/>
      <c r="AQ116" s="873"/>
      <c r="AR116" s="873"/>
    </row>
    <row r="117" spans="1:44">
      <c r="A117" s="873"/>
      <c r="B117" s="873"/>
      <c r="C117" s="873"/>
      <c r="D117" s="873"/>
      <c r="E117" s="873"/>
      <c r="F117" s="873"/>
      <c r="G117" s="1" t="str">
        <f t="shared" si="33"/>
        <v>Custo Específico</v>
      </c>
      <c r="L117" s="873"/>
      <c r="N117" s="873"/>
      <c r="O117" s="873"/>
      <c r="P117" s="873"/>
      <c r="Q117" s="873"/>
      <c r="R117" s="873"/>
      <c r="S117" s="873"/>
      <c r="T117" s="873"/>
      <c r="U117" s="873"/>
      <c r="V117" s="873"/>
      <c r="W117" s="873"/>
      <c r="X117" s="873"/>
      <c r="Y117" s="873"/>
      <c r="Z117" s="873"/>
      <c r="AA117" s="873"/>
      <c r="AB117" s="873"/>
      <c r="AC117" s="873"/>
      <c r="AD117" s="873"/>
      <c r="AE117" s="873"/>
      <c r="AF117" s="873"/>
      <c r="AG117" s="873"/>
      <c r="AH117" s="873"/>
      <c r="AI117" s="873"/>
      <c r="AJ117" s="873"/>
      <c r="AK117" s="873"/>
      <c r="AL117" s="873"/>
      <c r="AM117" s="873"/>
      <c r="AN117" s="873"/>
      <c r="AO117" s="873"/>
      <c r="AP117" s="873"/>
      <c r="AQ117" s="873"/>
      <c r="AR117" s="873"/>
    </row>
    <row r="118" spans="1:44">
      <c r="A118" s="873"/>
      <c r="B118" s="873"/>
      <c r="C118" s="873"/>
      <c r="D118" s="873"/>
      <c r="E118" s="873"/>
      <c r="F118" s="873"/>
      <c r="G118" s="1" t="str">
        <f t="shared" si="33"/>
        <v>Custo Específico</v>
      </c>
      <c r="L118" s="873"/>
      <c r="N118" s="873"/>
      <c r="O118" s="873"/>
      <c r="P118" s="873"/>
      <c r="Q118" s="873"/>
      <c r="R118" s="873"/>
      <c r="S118" s="873"/>
      <c r="T118" s="873"/>
      <c r="U118" s="873"/>
      <c r="V118" s="873"/>
      <c r="W118" s="873"/>
      <c r="X118" s="873"/>
      <c r="Y118" s="873"/>
      <c r="Z118" s="873"/>
      <c r="AA118" s="873"/>
      <c r="AB118" s="873"/>
      <c r="AC118" s="873"/>
      <c r="AD118" s="873"/>
      <c r="AE118" s="873"/>
      <c r="AF118" s="873"/>
      <c r="AG118" s="873"/>
      <c r="AH118" s="873"/>
      <c r="AI118" s="873"/>
      <c r="AJ118" s="873"/>
      <c r="AK118" s="873"/>
      <c r="AL118" s="873"/>
      <c r="AM118" s="873"/>
      <c r="AN118" s="873"/>
      <c r="AO118" s="873"/>
      <c r="AP118" s="873"/>
      <c r="AQ118" s="873"/>
      <c r="AR118" s="873"/>
    </row>
    <row r="119" spans="1:44">
      <c r="A119" s="873"/>
      <c r="B119" s="873"/>
      <c r="C119" s="873"/>
      <c r="D119" s="873"/>
      <c r="E119" s="873"/>
      <c r="F119" s="873"/>
      <c r="G119" s="1" t="str">
        <f t="shared" si="33"/>
        <v>Custo Específico</v>
      </c>
      <c r="L119" s="873"/>
      <c r="N119" s="873"/>
      <c r="O119" s="873"/>
      <c r="P119" s="873"/>
      <c r="Q119" s="873"/>
      <c r="R119" s="873"/>
      <c r="S119" s="873"/>
      <c r="T119" s="873"/>
      <c r="U119" s="873"/>
      <c r="V119" s="873"/>
      <c r="W119" s="873"/>
      <c r="X119" s="873"/>
      <c r="Y119" s="873"/>
      <c r="Z119" s="873"/>
      <c r="AA119" s="873"/>
      <c r="AB119" s="873"/>
      <c r="AC119" s="873"/>
      <c r="AD119" s="873"/>
      <c r="AE119" s="873"/>
      <c r="AF119" s="873"/>
      <c r="AG119" s="873"/>
      <c r="AH119" s="873"/>
      <c r="AI119" s="873"/>
      <c r="AJ119" s="873"/>
      <c r="AK119" s="873"/>
      <c r="AL119" s="873"/>
      <c r="AM119" s="873"/>
      <c r="AN119" s="873"/>
      <c r="AO119" s="873"/>
      <c r="AP119" s="873"/>
      <c r="AQ119" s="873"/>
      <c r="AR119" s="873"/>
    </row>
    <row r="120" spans="1:44">
      <c r="A120" s="873"/>
      <c r="B120" s="873"/>
      <c r="C120" s="873"/>
      <c r="D120" s="873"/>
      <c r="E120" s="873"/>
      <c r="F120" s="873"/>
      <c r="G120" s="1" t="str">
        <f t="shared" si="33"/>
        <v>Custo Específico</v>
      </c>
      <c r="H120" s="873"/>
      <c r="I120" s="873"/>
      <c r="J120" s="873"/>
      <c r="K120" s="873"/>
      <c r="L120" s="873"/>
      <c r="M120" s="873"/>
      <c r="N120" s="873"/>
      <c r="O120" s="873"/>
      <c r="P120" s="873"/>
      <c r="Q120" s="873"/>
      <c r="R120" s="873"/>
      <c r="S120" s="873"/>
      <c r="T120" s="873"/>
      <c r="U120" s="873"/>
      <c r="V120" s="873"/>
      <c r="W120" s="873"/>
      <c r="X120" s="873"/>
      <c r="Y120" s="873"/>
      <c r="Z120" s="873"/>
      <c r="AA120" s="873"/>
      <c r="AB120" s="873"/>
      <c r="AC120" s="873"/>
      <c r="AD120" s="873"/>
      <c r="AE120" s="873"/>
      <c r="AF120" s="873"/>
      <c r="AG120" s="873"/>
      <c r="AH120" s="873"/>
      <c r="AI120" s="873"/>
      <c r="AJ120" s="873"/>
      <c r="AK120" s="873"/>
      <c r="AL120" s="873"/>
      <c r="AM120" s="873"/>
      <c r="AN120" s="873"/>
      <c r="AO120" s="873"/>
      <c r="AP120" s="873"/>
      <c r="AQ120" s="873"/>
      <c r="AR120" s="873"/>
    </row>
    <row r="121" spans="1:44">
      <c r="A121" s="873"/>
      <c r="B121" s="873"/>
      <c r="C121" s="873"/>
      <c r="D121" s="873"/>
      <c r="E121" s="873"/>
      <c r="F121" s="873"/>
      <c r="G121" s="1" t="str">
        <f t="shared" si="33"/>
        <v>Custo Específico</v>
      </c>
      <c r="H121" s="873"/>
      <c r="I121" s="873"/>
      <c r="J121" s="873"/>
      <c r="K121" s="873"/>
      <c r="L121" s="873"/>
      <c r="M121" s="873"/>
      <c r="N121" s="873"/>
      <c r="O121" s="873"/>
      <c r="P121" s="873"/>
      <c r="Q121" s="873"/>
      <c r="R121" s="873"/>
      <c r="S121" s="873"/>
      <c r="T121" s="873"/>
      <c r="U121" s="873"/>
      <c r="V121" s="873"/>
      <c r="W121" s="873"/>
      <c r="X121" s="873"/>
      <c r="Y121" s="873"/>
      <c r="Z121" s="873"/>
      <c r="AA121" s="873"/>
      <c r="AB121" s="873"/>
      <c r="AC121" s="873"/>
      <c r="AD121" s="873"/>
      <c r="AE121" s="873"/>
      <c r="AF121" s="873"/>
      <c r="AG121" s="873"/>
      <c r="AH121" s="873"/>
      <c r="AI121" s="873"/>
      <c r="AJ121" s="873"/>
      <c r="AK121" s="873"/>
      <c r="AL121" s="873"/>
      <c r="AM121" s="873"/>
      <c r="AN121" s="873"/>
      <c r="AO121" s="873"/>
      <c r="AP121" s="873"/>
      <c r="AQ121" s="873"/>
      <c r="AR121" s="873"/>
    </row>
    <row r="122" spans="1:44">
      <c r="A122" s="873"/>
      <c r="B122" s="873"/>
      <c r="C122" s="873"/>
      <c r="D122" s="873"/>
      <c r="E122" s="873"/>
      <c r="F122" s="873"/>
      <c r="G122" s="1" t="str">
        <f t="shared" si="33"/>
        <v>Custo Específico</v>
      </c>
      <c r="H122" s="873"/>
      <c r="I122" s="873"/>
      <c r="J122" s="873"/>
      <c r="K122" s="873"/>
      <c r="L122" s="873"/>
      <c r="M122" s="873"/>
      <c r="N122" s="873"/>
      <c r="O122" s="873"/>
      <c r="P122" s="873"/>
      <c r="Q122" s="873"/>
      <c r="R122" s="873"/>
      <c r="S122" s="873"/>
      <c r="T122" s="873"/>
      <c r="U122" s="873"/>
      <c r="V122" s="873"/>
      <c r="W122" s="873"/>
      <c r="X122" s="873"/>
      <c r="Y122" s="873"/>
      <c r="Z122" s="873"/>
      <c r="AA122" s="873"/>
      <c r="AB122" s="873"/>
      <c r="AC122" s="873"/>
      <c r="AD122" s="873"/>
      <c r="AE122" s="873"/>
      <c r="AF122" s="873"/>
      <c r="AG122" s="873"/>
      <c r="AH122" s="873"/>
      <c r="AI122" s="873"/>
      <c r="AJ122" s="873"/>
      <c r="AK122" s="873"/>
      <c r="AL122" s="873"/>
      <c r="AM122" s="873"/>
      <c r="AN122" s="873"/>
      <c r="AO122" s="873"/>
      <c r="AP122" s="873"/>
      <c r="AQ122" s="873"/>
      <c r="AR122" s="873"/>
    </row>
    <row r="123" spans="1:44">
      <c r="A123" s="873"/>
      <c r="B123" s="873"/>
      <c r="C123" s="873"/>
      <c r="D123" s="873"/>
      <c r="E123" s="873"/>
      <c r="F123" s="873"/>
      <c r="G123" s="1" t="str">
        <f t="shared" si="33"/>
        <v>Custo Específico</v>
      </c>
      <c r="H123" s="873"/>
      <c r="I123" s="873"/>
      <c r="J123" s="873"/>
      <c r="K123" s="873"/>
      <c r="L123" s="873"/>
      <c r="M123" s="873"/>
      <c r="N123" s="873"/>
      <c r="O123" s="873"/>
      <c r="P123" s="873"/>
      <c r="Q123" s="873"/>
      <c r="R123" s="873"/>
      <c r="S123" s="873"/>
      <c r="T123" s="873"/>
      <c r="U123" s="873"/>
      <c r="V123" s="873"/>
      <c r="W123" s="873"/>
      <c r="X123" s="873"/>
      <c r="Y123" s="873"/>
      <c r="Z123" s="873"/>
      <c r="AA123" s="873"/>
      <c r="AB123" s="873"/>
      <c r="AC123" s="873"/>
      <c r="AD123" s="873"/>
      <c r="AE123" s="873"/>
      <c r="AF123" s="873"/>
      <c r="AG123" s="873"/>
      <c r="AH123" s="873"/>
      <c r="AI123" s="873"/>
      <c r="AJ123" s="873"/>
      <c r="AK123" s="873"/>
      <c r="AL123" s="873"/>
      <c r="AM123" s="873"/>
      <c r="AN123" s="873"/>
      <c r="AO123" s="873"/>
      <c r="AP123" s="873"/>
      <c r="AQ123" s="873"/>
      <c r="AR123" s="873"/>
    </row>
    <row r="124" spans="1:44">
      <c r="A124" s="873"/>
      <c r="B124" s="873"/>
      <c r="C124" s="873"/>
      <c r="D124" s="873"/>
      <c r="E124" s="873"/>
      <c r="F124" s="873"/>
      <c r="G124" s="1" t="str">
        <f t="shared" si="33"/>
        <v>Custo Específico</v>
      </c>
      <c r="H124" s="873"/>
      <c r="I124" s="873"/>
      <c r="J124" s="873"/>
      <c r="K124" s="873"/>
      <c r="L124" s="873"/>
      <c r="M124" s="873"/>
      <c r="N124" s="873"/>
      <c r="O124" s="873"/>
      <c r="P124" s="873"/>
      <c r="Q124" s="873"/>
      <c r="R124" s="873"/>
      <c r="S124" s="873"/>
      <c r="T124" s="873"/>
      <c r="U124" s="873"/>
      <c r="V124" s="873"/>
      <c r="W124" s="873"/>
      <c r="X124" s="873"/>
      <c r="Y124" s="873"/>
      <c r="Z124" s="873"/>
      <c r="AA124" s="873"/>
      <c r="AB124" s="873"/>
      <c r="AC124" s="873"/>
      <c r="AD124" s="873"/>
      <c r="AE124" s="873"/>
      <c r="AF124" s="873"/>
      <c r="AG124" s="873"/>
      <c r="AH124" s="873"/>
      <c r="AI124" s="873"/>
      <c r="AJ124" s="873"/>
      <c r="AK124" s="873"/>
      <c r="AL124" s="873"/>
      <c r="AM124" s="873"/>
      <c r="AN124" s="873"/>
      <c r="AO124" s="873"/>
      <c r="AP124" s="873"/>
      <c r="AQ124" s="873"/>
      <c r="AR124" s="873"/>
    </row>
    <row r="125" spans="1:44">
      <c r="A125" s="873"/>
      <c r="B125" s="873"/>
      <c r="C125" s="873"/>
      <c r="D125" s="873"/>
      <c r="E125" s="873"/>
      <c r="F125" s="873"/>
      <c r="G125" s="1" t="str">
        <f t="shared" si="33"/>
        <v>Custo Específico</v>
      </c>
      <c r="H125" s="873"/>
      <c r="I125" s="873"/>
      <c r="J125" s="873"/>
      <c r="K125" s="873"/>
      <c r="L125" s="873"/>
      <c r="M125" s="873"/>
      <c r="N125" s="873"/>
      <c r="O125" s="873"/>
      <c r="P125" s="873"/>
      <c r="Q125" s="873"/>
      <c r="R125" s="873"/>
      <c r="S125" s="873"/>
      <c r="T125" s="873"/>
      <c r="U125" s="873"/>
      <c r="V125" s="873"/>
      <c r="W125" s="873"/>
      <c r="X125" s="873"/>
      <c r="Y125" s="873"/>
      <c r="Z125" s="873"/>
      <c r="AA125" s="873"/>
      <c r="AB125" s="873"/>
      <c r="AC125" s="873"/>
      <c r="AD125" s="873"/>
      <c r="AE125" s="873"/>
      <c r="AF125" s="873"/>
      <c r="AG125" s="873"/>
      <c r="AH125" s="873"/>
      <c r="AI125" s="873"/>
      <c r="AJ125" s="873"/>
      <c r="AK125" s="873"/>
      <c r="AL125" s="873"/>
      <c r="AM125" s="873"/>
      <c r="AN125" s="873"/>
      <c r="AO125" s="873"/>
      <c r="AP125" s="873"/>
      <c r="AQ125" s="873"/>
      <c r="AR125" s="873"/>
    </row>
    <row r="126" spans="1:44">
      <c r="A126" s="873"/>
      <c r="B126" s="873"/>
      <c r="C126" s="873"/>
      <c r="D126" s="873"/>
      <c r="E126" s="873"/>
      <c r="F126" s="873"/>
      <c r="G126" s="1" t="str">
        <f t="shared" si="33"/>
        <v>Custo Específico</v>
      </c>
      <c r="H126" s="873"/>
      <c r="I126" s="873"/>
      <c r="J126" s="873"/>
      <c r="K126" s="873"/>
      <c r="L126" s="873"/>
      <c r="M126" s="873"/>
      <c r="N126" s="873"/>
      <c r="O126" s="873"/>
      <c r="P126" s="873"/>
      <c r="Q126" s="873"/>
      <c r="R126" s="873"/>
      <c r="S126" s="873"/>
      <c r="T126" s="873"/>
      <c r="U126" s="873"/>
      <c r="V126" s="873"/>
      <c r="W126" s="873"/>
      <c r="X126" s="873"/>
      <c r="Y126" s="873"/>
      <c r="Z126" s="873"/>
      <c r="AA126" s="873"/>
      <c r="AB126" s="873"/>
      <c r="AC126" s="873"/>
      <c r="AD126" s="873"/>
      <c r="AE126" s="873"/>
      <c r="AF126" s="873"/>
      <c r="AG126" s="873"/>
      <c r="AH126" s="873"/>
      <c r="AI126" s="873"/>
      <c r="AJ126" s="873"/>
      <c r="AK126" s="873"/>
      <c r="AL126" s="873"/>
      <c r="AM126" s="873"/>
      <c r="AN126" s="873"/>
      <c r="AO126" s="873"/>
      <c r="AP126" s="873"/>
      <c r="AQ126" s="873"/>
      <c r="AR126" s="873"/>
    </row>
    <row r="127" spans="1:44">
      <c r="A127" s="873"/>
      <c r="B127" s="873"/>
      <c r="C127" s="873"/>
      <c r="D127" s="873"/>
      <c r="E127" s="873"/>
      <c r="F127" s="873"/>
      <c r="G127" s="1" t="str">
        <f t="shared" si="33"/>
        <v>Custo Específico</v>
      </c>
      <c r="H127" s="873"/>
      <c r="I127" s="873"/>
      <c r="J127" s="873"/>
      <c r="K127" s="873"/>
      <c r="L127" s="873"/>
      <c r="M127" s="873"/>
      <c r="N127" s="873"/>
      <c r="O127" s="873"/>
      <c r="P127" s="873"/>
      <c r="Q127" s="873"/>
      <c r="R127" s="873"/>
      <c r="S127" s="873"/>
      <c r="T127" s="873"/>
      <c r="U127" s="873"/>
      <c r="V127" s="873"/>
      <c r="W127" s="873"/>
      <c r="X127" s="873"/>
      <c r="Y127" s="873"/>
      <c r="Z127" s="873"/>
      <c r="AA127" s="873"/>
      <c r="AB127" s="873"/>
      <c r="AC127" s="873"/>
      <c r="AD127" s="873"/>
      <c r="AE127" s="873"/>
      <c r="AF127" s="873"/>
      <c r="AG127" s="873"/>
      <c r="AH127" s="873"/>
      <c r="AI127" s="873"/>
      <c r="AJ127" s="873"/>
      <c r="AK127" s="873"/>
      <c r="AL127" s="873"/>
      <c r="AM127" s="873"/>
      <c r="AN127" s="873"/>
      <c r="AO127" s="873"/>
      <c r="AP127" s="873"/>
      <c r="AQ127" s="873"/>
      <c r="AR127" s="873"/>
    </row>
    <row r="128" spans="1:44">
      <c r="A128" s="873"/>
      <c r="B128" s="873"/>
      <c r="C128" s="873"/>
      <c r="D128" s="873"/>
      <c r="E128" s="873"/>
      <c r="F128" s="873"/>
      <c r="G128" s="1" t="str">
        <f t="shared" si="33"/>
        <v>Custo Específico</v>
      </c>
      <c r="H128" s="873"/>
      <c r="I128" s="873"/>
      <c r="J128" s="873"/>
      <c r="K128" s="873"/>
      <c r="L128" s="873"/>
      <c r="M128" s="873"/>
      <c r="N128" s="873"/>
      <c r="O128" s="873"/>
      <c r="P128" s="873"/>
      <c r="Q128" s="873"/>
      <c r="R128" s="873"/>
      <c r="S128" s="873"/>
      <c r="T128" s="873"/>
      <c r="U128" s="873"/>
      <c r="V128" s="873"/>
      <c r="W128" s="873"/>
      <c r="X128" s="873"/>
      <c r="Y128" s="873"/>
      <c r="Z128" s="873"/>
      <c r="AA128" s="873"/>
      <c r="AB128" s="873"/>
      <c r="AC128" s="873"/>
      <c r="AD128" s="873"/>
      <c r="AE128" s="873"/>
      <c r="AF128" s="873"/>
      <c r="AG128" s="873"/>
      <c r="AH128" s="873"/>
      <c r="AI128" s="873"/>
      <c r="AJ128" s="873"/>
      <c r="AK128" s="873"/>
      <c r="AL128" s="873"/>
      <c r="AM128" s="873"/>
      <c r="AN128" s="873"/>
      <c r="AO128" s="873"/>
      <c r="AP128" s="873"/>
      <c r="AQ128" s="873"/>
      <c r="AR128" s="873"/>
    </row>
    <row r="129" spans="1:44">
      <c r="A129" s="873"/>
      <c r="B129" s="873"/>
      <c r="C129" s="873"/>
      <c r="D129" s="873"/>
      <c r="E129" s="873"/>
      <c r="F129" s="873"/>
      <c r="G129" s="1" t="str">
        <f t="shared" si="33"/>
        <v>Custo Específico</v>
      </c>
      <c r="H129" s="873"/>
      <c r="I129" s="873"/>
      <c r="J129" s="873"/>
      <c r="K129" s="873"/>
      <c r="L129" s="873"/>
      <c r="M129" s="873"/>
      <c r="N129" s="873"/>
      <c r="O129" s="873"/>
      <c r="P129" s="873"/>
      <c r="Q129" s="873"/>
      <c r="R129" s="873"/>
      <c r="S129" s="873"/>
      <c r="T129" s="873"/>
      <c r="U129" s="873"/>
      <c r="V129" s="873"/>
      <c r="W129" s="873"/>
      <c r="X129" s="873"/>
      <c r="Y129" s="873"/>
      <c r="Z129" s="873"/>
      <c r="AA129" s="873"/>
      <c r="AB129" s="873"/>
      <c r="AC129" s="873"/>
      <c r="AD129" s="873"/>
      <c r="AE129" s="873"/>
      <c r="AF129" s="873"/>
      <c r="AG129" s="873"/>
      <c r="AH129" s="873"/>
      <c r="AI129" s="873"/>
      <c r="AJ129" s="873"/>
      <c r="AK129" s="873"/>
      <c r="AL129" s="873"/>
      <c r="AM129" s="873"/>
      <c r="AN129" s="873"/>
      <c r="AO129" s="873"/>
      <c r="AP129" s="873"/>
      <c r="AQ129" s="873"/>
      <c r="AR129" s="873"/>
    </row>
    <row r="130" spans="1:44">
      <c r="A130" s="873"/>
      <c r="B130" s="873"/>
      <c r="C130" s="873"/>
      <c r="D130" s="873"/>
      <c r="E130" s="873"/>
      <c r="F130" s="873"/>
      <c r="G130" s="1" t="s">
        <v>354</v>
      </c>
      <c r="L130" s="873"/>
      <c r="N130" s="873"/>
      <c r="O130" s="873"/>
      <c r="P130" s="873"/>
      <c r="Q130" s="873"/>
      <c r="R130" s="873"/>
      <c r="S130" s="873"/>
      <c r="T130" s="873"/>
      <c r="U130" s="873"/>
      <c r="V130" s="873"/>
      <c r="W130" s="873"/>
      <c r="X130" s="873"/>
      <c r="Y130" s="873"/>
      <c r="Z130" s="873"/>
      <c r="AA130" s="873"/>
      <c r="AB130" s="873"/>
      <c r="AC130" s="873"/>
      <c r="AD130" s="873"/>
      <c r="AE130" s="873"/>
      <c r="AF130" s="873"/>
      <c r="AG130" s="873"/>
      <c r="AH130" s="873"/>
      <c r="AI130" s="873"/>
      <c r="AJ130" s="873"/>
      <c r="AK130" s="873"/>
      <c r="AL130" s="873"/>
      <c r="AM130" s="873"/>
      <c r="AN130" s="873"/>
      <c r="AO130" s="873"/>
      <c r="AP130" s="873"/>
      <c r="AQ130" s="873"/>
      <c r="AR130" s="873"/>
    </row>
    <row r="131" spans="1:44">
      <c r="A131" s="873"/>
      <c r="B131" s="873"/>
      <c r="C131" s="873"/>
      <c r="D131" s="873"/>
      <c r="E131" s="873"/>
      <c r="F131" s="873"/>
      <c r="G131" s="1" t="str">
        <f t="shared" ref="G131:G146" si="34">G130</f>
        <v>Ácido</v>
      </c>
      <c r="L131" s="873"/>
      <c r="N131" s="873"/>
      <c r="O131" s="873"/>
      <c r="P131" s="873"/>
      <c r="Q131" s="873"/>
      <c r="R131" s="873"/>
      <c r="S131" s="873"/>
      <c r="T131" s="873"/>
      <c r="U131" s="873"/>
      <c r="V131" s="873"/>
      <c r="W131" s="873"/>
      <c r="X131" s="873"/>
      <c r="Y131" s="873"/>
      <c r="Z131" s="873"/>
      <c r="AA131" s="873"/>
      <c r="AB131" s="873"/>
      <c r="AC131" s="873"/>
      <c r="AD131" s="873"/>
      <c r="AE131" s="873"/>
      <c r="AF131" s="873"/>
      <c r="AG131" s="873"/>
      <c r="AH131" s="873"/>
      <c r="AI131" s="873"/>
      <c r="AJ131" s="873"/>
      <c r="AK131" s="873"/>
      <c r="AL131" s="873"/>
      <c r="AM131" s="873"/>
      <c r="AN131" s="873"/>
      <c r="AO131" s="873"/>
      <c r="AP131" s="873"/>
      <c r="AQ131" s="873"/>
      <c r="AR131" s="873"/>
    </row>
    <row r="132" spans="1:44">
      <c r="A132" s="873"/>
      <c r="B132" s="873"/>
      <c r="C132" s="873"/>
      <c r="D132" s="873"/>
      <c r="E132" s="873"/>
      <c r="F132" s="873"/>
      <c r="G132" s="1" t="str">
        <f t="shared" si="34"/>
        <v>Ácido</v>
      </c>
      <c r="L132" s="873"/>
      <c r="N132" s="873"/>
      <c r="O132" s="873"/>
      <c r="P132" s="873"/>
      <c r="Q132" s="873"/>
      <c r="R132" s="873"/>
      <c r="S132" s="873"/>
      <c r="T132" s="873"/>
      <c r="U132" s="873"/>
      <c r="V132" s="873"/>
      <c r="W132" s="873"/>
      <c r="X132" s="873"/>
      <c r="Y132" s="873"/>
      <c r="Z132" s="873"/>
      <c r="AA132" s="873"/>
      <c r="AB132" s="873"/>
      <c r="AC132" s="873"/>
      <c r="AD132" s="873"/>
      <c r="AE132" s="873"/>
      <c r="AF132" s="873"/>
      <c r="AG132" s="873"/>
      <c r="AH132" s="873"/>
      <c r="AI132" s="873"/>
      <c r="AJ132" s="873"/>
      <c r="AK132" s="873"/>
      <c r="AL132" s="873"/>
      <c r="AM132" s="873"/>
      <c r="AN132" s="873"/>
      <c r="AO132" s="873"/>
      <c r="AP132" s="873"/>
      <c r="AQ132" s="873"/>
      <c r="AR132" s="873"/>
    </row>
    <row r="133" spans="1:44">
      <c r="A133" s="873"/>
      <c r="B133" s="873"/>
      <c r="C133" s="873"/>
      <c r="D133" s="873"/>
      <c r="E133" s="873"/>
      <c r="F133" s="873"/>
      <c r="G133" s="1" t="str">
        <f t="shared" si="34"/>
        <v>Ácido</v>
      </c>
      <c r="L133" s="873"/>
      <c r="N133" s="873"/>
      <c r="O133" s="873"/>
      <c r="P133" s="873"/>
      <c r="Q133" s="873"/>
      <c r="R133" s="873"/>
      <c r="S133" s="873"/>
      <c r="T133" s="873"/>
      <c r="U133" s="873"/>
      <c r="V133" s="873"/>
      <c r="W133" s="873"/>
      <c r="X133" s="873"/>
      <c r="Y133" s="873"/>
      <c r="Z133" s="873"/>
      <c r="AA133" s="873"/>
      <c r="AB133" s="873"/>
      <c r="AC133" s="873"/>
      <c r="AD133" s="873"/>
      <c r="AE133" s="873"/>
      <c r="AF133" s="873"/>
      <c r="AG133" s="873"/>
      <c r="AH133" s="873"/>
      <c r="AI133" s="873"/>
      <c r="AJ133" s="873"/>
      <c r="AK133" s="873"/>
      <c r="AL133" s="873"/>
      <c r="AM133" s="873"/>
      <c r="AN133" s="873"/>
      <c r="AO133" s="873"/>
      <c r="AP133" s="873"/>
      <c r="AQ133" s="873"/>
      <c r="AR133" s="873"/>
    </row>
    <row r="134" spans="1:44">
      <c r="A134" s="873"/>
      <c r="B134" s="873"/>
      <c r="C134" s="873"/>
      <c r="D134" s="873"/>
      <c r="E134" s="873"/>
      <c r="F134" s="873"/>
      <c r="G134" s="1" t="str">
        <f t="shared" si="34"/>
        <v>Ácido</v>
      </c>
      <c r="L134" s="873"/>
      <c r="N134" s="873"/>
      <c r="O134" s="873"/>
      <c r="P134" s="873"/>
      <c r="Q134" s="873"/>
      <c r="R134" s="873"/>
      <c r="S134" s="873"/>
      <c r="T134" s="873"/>
      <c r="U134" s="873"/>
      <c r="V134" s="873"/>
      <c r="W134" s="873"/>
      <c r="X134" s="873"/>
      <c r="Y134" s="873"/>
      <c r="Z134" s="873"/>
      <c r="AA134" s="873"/>
      <c r="AB134" s="873"/>
      <c r="AC134" s="873"/>
      <c r="AD134" s="873"/>
      <c r="AE134" s="873"/>
      <c r="AF134" s="873"/>
      <c r="AG134" s="873"/>
      <c r="AH134" s="873"/>
      <c r="AI134" s="873"/>
      <c r="AJ134" s="873"/>
      <c r="AK134" s="873"/>
      <c r="AL134" s="873"/>
      <c r="AM134" s="873"/>
      <c r="AN134" s="873"/>
      <c r="AO134" s="873"/>
      <c r="AP134" s="873"/>
      <c r="AQ134" s="873"/>
      <c r="AR134" s="873"/>
    </row>
    <row r="135" spans="1:44">
      <c r="A135" s="873"/>
      <c r="B135" s="873"/>
      <c r="C135" s="873"/>
      <c r="D135" s="873"/>
      <c r="E135" s="873"/>
      <c r="F135" s="873"/>
      <c r="G135" s="1" t="str">
        <f t="shared" si="34"/>
        <v>Ácido</v>
      </c>
      <c r="L135" s="873"/>
      <c r="N135" s="873"/>
      <c r="O135" s="873"/>
      <c r="P135" s="873"/>
      <c r="Q135" s="873"/>
      <c r="R135" s="873"/>
      <c r="S135" s="873"/>
      <c r="T135" s="873"/>
      <c r="U135" s="873"/>
      <c r="V135" s="873"/>
      <c r="W135" s="873"/>
      <c r="X135" s="873"/>
      <c r="Y135" s="873"/>
      <c r="Z135" s="873"/>
      <c r="AA135" s="873"/>
      <c r="AB135" s="873"/>
      <c r="AC135" s="873"/>
      <c r="AD135" s="873"/>
      <c r="AE135" s="873"/>
      <c r="AF135" s="873"/>
      <c r="AG135" s="873"/>
      <c r="AH135" s="873"/>
      <c r="AI135" s="873"/>
      <c r="AJ135" s="873"/>
      <c r="AK135" s="873"/>
      <c r="AL135" s="873"/>
      <c r="AM135" s="873"/>
      <c r="AN135" s="873"/>
      <c r="AO135" s="873"/>
      <c r="AP135" s="873"/>
      <c r="AQ135" s="873"/>
      <c r="AR135" s="873"/>
    </row>
    <row r="136" spans="1:44">
      <c r="A136" s="873"/>
      <c r="B136" s="873"/>
      <c r="C136" s="873"/>
      <c r="D136" s="873"/>
      <c r="E136" s="873"/>
      <c r="F136" s="873"/>
      <c r="G136" s="1" t="str">
        <f t="shared" si="34"/>
        <v>Ácido</v>
      </c>
      <c r="L136" s="873"/>
      <c r="N136" s="873"/>
      <c r="O136" s="873"/>
      <c r="P136" s="873"/>
      <c r="Q136" s="873"/>
      <c r="R136" s="873"/>
      <c r="S136" s="873"/>
      <c r="T136" s="873"/>
      <c r="U136" s="873"/>
      <c r="V136" s="873"/>
      <c r="W136" s="873"/>
      <c r="X136" s="873"/>
      <c r="Y136" s="873"/>
      <c r="Z136" s="873"/>
      <c r="AA136" s="873"/>
      <c r="AB136" s="873"/>
      <c r="AC136" s="873"/>
      <c r="AD136" s="873"/>
      <c r="AE136" s="873"/>
      <c r="AF136" s="873"/>
      <c r="AG136" s="873"/>
      <c r="AH136" s="873"/>
      <c r="AI136" s="873"/>
      <c r="AJ136" s="873"/>
      <c r="AK136" s="873"/>
      <c r="AL136" s="873"/>
      <c r="AM136" s="873"/>
      <c r="AN136" s="873"/>
      <c r="AO136" s="873"/>
      <c r="AP136" s="873"/>
      <c r="AQ136" s="873"/>
      <c r="AR136" s="873"/>
    </row>
    <row r="137" spans="1:44">
      <c r="A137" s="873"/>
      <c r="B137" s="873"/>
      <c r="C137" s="873"/>
      <c r="D137" s="873"/>
      <c r="E137" s="873"/>
      <c r="F137" s="873"/>
      <c r="G137" s="1" t="str">
        <f t="shared" si="34"/>
        <v>Ácido</v>
      </c>
      <c r="H137" s="873"/>
      <c r="I137" s="873"/>
      <c r="J137" s="873"/>
      <c r="K137" s="873"/>
      <c r="L137" s="873"/>
      <c r="M137" s="873"/>
      <c r="N137" s="873"/>
      <c r="O137" s="873"/>
      <c r="P137" s="873"/>
      <c r="Q137" s="873"/>
      <c r="R137" s="873"/>
      <c r="S137" s="873"/>
      <c r="T137" s="873"/>
      <c r="U137" s="873"/>
      <c r="V137" s="873"/>
      <c r="W137" s="873"/>
      <c r="X137" s="873"/>
      <c r="Y137" s="873"/>
      <c r="Z137" s="873"/>
      <c r="AA137" s="873"/>
      <c r="AB137" s="873"/>
      <c r="AC137" s="873"/>
      <c r="AD137" s="873"/>
      <c r="AE137" s="873"/>
      <c r="AF137" s="873"/>
      <c r="AG137" s="873"/>
      <c r="AH137" s="873"/>
      <c r="AI137" s="873"/>
      <c r="AJ137" s="873"/>
      <c r="AK137" s="873"/>
      <c r="AL137" s="873"/>
      <c r="AM137" s="873"/>
      <c r="AN137" s="873"/>
      <c r="AO137" s="873"/>
      <c r="AP137" s="873"/>
      <c r="AQ137" s="873"/>
      <c r="AR137" s="873"/>
    </row>
    <row r="138" spans="1:44">
      <c r="A138" s="873"/>
      <c r="B138" s="873"/>
      <c r="C138" s="873"/>
      <c r="D138" s="873"/>
      <c r="E138" s="873"/>
      <c r="F138" s="873"/>
      <c r="G138" s="1" t="str">
        <f t="shared" si="34"/>
        <v>Ácido</v>
      </c>
      <c r="H138" s="873"/>
      <c r="I138" s="873"/>
      <c r="J138" s="873"/>
      <c r="K138" s="873"/>
      <c r="L138" s="873"/>
      <c r="M138" s="873"/>
      <c r="N138" s="873"/>
      <c r="O138" s="873"/>
      <c r="P138" s="873"/>
      <c r="Q138" s="873"/>
      <c r="R138" s="873"/>
      <c r="S138" s="873"/>
      <c r="T138" s="873"/>
      <c r="U138" s="873"/>
      <c r="V138" s="873"/>
      <c r="W138" s="873"/>
      <c r="X138" s="873"/>
      <c r="Y138" s="873"/>
      <c r="Z138" s="873"/>
      <c r="AA138" s="873"/>
      <c r="AB138" s="873"/>
      <c r="AC138" s="873"/>
      <c r="AD138" s="873"/>
      <c r="AE138" s="873"/>
      <c r="AF138" s="873"/>
      <c r="AG138" s="873"/>
      <c r="AH138" s="873"/>
      <c r="AI138" s="873"/>
      <c r="AJ138" s="873"/>
      <c r="AK138" s="873"/>
      <c r="AL138" s="873"/>
      <c r="AM138" s="873"/>
      <c r="AN138" s="873"/>
      <c r="AO138" s="873"/>
      <c r="AP138" s="873"/>
      <c r="AQ138" s="873"/>
      <c r="AR138" s="873"/>
    </row>
    <row r="139" spans="1:44">
      <c r="A139" s="873"/>
      <c r="B139" s="873"/>
      <c r="C139" s="873"/>
      <c r="D139" s="873"/>
      <c r="E139" s="873"/>
      <c r="F139" s="873"/>
      <c r="G139" s="1" t="str">
        <f t="shared" si="34"/>
        <v>Ácido</v>
      </c>
      <c r="H139" s="873"/>
      <c r="I139" s="873"/>
      <c r="J139" s="873"/>
      <c r="K139" s="873"/>
      <c r="L139" s="873"/>
      <c r="M139" s="873"/>
      <c r="N139" s="873"/>
      <c r="O139" s="873"/>
      <c r="P139" s="873"/>
      <c r="Q139" s="873"/>
      <c r="R139" s="873"/>
      <c r="S139" s="873"/>
      <c r="T139" s="873"/>
      <c r="U139" s="873"/>
      <c r="V139" s="873"/>
      <c r="W139" s="873"/>
      <c r="X139" s="873"/>
      <c r="Y139" s="873"/>
      <c r="Z139" s="873"/>
      <c r="AA139" s="873"/>
      <c r="AB139" s="873"/>
      <c r="AC139" s="873"/>
      <c r="AD139" s="873"/>
      <c r="AE139" s="873"/>
      <c r="AF139" s="873"/>
      <c r="AG139" s="873"/>
      <c r="AH139" s="873"/>
      <c r="AI139" s="873"/>
      <c r="AJ139" s="873"/>
      <c r="AK139" s="873"/>
      <c r="AL139" s="873"/>
      <c r="AM139" s="873"/>
      <c r="AN139" s="873"/>
      <c r="AO139" s="873"/>
      <c r="AP139" s="873"/>
      <c r="AQ139" s="873"/>
      <c r="AR139" s="873"/>
    </row>
    <row r="140" spans="1:44">
      <c r="A140" s="873"/>
      <c r="B140" s="873"/>
      <c r="C140" s="873"/>
      <c r="D140" s="873"/>
      <c r="E140" s="873"/>
      <c r="F140" s="873"/>
      <c r="G140" s="1" t="str">
        <f t="shared" si="34"/>
        <v>Ácido</v>
      </c>
      <c r="H140" s="873"/>
      <c r="I140" s="873"/>
      <c r="J140" s="873"/>
      <c r="K140" s="873"/>
      <c r="L140" s="873"/>
      <c r="M140" s="873"/>
      <c r="N140" s="873"/>
      <c r="O140" s="873"/>
      <c r="P140" s="873"/>
      <c r="Q140" s="873"/>
      <c r="R140" s="873"/>
      <c r="S140" s="873"/>
      <c r="T140" s="873"/>
      <c r="U140" s="873"/>
      <c r="V140" s="873"/>
      <c r="W140" s="873"/>
      <c r="X140" s="873"/>
      <c r="Y140" s="873"/>
      <c r="Z140" s="873"/>
      <c r="AA140" s="873"/>
      <c r="AB140" s="873"/>
      <c r="AC140" s="873"/>
      <c r="AD140" s="873"/>
      <c r="AE140" s="873"/>
      <c r="AF140" s="873"/>
      <c r="AG140" s="873"/>
      <c r="AH140" s="873"/>
      <c r="AI140" s="873"/>
      <c r="AJ140" s="873"/>
      <c r="AK140" s="873"/>
      <c r="AL140" s="873"/>
      <c r="AM140" s="873"/>
      <c r="AN140" s="873"/>
      <c r="AO140" s="873"/>
      <c r="AP140" s="873"/>
      <c r="AQ140" s="873"/>
      <c r="AR140" s="873"/>
    </row>
    <row r="141" spans="1:44">
      <c r="A141" s="873"/>
      <c r="B141" s="873"/>
      <c r="C141" s="873"/>
      <c r="D141" s="873"/>
      <c r="E141" s="873"/>
      <c r="F141" s="873"/>
      <c r="G141" s="1" t="str">
        <f t="shared" si="34"/>
        <v>Ácido</v>
      </c>
      <c r="H141" s="873"/>
      <c r="I141" s="873"/>
      <c r="J141" s="873"/>
      <c r="K141" s="873"/>
      <c r="L141" s="873"/>
      <c r="M141" s="873"/>
      <c r="N141" s="873"/>
      <c r="O141" s="873"/>
      <c r="P141" s="873"/>
      <c r="Q141" s="873"/>
      <c r="R141" s="873"/>
      <c r="S141" s="873"/>
      <c r="T141" s="873"/>
      <c r="U141" s="873"/>
      <c r="V141" s="873"/>
      <c r="W141" s="873"/>
      <c r="X141" s="873"/>
      <c r="Y141" s="873"/>
      <c r="Z141" s="873"/>
      <c r="AA141" s="873"/>
      <c r="AB141" s="873"/>
      <c r="AC141" s="873"/>
      <c r="AD141" s="873"/>
      <c r="AE141" s="873"/>
      <c r="AF141" s="873"/>
      <c r="AG141" s="873"/>
      <c r="AH141" s="873"/>
      <c r="AI141" s="873"/>
      <c r="AJ141" s="873"/>
      <c r="AK141" s="873"/>
      <c r="AL141" s="873"/>
      <c r="AM141" s="873"/>
      <c r="AN141" s="873"/>
      <c r="AO141" s="873"/>
      <c r="AP141" s="873"/>
      <c r="AQ141" s="873"/>
      <c r="AR141" s="873"/>
    </row>
    <row r="142" spans="1:44">
      <c r="A142" s="873"/>
      <c r="B142" s="873"/>
      <c r="C142" s="873"/>
      <c r="D142" s="873"/>
      <c r="E142" s="873"/>
      <c r="F142" s="873"/>
      <c r="G142" s="1" t="str">
        <f t="shared" si="34"/>
        <v>Ácido</v>
      </c>
      <c r="H142" s="873"/>
      <c r="I142" s="873"/>
      <c r="J142" s="873"/>
      <c r="K142" s="873"/>
      <c r="L142" s="873"/>
      <c r="M142" s="873"/>
      <c r="N142" s="873"/>
      <c r="O142" s="873"/>
      <c r="P142" s="873"/>
      <c r="Q142" s="873"/>
      <c r="R142" s="873"/>
      <c r="S142" s="873"/>
      <c r="T142" s="873"/>
      <c r="U142" s="873"/>
      <c r="V142" s="873"/>
      <c r="W142" s="873"/>
      <c r="X142" s="873"/>
      <c r="Y142" s="873"/>
      <c r="Z142" s="873"/>
      <c r="AA142" s="873"/>
      <c r="AB142" s="873"/>
      <c r="AC142" s="873"/>
      <c r="AD142" s="873"/>
      <c r="AE142" s="873"/>
      <c r="AF142" s="873"/>
      <c r="AG142" s="873"/>
      <c r="AH142" s="873"/>
      <c r="AI142" s="873"/>
      <c r="AJ142" s="873"/>
      <c r="AK142" s="873"/>
      <c r="AL142" s="873"/>
      <c r="AM142" s="873"/>
      <c r="AN142" s="873"/>
      <c r="AO142" s="873"/>
      <c r="AP142" s="873"/>
      <c r="AQ142" s="873"/>
      <c r="AR142" s="873"/>
    </row>
    <row r="143" spans="1:44">
      <c r="A143" s="873"/>
      <c r="B143" s="873"/>
      <c r="C143" s="873"/>
      <c r="D143" s="873"/>
      <c r="E143" s="873"/>
      <c r="F143" s="873"/>
      <c r="G143" s="1" t="str">
        <f t="shared" si="34"/>
        <v>Ácido</v>
      </c>
      <c r="H143" s="873"/>
      <c r="I143" s="873"/>
      <c r="J143" s="873"/>
      <c r="K143" s="873"/>
      <c r="L143" s="873"/>
      <c r="M143" s="873"/>
      <c r="N143" s="873"/>
      <c r="O143" s="873"/>
      <c r="P143" s="873"/>
      <c r="Q143" s="873"/>
      <c r="R143" s="873"/>
      <c r="S143" s="873"/>
      <c r="T143" s="873"/>
      <c r="U143" s="873"/>
      <c r="V143" s="873"/>
      <c r="W143" s="873"/>
      <c r="X143" s="873"/>
      <c r="Y143" s="873"/>
      <c r="Z143" s="873"/>
      <c r="AA143" s="873"/>
      <c r="AB143" s="873"/>
      <c r="AC143" s="873"/>
      <c r="AD143" s="873"/>
      <c r="AE143" s="873"/>
      <c r="AF143" s="873"/>
      <c r="AG143" s="873"/>
      <c r="AH143" s="873"/>
      <c r="AI143" s="873"/>
      <c r="AJ143" s="873"/>
      <c r="AK143" s="873"/>
      <c r="AL143" s="873"/>
      <c r="AM143" s="873"/>
      <c r="AN143" s="873"/>
      <c r="AO143" s="873"/>
      <c r="AP143" s="873"/>
      <c r="AQ143" s="873"/>
      <c r="AR143" s="873"/>
    </row>
    <row r="144" spans="1:44">
      <c r="A144" s="873"/>
      <c r="B144" s="873"/>
      <c r="C144" s="873"/>
      <c r="D144" s="873"/>
      <c r="E144" s="873"/>
      <c r="F144" s="873"/>
      <c r="G144" s="1" t="str">
        <f t="shared" si="34"/>
        <v>Ácido</v>
      </c>
      <c r="H144" s="873"/>
      <c r="I144" s="873"/>
      <c r="J144" s="873"/>
      <c r="K144" s="873"/>
      <c r="L144" s="873"/>
      <c r="M144" s="873"/>
      <c r="N144" s="873"/>
      <c r="O144" s="873"/>
      <c r="P144" s="873"/>
      <c r="Q144" s="873"/>
      <c r="R144" s="873"/>
      <c r="S144" s="873"/>
      <c r="T144" s="873"/>
      <c r="U144" s="873"/>
      <c r="V144" s="873"/>
      <c r="W144" s="873"/>
      <c r="X144" s="873"/>
      <c r="Y144" s="873"/>
      <c r="Z144" s="873"/>
      <c r="AA144" s="873"/>
      <c r="AB144" s="873"/>
      <c r="AC144" s="873"/>
      <c r="AD144" s="873"/>
      <c r="AE144" s="873"/>
      <c r="AF144" s="873"/>
      <c r="AG144" s="873"/>
      <c r="AH144" s="873"/>
      <c r="AI144" s="873"/>
      <c r="AJ144" s="873"/>
      <c r="AK144" s="873"/>
      <c r="AL144" s="873"/>
      <c r="AM144" s="873"/>
      <c r="AN144" s="873"/>
      <c r="AO144" s="873"/>
      <c r="AP144" s="873"/>
      <c r="AQ144" s="873"/>
      <c r="AR144" s="873"/>
    </row>
    <row r="145" spans="1:44">
      <c r="A145" s="873"/>
      <c r="B145" s="873"/>
      <c r="C145" s="873"/>
      <c r="D145" s="873"/>
      <c r="E145" s="873"/>
      <c r="F145" s="873"/>
      <c r="G145" s="1" t="str">
        <f t="shared" si="34"/>
        <v>Ácido</v>
      </c>
      <c r="H145" s="873"/>
      <c r="I145" s="873"/>
      <c r="J145" s="873"/>
      <c r="K145" s="873"/>
      <c r="L145" s="873"/>
      <c r="M145" s="873"/>
      <c r="N145" s="873"/>
      <c r="O145" s="873"/>
      <c r="P145" s="873"/>
      <c r="Q145" s="873"/>
      <c r="R145" s="873"/>
      <c r="S145" s="873"/>
      <c r="T145" s="873"/>
      <c r="U145" s="873"/>
      <c r="V145" s="873"/>
      <c r="W145" s="873"/>
      <c r="X145" s="873"/>
      <c r="Y145" s="873"/>
      <c r="Z145" s="873"/>
      <c r="AA145" s="873"/>
      <c r="AB145" s="873"/>
      <c r="AC145" s="873"/>
      <c r="AD145" s="873"/>
      <c r="AE145" s="873"/>
      <c r="AF145" s="873"/>
      <c r="AG145" s="873"/>
      <c r="AH145" s="873"/>
      <c r="AI145" s="873"/>
      <c r="AJ145" s="873"/>
      <c r="AK145" s="873"/>
      <c r="AL145" s="873"/>
      <c r="AM145" s="873"/>
      <c r="AN145" s="873"/>
      <c r="AO145" s="873"/>
      <c r="AP145" s="873"/>
      <c r="AQ145" s="873"/>
      <c r="AR145" s="873"/>
    </row>
    <row r="146" spans="1:44">
      <c r="A146" s="873"/>
      <c r="B146" s="873"/>
      <c r="C146" s="873"/>
      <c r="D146" s="873"/>
      <c r="E146" s="873"/>
      <c r="F146" s="873"/>
      <c r="G146" s="1" t="str">
        <f t="shared" si="34"/>
        <v>Ácido</v>
      </c>
      <c r="H146" s="873"/>
      <c r="I146" s="873"/>
      <c r="J146" s="873"/>
      <c r="K146" s="873"/>
      <c r="L146" s="873"/>
      <c r="M146" s="873"/>
      <c r="N146" s="873"/>
      <c r="O146" s="873"/>
      <c r="P146" s="873"/>
      <c r="Q146" s="873"/>
      <c r="R146" s="873"/>
      <c r="S146" s="873"/>
      <c r="T146" s="873"/>
      <c r="U146" s="873"/>
      <c r="V146" s="873"/>
      <c r="W146" s="873"/>
      <c r="X146" s="873"/>
      <c r="Y146" s="873"/>
      <c r="Z146" s="873"/>
      <c r="AA146" s="873"/>
      <c r="AB146" s="873"/>
      <c r="AC146" s="873"/>
      <c r="AD146" s="873"/>
      <c r="AE146" s="873"/>
      <c r="AF146" s="873"/>
      <c r="AG146" s="873"/>
      <c r="AH146" s="873"/>
      <c r="AI146" s="873"/>
      <c r="AJ146" s="873"/>
      <c r="AK146" s="873"/>
      <c r="AL146" s="873"/>
      <c r="AM146" s="873"/>
      <c r="AN146" s="873"/>
      <c r="AO146" s="873"/>
      <c r="AP146" s="873"/>
      <c r="AQ146" s="873"/>
      <c r="AR146" s="873"/>
    </row>
    <row r="147" spans="1:44">
      <c r="A147" s="873"/>
      <c r="B147" s="873"/>
      <c r="C147" s="873"/>
      <c r="D147" s="873"/>
      <c r="E147" s="873"/>
      <c r="F147" s="873"/>
      <c r="G147" s="1" t="s">
        <v>44</v>
      </c>
      <c r="L147" s="873"/>
      <c r="N147" s="873"/>
      <c r="O147" s="873"/>
      <c r="P147" s="873"/>
      <c r="Q147" s="873"/>
      <c r="R147" s="873"/>
      <c r="S147" s="873"/>
      <c r="T147" s="873"/>
      <c r="U147" s="873"/>
      <c r="V147" s="873"/>
      <c r="W147" s="873"/>
      <c r="X147" s="873"/>
      <c r="Y147" s="873"/>
      <c r="Z147" s="873"/>
      <c r="AA147" s="873"/>
      <c r="AB147" s="873"/>
      <c r="AC147" s="873"/>
      <c r="AD147" s="873"/>
      <c r="AE147" s="873"/>
      <c r="AF147" s="873"/>
      <c r="AG147" s="873"/>
      <c r="AH147" s="873"/>
      <c r="AI147" s="873"/>
      <c r="AJ147" s="873"/>
      <c r="AK147" s="873"/>
      <c r="AL147" s="873"/>
      <c r="AM147" s="873"/>
      <c r="AN147" s="873"/>
      <c r="AO147" s="873"/>
      <c r="AP147" s="873"/>
      <c r="AQ147" s="873"/>
      <c r="AR147" s="873"/>
    </row>
    <row r="148" spans="1:44">
      <c r="A148" s="873"/>
      <c r="B148" s="873"/>
      <c r="C148" s="873"/>
      <c r="D148" s="873"/>
      <c r="E148" s="873"/>
      <c r="F148" s="873"/>
      <c r="G148" s="1" t="str">
        <f t="shared" ref="G148:G163" si="35">G147</f>
        <v>Antiespumante</v>
      </c>
      <c r="L148" s="873"/>
      <c r="N148" s="873"/>
      <c r="O148" s="873"/>
      <c r="P148" s="873"/>
      <c r="Q148" s="873"/>
      <c r="R148" s="873"/>
      <c r="S148" s="873"/>
      <c r="T148" s="873"/>
      <c r="U148" s="873"/>
      <c r="V148" s="873"/>
      <c r="W148" s="873"/>
      <c r="X148" s="873"/>
      <c r="Y148" s="873"/>
      <c r="Z148" s="873"/>
      <c r="AA148" s="873"/>
      <c r="AB148" s="873"/>
      <c r="AC148" s="873"/>
      <c r="AD148" s="873"/>
      <c r="AE148" s="873"/>
      <c r="AF148" s="873"/>
      <c r="AG148" s="873"/>
      <c r="AH148" s="873"/>
      <c r="AI148" s="873"/>
      <c r="AJ148" s="873"/>
      <c r="AK148" s="873"/>
      <c r="AL148" s="873"/>
      <c r="AM148" s="873"/>
      <c r="AN148" s="873"/>
      <c r="AO148" s="873"/>
      <c r="AP148" s="873"/>
      <c r="AQ148" s="873"/>
      <c r="AR148" s="873"/>
    </row>
    <row r="149" spans="1:44">
      <c r="A149" s="873"/>
      <c r="B149" s="873"/>
      <c r="C149" s="873"/>
      <c r="D149" s="873"/>
      <c r="E149" s="873"/>
      <c r="F149" s="873"/>
      <c r="G149" s="1" t="str">
        <f t="shared" si="35"/>
        <v>Antiespumante</v>
      </c>
      <c r="L149" s="873"/>
      <c r="N149" s="873"/>
      <c r="O149" s="873"/>
      <c r="P149" s="873"/>
      <c r="Q149" s="873"/>
      <c r="R149" s="873"/>
      <c r="S149" s="873"/>
      <c r="T149" s="873"/>
      <c r="U149" s="873"/>
      <c r="V149" s="873"/>
      <c r="W149" s="873"/>
      <c r="X149" s="873"/>
      <c r="Y149" s="873"/>
      <c r="Z149" s="873"/>
      <c r="AA149" s="873"/>
      <c r="AB149" s="873"/>
      <c r="AC149" s="873"/>
      <c r="AD149" s="873"/>
      <c r="AE149" s="873"/>
      <c r="AF149" s="873"/>
      <c r="AG149" s="873"/>
      <c r="AH149" s="873"/>
      <c r="AI149" s="873"/>
      <c r="AJ149" s="873"/>
      <c r="AK149" s="873"/>
      <c r="AL149" s="873"/>
      <c r="AM149" s="873"/>
      <c r="AN149" s="873"/>
      <c r="AO149" s="873"/>
      <c r="AP149" s="873"/>
      <c r="AQ149" s="873"/>
      <c r="AR149" s="873"/>
    </row>
    <row r="150" spans="1:44">
      <c r="A150" s="873"/>
      <c r="B150" s="873"/>
      <c r="C150" s="873"/>
      <c r="D150" s="873"/>
      <c r="E150" s="873"/>
      <c r="F150" s="873"/>
      <c r="G150" s="1" t="str">
        <f t="shared" si="35"/>
        <v>Antiespumante</v>
      </c>
      <c r="L150" s="873"/>
      <c r="N150" s="873"/>
      <c r="O150" s="873"/>
      <c r="P150" s="873"/>
      <c r="Q150" s="873"/>
      <c r="R150" s="873"/>
      <c r="S150" s="873"/>
      <c r="T150" s="873"/>
      <c r="U150" s="873"/>
      <c r="V150" s="873"/>
      <c r="W150" s="873"/>
      <c r="X150" s="873"/>
      <c r="Y150" s="873"/>
      <c r="Z150" s="873"/>
      <c r="AA150" s="873"/>
      <c r="AB150" s="873"/>
      <c r="AC150" s="873"/>
      <c r="AD150" s="873"/>
      <c r="AE150" s="873"/>
      <c r="AF150" s="873"/>
      <c r="AG150" s="873"/>
      <c r="AH150" s="873"/>
      <c r="AI150" s="873"/>
      <c r="AJ150" s="873"/>
      <c r="AK150" s="873"/>
      <c r="AL150" s="873"/>
      <c r="AM150" s="873"/>
      <c r="AN150" s="873"/>
      <c r="AO150" s="873"/>
      <c r="AP150" s="873"/>
      <c r="AQ150" s="873"/>
      <c r="AR150" s="873"/>
    </row>
    <row r="151" spans="1:44">
      <c r="A151" s="873"/>
      <c r="B151" s="873"/>
      <c r="C151" s="873"/>
      <c r="D151" s="873"/>
      <c r="E151" s="873"/>
      <c r="F151" s="873"/>
      <c r="G151" s="1" t="str">
        <f t="shared" si="35"/>
        <v>Antiespumante</v>
      </c>
      <c r="L151" s="873"/>
      <c r="N151" s="873"/>
      <c r="O151" s="873"/>
      <c r="P151" s="873"/>
      <c r="Q151" s="873"/>
      <c r="R151" s="873"/>
      <c r="S151" s="873"/>
      <c r="T151" s="873"/>
      <c r="U151" s="873"/>
      <c r="V151" s="873"/>
      <c r="W151" s="873"/>
      <c r="X151" s="873"/>
      <c r="Y151" s="873"/>
      <c r="Z151" s="873"/>
      <c r="AA151" s="873"/>
      <c r="AB151" s="873"/>
      <c r="AC151" s="873"/>
      <c r="AD151" s="873"/>
      <c r="AE151" s="873"/>
      <c r="AF151" s="873"/>
      <c r="AG151" s="873"/>
      <c r="AH151" s="873"/>
      <c r="AI151" s="873"/>
      <c r="AJ151" s="873"/>
      <c r="AK151" s="873"/>
      <c r="AL151" s="873"/>
      <c r="AM151" s="873"/>
      <c r="AN151" s="873"/>
      <c r="AO151" s="873"/>
      <c r="AP151" s="873"/>
      <c r="AQ151" s="873"/>
      <c r="AR151" s="873"/>
    </row>
    <row r="152" spans="1:44">
      <c r="A152" s="873"/>
      <c r="B152" s="873"/>
      <c r="C152" s="873"/>
      <c r="D152" s="873"/>
      <c r="E152" s="873"/>
      <c r="F152" s="873"/>
      <c r="G152" s="1" t="str">
        <f t="shared" si="35"/>
        <v>Antiespumante</v>
      </c>
      <c r="L152" s="873"/>
      <c r="N152" s="873"/>
      <c r="O152" s="873"/>
      <c r="P152" s="873"/>
      <c r="Q152" s="873"/>
      <c r="R152" s="873"/>
      <c r="S152" s="873"/>
      <c r="T152" s="873"/>
      <c r="U152" s="873"/>
      <c r="V152" s="873"/>
      <c r="W152" s="873"/>
      <c r="X152" s="873"/>
      <c r="Y152" s="873"/>
      <c r="Z152" s="873"/>
      <c r="AA152" s="873"/>
      <c r="AB152" s="873"/>
      <c r="AC152" s="873"/>
      <c r="AD152" s="873"/>
      <c r="AE152" s="873"/>
      <c r="AF152" s="873"/>
      <c r="AG152" s="873"/>
      <c r="AH152" s="873"/>
      <c r="AI152" s="873"/>
      <c r="AJ152" s="873"/>
      <c r="AK152" s="873"/>
      <c r="AL152" s="873"/>
      <c r="AM152" s="873"/>
      <c r="AN152" s="873"/>
      <c r="AO152" s="873"/>
      <c r="AP152" s="873"/>
      <c r="AQ152" s="873"/>
      <c r="AR152" s="873"/>
    </row>
    <row r="153" spans="1:44">
      <c r="A153" s="873"/>
      <c r="B153" s="873"/>
      <c r="C153" s="873"/>
      <c r="D153" s="873"/>
      <c r="E153" s="873"/>
      <c r="F153" s="873"/>
      <c r="G153" s="1" t="str">
        <f t="shared" si="35"/>
        <v>Antiespumante</v>
      </c>
      <c r="L153" s="873"/>
      <c r="N153" s="873"/>
      <c r="O153" s="873"/>
      <c r="P153" s="873"/>
      <c r="Q153" s="873"/>
      <c r="R153" s="873"/>
      <c r="S153" s="873"/>
      <c r="T153" s="873"/>
      <c r="U153" s="873"/>
      <c r="V153" s="873"/>
      <c r="W153" s="873"/>
      <c r="X153" s="873"/>
      <c r="Y153" s="873"/>
      <c r="Z153" s="873"/>
      <c r="AA153" s="873"/>
      <c r="AB153" s="873"/>
      <c r="AC153" s="873"/>
      <c r="AD153" s="873"/>
      <c r="AE153" s="873"/>
      <c r="AF153" s="873"/>
      <c r="AG153" s="873"/>
      <c r="AH153" s="873"/>
      <c r="AI153" s="873"/>
      <c r="AJ153" s="873"/>
      <c r="AK153" s="873"/>
      <c r="AL153" s="873"/>
      <c r="AM153" s="873"/>
      <c r="AN153" s="873"/>
      <c r="AO153" s="873"/>
      <c r="AP153" s="873"/>
      <c r="AQ153" s="873"/>
      <c r="AR153" s="873"/>
    </row>
    <row r="154" spans="1:44">
      <c r="A154" s="873"/>
      <c r="B154" s="873"/>
      <c r="C154" s="873"/>
      <c r="D154" s="873"/>
      <c r="E154" s="873"/>
      <c r="F154" s="873"/>
      <c r="G154" s="1" t="str">
        <f t="shared" si="35"/>
        <v>Antiespumante</v>
      </c>
      <c r="H154" s="873"/>
      <c r="I154" s="873"/>
      <c r="J154" s="873"/>
      <c r="K154" s="873"/>
      <c r="L154" s="873"/>
      <c r="M154" s="873"/>
      <c r="N154" s="873"/>
      <c r="O154" s="873"/>
      <c r="P154" s="873"/>
      <c r="Q154" s="873"/>
      <c r="R154" s="873"/>
      <c r="S154" s="873"/>
      <c r="T154" s="873"/>
      <c r="U154" s="873"/>
      <c r="V154" s="873"/>
      <c r="W154" s="873"/>
      <c r="X154" s="873"/>
      <c r="Y154" s="873"/>
      <c r="Z154" s="873"/>
      <c r="AA154" s="873"/>
      <c r="AB154" s="873"/>
      <c r="AC154" s="873"/>
      <c r="AD154" s="873"/>
      <c r="AE154" s="873"/>
      <c r="AF154" s="873"/>
      <c r="AG154" s="873"/>
      <c r="AH154" s="873"/>
      <c r="AI154" s="873"/>
      <c r="AJ154" s="873"/>
      <c r="AK154" s="873"/>
      <c r="AL154" s="873"/>
      <c r="AM154" s="873"/>
      <c r="AN154" s="873"/>
      <c r="AO154" s="873"/>
      <c r="AP154" s="873"/>
      <c r="AQ154" s="873"/>
      <c r="AR154" s="873"/>
    </row>
    <row r="155" spans="1:44">
      <c r="A155" s="873"/>
      <c r="B155" s="873"/>
      <c r="C155" s="873"/>
      <c r="D155" s="873"/>
      <c r="E155" s="873"/>
      <c r="F155" s="873"/>
      <c r="G155" s="1" t="str">
        <f t="shared" si="35"/>
        <v>Antiespumante</v>
      </c>
      <c r="H155" s="873"/>
      <c r="I155" s="873"/>
      <c r="J155" s="873"/>
      <c r="K155" s="873"/>
      <c r="L155" s="873"/>
      <c r="M155" s="873"/>
      <c r="N155" s="873"/>
      <c r="O155" s="873"/>
      <c r="P155" s="873"/>
      <c r="Q155" s="873"/>
      <c r="R155" s="873"/>
      <c r="S155" s="873"/>
      <c r="T155" s="873"/>
      <c r="U155" s="873"/>
      <c r="V155" s="873"/>
      <c r="W155" s="873"/>
      <c r="X155" s="873"/>
      <c r="Y155" s="873"/>
      <c r="Z155" s="873"/>
      <c r="AA155" s="873"/>
      <c r="AB155" s="873"/>
      <c r="AC155" s="873"/>
      <c r="AD155" s="873"/>
      <c r="AE155" s="873"/>
      <c r="AF155" s="873"/>
      <c r="AG155" s="873"/>
      <c r="AH155" s="873"/>
      <c r="AI155" s="873"/>
      <c r="AJ155" s="873"/>
      <c r="AK155" s="873"/>
      <c r="AL155" s="873"/>
      <c r="AM155" s="873"/>
      <c r="AN155" s="873"/>
      <c r="AO155" s="873"/>
      <c r="AP155" s="873"/>
      <c r="AQ155" s="873"/>
      <c r="AR155" s="873"/>
    </row>
    <row r="156" spans="1:44">
      <c r="A156" s="873"/>
      <c r="B156" s="873"/>
      <c r="C156" s="873"/>
      <c r="D156" s="873"/>
      <c r="E156" s="873"/>
      <c r="F156" s="873"/>
      <c r="G156" s="1" t="str">
        <f t="shared" si="35"/>
        <v>Antiespumante</v>
      </c>
      <c r="H156" s="873"/>
      <c r="I156" s="873"/>
      <c r="J156" s="873"/>
      <c r="K156" s="873"/>
      <c r="L156" s="873"/>
      <c r="M156" s="873"/>
      <c r="N156" s="873"/>
      <c r="O156" s="873"/>
      <c r="P156" s="873"/>
      <c r="Q156" s="873"/>
      <c r="R156" s="873"/>
      <c r="S156" s="873"/>
      <c r="T156" s="873"/>
      <c r="U156" s="873"/>
      <c r="V156" s="873"/>
      <c r="W156" s="873"/>
      <c r="X156" s="873"/>
      <c r="Y156" s="873"/>
      <c r="Z156" s="873"/>
      <c r="AA156" s="873"/>
      <c r="AB156" s="873"/>
      <c r="AC156" s="873"/>
      <c r="AD156" s="873"/>
      <c r="AE156" s="873"/>
      <c r="AF156" s="873"/>
      <c r="AG156" s="873"/>
      <c r="AH156" s="873"/>
      <c r="AI156" s="873"/>
      <c r="AJ156" s="873"/>
      <c r="AK156" s="873"/>
      <c r="AL156" s="873"/>
      <c r="AM156" s="873"/>
      <c r="AN156" s="873"/>
      <c r="AO156" s="873"/>
      <c r="AP156" s="873"/>
      <c r="AQ156" s="873"/>
      <c r="AR156" s="873"/>
    </row>
    <row r="157" spans="1:44">
      <c r="A157" s="873"/>
      <c r="B157" s="873"/>
      <c r="C157" s="873"/>
      <c r="D157" s="873"/>
      <c r="E157" s="873"/>
      <c r="F157" s="873"/>
      <c r="G157" s="1" t="str">
        <f t="shared" si="35"/>
        <v>Antiespumante</v>
      </c>
      <c r="H157" s="873"/>
      <c r="I157" s="873"/>
      <c r="J157" s="873"/>
      <c r="K157" s="873"/>
      <c r="L157" s="873"/>
      <c r="M157" s="873"/>
      <c r="N157" s="873"/>
      <c r="O157" s="873"/>
      <c r="P157" s="873"/>
      <c r="Q157" s="873"/>
      <c r="R157" s="873"/>
      <c r="S157" s="873"/>
      <c r="T157" s="873"/>
      <c r="U157" s="873"/>
      <c r="V157" s="873"/>
      <c r="W157" s="873"/>
      <c r="X157" s="873"/>
      <c r="Y157" s="873"/>
      <c r="Z157" s="873"/>
      <c r="AA157" s="873"/>
      <c r="AB157" s="873"/>
      <c r="AC157" s="873"/>
      <c r="AD157" s="873"/>
      <c r="AE157" s="873"/>
      <c r="AF157" s="873"/>
      <c r="AG157" s="873"/>
      <c r="AH157" s="873"/>
      <c r="AI157" s="873"/>
      <c r="AJ157" s="873"/>
      <c r="AK157" s="873"/>
      <c r="AL157" s="873"/>
      <c r="AM157" s="873"/>
      <c r="AN157" s="873"/>
      <c r="AO157" s="873"/>
      <c r="AP157" s="873"/>
      <c r="AQ157" s="873"/>
      <c r="AR157" s="873"/>
    </row>
    <row r="158" spans="1:44">
      <c r="A158" s="873"/>
      <c r="B158" s="873"/>
      <c r="C158" s="873"/>
      <c r="D158" s="873"/>
      <c r="E158" s="873"/>
      <c r="F158" s="873"/>
      <c r="G158" s="1" t="str">
        <f t="shared" si="35"/>
        <v>Antiespumante</v>
      </c>
      <c r="H158" s="873"/>
      <c r="I158" s="873"/>
      <c r="J158" s="873"/>
      <c r="K158" s="873"/>
      <c r="L158" s="873"/>
      <c r="M158" s="873"/>
      <c r="N158" s="873"/>
      <c r="O158" s="873"/>
      <c r="P158" s="873"/>
      <c r="Q158" s="873"/>
      <c r="R158" s="873"/>
      <c r="S158" s="873"/>
      <c r="T158" s="873"/>
      <c r="U158" s="873"/>
      <c r="V158" s="873"/>
      <c r="W158" s="873"/>
      <c r="X158" s="873"/>
      <c r="Y158" s="873"/>
      <c r="Z158" s="873"/>
      <c r="AA158" s="873"/>
      <c r="AB158" s="873"/>
      <c r="AC158" s="873"/>
      <c r="AD158" s="873"/>
      <c r="AE158" s="873"/>
      <c r="AF158" s="873"/>
      <c r="AG158" s="873"/>
      <c r="AH158" s="873"/>
      <c r="AI158" s="873"/>
      <c r="AJ158" s="873"/>
      <c r="AK158" s="873"/>
      <c r="AL158" s="873"/>
      <c r="AM158" s="873"/>
      <c r="AN158" s="873"/>
      <c r="AO158" s="873"/>
      <c r="AP158" s="873"/>
      <c r="AQ158" s="873"/>
      <c r="AR158" s="873"/>
    </row>
    <row r="159" spans="1:44">
      <c r="A159" s="873"/>
      <c r="B159" s="873"/>
      <c r="C159" s="873"/>
      <c r="D159" s="873"/>
      <c r="E159" s="873"/>
      <c r="F159" s="873"/>
      <c r="G159" s="1" t="str">
        <f t="shared" si="35"/>
        <v>Antiespumante</v>
      </c>
      <c r="H159" s="873"/>
      <c r="I159" s="873"/>
      <c r="J159" s="873"/>
      <c r="K159" s="873"/>
      <c r="L159" s="873"/>
      <c r="M159" s="873"/>
      <c r="N159" s="873"/>
      <c r="O159" s="873"/>
      <c r="P159" s="873"/>
      <c r="Q159" s="873"/>
      <c r="R159" s="873"/>
      <c r="S159" s="873"/>
      <c r="T159" s="873"/>
      <c r="U159" s="873"/>
      <c r="V159" s="873"/>
      <c r="W159" s="873"/>
      <c r="X159" s="873"/>
      <c r="Y159" s="873"/>
      <c r="Z159" s="873"/>
      <c r="AA159" s="873"/>
      <c r="AB159" s="873"/>
      <c r="AC159" s="873"/>
      <c r="AD159" s="873"/>
      <c r="AE159" s="873"/>
      <c r="AF159" s="873"/>
      <c r="AG159" s="873"/>
      <c r="AH159" s="873"/>
      <c r="AI159" s="873"/>
      <c r="AJ159" s="873"/>
      <c r="AK159" s="873"/>
      <c r="AL159" s="873"/>
      <c r="AM159" s="873"/>
      <c r="AN159" s="873"/>
      <c r="AO159" s="873"/>
      <c r="AP159" s="873"/>
      <c r="AQ159" s="873"/>
      <c r="AR159" s="873"/>
    </row>
    <row r="160" spans="1:44">
      <c r="A160" s="873"/>
      <c r="B160" s="873"/>
      <c r="C160" s="873"/>
      <c r="D160" s="873"/>
      <c r="E160" s="873"/>
      <c r="F160" s="873"/>
      <c r="G160" s="1" t="str">
        <f t="shared" si="35"/>
        <v>Antiespumante</v>
      </c>
      <c r="H160" s="873"/>
      <c r="I160" s="873"/>
      <c r="J160" s="873"/>
      <c r="K160" s="873"/>
      <c r="L160" s="873"/>
      <c r="M160" s="873"/>
      <c r="N160" s="873"/>
      <c r="O160" s="873"/>
      <c r="P160" s="873"/>
      <c r="Q160" s="873"/>
      <c r="R160" s="873"/>
      <c r="S160" s="873"/>
      <c r="T160" s="873"/>
      <c r="U160" s="873"/>
      <c r="V160" s="873"/>
      <c r="W160" s="873"/>
      <c r="X160" s="873"/>
      <c r="Y160" s="873"/>
      <c r="Z160" s="873"/>
      <c r="AA160" s="873"/>
      <c r="AB160" s="873"/>
      <c r="AC160" s="873"/>
      <c r="AD160" s="873"/>
      <c r="AE160" s="873"/>
      <c r="AF160" s="873"/>
      <c r="AG160" s="873"/>
      <c r="AH160" s="873"/>
      <c r="AI160" s="873"/>
      <c r="AJ160" s="873"/>
      <c r="AK160" s="873"/>
      <c r="AL160" s="873"/>
      <c r="AM160" s="873"/>
      <c r="AN160" s="873"/>
      <c r="AO160" s="873"/>
      <c r="AP160" s="873"/>
      <c r="AQ160" s="873"/>
      <c r="AR160" s="873"/>
    </row>
    <row r="161" spans="1:44">
      <c r="A161" s="873"/>
      <c r="B161" s="873"/>
      <c r="C161" s="873"/>
      <c r="D161" s="873"/>
      <c r="E161" s="873"/>
      <c r="F161" s="873"/>
      <c r="G161" s="1" t="str">
        <f t="shared" si="35"/>
        <v>Antiespumante</v>
      </c>
      <c r="H161" s="873"/>
      <c r="I161" s="873"/>
      <c r="J161" s="873"/>
      <c r="K161" s="873"/>
      <c r="L161" s="873"/>
      <c r="M161" s="873"/>
      <c r="N161" s="873"/>
      <c r="O161" s="873"/>
      <c r="P161" s="873"/>
      <c r="Q161" s="873"/>
      <c r="R161" s="873"/>
      <c r="S161" s="873"/>
      <c r="T161" s="873"/>
      <c r="U161" s="873"/>
      <c r="V161" s="873"/>
      <c r="W161" s="873"/>
      <c r="X161" s="873"/>
      <c r="Y161" s="873"/>
      <c r="Z161" s="873"/>
      <c r="AA161" s="873"/>
      <c r="AB161" s="873"/>
      <c r="AC161" s="873"/>
      <c r="AD161" s="873"/>
      <c r="AE161" s="873"/>
      <c r="AF161" s="873"/>
      <c r="AG161" s="873"/>
      <c r="AH161" s="873"/>
      <c r="AI161" s="873"/>
      <c r="AJ161" s="873"/>
      <c r="AK161" s="873"/>
      <c r="AL161" s="873"/>
      <c r="AM161" s="873"/>
      <c r="AN161" s="873"/>
      <c r="AO161" s="873"/>
      <c r="AP161" s="873"/>
      <c r="AQ161" s="873"/>
      <c r="AR161" s="873"/>
    </row>
    <row r="162" spans="1:44">
      <c r="A162" s="873"/>
      <c r="B162" s="873"/>
      <c r="C162" s="873"/>
      <c r="D162" s="873"/>
      <c r="E162" s="873"/>
      <c r="F162" s="873"/>
      <c r="G162" s="1" t="str">
        <f t="shared" si="35"/>
        <v>Antiespumante</v>
      </c>
      <c r="H162" s="873"/>
      <c r="I162" s="873"/>
      <c r="J162" s="873"/>
      <c r="K162" s="873"/>
      <c r="L162" s="873"/>
      <c r="M162" s="873"/>
      <c r="N162" s="873"/>
      <c r="O162" s="873"/>
      <c r="P162" s="873"/>
      <c r="Q162" s="873"/>
      <c r="R162" s="873"/>
      <c r="S162" s="873"/>
      <c r="T162" s="873"/>
      <c r="U162" s="873"/>
      <c r="V162" s="873"/>
      <c r="W162" s="873"/>
      <c r="X162" s="873"/>
      <c r="Y162" s="873"/>
      <c r="Z162" s="873"/>
      <c r="AA162" s="873"/>
      <c r="AB162" s="873"/>
      <c r="AC162" s="873"/>
      <c r="AD162" s="873"/>
      <c r="AE162" s="873"/>
      <c r="AF162" s="873"/>
      <c r="AG162" s="873"/>
      <c r="AH162" s="873"/>
      <c r="AI162" s="873"/>
      <c r="AJ162" s="873"/>
      <c r="AK162" s="873"/>
      <c r="AL162" s="873"/>
      <c r="AM162" s="873"/>
      <c r="AN162" s="873"/>
      <c r="AO162" s="873"/>
      <c r="AP162" s="873"/>
      <c r="AQ162" s="873"/>
      <c r="AR162" s="873"/>
    </row>
    <row r="163" spans="1:44">
      <c r="A163" s="873"/>
      <c r="B163" s="873"/>
      <c r="C163" s="873"/>
      <c r="D163" s="873"/>
      <c r="E163" s="873"/>
      <c r="F163" s="873"/>
      <c r="G163" s="1" t="str">
        <f t="shared" si="35"/>
        <v>Antiespumante</v>
      </c>
      <c r="H163" s="873"/>
      <c r="I163" s="873"/>
      <c r="J163" s="873"/>
      <c r="K163" s="873"/>
      <c r="L163" s="873"/>
      <c r="M163" s="873"/>
      <c r="N163" s="873"/>
      <c r="O163" s="873"/>
      <c r="P163" s="873"/>
      <c r="Q163" s="873"/>
      <c r="R163" s="873"/>
      <c r="S163" s="873"/>
      <c r="T163" s="873"/>
      <c r="U163" s="873"/>
      <c r="V163" s="873"/>
      <c r="W163" s="873"/>
      <c r="X163" s="873"/>
      <c r="Y163" s="873"/>
      <c r="Z163" s="873"/>
      <c r="AA163" s="873"/>
      <c r="AB163" s="873"/>
      <c r="AC163" s="873"/>
      <c r="AD163" s="873"/>
      <c r="AE163" s="873"/>
      <c r="AF163" s="873"/>
      <c r="AG163" s="873"/>
      <c r="AH163" s="873"/>
      <c r="AI163" s="873"/>
      <c r="AJ163" s="873"/>
      <c r="AK163" s="873"/>
      <c r="AL163" s="873"/>
      <c r="AM163" s="873"/>
      <c r="AN163" s="873"/>
      <c r="AO163" s="873"/>
      <c r="AP163" s="873"/>
      <c r="AQ163" s="873"/>
      <c r="AR163" s="873"/>
    </row>
    <row r="164" spans="1:44">
      <c r="A164" s="873"/>
      <c r="B164" s="873"/>
      <c r="C164" s="873"/>
      <c r="D164" s="873"/>
      <c r="E164" s="873"/>
      <c r="F164" s="873"/>
      <c r="G164" s="1" t="s">
        <v>56</v>
      </c>
      <c r="L164" s="873"/>
      <c r="N164" s="873"/>
      <c r="O164" s="873"/>
      <c r="P164" s="873"/>
      <c r="Q164" s="873"/>
      <c r="R164" s="873"/>
      <c r="S164" s="873"/>
      <c r="T164" s="873"/>
      <c r="U164" s="873"/>
      <c r="V164" s="873"/>
      <c r="W164" s="873"/>
      <c r="X164" s="873"/>
      <c r="Y164" s="873"/>
      <c r="Z164" s="873"/>
      <c r="AA164" s="873"/>
      <c r="AB164" s="873"/>
      <c r="AC164" s="873"/>
      <c r="AD164" s="873"/>
      <c r="AE164" s="873"/>
      <c r="AF164" s="873"/>
      <c r="AG164" s="873"/>
      <c r="AH164" s="873"/>
      <c r="AI164" s="873"/>
      <c r="AJ164" s="873"/>
      <c r="AK164" s="873"/>
      <c r="AL164" s="873"/>
      <c r="AM164" s="873"/>
      <c r="AN164" s="873"/>
      <c r="AO164" s="873"/>
      <c r="AP164" s="873"/>
      <c r="AQ164" s="873"/>
      <c r="AR164" s="873"/>
    </row>
    <row r="165" spans="1:44">
      <c r="A165" s="873"/>
      <c r="B165" s="873"/>
      <c r="C165" s="873"/>
      <c r="D165" s="873"/>
      <c r="E165" s="873"/>
      <c r="F165" s="873"/>
      <c r="G165" s="1" t="str">
        <f t="shared" ref="G165:G180" si="36">G164</f>
        <v>Dispersante</v>
      </c>
      <c r="L165" s="873"/>
      <c r="N165" s="873"/>
      <c r="O165" s="873"/>
      <c r="P165" s="873"/>
      <c r="Q165" s="873"/>
      <c r="R165" s="873"/>
      <c r="S165" s="873"/>
      <c r="T165" s="873"/>
      <c r="U165" s="873"/>
      <c r="V165" s="873"/>
      <c r="W165" s="873"/>
      <c r="X165" s="873"/>
      <c r="Y165" s="873"/>
      <c r="Z165" s="873"/>
      <c r="AA165" s="873"/>
      <c r="AB165" s="873"/>
      <c r="AC165" s="873"/>
      <c r="AD165" s="873"/>
      <c r="AE165" s="873"/>
      <c r="AF165" s="873"/>
      <c r="AG165" s="873"/>
      <c r="AH165" s="873"/>
      <c r="AI165" s="873"/>
      <c r="AJ165" s="873"/>
      <c r="AK165" s="873"/>
      <c r="AL165" s="873"/>
      <c r="AM165" s="873"/>
      <c r="AN165" s="873"/>
      <c r="AO165" s="873"/>
      <c r="AP165" s="873"/>
      <c r="AQ165" s="873"/>
      <c r="AR165" s="873"/>
    </row>
    <row r="166" spans="1:44">
      <c r="A166" s="873"/>
      <c r="B166" s="873"/>
      <c r="C166" s="873"/>
      <c r="D166" s="873"/>
      <c r="E166" s="873"/>
      <c r="F166" s="873"/>
      <c r="G166" s="1" t="str">
        <f t="shared" si="36"/>
        <v>Dispersante</v>
      </c>
      <c r="L166" s="873"/>
      <c r="N166" s="873"/>
      <c r="O166" s="873"/>
      <c r="P166" s="873"/>
      <c r="Q166" s="873"/>
      <c r="R166" s="873"/>
      <c r="S166" s="873"/>
      <c r="T166" s="873"/>
      <c r="U166" s="873"/>
      <c r="V166" s="873"/>
      <c r="W166" s="873"/>
      <c r="X166" s="873"/>
      <c r="Y166" s="873"/>
      <c r="Z166" s="873"/>
      <c r="AA166" s="873"/>
      <c r="AB166" s="873"/>
      <c r="AC166" s="873"/>
      <c r="AD166" s="873"/>
      <c r="AE166" s="873"/>
      <c r="AF166" s="873"/>
      <c r="AG166" s="873"/>
      <c r="AH166" s="873"/>
      <c r="AI166" s="873"/>
      <c r="AJ166" s="873"/>
      <c r="AK166" s="873"/>
      <c r="AL166" s="873"/>
      <c r="AM166" s="873"/>
      <c r="AN166" s="873"/>
      <c r="AO166" s="873"/>
      <c r="AP166" s="873"/>
      <c r="AQ166" s="873"/>
      <c r="AR166" s="873"/>
    </row>
    <row r="167" spans="1:44">
      <c r="A167" s="873"/>
      <c r="B167" s="873"/>
      <c r="C167" s="873"/>
      <c r="D167" s="873"/>
      <c r="E167" s="873"/>
      <c r="F167" s="873"/>
      <c r="G167" s="1" t="str">
        <f t="shared" si="36"/>
        <v>Dispersante</v>
      </c>
      <c r="L167" s="873"/>
      <c r="N167" s="873"/>
      <c r="O167" s="873"/>
      <c r="P167" s="873"/>
      <c r="Q167" s="873"/>
      <c r="R167" s="873"/>
      <c r="S167" s="873"/>
      <c r="T167" s="873"/>
      <c r="U167" s="873"/>
      <c r="V167" s="873"/>
      <c r="W167" s="873"/>
      <c r="X167" s="873"/>
      <c r="Y167" s="873"/>
      <c r="Z167" s="873"/>
      <c r="AA167" s="873"/>
      <c r="AB167" s="873"/>
      <c r="AC167" s="873"/>
      <c r="AD167" s="873"/>
      <c r="AE167" s="873"/>
      <c r="AF167" s="873"/>
      <c r="AG167" s="873"/>
      <c r="AH167" s="873"/>
      <c r="AI167" s="873"/>
      <c r="AJ167" s="873"/>
      <c r="AK167" s="873"/>
      <c r="AL167" s="873"/>
      <c r="AM167" s="873"/>
      <c r="AN167" s="873"/>
      <c r="AO167" s="873"/>
      <c r="AP167" s="873"/>
      <c r="AQ167" s="873"/>
      <c r="AR167" s="873"/>
    </row>
    <row r="168" spans="1:44">
      <c r="A168" s="873"/>
      <c r="B168" s="873"/>
      <c r="C168" s="873"/>
      <c r="D168" s="873"/>
      <c r="E168" s="873"/>
      <c r="F168" s="873"/>
      <c r="G168" s="1" t="str">
        <f t="shared" si="36"/>
        <v>Dispersante</v>
      </c>
      <c r="L168" s="873"/>
      <c r="N168" s="873"/>
      <c r="O168" s="873"/>
      <c r="P168" s="873"/>
      <c r="Q168" s="873"/>
      <c r="R168" s="873"/>
      <c r="S168" s="873"/>
      <c r="T168" s="873"/>
      <c r="U168" s="873"/>
      <c r="V168" s="873"/>
      <c r="W168" s="873"/>
      <c r="X168" s="873"/>
      <c r="Y168" s="873"/>
      <c r="Z168" s="873"/>
      <c r="AA168" s="873"/>
      <c r="AB168" s="873"/>
      <c r="AC168" s="873"/>
      <c r="AD168" s="873"/>
      <c r="AE168" s="873"/>
      <c r="AF168" s="873"/>
      <c r="AG168" s="873"/>
      <c r="AH168" s="873"/>
      <c r="AI168" s="873"/>
      <c r="AJ168" s="873"/>
      <c r="AK168" s="873"/>
      <c r="AL168" s="873"/>
      <c r="AM168" s="873"/>
      <c r="AN168" s="873"/>
      <c r="AO168" s="873"/>
      <c r="AP168" s="873"/>
      <c r="AQ168" s="873"/>
      <c r="AR168" s="873"/>
    </row>
    <row r="169" spans="1:44">
      <c r="A169" s="873"/>
      <c r="B169" s="873"/>
      <c r="C169" s="873"/>
      <c r="D169" s="873"/>
      <c r="E169" s="873"/>
      <c r="F169" s="873"/>
      <c r="G169" s="1" t="str">
        <f t="shared" si="36"/>
        <v>Dispersante</v>
      </c>
      <c r="L169" s="873"/>
      <c r="N169" s="873"/>
      <c r="O169" s="873"/>
      <c r="P169" s="873"/>
      <c r="Q169" s="873"/>
      <c r="R169" s="873"/>
      <c r="S169" s="873"/>
      <c r="T169" s="873"/>
      <c r="U169" s="873"/>
      <c r="V169" s="873"/>
      <c r="W169" s="873"/>
      <c r="X169" s="873"/>
      <c r="Y169" s="873"/>
      <c r="Z169" s="873"/>
      <c r="AA169" s="873"/>
      <c r="AB169" s="873"/>
      <c r="AC169" s="873"/>
      <c r="AD169" s="873"/>
      <c r="AE169" s="873"/>
      <c r="AF169" s="873"/>
      <c r="AG169" s="873"/>
      <c r="AH169" s="873"/>
      <c r="AI169" s="873"/>
      <c r="AJ169" s="873"/>
      <c r="AK169" s="873"/>
      <c r="AL169" s="873"/>
      <c r="AM169" s="873"/>
      <c r="AN169" s="873"/>
      <c r="AO169" s="873"/>
      <c r="AP169" s="873"/>
      <c r="AQ169" s="873"/>
      <c r="AR169" s="873"/>
    </row>
    <row r="170" spans="1:44">
      <c r="A170" s="873"/>
      <c r="B170" s="873"/>
      <c r="C170" s="873"/>
      <c r="D170" s="873"/>
      <c r="E170" s="873"/>
      <c r="F170" s="873"/>
      <c r="G170" s="1" t="str">
        <f t="shared" si="36"/>
        <v>Dispersante</v>
      </c>
      <c r="L170" s="873"/>
      <c r="N170" s="873"/>
      <c r="O170" s="873"/>
      <c r="P170" s="873"/>
      <c r="Q170" s="873"/>
      <c r="R170" s="873"/>
      <c r="S170" s="873"/>
      <c r="T170" s="873"/>
      <c r="U170" s="873"/>
      <c r="V170" s="873"/>
      <c r="W170" s="873"/>
      <c r="X170" s="873"/>
      <c r="Y170" s="873"/>
      <c r="Z170" s="873"/>
      <c r="AA170" s="873"/>
      <c r="AB170" s="873"/>
      <c r="AC170" s="873"/>
      <c r="AD170" s="873"/>
      <c r="AE170" s="873"/>
      <c r="AF170" s="873"/>
      <c r="AG170" s="873"/>
      <c r="AH170" s="873"/>
      <c r="AI170" s="873"/>
      <c r="AJ170" s="873"/>
      <c r="AK170" s="873"/>
      <c r="AL170" s="873"/>
      <c r="AM170" s="873"/>
      <c r="AN170" s="873"/>
      <c r="AO170" s="873"/>
      <c r="AP170" s="873"/>
      <c r="AQ170" s="873"/>
      <c r="AR170" s="873"/>
    </row>
    <row r="171" spans="1:44">
      <c r="A171" s="873"/>
      <c r="B171" s="873"/>
      <c r="C171" s="873"/>
      <c r="D171" s="873"/>
      <c r="E171" s="873"/>
      <c r="F171" s="873"/>
      <c r="G171" s="1" t="str">
        <f t="shared" si="36"/>
        <v>Dispersante</v>
      </c>
      <c r="H171" s="873"/>
      <c r="I171" s="873"/>
      <c r="J171" s="873"/>
      <c r="K171" s="873"/>
      <c r="L171" s="873"/>
      <c r="M171" s="873"/>
      <c r="N171" s="873"/>
      <c r="O171" s="873"/>
      <c r="P171" s="873"/>
      <c r="Q171" s="873"/>
      <c r="R171" s="873"/>
      <c r="S171" s="873"/>
      <c r="T171" s="873"/>
      <c r="U171" s="873"/>
      <c r="V171" s="873"/>
      <c r="W171" s="873"/>
      <c r="X171" s="873"/>
      <c r="Y171" s="873"/>
      <c r="Z171" s="873"/>
      <c r="AA171" s="873"/>
      <c r="AB171" s="873"/>
      <c r="AC171" s="873"/>
      <c r="AD171" s="873"/>
      <c r="AE171" s="873"/>
      <c r="AF171" s="873"/>
      <c r="AG171" s="873"/>
      <c r="AH171" s="873"/>
      <c r="AI171" s="873"/>
      <c r="AJ171" s="873"/>
      <c r="AK171" s="873"/>
      <c r="AL171" s="873"/>
      <c r="AM171" s="873"/>
      <c r="AN171" s="873"/>
      <c r="AO171" s="873"/>
      <c r="AP171" s="873"/>
      <c r="AQ171" s="873"/>
      <c r="AR171" s="873"/>
    </row>
    <row r="172" spans="1:44">
      <c r="A172" s="873"/>
      <c r="B172" s="873"/>
      <c r="C172" s="873"/>
      <c r="D172" s="873"/>
      <c r="E172" s="873"/>
      <c r="F172" s="873"/>
      <c r="G172" s="1" t="str">
        <f t="shared" si="36"/>
        <v>Dispersante</v>
      </c>
      <c r="H172" s="873"/>
      <c r="I172" s="873"/>
      <c r="J172" s="873"/>
      <c r="K172" s="873"/>
      <c r="L172" s="873"/>
      <c r="M172" s="873"/>
      <c r="N172" s="873"/>
      <c r="O172" s="873"/>
      <c r="P172" s="873"/>
      <c r="Q172" s="873"/>
      <c r="R172" s="873"/>
      <c r="S172" s="873"/>
      <c r="T172" s="873"/>
      <c r="U172" s="873"/>
      <c r="V172" s="873"/>
      <c r="W172" s="873"/>
      <c r="X172" s="873"/>
      <c r="Y172" s="873"/>
      <c r="Z172" s="873"/>
      <c r="AA172" s="873"/>
      <c r="AB172" s="873"/>
      <c r="AC172" s="873"/>
      <c r="AD172" s="873"/>
      <c r="AE172" s="873"/>
      <c r="AF172" s="873"/>
      <c r="AG172" s="873"/>
      <c r="AH172" s="873"/>
      <c r="AI172" s="873"/>
      <c r="AJ172" s="873"/>
      <c r="AK172" s="873"/>
      <c r="AL172" s="873"/>
      <c r="AM172" s="873"/>
      <c r="AN172" s="873"/>
      <c r="AO172" s="873"/>
      <c r="AP172" s="873"/>
      <c r="AQ172" s="873"/>
      <c r="AR172" s="873"/>
    </row>
    <row r="173" spans="1:44">
      <c r="A173" s="873"/>
      <c r="B173" s="873"/>
      <c r="C173" s="873"/>
      <c r="D173" s="873"/>
      <c r="E173" s="873"/>
      <c r="F173" s="873"/>
      <c r="G173" s="1" t="str">
        <f t="shared" si="36"/>
        <v>Dispersante</v>
      </c>
      <c r="H173" s="873"/>
      <c r="I173" s="873"/>
      <c r="J173" s="873"/>
      <c r="K173" s="873"/>
      <c r="L173" s="873"/>
      <c r="M173" s="873"/>
      <c r="N173" s="873"/>
      <c r="O173" s="873"/>
      <c r="P173" s="873"/>
      <c r="Q173" s="873"/>
      <c r="R173" s="873"/>
      <c r="S173" s="873"/>
      <c r="T173" s="873"/>
      <c r="U173" s="873"/>
      <c r="V173" s="873"/>
      <c r="W173" s="873"/>
      <c r="X173" s="873"/>
      <c r="Y173" s="873"/>
      <c r="Z173" s="873"/>
      <c r="AA173" s="873"/>
      <c r="AB173" s="873"/>
      <c r="AC173" s="873"/>
      <c r="AD173" s="873"/>
      <c r="AE173" s="873"/>
      <c r="AF173" s="873"/>
      <c r="AG173" s="873"/>
      <c r="AH173" s="873"/>
      <c r="AI173" s="873"/>
      <c r="AJ173" s="873"/>
      <c r="AK173" s="873"/>
      <c r="AL173" s="873"/>
      <c r="AM173" s="873"/>
      <c r="AN173" s="873"/>
      <c r="AO173" s="873"/>
      <c r="AP173" s="873"/>
      <c r="AQ173" s="873"/>
      <c r="AR173" s="873"/>
    </row>
    <row r="174" spans="1:44">
      <c r="A174" s="873"/>
      <c r="B174" s="873"/>
      <c r="C174" s="873"/>
      <c r="D174" s="873"/>
      <c r="E174" s="873"/>
      <c r="F174" s="873"/>
      <c r="G174" s="1" t="str">
        <f t="shared" si="36"/>
        <v>Dispersante</v>
      </c>
      <c r="H174" s="873"/>
      <c r="I174" s="873"/>
      <c r="J174" s="873"/>
      <c r="K174" s="873"/>
      <c r="L174" s="873"/>
      <c r="M174" s="873"/>
      <c r="N174" s="873"/>
      <c r="O174" s="873"/>
      <c r="P174" s="873"/>
      <c r="Q174" s="873"/>
      <c r="R174" s="873"/>
      <c r="S174" s="873"/>
      <c r="T174" s="873"/>
      <c r="U174" s="873"/>
      <c r="V174" s="873"/>
      <c r="W174" s="873"/>
      <c r="X174" s="873"/>
      <c r="Y174" s="873"/>
      <c r="Z174" s="873"/>
      <c r="AA174" s="873"/>
      <c r="AB174" s="873"/>
      <c r="AC174" s="873"/>
      <c r="AD174" s="873"/>
      <c r="AE174" s="873"/>
      <c r="AF174" s="873"/>
      <c r="AG174" s="873"/>
      <c r="AH174" s="873"/>
      <c r="AI174" s="873"/>
      <c r="AJ174" s="873"/>
      <c r="AK174" s="873"/>
      <c r="AL174" s="873"/>
      <c r="AM174" s="873"/>
      <c r="AN174" s="873"/>
      <c r="AO174" s="873"/>
      <c r="AP174" s="873"/>
      <c r="AQ174" s="873"/>
      <c r="AR174" s="873"/>
    </row>
    <row r="175" spans="1:44">
      <c r="A175" s="873"/>
      <c r="B175" s="873"/>
      <c r="C175" s="873"/>
      <c r="D175" s="873"/>
      <c r="E175" s="873"/>
      <c r="F175" s="873"/>
      <c r="G175" s="1" t="str">
        <f t="shared" si="36"/>
        <v>Dispersante</v>
      </c>
      <c r="H175" s="873"/>
      <c r="I175" s="873"/>
      <c r="J175" s="873"/>
      <c r="K175" s="873"/>
      <c r="L175" s="873"/>
      <c r="M175" s="873"/>
      <c r="N175" s="873"/>
      <c r="O175" s="873"/>
      <c r="P175" s="873"/>
      <c r="Q175" s="873"/>
      <c r="R175" s="873"/>
      <c r="S175" s="873"/>
      <c r="T175" s="873"/>
      <c r="U175" s="873"/>
      <c r="V175" s="873"/>
      <c r="W175" s="873"/>
      <c r="X175" s="873"/>
      <c r="Y175" s="873"/>
      <c r="Z175" s="873"/>
      <c r="AA175" s="873"/>
      <c r="AB175" s="873"/>
      <c r="AC175" s="873"/>
      <c r="AD175" s="873"/>
      <c r="AE175" s="873"/>
      <c r="AF175" s="873"/>
      <c r="AG175" s="873"/>
      <c r="AH175" s="873"/>
      <c r="AI175" s="873"/>
      <c r="AJ175" s="873"/>
      <c r="AK175" s="873"/>
      <c r="AL175" s="873"/>
      <c r="AM175" s="873"/>
      <c r="AN175" s="873"/>
      <c r="AO175" s="873"/>
      <c r="AP175" s="873"/>
      <c r="AQ175" s="873"/>
      <c r="AR175" s="873"/>
    </row>
    <row r="176" spans="1:44">
      <c r="A176" s="873"/>
      <c r="B176" s="873"/>
      <c r="C176" s="873"/>
      <c r="D176" s="873"/>
      <c r="E176" s="873"/>
      <c r="F176" s="873"/>
      <c r="G176" s="1" t="str">
        <f t="shared" si="36"/>
        <v>Dispersante</v>
      </c>
      <c r="H176" s="873"/>
      <c r="I176" s="873"/>
      <c r="J176" s="873"/>
      <c r="K176" s="873"/>
      <c r="L176" s="873"/>
      <c r="M176" s="873"/>
      <c r="N176" s="873"/>
      <c r="O176" s="873"/>
      <c r="P176" s="873"/>
      <c r="Q176" s="873"/>
      <c r="R176" s="873"/>
      <c r="S176" s="873"/>
      <c r="T176" s="873"/>
      <c r="U176" s="873"/>
      <c r="V176" s="873"/>
      <c r="W176" s="873"/>
      <c r="X176" s="873"/>
      <c r="Y176" s="873"/>
      <c r="Z176" s="873"/>
      <c r="AA176" s="873"/>
      <c r="AB176" s="873"/>
      <c r="AC176" s="873"/>
      <c r="AD176" s="873"/>
      <c r="AE176" s="873"/>
      <c r="AF176" s="873"/>
      <c r="AG176" s="873"/>
      <c r="AH176" s="873"/>
      <c r="AI176" s="873"/>
      <c r="AJ176" s="873"/>
      <c r="AK176" s="873"/>
      <c r="AL176" s="873"/>
      <c r="AM176" s="873"/>
      <c r="AN176" s="873"/>
      <c r="AO176" s="873"/>
      <c r="AP176" s="873"/>
      <c r="AQ176" s="873"/>
      <c r="AR176" s="873"/>
    </row>
    <row r="177" spans="1:44">
      <c r="A177" s="873"/>
      <c r="B177" s="873"/>
      <c r="C177" s="873"/>
      <c r="D177" s="873"/>
      <c r="E177" s="873"/>
      <c r="F177" s="873"/>
      <c r="G177" s="1" t="str">
        <f t="shared" si="36"/>
        <v>Dispersante</v>
      </c>
      <c r="H177" s="873"/>
      <c r="I177" s="873"/>
      <c r="J177" s="873"/>
      <c r="K177" s="873"/>
      <c r="L177" s="873"/>
      <c r="M177" s="873"/>
      <c r="N177" s="873"/>
      <c r="O177" s="873"/>
      <c r="P177" s="873"/>
      <c r="Q177" s="873"/>
      <c r="R177" s="873"/>
      <c r="S177" s="873"/>
      <c r="T177" s="873"/>
      <c r="U177" s="873"/>
      <c r="V177" s="873"/>
      <c r="W177" s="873"/>
      <c r="X177" s="873"/>
      <c r="Y177" s="873"/>
      <c r="Z177" s="873"/>
      <c r="AA177" s="873"/>
      <c r="AB177" s="873"/>
      <c r="AC177" s="873"/>
      <c r="AD177" s="873"/>
      <c r="AE177" s="873"/>
      <c r="AF177" s="873"/>
      <c r="AG177" s="873"/>
      <c r="AH177" s="873"/>
      <c r="AI177" s="873"/>
      <c r="AJ177" s="873"/>
      <c r="AK177" s="873"/>
      <c r="AL177" s="873"/>
      <c r="AM177" s="873"/>
      <c r="AN177" s="873"/>
      <c r="AO177" s="873"/>
      <c r="AP177" s="873"/>
      <c r="AQ177" s="873"/>
      <c r="AR177" s="873"/>
    </row>
    <row r="178" spans="1:44">
      <c r="A178" s="873"/>
      <c r="B178" s="873"/>
      <c r="C178" s="873"/>
      <c r="D178" s="873"/>
      <c r="E178" s="873"/>
      <c r="F178" s="873"/>
      <c r="G178" s="1" t="str">
        <f t="shared" si="36"/>
        <v>Dispersante</v>
      </c>
      <c r="H178" s="873"/>
      <c r="I178" s="873"/>
      <c r="J178" s="873"/>
      <c r="K178" s="873"/>
      <c r="L178" s="873"/>
      <c r="M178" s="873"/>
      <c r="N178" s="873"/>
      <c r="O178" s="873"/>
      <c r="P178" s="873"/>
      <c r="Q178" s="873"/>
      <c r="R178" s="873"/>
      <c r="S178" s="873"/>
      <c r="T178" s="873"/>
      <c r="U178" s="873"/>
      <c r="V178" s="873"/>
      <c r="W178" s="873"/>
      <c r="X178" s="873"/>
      <c r="Y178" s="873"/>
      <c r="Z178" s="873"/>
      <c r="AA178" s="873"/>
      <c r="AB178" s="873"/>
      <c r="AC178" s="873"/>
      <c r="AD178" s="873"/>
      <c r="AE178" s="873"/>
      <c r="AF178" s="873"/>
      <c r="AG178" s="873"/>
      <c r="AH178" s="873"/>
      <c r="AI178" s="873"/>
      <c r="AJ178" s="873"/>
      <c r="AK178" s="873"/>
      <c r="AL178" s="873"/>
      <c r="AM178" s="873"/>
      <c r="AN178" s="873"/>
      <c r="AO178" s="873"/>
      <c r="AP178" s="873"/>
      <c r="AQ178" s="873"/>
      <c r="AR178" s="873"/>
    </row>
    <row r="179" spans="1:44">
      <c r="A179" s="873"/>
      <c r="B179" s="873"/>
      <c r="C179" s="873"/>
      <c r="D179" s="873"/>
      <c r="E179" s="873"/>
      <c r="F179" s="873"/>
      <c r="G179" s="1" t="str">
        <f t="shared" si="36"/>
        <v>Dispersante</v>
      </c>
      <c r="H179" s="873"/>
      <c r="I179" s="873"/>
      <c r="J179" s="873"/>
      <c r="K179" s="873"/>
      <c r="L179" s="873"/>
      <c r="M179" s="873"/>
      <c r="N179" s="873"/>
      <c r="O179" s="873"/>
      <c r="P179" s="873"/>
      <c r="Q179" s="873"/>
      <c r="R179" s="873"/>
      <c r="S179" s="873"/>
      <c r="T179" s="873"/>
      <c r="U179" s="873"/>
      <c r="V179" s="873"/>
      <c r="W179" s="873"/>
      <c r="X179" s="873"/>
      <c r="Y179" s="873"/>
      <c r="Z179" s="873"/>
      <c r="AA179" s="873"/>
      <c r="AB179" s="873"/>
      <c r="AC179" s="873"/>
      <c r="AD179" s="873"/>
      <c r="AE179" s="873"/>
      <c r="AF179" s="873"/>
      <c r="AG179" s="873"/>
      <c r="AH179" s="873"/>
      <c r="AI179" s="873"/>
      <c r="AJ179" s="873"/>
      <c r="AK179" s="873"/>
      <c r="AL179" s="873"/>
      <c r="AM179" s="873"/>
      <c r="AN179" s="873"/>
      <c r="AO179" s="873"/>
      <c r="AP179" s="873"/>
      <c r="AQ179" s="873"/>
      <c r="AR179" s="873"/>
    </row>
    <row r="180" spans="1:44">
      <c r="A180" s="873"/>
      <c r="B180" s="873"/>
      <c r="C180" s="873"/>
      <c r="D180" s="873"/>
      <c r="E180" s="873"/>
      <c r="F180" s="873"/>
      <c r="G180" s="1" t="str">
        <f t="shared" si="36"/>
        <v>Dispersante</v>
      </c>
      <c r="H180" s="873"/>
      <c r="I180" s="873"/>
      <c r="J180" s="873"/>
      <c r="K180" s="873"/>
      <c r="L180" s="873"/>
      <c r="M180" s="873"/>
      <c r="N180" s="873"/>
      <c r="O180" s="873"/>
      <c r="P180" s="873"/>
      <c r="Q180" s="873"/>
      <c r="R180" s="873"/>
      <c r="S180" s="873"/>
      <c r="T180" s="873"/>
      <c r="U180" s="873"/>
      <c r="V180" s="873"/>
      <c r="W180" s="873"/>
      <c r="X180" s="873"/>
      <c r="Y180" s="873"/>
      <c r="Z180" s="873"/>
      <c r="AA180" s="873"/>
      <c r="AB180" s="873"/>
      <c r="AC180" s="873"/>
      <c r="AD180" s="873"/>
      <c r="AE180" s="873"/>
      <c r="AF180" s="873"/>
      <c r="AG180" s="873"/>
      <c r="AH180" s="873"/>
      <c r="AI180" s="873"/>
      <c r="AJ180" s="873"/>
      <c r="AK180" s="873"/>
      <c r="AL180" s="873"/>
      <c r="AM180" s="873"/>
      <c r="AN180" s="873"/>
      <c r="AO180" s="873"/>
      <c r="AP180" s="873"/>
      <c r="AQ180" s="873"/>
      <c r="AR180" s="873"/>
    </row>
    <row r="181" spans="1:44">
      <c r="A181" s="873"/>
      <c r="B181" s="873"/>
      <c r="C181" s="873"/>
      <c r="D181" s="873"/>
      <c r="E181" s="873"/>
      <c r="F181" s="873"/>
      <c r="G181" s="1" t="s">
        <v>355</v>
      </c>
      <c r="L181" s="873"/>
      <c r="N181" s="873"/>
      <c r="O181" s="873"/>
      <c r="P181" s="873"/>
      <c r="Q181" s="873"/>
      <c r="R181" s="873"/>
      <c r="S181" s="873"/>
      <c r="T181" s="873"/>
      <c r="U181" s="873"/>
      <c r="V181" s="873"/>
      <c r="W181" s="873"/>
      <c r="X181" s="873"/>
      <c r="Y181" s="873"/>
      <c r="Z181" s="873"/>
      <c r="AA181" s="873"/>
      <c r="AB181" s="873"/>
      <c r="AC181" s="873"/>
      <c r="AD181" s="873"/>
      <c r="AE181" s="873"/>
      <c r="AF181" s="873"/>
      <c r="AG181" s="873"/>
      <c r="AH181" s="873"/>
      <c r="AI181" s="873"/>
      <c r="AJ181" s="873"/>
      <c r="AK181" s="873"/>
      <c r="AL181" s="873"/>
      <c r="AM181" s="873"/>
      <c r="AN181" s="873"/>
      <c r="AO181" s="873"/>
      <c r="AP181" s="873"/>
      <c r="AQ181" s="873"/>
      <c r="AR181" s="873"/>
    </row>
    <row r="182" spans="1:44">
      <c r="A182" s="873"/>
      <c r="B182" s="873"/>
      <c r="C182" s="873"/>
      <c r="D182" s="873"/>
      <c r="E182" s="873"/>
      <c r="F182" s="873"/>
      <c r="G182" s="1" t="str">
        <f t="shared" ref="G182:G197" si="37">G181</f>
        <v>Custo AE + DP</v>
      </c>
      <c r="L182" s="873"/>
      <c r="N182" s="873"/>
      <c r="O182" s="873"/>
      <c r="P182" s="873"/>
      <c r="Q182" s="873"/>
      <c r="R182" s="873"/>
      <c r="S182" s="873"/>
      <c r="T182" s="873"/>
      <c r="U182" s="873"/>
      <c r="V182" s="873"/>
      <c r="W182" s="873"/>
      <c r="X182" s="873"/>
      <c r="Y182" s="873"/>
      <c r="Z182" s="873"/>
      <c r="AA182" s="873"/>
      <c r="AB182" s="873"/>
      <c r="AC182" s="873"/>
      <c r="AD182" s="873"/>
      <c r="AE182" s="873"/>
      <c r="AF182" s="873"/>
      <c r="AG182" s="873"/>
      <c r="AH182" s="873"/>
      <c r="AI182" s="873"/>
      <c r="AJ182" s="873"/>
      <c r="AK182" s="873"/>
      <c r="AL182" s="873"/>
      <c r="AM182" s="873"/>
      <c r="AN182" s="873"/>
      <c r="AO182" s="873"/>
      <c r="AP182" s="873"/>
      <c r="AQ182" s="873"/>
      <c r="AR182" s="873"/>
    </row>
    <row r="183" spans="1:44">
      <c r="A183" s="873"/>
      <c r="B183" s="873"/>
      <c r="C183" s="873"/>
      <c r="D183" s="873"/>
      <c r="E183" s="873"/>
      <c r="F183" s="873"/>
      <c r="G183" s="1" t="str">
        <f t="shared" si="37"/>
        <v>Custo AE + DP</v>
      </c>
      <c r="L183" s="873"/>
      <c r="N183" s="873"/>
      <c r="O183" s="873"/>
      <c r="P183" s="873"/>
      <c r="Q183" s="873"/>
      <c r="R183" s="873"/>
      <c r="S183" s="873"/>
      <c r="T183" s="873"/>
      <c r="U183" s="873"/>
      <c r="V183" s="873"/>
      <c r="W183" s="873"/>
      <c r="X183" s="873"/>
      <c r="Y183" s="873"/>
      <c r="Z183" s="873"/>
      <c r="AA183" s="873"/>
      <c r="AB183" s="873"/>
      <c r="AC183" s="873"/>
      <c r="AD183" s="873"/>
      <c r="AE183" s="873"/>
      <c r="AF183" s="873"/>
      <c r="AG183" s="873"/>
      <c r="AH183" s="873"/>
      <c r="AI183" s="873"/>
      <c r="AJ183" s="873"/>
      <c r="AK183" s="873"/>
      <c r="AL183" s="873"/>
      <c r="AM183" s="873"/>
      <c r="AN183" s="873"/>
      <c r="AO183" s="873"/>
      <c r="AP183" s="873"/>
      <c r="AQ183" s="873"/>
      <c r="AR183" s="873"/>
    </row>
    <row r="184" spans="1:44">
      <c r="A184" s="873"/>
      <c r="B184" s="873"/>
      <c r="C184" s="873"/>
      <c r="D184" s="873"/>
      <c r="E184" s="873"/>
      <c r="F184" s="873"/>
      <c r="G184" s="1" t="str">
        <f t="shared" si="37"/>
        <v>Custo AE + DP</v>
      </c>
      <c r="L184" s="873"/>
      <c r="N184" s="873"/>
      <c r="O184" s="873"/>
      <c r="P184" s="873"/>
      <c r="Q184" s="873"/>
      <c r="R184" s="873"/>
      <c r="S184" s="873"/>
      <c r="T184" s="873"/>
      <c r="U184" s="873"/>
      <c r="V184" s="873"/>
      <c r="W184" s="873"/>
      <c r="X184" s="873"/>
      <c r="Y184" s="873"/>
      <c r="Z184" s="873"/>
      <c r="AA184" s="873"/>
      <c r="AB184" s="873"/>
      <c r="AC184" s="873"/>
      <c r="AD184" s="873"/>
      <c r="AE184" s="873"/>
      <c r="AF184" s="873"/>
      <c r="AG184" s="873"/>
      <c r="AH184" s="873"/>
      <c r="AI184" s="873"/>
      <c r="AJ184" s="873"/>
      <c r="AK184" s="873"/>
      <c r="AL184" s="873"/>
      <c r="AM184" s="873"/>
      <c r="AN184" s="873"/>
      <c r="AO184" s="873"/>
      <c r="AP184" s="873"/>
      <c r="AQ184" s="873"/>
      <c r="AR184" s="873"/>
    </row>
    <row r="185" spans="1:44">
      <c r="A185" s="873"/>
      <c r="B185" s="873"/>
      <c r="C185" s="873"/>
      <c r="D185" s="873"/>
      <c r="E185" s="873"/>
      <c r="F185" s="873"/>
      <c r="G185" s="1" t="str">
        <f t="shared" si="37"/>
        <v>Custo AE + DP</v>
      </c>
      <c r="L185" s="873"/>
      <c r="N185" s="873"/>
      <c r="O185" s="873"/>
      <c r="P185" s="873"/>
      <c r="Q185" s="873"/>
      <c r="R185" s="873"/>
      <c r="S185" s="873"/>
      <c r="T185" s="873"/>
      <c r="U185" s="873"/>
      <c r="V185" s="873"/>
      <c r="W185" s="873"/>
      <c r="X185" s="873"/>
      <c r="Y185" s="873"/>
      <c r="Z185" s="873"/>
      <c r="AA185" s="873"/>
      <c r="AB185" s="873"/>
      <c r="AC185" s="873"/>
      <c r="AD185" s="873"/>
      <c r="AE185" s="873"/>
      <c r="AF185" s="873"/>
      <c r="AG185" s="873"/>
      <c r="AH185" s="873"/>
      <c r="AI185" s="873"/>
      <c r="AJ185" s="873"/>
      <c r="AK185" s="873"/>
      <c r="AL185" s="873"/>
      <c r="AM185" s="873"/>
      <c r="AN185" s="873"/>
      <c r="AO185" s="873"/>
      <c r="AP185" s="873"/>
      <c r="AQ185" s="873"/>
      <c r="AR185" s="873"/>
    </row>
    <row r="186" spans="1:44">
      <c r="A186" s="873"/>
      <c r="B186" s="873"/>
      <c r="C186" s="873"/>
      <c r="D186" s="873"/>
      <c r="E186" s="873"/>
      <c r="F186" s="873"/>
      <c r="G186" s="1" t="str">
        <f t="shared" si="37"/>
        <v>Custo AE + DP</v>
      </c>
      <c r="L186" s="873"/>
      <c r="N186" s="873"/>
      <c r="O186" s="873"/>
      <c r="P186" s="873"/>
      <c r="Q186" s="873"/>
      <c r="R186" s="873"/>
      <c r="S186" s="873"/>
      <c r="T186" s="873"/>
      <c r="U186" s="873"/>
      <c r="V186" s="873"/>
      <c r="W186" s="873"/>
      <c r="X186" s="873"/>
      <c r="Y186" s="873"/>
      <c r="Z186" s="873"/>
      <c r="AA186" s="873"/>
      <c r="AB186" s="873"/>
      <c r="AC186" s="873"/>
      <c r="AD186" s="873"/>
      <c r="AE186" s="873"/>
      <c r="AF186" s="873"/>
      <c r="AG186" s="873"/>
      <c r="AH186" s="873"/>
      <c r="AI186" s="873"/>
      <c r="AJ186" s="873"/>
      <c r="AK186" s="873"/>
      <c r="AL186" s="873"/>
      <c r="AM186" s="873"/>
      <c r="AN186" s="873"/>
      <c r="AO186" s="873"/>
      <c r="AP186" s="873"/>
      <c r="AQ186" s="873"/>
      <c r="AR186" s="873"/>
    </row>
    <row r="187" spans="1:44">
      <c r="A187" s="873"/>
      <c r="B187" s="873"/>
      <c r="C187" s="873"/>
      <c r="D187" s="873"/>
      <c r="E187" s="873"/>
      <c r="F187" s="873"/>
      <c r="G187" s="1" t="str">
        <f t="shared" si="37"/>
        <v>Custo AE + DP</v>
      </c>
      <c r="L187" s="873"/>
      <c r="N187" s="873"/>
      <c r="O187" s="873"/>
      <c r="P187" s="873"/>
      <c r="Q187" s="873"/>
      <c r="R187" s="873"/>
      <c r="S187" s="873"/>
      <c r="T187" s="873"/>
      <c r="U187" s="873"/>
      <c r="V187" s="873"/>
      <c r="W187" s="873"/>
      <c r="X187" s="873"/>
      <c r="Y187" s="873"/>
      <c r="Z187" s="873"/>
      <c r="AA187" s="873"/>
      <c r="AB187" s="873"/>
      <c r="AC187" s="873"/>
      <c r="AD187" s="873"/>
      <c r="AE187" s="873"/>
      <c r="AF187" s="873"/>
      <c r="AG187" s="873"/>
      <c r="AH187" s="873"/>
      <c r="AI187" s="873"/>
      <c r="AJ187" s="873"/>
      <c r="AK187" s="873"/>
      <c r="AL187" s="873"/>
      <c r="AM187" s="873"/>
      <c r="AN187" s="873"/>
      <c r="AO187" s="873"/>
      <c r="AP187" s="873"/>
      <c r="AQ187" s="873"/>
      <c r="AR187" s="873"/>
    </row>
    <row r="188" spans="1:44">
      <c r="A188" s="873"/>
      <c r="B188" s="873"/>
      <c r="C188" s="873"/>
      <c r="D188" s="873"/>
      <c r="E188" s="873"/>
      <c r="F188" s="873"/>
      <c r="G188" s="1" t="str">
        <f t="shared" si="37"/>
        <v>Custo AE + DP</v>
      </c>
      <c r="H188" s="873"/>
      <c r="I188" s="873"/>
      <c r="J188" s="873"/>
      <c r="K188" s="873"/>
      <c r="L188" s="873"/>
      <c r="M188" s="873"/>
      <c r="N188" s="873"/>
      <c r="O188" s="873"/>
      <c r="P188" s="873"/>
      <c r="Q188" s="873"/>
      <c r="R188" s="873"/>
      <c r="S188" s="873"/>
      <c r="T188" s="873"/>
      <c r="U188" s="873"/>
      <c r="V188" s="873"/>
      <c r="W188" s="873"/>
      <c r="X188" s="873"/>
      <c r="Y188" s="873"/>
      <c r="Z188" s="873"/>
      <c r="AA188" s="873"/>
      <c r="AB188" s="873"/>
      <c r="AC188" s="873"/>
      <c r="AD188" s="873"/>
      <c r="AE188" s="873"/>
      <c r="AF188" s="873"/>
      <c r="AG188" s="873"/>
      <c r="AH188" s="873"/>
      <c r="AI188" s="873"/>
      <c r="AJ188" s="873"/>
      <c r="AK188" s="873"/>
      <c r="AL188" s="873"/>
      <c r="AM188" s="873"/>
      <c r="AN188" s="873"/>
      <c r="AO188" s="873"/>
      <c r="AP188" s="873"/>
      <c r="AQ188" s="873"/>
      <c r="AR188" s="873"/>
    </row>
    <row r="189" spans="1:44">
      <c r="A189" s="873"/>
      <c r="B189" s="873"/>
      <c r="C189" s="873"/>
      <c r="D189" s="873"/>
      <c r="E189" s="873"/>
      <c r="F189" s="873"/>
      <c r="G189" s="1" t="str">
        <f t="shared" si="37"/>
        <v>Custo AE + DP</v>
      </c>
      <c r="H189" s="873"/>
      <c r="I189" s="873"/>
      <c r="J189" s="873"/>
      <c r="K189" s="873"/>
      <c r="L189" s="873"/>
      <c r="M189" s="873"/>
      <c r="N189" s="873"/>
      <c r="O189" s="873"/>
      <c r="P189" s="873"/>
      <c r="Q189" s="873"/>
      <c r="R189" s="873"/>
      <c r="S189" s="873"/>
      <c r="T189" s="873"/>
      <c r="U189" s="873"/>
      <c r="V189" s="873"/>
      <c r="W189" s="873"/>
      <c r="X189" s="873"/>
      <c r="Y189" s="873"/>
      <c r="Z189" s="873"/>
      <c r="AA189" s="873"/>
      <c r="AB189" s="873"/>
      <c r="AC189" s="873"/>
      <c r="AD189" s="873"/>
      <c r="AE189" s="873"/>
      <c r="AF189" s="873"/>
      <c r="AG189" s="873"/>
      <c r="AH189" s="873"/>
      <c r="AI189" s="873"/>
      <c r="AJ189" s="873"/>
      <c r="AK189" s="873"/>
      <c r="AL189" s="873"/>
      <c r="AM189" s="873"/>
      <c r="AN189" s="873"/>
      <c r="AO189" s="873"/>
      <c r="AP189" s="873"/>
      <c r="AQ189" s="873"/>
      <c r="AR189" s="873"/>
    </row>
    <row r="190" spans="1:44">
      <c r="A190" s="873"/>
      <c r="B190" s="873"/>
      <c r="C190" s="873"/>
      <c r="D190" s="873"/>
      <c r="E190" s="873"/>
      <c r="F190" s="873"/>
      <c r="G190" s="1" t="str">
        <f t="shared" si="37"/>
        <v>Custo AE + DP</v>
      </c>
      <c r="H190" s="873"/>
      <c r="I190" s="873"/>
      <c r="J190" s="873"/>
      <c r="K190" s="873"/>
      <c r="L190" s="873"/>
      <c r="M190" s="873"/>
      <c r="N190" s="873"/>
      <c r="O190" s="873"/>
      <c r="P190" s="873"/>
      <c r="Q190" s="873"/>
      <c r="R190" s="873"/>
      <c r="S190" s="873"/>
      <c r="T190" s="873"/>
      <c r="U190" s="873"/>
      <c r="V190" s="873"/>
      <c r="W190" s="873"/>
      <c r="X190" s="873"/>
      <c r="Y190" s="873"/>
      <c r="Z190" s="873"/>
      <c r="AA190" s="873"/>
      <c r="AB190" s="873"/>
      <c r="AC190" s="873"/>
      <c r="AD190" s="873"/>
      <c r="AE190" s="873"/>
      <c r="AF190" s="873"/>
      <c r="AG190" s="873"/>
      <c r="AH190" s="873"/>
      <c r="AI190" s="873"/>
      <c r="AJ190" s="873"/>
      <c r="AK190" s="873"/>
      <c r="AL190" s="873"/>
      <c r="AM190" s="873"/>
      <c r="AN190" s="873"/>
      <c r="AO190" s="873"/>
      <c r="AP190" s="873"/>
      <c r="AQ190" s="873"/>
      <c r="AR190" s="873"/>
    </row>
    <row r="191" spans="1:44">
      <c r="A191" s="873"/>
      <c r="B191" s="873"/>
      <c r="C191" s="873"/>
      <c r="D191" s="873"/>
      <c r="E191" s="873"/>
      <c r="F191" s="873"/>
      <c r="G191" s="1" t="str">
        <f t="shared" si="37"/>
        <v>Custo AE + DP</v>
      </c>
      <c r="H191" s="873"/>
      <c r="I191" s="873"/>
      <c r="J191" s="873"/>
      <c r="K191" s="873"/>
      <c r="L191" s="873"/>
      <c r="M191" s="873"/>
      <c r="N191" s="873"/>
      <c r="O191" s="873"/>
      <c r="P191" s="873"/>
      <c r="Q191" s="873"/>
      <c r="R191" s="873"/>
      <c r="S191" s="873"/>
      <c r="T191" s="873"/>
      <c r="U191" s="873"/>
      <c r="V191" s="873"/>
      <c r="W191" s="873"/>
      <c r="X191" s="873"/>
      <c r="Y191" s="873"/>
      <c r="Z191" s="873"/>
      <c r="AA191" s="873"/>
      <c r="AB191" s="873"/>
      <c r="AC191" s="873"/>
      <c r="AD191" s="873"/>
      <c r="AE191" s="873"/>
      <c r="AF191" s="873"/>
      <c r="AG191" s="873"/>
      <c r="AH191" s="873"/>
      <c r="AI191" s="873"/>
      <c r="AJ191" s="873"/>
      <c r="AK191" s="873"/>
      <c r="AL191" s="873"/>
      <c r="AM191" s="873"/>
      <c r="AN191" s="873"/>
      <c r="AO191" s="873"/>
      <c r="AP191" s="873"/>
      <c r="AQ191" s="873"/>
      <c r="AR191" s="873"/>
    </row>
    <row r="192" spans="1:44">
      <c r="A192" s="873"/>
      <c r="B192" s="873"/>
      <c r="C192" s="873"/>
      <c r="D192" s="873"/>
      <c r="E192" s="873"/>
      <c r="F192" s="873"/>
      <c r="G192" s="1" t="str">
        <f t="shared" si="37"/>
        <v>Custo AE + DP</v>
      </c>
      <c r="H192" s="873"/>
      <c r="I192" s="873"/>
      <c r="J192" s="873"/>
      <c r="K192" s="873"/>
      <c r="L192" s="873"/>
      <c r="M192" s="873"/>
      <c r="N192" s="873"/>
      <c r="O192" s="873"/>
      <c r="P192" s="873"/>
      <c r="Q192" s="873"/>
      <c r="R192" s="873"/>
      <c r="S192" s="873"/>
      <c r="T192" s="873"/>
      <c r="U192" s="873"/>
      <c r="V192" s="873"/>
      <c r="W192" s="873"/>
      <c r="X192" s="873"/>
      <c r="Y192" s="873"/>
      <c r="Z192" s="873"/>
      <c r="AA192" s="873"/>
      <c r="AB192" s="873"/>
      <c r="AC192" s="873"/>
      <c r="AD192" s="873"/>
      <c r="AE192" s="873"/>
      <c r="AF192" s="873"/>
      <c r="AG192" s="873"/>
      <c r="AH192" s="873"/>
      <c r="AI192" s="873"/>
      <c r="AJ192" s="873"/>
      <c r="AK192" s="873"/>
      <c r="AL192" s="873"/>
      <c r="AM192" s="873"/>
      <c r="AN192" s="873"/>
      <c r="AO192" s="873"/>
      <c r="AP192" s="873"/>
      <c r="AQ192" s="873"/>
      <c r="AR192" s="873"/>
    </row>
    <row r="193" spans="1:44">
      <c r="A193" s="873"/>
      <c r="B193" s="873"/>
      <c r="C193" s="873"/>
      <c r="D193" s="873"/>
      <c r="E193" s="873"/>
      <c r="F193" s="873"/>
      <c r="G193" s="1" t="str">
        <f t="shared" si="37"/>
        <v>Custo AE + DP</v>
      </c>
      <c r="H193" s="873"/>
      <c r="I193" s="873"/>
      <c r="J193" s="873"/>
      <c r="K193" s="873"/>
      <c r="L193" s="873"/>
      <c r="M193" s="873"/>
      <c r="N193" s="873"/>
      <c r="O193" s="873"/>
      <c r="P193" s="873"/>
      <c r="Q193" s="873"/>
      <c r="R193" s="873"/>
      <c r="S193" s="873"/>
      <c r="T193" s="873"/>
      <c r="U193" s="873"/>
      <c r="V193" s="873"/>
      <c r="W193" s="873"/>
      <c r="X193" s="873"/>
      <c r="Y193" s="873"/>
      <c r="Z193" s="873"/>
      <c r="AA193" s="873"/>
      <c r="AB193" s="873"/>
      <c r="AC193" s="873"/>
      <c r="AD193" s="873"/>
      <c r="AE193" s="873"/>
      <c r="AF193" s="873"/>
      <c r="AG193" s="873"/>
      <c r="AH193" s="873"/>
      <c r="AI193" s="873"/>
      <c r="AJ193" s="873"/>
      <c r="AK193" s="873"/>
      <c r="AL193" s="873"/>
      <c r="AM193" s="873"/>
      <c r="AN193" s="873"/>
      <c r="AO193" s="873"/>
      <c r="AP193" s="873"/>
      <c r="AQ193" s="873"/>
      <c r="AR193" s="873"/>
    </row>
    <row r="194" spans="1:44">
      <c r="A194" s="873"/>
      <c r="B194" s="873"/>
      <c r="C194" s="873"/>
      <c r="D194" s="873"/>
      <c r="E194" s="873"/>
      <c r="F194" s="873"/>
      <c r="G194" s="1" t="str">
        <f t="shared" si="37"/>
        <v>Custo AE + DP</v>
      </c>
      <c r="H194" s="873"/>
      <c r="I194" s="873"/>
      <c r="J194" s="873"/>
      <c r="K194" s="873"/>
      <c r="L194" s="873"/>
      <c r="M194" s="873"/>
      <c r="N194" s="873"/>
      <c r="O194" s="873"/>
      <c r="P194" s="873"/>
      <c r="Q194" s="873"/>
      <c r="R194" s="873"/>
      <c r="S194" s="873"/>
      <c r="T194" s="873"/>
      <c r="U194" s="873"/>
      <c r="V194" s="873"/>
      <c r="W194" s="873"/>
      <c r="X194" s="873"/>
      <c r="Y194" s="873"/>
      <c r="Z194" s="873"/>
      <c r="AA194" s="873"/>
      <c r="AB194" s="873"/>
      <c r="AC194" s="873"/>
      <c r="AD194" s="873"/>
      <c r="AE194" s="873"/>
      <c r="AF194" s="873"/>
      <c r="AG194" s="873"/>
      <c r="AH194" s="873"/>
      <c r="AI194" s="873"/>
      <c r="AJ194" s="873"/>
      <c r="AK194" s="873"/>
      <c r="AL194" s="873"/>
      <c r="AM194" s="873"/>
      <c r="AN194" s="873"/>
      <c r="AO194" s="873"/>
      <c r="AP194" s="873"/>
      <c r="AQ194" s="873"/>
      <c r="AR194" s="873"/>
    </row>
    <row r="195" spans="1:44">
      <c r="A195" s="873"/>
      <c r="B195" s="873"/>
      <c r="C195" s="873"/>
      <c r="D195" s="873"/>
      <c r="E195" s="873"/>
      <c r="F195" s="873"/>
      <c r="G195" s="1" t="str">
        <f t="shared" si="37"/>
        <v>Custo AE + DP</v>
      </c>
      <c r="H195" s="873"/>
      <c r="I195" s="873"/>
      <c r="J195" s="873"/>
      <c r="K195" s="873"/>
      <c r="L195" s="873"/>
      <c r="M195" s="873"/>
      <c r="N195" s="873"/>
      <c r="O195" s="873"/>
      <c r="P195" s="873"/>
      <c r="Q195" s="873"/>
      <c r="R195" s="873"/>
      <c r="S195" s="873"/>
      <c r="T195" s="873"/>
      <c r="U195" s="873"/>
      <c r="V195" s="873"/>
      <c r="W195" s="873"/>
      <c r="X195" s="873"/>
      <c r="Y195" s="873"/>
      <c r="Z195" s="873"/>
      <c r="AA195" s="873"/>
      <c r="AB195" s="873"/>
      <c r="AC195" s="873"/>
      <c r="AD195" s="873"/>
      <c r="AE195" s="873"/>
      <c r="AF195" s="873"/>
      <c r="AG195" s="873"/>
      <c r="AH195" s="873"/>
      <c r="AI195" s="873"/>
      <c r="AJ195" s="873"/>
      <c r="AK195" s="873"/>
      <c r="AL195" s="873"/>
      <c r="AM195" s="873"/>
      <c r="AN195" s="873"/>
      <c r="AO195" s="873"/>
      <c r="AP195" s="873"/>
      <c r="AQ195" s="873"/>
      <c r="AR195" s="873"/>
    </row>
    <row r="196" spans="1:44">
      <c r="A196" s="873"/>
      <c r="B196" s="873"/>
      <c r="C196" s="873"/>
      <c r="D196" s="873"/>
      <c r="E196" s="873"/>
      <c r="F196" s="873"/>
      <c r="G196" s="1" t="str">
        <f t="shared" si="37"/>
        <v>Custo AE + DP</v>
      </c>
      <c r="H196" s="873"/>
      <c r="I196" s="873"/>
      <c r="J196" s="873"/>
      <c r="K196" s="873"/>
      <c r="L196" s="873"/>
      <c r="M196" s="873"/>
      <c r="N196" s="873"/>
      <c r="O196" s="873"/>
      <c r="P196" s="873"/>
      <c r="Q196" s="873"/>
      <c r="R196" s="873"/>
      <c r="S196" s="873"/>
      <c r="T196" s="873"/>
      <c r="U196" s="873"/>
      <c r="V196" s="873"/>
      <c r="W196" s="873"/>
      <c r="X196" s="873"/>
      <c r="Y196" s="873"/>
      <c r="Z196" s="873"/>
      <c r="AA196" s="873"/>
      <c r="AB196" s="873"/>
      <c r="AC196" s="873"/>
      <c r="AD196" s="873"/>
      <c r="AE196" s="873"/>
      <c r="AF196" s="873"/>
      <c r="AG196" s="873"/>
      <c r="AH196" s="873"/>
      <c r="AI196" s="873"/>
      <c r="AJ196" s="873"/>
      <c r="AK196" s="873"/>
      <c r="AL196" s="873"/>
      <c r="AM196" s="873"/>
      <c r="AN196" s="873"/>
      <c r="AO196" s="873"/>
      <c r="AP196" s="873"/>
      <c r="AQ196" s="873"/>
      <c r="AR196" s="873"/>
    </row>
    <row r="197" spans="1:44">
      <c r="A197" s="873"/>
      <c r="B197" s="873"/>
      <c r="C197" s="873"/>
      <c r="D197" s="873"/>
      <c r="E197" s="873"/>
      <c r="F197" s="873"/>
      <c r="G197" s="1" t="str">
        <f t="shared" si="37"/>
        <v>Custo AE + DP</v>
      </c>
      <c r="H197" s="873"/>
      <c r="I197" s="873"/>
      <c r="J197" s="873"/>
      <c r="K197" s="873"/>
      <c r="L197" s="873"/>
      <c r="M197" s="873"/>
      <c r="N197" s="873"/>
      <c r="O197" s="873"/>
      <c r="P197" s="873"/>
      <c r="Q197" s="873"/>
      <c r="R197" s="873"/>
      <c r="S197" s="873"/>
      <c r="T197" s="873"/>
      <c r="U197" s="873"/>
      <c r="V197" s="873"/>
      <c r="W197" s="873"/>
      <c r="X197" s="873"/>
      <c r="Y197" s="873"/>
      <c r="Z197" s="873"/>
      <c r="AA197" s="873"/>
      <c r="AB197" s="873"/>
      <c r="AC197" s="873"/>
      <c r="AD197" s="873"/>
      <c r="AE197" s="873"/>
      <c r="AF197" s="873"/>
      <c r="AG197" s="873"/>
      <c r="AH197" s="873"/>
      <c r="AI197" s="873"/>
      <c r="AJ197" s="873"/>
      <c r="AK197" s="873"/>
      <c r="AL197" s="873"/>
      <c r="AM197" s="873"/>
      <c r="AN197" s="873"/>
      <c r="AO197" s="873"/>
      <c r="AP197" s="873"/>
      <c r="AQ197" s="873"/>
      <c r="AR197" s="873"/>
    </row>
    <row r="198" spans="1:44">
      <c r="A198" s="873"/>
      <c r="B198" s="873"/>
      <c r="C198" s="873"/>
      <c r="D198" s="873"/>
      <c r="E198" s="873"/>
      <c r="F198" s="873"/>
      <c r="G198" s="1" t="s">
        <v>93</v>
      </c>
      <c r="L198" s="873"/>
      <c r="N198" s="873"/>
      <c r="O198" s="873"/>
      <c r="P198" s="873"/>
      <c r="Q198" s="873"/>
      <c r="R198" s="873"/>
      <c r="S198" s="873"/>
      <c r="T198" s="873"/>
      <c r="U198" s="873"/>
      <c r="V198" s="873"/>
      <c r="W198" s="873"/>
      <c r="X198" s="873"/>
      <c r="Y198" s="873"/>
      <c r="Z198" s="873"/>
      <c r="AA198" s="873"/>
      <c r="AB198" s="873"/>
      <c r="AC198" s="873"/>
      <c r="AD198" s="873"/>
      <c r="AE198" s="873"/>
      <c r="AF198" s="873"/>
      <c r="AG198" s="873"/>
      <c r="AH198" s="873"/>
      <c r="AI198" s="873"/>
      <c r="AJ198" s="873"/>
      <c r="AK198" s="873"/>
      <c r="AL198" s="873"/>
      <c r="AM198" s="873"/>
      <c r="AN198" s="873"/>
      <c r="AO198" s="873"/>
      <c r="AP198" s="873"/>
      <c r="AQ198" s="873"/>
      <c r="AR198" s="873"/>
    </row>
    <row r="199" spans="1:44">
      <c r="G199" s="1" t="str">
        <f t="shared" ref="G199:G214" si="38">G198</f>
        <v>Nutriente</v>
      </c>
      <c r="L199" s="873"/>
    </row>
    <row r="200" spans="1:44">
      <c r="G200" s="1" t="str">
        <f t="shared" si="38"/>
        <v>Nutriente</v>
      </c>
      <c r="L200" s="873"/>
    </row>
    <row r="201" spans="1:44">
      <c r="G201" s="1" t="str">
        <f t="shared" si="38"/>
        <v>Nutriente</v>
      </c>
      <c r="L201" s="873"/>
    </row>
    <row r="202" spans="1:44">
      <c r="G202" s="1" t="str">
        <f t="shared" si="38"/>
        <v>Nutriente</v>
      </c>
      <c r="L202" s="873"/>
    </row>
    <row r="203" spans="1:44">
      <c r="G203" s="1" t="str">
        <f t="shared" si="38"/>
        <v>Nutriente</v>
      </c>
      <c r="L203" s="873"/>
    </row>
    <row r="204" spans="1:44">
      <c r="G204" s="1" t="str">
        <f t="shared" si="38"/>
        <v>Nutriente</v>
      </c>
      <c r="L204" s="873"/>
    </row>
    <row r="205" spans="1:44">
      <c r="G205" s="1" t="str">
        <f t="shared" si="38"/>
        <v>Nutriente</v>
      </c>
      <c r="H205" s="873"/>
      <c r="I205" s="873"/>
      <c r="J205" s="873"/>
      <c r="K205" s="873"/>
      <c r="L205" s="873"/>
      <c r="M205" s="873"/>
    </row>
    <row r="206" spans="1:44">
      <c r="G206" s="1" t="str">
        <f t="shared" si="38"/>
        <v>Nutriente</v>
      </c>
      <c r="H206" s="873"/>
      <c r="I206" s="873"/>
      <c r="J206" s="873"/>
      <c r="K206" s="873"/>
      <c r="L206" s="873"/>
      <c r="M206" s="873"/>
    </row>
    <row r="207" spans="1:44">
      <c r="G207" s="1" t="str">
        <f t="shared" si="38"/>
        <v>Nutriente</v>
      </c>
      <c r="H207" s="873"/>
      <c r="I207" s="873"/>
      <c r="J207" s="873"/>
      <c r="K207" s="873"/>
      <c r="L207" s="873"/>
      <c r="M207" s="873"/>
    </row>
    <row r="208" spans="1:44">
      <c r="G208" s="1" t="str">
        <f t="shared" si="38"/>
        <v>Nutriente</v>
      </c>
      <c r="H208" s="873"/>
      <c r="I208" s="873"/>
      <c r="J208" s="873"/>
      <c r="K208" s="873"/>
      <c r="L208" s="873"/>
      <c r="M208" s="873"/>
    </row>
    <row r="209" spans="7:13">
      <c r="G209" s="1" t="str">
        <f t="shared" si="38"/>
        <v>Nutriente</v>
      </c>
      <c r="H209" s="873"/>
      <c r="I209" s="873"/>
      <c r="J209" s="873"/>
      <c r="K209" s="873"/>
      <c r="L209" s="873"/>
      <c r="M209" s="873"/>
    </row>
    <row r="210" spans="7:13">
      <c r="G210" s="1" t="str">
        <f t="shared" si="38"/>
        <v>Nutriente</v>
      </c>
      <c r="H210" s="873"/>
      <c r="I210" s="873"/>
      <c r="J210" s="873"/>
      <c r="K210" s="873"/>
      <c r="L210" s="873"/>
      <c r="M210" s="873"/>
    </row>
    <row r="211" spans="7:13">
      <c r="G211" s="1" t="str">
        <f t="shared" si="38"/>
        <v>Nutriente</v>
      </c>
      <c r="H211" s="873"/>
      <c r="I211" s="873"/>
      <c r="J211" s="873"/>
      <c r="K211" s="873"/>
      <c r="L211" s="873"/>
      <c r="M211" s="873"/>
    </row>
    <row r="212" spans="7:13">
      <c r="G212" s="1" t="str">
        <f t="shared" si="38"/>
        <v>Nutriente</v>
      </c>
      <c r="H212" s="873"/>
      <c r="I212" s="873"/>
      <c r="J212" s="873"/>
      <c r="K212" s="873"/>
      <c r="L212" s="873"/>
      <c r="M212" s="873"/>
    </row>
    <row r="213" spans="7:13">
      <c r="G213" s="1" t="str">
        <f t="shared" si="38"/>
        <v>Nutriente</v>
      </c>
      <c r="H213" s="873"/>
      <c r="I213" s="873"/>
      <c r="J213" s="873"/>
      <c r="K213" s="873"/>
      <c r="L213" s="873"/>
      <c r="M213" s="873"/>
    </row>
    <row r="214" spans="7:13">
      <c r="G214" s="1" t="str">
        <f t="shared" si="38"/>
        <v>Nutriente</v>
      </c>
      <c r="H214" s="873"/>
      <c r="I214" s="873"/>
      <c r="J214" s="873"/>
      <c r="K214" s="873"/>
      <c r="L214" s="873"/>
      <c r="M214" s="873"/>
    </row>
    <row r="215" spans="7:13">
      <c r="G215" s="1" t="s">
        <v>57</v>
      </c>
      <c r="L215" s="873"/>
    </row>
    <row r="216" spans="7:13">
      <c r="G216" s="1" t="str">
        <f t="shared" ref="G216:G231" si="39">G215</f>
        <v>Dióxido de Cloro</v>
      </c>
      <c r="L216" s="873"/>
    </row>
    <row r="217" spans="7:13">
      <c r="G217" s="1" t="str">
        <f t="shared" si="39"/>
        <v>Dióxido de Cloro</v>
      </c>
      <c r="L217" s="873"/>
    </row>
    <row r="218" spans="7:13">
      <c r="G218" s="1" t="str">
        <f t="shared" si="39"/>
        <v>Dióxido de Cloro</v>
      </c>
      <c r="L218" s="873"/>
    </row>
    <row r="219" spans="7:13">
      <c r="G219" s="1" t="str">
        <f t="shared" si="39"/>
        <v>Dióxido de Cloro</v>
      </c>
      <c r="L219" s="873"/>
    </row>
    <row r="220" spans="7:13">
      <c r="G220" s="1" t="str">
        <f t="shared" si="39"/>
        <v>Dióxido de Cloro</v>
      </c>
      <c r="L220" s="873"/>
    </row>
    <row r="221" spans="7:13">
      <c r="G221" s="1" t="str">
        <f t="shared" si="39"/>
        <v>Dióxido de Cloro</v>
      </c>
      <c r="L221" s="873"/>
    </row>
    <row r="222" spans="7:13">
      <c r="G222" s="1" t="str">
        <f t="shared" si="39"/>
        <v>Dióxido de Cloro</v>
      </c>
      <c r="H222" s="873"/>
      <c r="I222" s="873"/>
      <c r="J222" s="873"/>
      <c r="K222" s="873"/>
      <c r="L222" s="873"/>
      <c r="M222" s="873"/>
    </row>
    <row r="223" spans="7:13">
      <c r="G223" s="1" t="str">
        <f t="shared" si="39"/>
        <v>Dióxido de Cloro</v>
      </c>
      <c r="H223" s="873"/>
      <c r="I223" s="873"/>
      <c r="J223" s="873"/>
      <c r="K223" s="873"/>
      <c r="L223" s="873"/>
      <c r="M223" s="873"/>
    </row>
    <row r="224" spans="7:13">
      <c r="G224" s="1" t="str">
        <f t="shared" si="39"/>
        <v>Dióxido de Cloro</v>
      </c>
      <c r="H224" s="873"/>
      <c r="I224" s="873"/>
      <c r="J224" s="873"/>
      <c r="K224" s="873"/>
      <c r="L224" s="873"/>
      <c r="M224" s="873"/>
    </row>
    <row r="225" spans="7:13">
      <c r="G225" s="1" t="str">
        <f t="shared" si="39"/>
        <v>Dióxido de Cloro</v>
      </c>
      <c r="H225" s="873"/>
      <c r="I225" s="873"/>
      <c r="J225" s="873"/>
      <c r="K225" s="873"/>
      <c r="L225" s="873"/>
      <c r="M225" s="873"/>
    </row>
    <row r="226" spans="7:13">
      <c r="G226" s="1" t="str">
        <f t="shared" si="39"/>
        <v>Dióxido de Cloro</v>
      </c>
      <c r="H226" s="873"/>
      <c r="I226" s="873"/>
      <c r="J226" s="873"/>
      <c r="K226" s="873"/>
      <c r="L226" s="873"/>
      <c r="M226" s="873"/>
    </row>
    <row r="227" spans="7:13">
      <c r="G227" s="1" t="str">
        <f t="shared" si="39"/>
        <v>Dióxido de Cloro</v>
      </c>
      <c r="H227" s="873"/>
      <c r="I227" s="873"/>
      <c r="J227" s="873"/>
      <c r="K227" s="873"/>
      <c r="L227" s="873"/>
      <c r="M227" s="873"/>
    </row>
    <row r="228" spans="7:13">
      <c r="G228" s="1" t="str">
        <f t="shared" si="39"/>
        <v>Dióxido de Cloro</v>
      </c>
      <c r="H228" s="873"/>
      <c r="I228" s="873"/>
      <c r="J228" s="873"/>
      <c r="K228" s="873"/>
      <c r="L228" s="873"/>
      <c r="M228" s="873"/>
    </row>
    <row r="229" spans="7:13">
      <c r="G229" s="1" t="str">
        <f t="shared" si="39"/>
        <v>Dióxido de Cloro</v>
      </c>
      <c r="H229" s="873"/>
      <c r="I229" s="873"/>
      <c r="J229" s="873"/>
      <c r="K229" s="873"/>
      <c r="L229" s="873"/>
      <c r="M229" s="873"/>
    </row>
    <row r="230" spans="7:13">
      <c r="G230" s="1" t="str">
        <f t="shared" si="39"/>
        <v>Dióxido de Cloro</v>
      </c>
      <c r="H230" s="873"/>
      <c r="I230" s="873"/>
      <c r="J230" s="873"/>
      <c r="K230" s="873"/>
      <c r="L230" s="873"/>
      <c r="M230" s="873"/>
    </row>
    <row r="231" spans="7:13">
      <c r="G231" s="1" t="str">
        <f t="shared" si="39"/>
        <v>Dióxido de Cloro</v>
      </c>
      <c r="H231" s="873"/>
      <c r="I231" s="873"/>
      <c r="J231" s="873"/>
      <c r="K231" s="873"/>
      <c r="L231" s="873"/>
      <c r="M231" s="873"/>
    </row>
    <row r="232" spans="7:13">
      <c r="G232" s="1" t="s">
        <v>58</v>
      </c>
      <c r="L232" s="873"/>
    </row>
    <row r="233" spans="7:13">
      <c r="G233" s="1" t="str">
        <f t="shared" ref="G233:G248" si="40">G232</f>
        <v>Soda</v>
      </c>
      <c r="L233" s="873"/>
    </row>
    <row r="234" spans="7:13">
      <c r="G234" s="1" t="str">
        <f t="shared" si="40"/>
        <v>Soda</v>
      </c>
      <c r="L234" s="873"/>
    </row>
    <row r="235" spans="7:13">
      <c r="G235" s="1" t="str">
        <f t="shared" si="40"/>
        <v>Soda</v>
      </c>
      <c r="L235" s="873"/>
    </row>
    <row r="236" spans="7:13">
      <c r="G236" s="1" t="str">
        <f t="shared" si="40"/>
        <v>Soda</v>
      </c>
      <c r="L236" s="873"/>
    </row>
    <row r="237" spans="7:13">
      <c r="G237" s="1" t="str">
        <f t="shared" si="40"/>
        <v>Soda</v>
      </c>
      <c r="L237" s="873"/>
    </row>
    <row r="238" spans="7:13">
      <c r="G238" s="1" t="str">
        <f t="shared" si="40"/>
        <v>Soda</v>
      </c>
      <c r="L238" s="873"/>
    </row>
    <row r="239" spans="7:13">
      <c r="G239" s="1" t="str">
        <f t="shared" si="40"/>
        <v>Soda</v>
      </c>
      <c r="H239" s="873"/>
      <c r="I239" s="873"/>
      <c r="J239" s="873"/>
      <c r="K239" s="873"/>
      <c r="L239" s="873"/>
      <c r="M239" s="873"/>
    </row>
    <row r="240" spans="7:13">
      <c r="G240" s="1" t="str">
        <f t="shared" si="40"/>
        <v>Soda</v>
      </c>
      <c r="H240" s="873"/>
      <c r="I240" s="873"/>
      <c r="J240" s="873"/>
      <c r="K240" s="873"/>
      <c r="L240" s="873"/>
      <c r="M240" s="873"/>
    </row>
    <row r="241" spans="7:13">
      <c r="G241" s="1" t="str">
        <f t="shared" si="40"/>
        <v>Soda</v>
      </c>
      <c r="H241" s="873"/>
      <c r="I241" s="873"/>
      <c r="J241" s="873"/>
      <c r="K241" s="873"/>
      <c r="L241" s="873"/>
      <c r="M241" s="873"/>
    </row>
    <row r="242" spans="7:13">
      <c r="G242" s="1" t="str">
        <f t="shared" si="40"/>
        <v>Soda</v>
      </c>
      <c r="H242" s="873"/>
      <c r="I242" s="873"/>
      <c r="J242" s="873"/>
      <c r="K242" s="873"/>
      <c r="L242" s="873"/>
      <c r="M242" s="873"/>
    </row>
    <row r="243" spans="7:13">
      <c r="G243" s="1" t="str">
        <f t="shared" si="40"/>
        <v>Soda</v>
      </c>
      <c r="H243" s="873"/>
      <c r="I243" s="873"/>
      <c r="J243" s="873"/>
      <c r="K243" s="873"/>
      <c r="L243" s="873"/>
      <c r="M243" s="873"/>
    </row>
    <row r="244" spans="7:13">
      <c r="G244" s="1" t="str">
        <f t="shared" si="40"/>
        <v>Soda</v>
      </c>
      <c r="H244" s="873"/>
      <c r="I244" s="873"/>
      <c r="J244" s="873"/>
      <c r="K244" s="873"/>
      <c r="L244" s="873"/>
      <c r="M244" s="873"/>
    </row>
    <row r="245" spans="7:13">
      <c r="G245" s="1" t="str">
        <f t="shared" si="40"/>
        <v>Soda</v>
      </c>
      <c r="H245" s="873"/>
      <c r="I245" s="873"/>
      <c r="J245" s="873"/>
      <c r="K245" s="873"/>
      <c r="L245" s="873"/>
      <c r="M245" s="873"/>
    </row>
    <row r="246" spans="7:13">
      <c r="G246" s="1" t="str">
        <f t="shared" si="40"/>
        <v>Soda</v>
      </c>
      <c r="H246" s="873"/>
      <c r="I246" s="873"/>
      <c r="J246" s="873"/>
      <c r="K246" s="873"/>
      <c r="L246" s="873"/>
      <c r="M246" s="873"/>
    </row>
    <row r="247" spans="7:13">
      <c r="G247" s="1" t="str">
        <f t="shared" si="40"/>
        <v>Soda</v>
      </c>
      <c r="H247" s="873"/>
      <c r="I247" s="873"/>
      <c r="J247" s="873"/>
      <c r="K247" s="873"/>
      <c r="L247" s="873"/>
      <c r="M247" s="873"/>
    </row>
    <row r="248" spans="7:13">
      <c r="G248" s="1" t="str">
        <f t="shared" si="40"/>
        <v>Soda</v>
      </c>
      <c r="H248" s="873"/>
      <c r="I248" s="873"/>
      <c r="J248" s="873"/>
      <c r="K248" s="873"/>
      <c r="L248" s="873"/>
      <c r="M248" s="873"/>
    </row>
    <row r="249" spans="7:13">
      <c r="G249" s="1" t="s">
        <v>59</v>
      </c>
      <c r="L249" s="873"/>
    </row>
    <row r="250" spans="7:13">
      <c r="G250" s="1" t="str">
        <f t="shared" ref="G250:G265" si="41">G249</f>
        <v>Cal</v>
      </c>
      <c r="L250" s="873"/>
    </row>
    <row r="251" spans="7:13">
      <c r="G251" s="1" t="str">
        <f t="shared" si="41"/>
        <v>Cal</v>
      </c>
      <c r="L251" s="873"/>
    </row>
    <row r="252" spans="7:13">
      <c r="G252" s="1" t="str">
        <f t="shared" si="41"/>
        <v>Cal</v>
      </c>
      <c r="L252" s="873"/>
    </row>
    <row r="253" spans="7:13">
      <c r="G253" s="1" t="str">
        <f t="shared" si="41"/>
        <v>Cal</v>
      </c>
      <c r="L253" s="873"/>
    </row>
    <row r="254" spans="7:13">
      <c r="G254" s="1" t="str">
        <f t="shared" si="41"/>
        <v>Cal</v>
      </c>
      <c r="L254" s="873"/>
    </row>
    <row r="255" spans="7:13">
      <c r="G255" s="1" t="str">
        <f t="shared" si="41"/>
        <v>Cal</v>
      </c>
      <c r="L255" s="873"/>
    </row>
    <row r="256" spans="7:13">
      <c r="G256" s="1" t="str">
        <f t="shared" si="41"/>
        <v>Cal</v>
      </c>
      <c r="H256" s="873"/>
      <c r="I256" s="873"/>
      <c r="J256" s="873"/>
      <c r="K256" s="873"/>
      <c r="L256" s="873"/>
      <c r="M256" s="873"/>
    </row>
    <row r="257" spans="7:13">
      <c r="G257" s="1" t="str">
        <f t="shared" si="41"/>
        <v>Cal</v>
      </c>
      <c r="H257" s="873"/>
      <c r="I257" s="873"/>
      <c r="J257" s="873"/>
      <c r="K257" s="873"/>
      <c r="L257" s="873"/>
      <c r="M257" s="873"/>
    </row>
    <row r="258" spans="7:13">
      <c r="G258" s="1" t="str">
        <f t="shared" si="41"/>
        <v>Cal</v>
      </c>
      <c r="H258" s="873"/>
      <c r="I258" s="873"/>
      <c r="J258" s="873"/>
      <c r="K258" s="873"/>
      <c r="L258" s="873"/>
      <c r="M258" s="873"/>
    </row>
    <row r="259" spans="7:13">
      <c r="G259" s="1" t="str">
        <f t="shared" si="41"/>
        <v>Cal</v>
      </c>
      <c r="H259" s="873"/>
      <c r="I259" s="873"/>
      <c r="J259" s="873"/>
      <c r="K259" s="873"/>
      <c r="L259" s="873"/>
      <c r="M259" s="873"/>
    </row>
    <row r="260" spans="7:13">
      <c r="G260" s="1" t="str">
        <f t="shared" si="41"/>
        <v>Cal</v>
      </c>
      <c r="H260" s="873"/>
      <c r="I260" s="873"/>
      <c r="J260" s="873"/>
      <c r="K260" s="873"/>
      <c r="L260" s="873"/>
      <c r="M260" s="873"/>
    </row>
    <row r="261" spans="7:13">
      <c r="G261" s="1" t="str">
        <f t="shared" si="41"/>
        <v>Cal</v>
      </c>
      <c r="H261" s="873"/>
      <c r="I261" s="873"/>
      <c r="J261" s="873"/>
      <c r="K261" s="873"/>
      <c r="L261" s="873"/>
      <c r="M261" s="873"/>
    </row>
    <row r="262" spans="7:13">
      <c r="G262" s="1" t="str">
        <f t="shared" si="41"/>
        <v>Cal</v>
      </c>
      <c r="H262" s="873"/>
      <c r="I262" s="873"/>
      <c r="J262" s="873"/>
      <c r="K262" s="873"/>
      <c r="L262" s="873"/>
      <c r="M262" s="873"/>
    </row>
    <row r="263" spans="7:13">
      <c r="G263" s="1" t="str">
        <f t="shared" si="41"/>
        <v>Cal</v>
      </c>
      <c r="H263" s="873"/>
      <c r="I263" s="873"/>
      <c r="J263" s="873"/>
      <c r="K263" s="873"/>
      <c r="L263" s="873"/>
      <c r="M263" s="873"/>
    </row>
    <row r="264" spans="7:13">
      <c r="G264" s="1" t="str">
        <f t="shared" si="41"/>
        <v>Cal</v>
      </c>
      <c r="H264" s="873"/>
      <c r="I264" s="873"/>
      <c r="J264" s="873"/>
      <c r="K264" s="873"/>
      <c r="L264" s="873"/>
      <c r="M264" s="873"/>
    </row>
    <row r="265" spans="7:13">
      <c r="G265" s="1" t="str">
        <f t="shared" si="41"/>
        <v>Cal</v>
      </c>
      <c r="H265" s="873"/>
      <c r="I265" s="873"/>
      <c r="J265" s="873"/>
      <c r="K265" s="873"/>
      <c r="L265" s="873"/>
      <c r="M265" s="873"/>
    </row>
    <row r="266" spans="7:13">
      <c r="G266" s="1" t="s">
        <v>355</v>
      </c>
      <c r="L266" s="873"/>
    </row>
    <row r="267" spans="7:13">
      <c r="G267" s="1" t="str">
        <f t="shared" ref="G267:G282" si="42">G266</f>
        <v>Custo AE + DP</v>
      </c>
      <c r="L267" s="873"/>
    </row>
    <row r="268" spans="7:13">
      <c r="G268" s="1" t="str">
        <f t="shared" si="42"/>
        <v>Custo AE + DP</v>
      </c>
      <c r="L268" s="873"/>
    </row>
    <row r="269" spans="7:13">
      <c r="G269" s="1" t="str">
        <f t="shared" si="42"/>
        <v>Custo AE + DP</v>
      </c>
      <c r="L269" s="873"/>
    </row>
    <row r="270" spans="7:13">
      <c r="G270" s="1" t="str">
        <f t="shared" si="42"/>
        <v>Custo AE + DP</v>
      </c>
      <c r="L270" s="873"/>
    </row>
    <row r="271" spans="7:13">
      <c r="G271" s="1" t="str">
        <f t="shared" si="42"/>
        <v>Custo AE + DP</v>
      </c>
      <c r="L271" s="873"/>
    </row>
    <row r="272" spans="7:13">
      <c r="G272" s="1" t="str">
        <f t="shared" si="42"/>
        <v>Custo AE + DP</v>
      </c>
      <c r="L272" s="873"/>
    </row>
    <row r="273" spans="7:13">
      <c r="G273" s="1" t="str">
        <f t="shared" si="42"/>
        <v>Custo AE + DP</v>
      </c>
      <c r="H273" s="873"/>
      <c r="I273" s="873"/>
      <c r="J273" s="873"/>
      <c r="K273" s="873"/>
      <c r="L273" s="873"/>
      <c r="M273" s="873"/>
    </row>
    <row r="274" spans="7:13">
      <c r="G274" s="1" t="str">
        <f t="shared" si="42"/>
        <v>Custo AE + DP</v>
      </c>
      <c r="H274" s="873"/>
      <c r="I274" s="873"/>
      <c r="J274" s="873"/>
      <c r="K274" s="873"/>
      <c r="L274" s="873"/>
      <c r="M274" s="873"/>
    </row>
    <row r="275" spans="7:13">
      <c r="G275" s="1" t="str">
        <f t="shared" si="42"/>
        <v>Custo AE + DP</v>
      </c>
      <c r="H275" s="873"/>
      <c r="I275" s="873"/>
      <c r="J275" s="873"/>
      <c r="K275" s="873"/>
      <c r="L275" s="873"/>
      <c r="M275" s="873"/>
    </row>
    <row r="276" spans="7:13">
      <c r="G276" s="1" t="str">
        <f t="shared" si="42"/>
        <v>Custo AE + DP</v>
      </c>
      <c r="H276" s="873"/>
      <c r="I276" s="873"/>
      <c r="J276" s="873"/>
      <c r="K276" s="873"/>
      <c r="L276" s="873"/>
      <c r="M276" s="873"/>
    </row>
    <row r="277" spans="7:13">
      <c r="G277" s="1" t="str">
        <f t="shared" si="42"/>
        <v>Custo AE + DP</v>
      </c>
      <c r="H277" s="873"/>
      <c r="I277" s="873"/>
      <c r="J277" s="873"/>
      <c r="K277" s="873"/>
      <c r="L277" s="873"/>
      <c r="M277" s="873"/>
    </row>
    <row r="278" spans="7:13">
      <c r="G278" s="1" t="str">
        <f t="shared" si="42"/>
        <v>Custo AE + DP</v>
      </c>
      <c r="H278" s="873"/>
      <c r="I278" s="873"/>
      <c r="J278" s="873"/>
      <c r="K278" s="873"/>
      <c r="L278" s="873"/>
      <c r="M278" s="873"/>
    </row>
    <row r="279" spans="7:13">
      <c r="G279" s="1" t="str">
        <f t="shared" si="42"/>
        <v>Custo AE + DP</v>
      </c>
      <c r="H279" s="873"/>
      <c r="I279" s="873"/>
      <c r="J279" s="873"/>
      <c r="K279" s="873"/>
      <c r="L279" s="873"/>
      <c r="M279" s="873"/>
    </row>
    <row r="280" spans="7:13">
      <c r="G280" s="1" t="str">
        <f t="shared" si="42"/>
        <v>Custo AE + DP</v>
      </c>
      <c r="H280" s="873"/>
      <c r="I280" s="873"/>
      <c r="J280" s="873"/>
      <c r="K280" s="873"/>
      <c r="L280" s="873"/>
      <c r="M280" s="873"/>
    </row>
    <row r="281" spans="7:13">
      <c r="G281" s="1" t="str">
        <f t="shared" si="42"/>
        <v>Custo AE + DP</v>
      </c>
      <c r="H281" s="873"/>
      <c r="I281" s="873"/>
      <c r="J281" s="873"/>
      <c r="K281" s="873"/>
      <c r="L281" s="873"/>
      <c r="M281" s="873"/>
    </row>
    <row r="282" spans="7:13">
      <c r="G282" s="1" t="str">
        <f t="shared" si="42"/>
        <v>Custo AE + DP</v>
      </c>
      <c r="H282" s="873"/>
      <c r="I282" s="873"/>
      <c r="J282" s="873"/>
      <c r="K282" s="873"/>
      <c r="L282" s="873"/>
      <c r="M282" s="873"/>
    </row>
    <row r="283" spans="7:13">
      <c r="G283" s="1" t="s">
        <v>328</v>
      </c>
      <c r="L283" s="873"/>
    </row>
    <row r="284" spans="7:13">
      <c r="G284" s="1" t="str">
        <f t="shared" ref="G284:G299" si="43">G283</f>
        <v>Clarificante</v>
      </c>
      <c r="L284" s="873"/>
    </row>
    <row r="285" spans="7:13">
      <c r="G285" s="1" t="str">
        <f t="shared" si="43"/>
        <v>Clarificante</v>
      </c>
      <c r="L285" s="873"/>
    </row>
    <row r="286" spans="7:13">
      <c r="G286" s="1" t="str">
        <f t="shared" si="43"/>
        <v>Clarificante</v>
      </c>
      <c r="L286" s="873"/>
    </row>
    <row r="287" spans="7:13">
      <c r="G287" s="1" t="str">
        <f t="shared" si="43"/>
        <v>Clarificante</v>
      </c>
      <c r="L287" s="873"/>
    </row>
    <row r="288" spans="7:13">
      <c r="G288" s="1" t="str">
        <f t="shared" si="43"/>
        <v>Clarificante</v>
      </c>
      <c r="L288" s="873"/>
    </row>
    <row r="289" spans="7:13">
      <c r="G289" s="1" t="str">
        <f t="shared" si="43"/>
        <v>Clarificante</v>
      </c>
      <c r="L289" s="873"/>
    </row>
    <row r="290" spans="7:13">
      <c r="G290" s="1" t="str">
        <f t="shared" si="43"/>
        <v>Clarificante</v>
      </c>
      <c r="H290" s="873"/>
      <c r="I290" s="873"/>
      <c r="J290" s="873"/>
      <c r="K290" s="873"/>
      <c r="L290" s="873"/>
      <c r="M290" s="873"/>
    </row>
    <row r="291" spans="7:13">
      <c r="G291" s="1" t="str">
        <f t="shared" si="43"/>
        <v>Clarificante</v>
      </c>
      <c r="H291" s="873"/>
      <c r="I291" s="873"/>
      <c r="J291" s="873"/>
      <c r="K291" s="873"/>
      <c r="L291" s="873"/>
      <c r="M291" s="873"/>
    </row>
    <row r="292" spans="7:13">
      <c r="G292" s="1" t="str">
        <f t="shared" si="43"/>
        <v>Clarificante</v>
      </c>
      <c r="H292" s="873"/>
      <c r="I292" s="873"/>
      <c r="J292" s="873"/>
      <c r="K292" s="873"/>
      <c r="L292" s="873"/>
      <c r="M292" s="873"/>
    </row>
    <row r="293" spans="7:13">
      <c r="G293" s="1" t="str">
        <f t="shared" si="43"/>
        <v>Clarificante</v>
      </c>
      <c r="H293" s="873"/>
      <c r="I293" s="873"/>
      <c r="J293" s="873"/>
      <c r="K293" s="873"/>
      <c r="L293" s="873"/>
      <c r="M293" s="873"/>
    </row>
    <row r="294" spans="7:13">
      <c r="G294" s="1" t="str">
        <f t="shared" si="43"/>
        <v>Clarificante</v>
      </c>
      <c r="H294" s="873"/>
      <c r="I294" s="873"/>
      <c r="J294" s="873"/>
      <c r="K294" s="873"/>
      <c r="L294" s="873"/>
      <c r="M294" s="873"/>
    </row>
    <row r="295" spans="7:13">
      <c r="G295" s="1" t="str">
        <f t="shared" si="43"/>
        <v>Clarificante</v>
      </c>
      <c r="H295" s="873"/>
      <c r="I295" s="873"/>
      <c r="J295" s="873"/>
      <c r="K295" s="873"/>
      <c r="L295" s="873"/>
      <c r="M295" s="873"/>
    </row>
    <row r="296" spans="7:13">
      <c r="G296" s="1" t="str">
        <f t="shared" si="43"/>
        <v>Clarificante</v>
      </c>
      <c r="H296" s="873"/>
      <c r="I296" s="873"/>
      <c r="J296" s="873"/>
      <c r="K296" s="873"/>
      <c r="L296" s="873"/>
      <c r="M296" s="873"/>
    </row>
    <row r="297" spans="7:13">
      <c r="G297" s="1" t="str">
        <f t="shared" si="43"/>
        <v>Clarificante</v>
      </c>
      <c r="H297" s="873"/>
      <c r="I297" s="873"/>
      <c r="J297" s="873"/>
      <c r="K297" s="873"/>
      <c r="L297" s="873"/>
      <c r="M297" s="873"/>
    </row>
    <row r="298" spans="7:13">
      <c r="G298" s="1" t="str">
        <f t="shared" si="43"/>
        <v>Clarificante</v>
      </c>
      <c r="H298" s="873"/>
      <c r="I298" s="873"/>
      <c r="J298" s="873"/>
      <c r="K298" s="873"/>
      <c r="L298" s="873"/>
      <c r="M298" s="873"/>
    </row>
    <row r="299" spans="7:13">
      <c r="G299" s="1" t="str">
        <f t="shared" si="43"/>
        <v>Clarificante</v>
      </c>
      <c r="H299" s="873"/>
      <c r="I299" s="873"/>
      <c r="J299" s="873"/>
      <c r="K299" s="873"/>
      <c r="L299" s="873"/>
      <c r="M299" s="873"/>
    </row>
    <row r="300" spans="7:13">
      <c r="G300" s="1" t="s">
        <v>356</v>
      </c>
      <c r="L300" s="873"/>
    </row>
    <row r="301" spans="7:13">
      <c r="G301" s="1" t="str">
        <f t="shared" ref="G301:G333" si="44">G300</f>
        <v>Torre de Resfriam.</v>
      </c>
      <c r="L301" s="873"/>
    </row>
    <row r="302" spans="7:13">
      <c r="G302" s="1" t="str">
        <f t="shared" si="44"/>
        <v>Torre de Resfriam.</v>
      </c>
      <c r="L302" s="873"/>
    </row>
    <row r="303" spans="7:13">
      <c r="G303" s="1" t="str">
        <f t="shared" si="44"/>
        <v>Torre de Resfriam.</v>
      </c>
      <c r="L303" s="873"/>
    </row>
    <row r="304" spans="7:13">
      <c r="G304" s="1" t="str">
        <f t="shared" si="44"/>
        <v>Torre de Resfriam.</v>
      </c>
      <c r="L304" s="873"/>
    </row>
    <row r="305" spans="7:13">
      <c r="G305" s="1" t="str">
        <f t="shared" si="44"/>
        <v>Torre de Resfriam.</v>
      </c>
      <c r="L305" s="873"/>
    </row>
    <row r="306" spans="7:13">
      <c r="G306" s="1" t="str">
        <f t="shared" si="44"/>
        <v>Torre de Resfriam.</v>
      </c>
      <c r="L306" s="873"/>
    </row>
    <row r="307" spans="7:13">
      <c r="G307" s="1" t="str">
        <f t="shared" si="44"/>
        <v>Torre de Resfriam.</v>
      </c>
      <c r="H307" s="873"/>
      <c r="I307" s="873"/>
      <c r="J307" s="873"/>
      <c r="K307" s="873"/>
      <c r="L307" s="873"/>
      <c r="M307" s="873"/>
    </row>
    <row r="308" spans="7:13">
      <c r="G308" s="1" t="str">
        <f t="shared" si="44"/>
        <v>Torre de Resfriam.</v>
      </c>
      <c r="H308" s="873"/>
      <c r="I308" s="873"/>
      <c r="J308" s="873"/>
      <c r="K308" s="873"/>
      <c r="L308" s="873"/>
      <c r="M308" s="873"/>
    </row>
    <row r="309" spans="7:13">
      <c r="G309" s="1" t="str">
        <f t="shared" si="44"/>
        <v>Torre de Resfriam.</v>
      </c>
      <c r="H309" s="873"/>
      <c r="I309" s="873"/>
      <c r="J309" s="873"/>
      <c r="K309" s="873"/>
      <c r="L309" s="873"/>
      <c r="M309" s="873"/>
    </row>
    <row r="310" spans="7:13">
      <c r="G310" s="1" t="str">
        <f t="shared" si="44"/>
        <v>Torre de Resfriam.</v>
      </c>
      <c r="H310" s="873"/>
      <c r="I310" s="873"/>
      <c r="J310" s="873"/>
      <c r="K310" s="873"/>
      <c r="L310" s="873"/>
      <c r="M310" s="873"/>
    </row>
    <row r="311" spans="7:13">
      <c r="G311" s="1" t="str">
        <f t="shared" si="44"/>
        <v>Torre de Resfriam.</v>
      </c>
      <c r="H311" s="873"/>
      <c r="I311" s="873"/>
      <c r="J311" s="873"/>
      <c r="K311" s="873"/>
      <c r="L311" s="873"/>
      <c r="M311" s="873"/>
    </row>
    <row r="312" spans="7:13">
      <c r="G312" s="1" t="str">
        <f t="shared" si="44"/>
        <v>Torre de Resfriam.</v>
      </c>
      <c r="H312" s="873"/>
      <c r="I312" s="873"/>
      <c r="J312" s="873"/>
      <c r="K312" s="873"/>
      <c r="L312" s="873"/>
      <c r="M312" s="873"/>
    </row>
    <row r="313" spans="7:13">
      <c r="G313" s="1" t="str">
        <f t="shared" si="44"/>
        <v>Torre de Resfriam.</v>
      </c>
      <c r="H313" s="873"/>
      <c r="I313" s="873"/>
      <c r="J313" s="873"/>
      <c r="K313" s="873"/>
      <c r="L313" s="873"/>
      <c r="M313" s="873"/>
    </row>
    <row r="314" spans="7:13">
      <c r="G314" s="1" t="str">
        <f t="shared" si="44"/>
        <v>Torre de Resfriam.</v>
      </c>
      <c r="H314" s="873"/>
      <c r="I314" s="873"/>
      <c r="J314" s="873"/>
      <c r="K314" s="873"/>
      <c r="L314" s="873"/>
      <c r="M314" s="873"/>
    </row>
    <row r="315" spans="7:13">
      <c r="G315" s="1" t="str">
        <f t="shared" si="44"/>
        <v>Torre de Resfriam.</v>
      </c>
      <c r="H315" s="873"/>
      <c r="I315" s="873"/>
      <c r="J315" s="873"/>
      <c r="K315" s="873"/>
      <c r="L315" s="873"/>
      <c r="M315" s="873"/>
    </row>
    <row r="316" spans="7:13">
      <c r="G316" s="1" t="str">
        <f t="shared" si="44"/>
        <v>Torre de Resfriam.</v>
      </c>
      <c r="H316" s="873"/>
      <c r="I316" s="873"/>
      <c r="J316" s="873"/>
      <c r="K316" s="873"/>
      <c r="L316" s="873"/>
      <c r="M316" s="873"/>
    </row>
    <row r="317" spans="7:13">
      <c r="G317" s="1" t="s">
        <v>357</v>
      </c>
      <c r="L317" s="873"/>
    </row>
    <row r="318" spans="7:13">
      <c r="G318" s="1" t="str">
        <f t="shared" si="44"/>
        <v>% Custos</v>
      </c>
      <c r="L318" s="873"/>
    </row>
    <row r="319" spans="7:13">
      <c r="G319" s="1" t="str">
        <f t="shared" si="44"/>
        <v>% Custos</v>
      </c>
      <c r="L319" s="873"/>
    </row>
    <row r="320" spans="7:13">
      <c r="G320" s="1" t="str">
        <f t="shared" si="44"/>
        <v>% Custos</v>
      </c>
      <c r="L320" s="873"/>
    </row>
    <row r="321" spans="7:13">
      <c r="G321" s="1" t="str">
        <f t="shared" si="44"/>
        <v>% Custos</v>
      </c>
      <c r="L321" s="873"/>
    </row>
    <row r="322" spans="7:13">
      <c r="G322" s="1" t="str">
        <f t="shared" si="44"/>
        <v>% Custos</v>
      </c>
      <c r="L322" s="873"/>
    </row>
    <row r="323" spans="7:13">
      <c r="G323" s="1" t="str">
        <f t="shared" si="44"/>
        <v>% Custos</v>
      </c>
      <c r="L323" s="873"/>
    </row>
    <row r="324" spans="7:13">
      <c r="G324" s="1" t="str">
        <f t="shared" si="44"/>
        <v>% Custos</v>
      </c>
      <c r="H324" s="873"/>
      <c r="I324" s="873"/>
      <c r="J324" s="873"/>
      <c r="K324" s="873"/>
      <c r="L324" s="873"/>
      <c r="M324" s="873"/>
    </row>
    <row r="325" spans="7:13">
      <c r="G325" s="1" t="str">
        <f t="shared" si="44"/>
        <v>% Custos</v>
      </c>
      <c r="H325" s="873"/>
      <c r="I325" s="873"/>
      <c r="J325" s="873"/>
      <c r="K325" s="873"/>
      <c r="L325" s="873"/>
      <c r="M325" s="873"/>
    </row>
    <row r="326" spans="7:13">
      <c r="G326" s="1" t="str">
        <f t="shared" si="44"/>
        <v>% Custos</v>
      </c>
      <c r="H326" s="873"/>
      <c r="I326" s="873"/>
      <c r="J326" s="873"/>
      <c r="K326" s="873"/>
      <c r="L326" s="873"/>
      <c r="M326" s="873"/>
    </row>
    <row r="327" spans="7:13">
      <c r="G327" s="1" t="str">
        <f t="shared" si="44"/>
        <v>% Custos</v>
      </c>
      <c r="H327" s="873"/>
      <c r="I327" s="873"/>
      <c r="J327" s="873"/>
      <c r="K327" s="873"/>
      <c r="L327" s="873"/>
      <c r="M327" s="873"/>
    </row>
    <row r="328" spans="7:13">
      <c r="G328" s="1" t="str">
        <f t="shared" si="44"/>
        <v>% Custos</v>
      </c>
      <c r="H328" s="873"/>
      <c r="I328" s="873"/>
      <c r="J328" s="873"/>
      <c r="K328" s="873"/>
      <c r="L328" s="873"/>
      <c r="M328" s="873"/>
    </row>
    <row r="329" spans="7:13">
      <c r="G329" s="1" t="str">
        <f t="shared" si="44"/>
        <v>% Custos</v>
      </c>
      <c r="H329" s="873"/>
      <c r="I329" s="873"/>
      <c r="J329" s="873"/>
      <c r="K329" s="873"/>
      <c r="L329" s="873"/>
      <c r="M329" s="873"/>
    </row>
    <row r="330" spans="7:13">
      <c r="G330" s="1" t="str">
        <f t="shared" si="44"/>
        <v>% Custos</v>
      </c>
      <c r="H330" s="873"/>
      <c r="I330" s="873"/>
      <c r="J330" s="873"/>
      <c r="K330" s="873"/>
      <c r="L330" s="873"/>
      <c r="M330" s="873"/>
    </row>
    <row r="331" spans="7:13">
      <c r="G331" s="1" t="str">
        <f t="shared" si="44"/>
        <v>% Custos</v>
      </c>
      <c r="H331" s="873"/>
      <c r="I331" s="873"/>
      <c r="J331" s="873"/>
      <c r="K331" s="873"/>
      <c r="L331" s="873"/>
      <c r="M331" s="873"/>
    </row>
    <row r="332" spans="7:13">
      <c r="G332" s="1" t="str">
        <f t="shared" si="44"/>
        <v>% Custos</v>
      </c>
      <c r="H332" s="873"/>
      <c r="I332" s="873"/>
      <c r="J332" s="873"/>
      <c r="K332" s="873"/>
      <c r="L332" s="873"/>
      <c r="M332" s="873"/>
    </row>
    <row r="333" spans="7:13">
      <c r="G333" s="1" t="str">
        <f t="shared" si="44"/>
        <v>% Custos</v>
      </c>
      <c r="H333" s="873"/>
      <c r="I333" s="873"/>
      <c r="J333" s="873"/>
      <c r="K333" s="873"/>
      <c r="L333" s="873"/>
      <c r="M333" s="873"/>
    </row>
    <row r="334" spans="7:13">
      <c r="G334" s="1"/>
    </row>
    <row r="335" spans="7:13">
      <c r="G335" s="1"/>
    </row>
    <row r="336" spans="7:13">
      <c r="G336" s="1"/>
    </row>
    <row r="337" spans="7:7">
      <c r="G337" s="1"/>
    </row>
    <row r="338" spans="7:7">
      <c r="G338" s="1"/>
    </row>
    <row r="339" spans="7:7">
      <c r="G339" s="1"/>
    </row>
    <row r="340" spans="7:7">
      <c r="G340" s="1"/>
    </row>
    <row r="341" spans="7:7">
      <c r="G341" s="1"/>
    </row>
    <row r="342" spans="7:7">
      <c r="G342" s="1"/>
    </row>
    <row r="343" spans="7:7">
      <c r="G343" s="1"/>
    </row>
    <row r="344" spans="7:7">
      <c r="G344" s="1"/>
    </row>
    <row r="345" spans="7:7">
      <c r="G345" s="1"/>
    </row>
    <row r="346" spans="7:7">
      <c r="G346" s="1"/>
    </row>
    <row r="347" spans="7:7">
      <c r="G347" s="1"/>
    </row>
    <row r="348" spans="7:7">
      <c r="G348" s="1"/>
    </row>
    <row r="349" spans="7:7">
      <c r="G349" s="1"/>
    </row>
    <row r="350" spans="7:7">
      <c r="G350" s="1"/>
    </row>
    <row r="351" spans="7:7">
      <c r="G351" s="1"/>
    </row>
    <row r="352" spans="7:7">
      <c r="G352" s="1"/>
    </row>
    <row r="353" spans="7:7">
      <c r="G353" s="1"/>
    </row>
    <row r="354" spans="7:7">
      <c r="G354" s="1"/>
    </row>
    <row r="355" spans="7:7">
      <c r="G355" s="1"/>
    </row>
    <row r="356" spans="7:7">
      <c r="G356" s="1"/>
    </row>
    <row r="357" spans="7:7">
      <c r="G357" s="1"/>
    </row>
    <row r="358" spans="7:7">
      <c r="G358" s="1"/>
    </row>
    <row r="359" spans="7:7">
      <c r="G359" s="1"/>
    </row>
    <row r="360" spans="7:7">
      <c r="G360" s="1"/>
    </row>
    <row r="361" spans="7:7">
      <c r="G361" s="1"/>
    </row>
    <row r="362" spans="7:7">
      <c r="G362" s="1"/>
    </row>
    <row r="363" spans="7:7">
      <c r="G363" s="1"/>
    </row>
    <row r="364" spans="7:7">
      <c r="G364" s="1"/>
    </row>
    <row r="365" spans="7:7">
      <c r="G365" s="1"/>
    </row>
    <row r="366" spans="7:7">
      <c r="G366" s="1"/>
    </row>
    <row r="367" spans="7:7">
      <c r="G367" s="1"/>
    </row>
    <row r="368" spans="7:7">
      <c r="G368" s="1"/>
    </row>
    <row r="369" spans="7:7">
      <c r="G369" s="1"/>
    </row>
    <row r="370" spans="7:7">
      <c r="G370" s="1"/>
    </row>
    <row r="371" spans="7:7">
      <c r="G371" s="1"/>
    </row>
    <row r="372" spans="7:7">
      <c r="G372" s="1"/>
    </row>
    <row r="373" spans="7:7">
      <c r="G373" s="1"/>
    </row>
    <row r="374" spans="7:7">
      <c r="G374" s="1"/>
    </row>
    <row r="375" spans="7:7">
      <c r="G375" s="1"/>
    </row>
    <row r="376" spans="7:7">
      <c r="G376" s="1"/>
    </row>
    <row r="377" spans="7:7">
      <c r="G377" s="1"/>
    </row>
    <row r="378" spans="7:7">
      <c r="G378" s="1"/>
    </row>
    <row r="379" spans="7:7">
      <c r="G379" s="1"/>
    </row>
    <row r="380" spans="7:7">
      <c r="G380" s="1"/>
    </row>
    <row r="381" spans="7:7">
      <c r="G381" s="1"/>
    </row>
    <row r="382" spans="7:7">
      <c r="G382" s="1"/>
    </row>
    <row r="383" spans="7:7">
      <c r="G383" s="1"/>
    </row>
    <row r="384" spans="7:7">
      <c r="G384" s="1"/>
    </row>
    <row r="385" spans="7:7">
      <c r="G385" s="1"/>
    </row>
    <row r="386" spans="7:7">
      <c r="G386" s="1"/>
    </row>
    <row r="387" spans="7:7">
      <c r="G387" s="1"/>
    </row>
    <row r="388" spans="7:7">
      <c r="G388" s="1"/>
    </row>
    <row r="389" spans="7:7">
      <c r="G389" s="1"/>
    </row>
    <row r="390" spans="7:7">
      <c r="G390" s="1"/>
    </row>
    <row r="391" spans="7:7">
      <c r="G391" s="1"/>
    </row>
    <row r="392" spans="7:7">
      <c r="G392" s="1"/>
    </row>
    <row r="393" spans="7:7">
      <c r="G393" s="1"/>
    </row>
    <row r="394" spans="7:7">
      <c r="G394" s="1"/>
    </row>
    <row r="395" spans="7:7">
      <c r="G395" s="1"/>
    </row>
    <row r="396" spans="7:7">
      <c r="G396" s="1"/>
    </row>
    <row r="397" spans="7:7">
      <c r="G397" s="1"/>
    </row>
    <row r="398" spans="7:7">
      <c r="G398" s="1"/>
    </row>
    <row r="399" spans="7:7">
      <c r="G399" s="1"/>
    </row>
    <row r="400" spans="7:7">
      <c r="G400" s="1"/>
    </row>
    <row r="401" spans="7:7">
      <c r="G401" s="1"/>
    </row>
    <row r="402" spans="7:7">
      <c r="G402" s="1"/>
    </row>
    <row r="403" spans="7:7">
      <c r="G403" s="1"/>
    </row>
    <row r="404" spans="7:7">
      <c r="G404" s="1"/>
    </row>
    <row r="405" spans="7:7">
      <c r="G405" s="1"/>
    </row>
    <row r="406" spans="7:7">
      <c r="G406" s="1"/>
    </row>
    <row r="407" spans="7:7">
      <c r="G407" s="1"/>
    </row>
    <row r="408" spans="7:7">
      <c r="G408" s="1"/>
    </row>
    <row r="409" spans="7:7">
      <c r="G409" s="1"/>
    </row>
    <row r="410" spans="7:7">
      <c r="G410" s="1"/>
    </row>
    <row r="411" spans="7:7">
      <c r="G411" s="1"/>
    </row>
    <row r="412" spans="7:7">
      <c r="G412" s="1"/>
    </row>
    <row r="413" spans="7:7">
      <c r="G413" s="1"/>
    </row>
    <row r="414" spans="7:7">
      <c r="G414" s="1"/>
    </row>
    <row r="415" spans="7:7">
      <c r="G415" s="1"/>
    </row>
    <row r="416" spans="7:7">
      <c r="G416" s="1"/>
    </row>
    <row r="417" spans="7:7">
      <c r="G417" s="1"/>
    </row>
    <row r="418" spans="7:7">
      <c r="G418" s="1"/>
    </row>
    <row r="419" spans="7:7">
      <c r="G419" s="1"/>
    </row>
    <row r="420" spans="7:7">
      <c r="G420" s="1"/>
    </row>
    <row r="421" spans="7:7">
      <c r="G421" s="1"/>
    </row>
    <row r="422" spans="7:7">
      <c r="G422" s="1"/>
    </row>
    <row r="423" spans="7:7">
      <c r="G423" s="1"/>
    </row>
    <row r="424" spans="7:7">
      <c r="G424" s="1"/>
    </row>
    <row r="425" spans="7:7">
      <c r="G425" s="1"/>
    </row>
    <row r="426" spans="7:7">
      <c r="G426" s="1"/>
    </row>
    <row r="427" spans="7:7">
      <c r="G427" s="1"/>
    </row>
    <row r="428" spans="7:7">
      <c r="G428" s="1"/>
    </row>
    <row r="429" spans="7:7">
      <c r="G429" s="1"/>
    </row>
    <row r="430" spans="7:7">
      <c r="G430" s="1"/>
    </row>
    <row r="431" spans="7:7">
      <c r="G431" s="1"/>
    </row>
    <row r="432" spans="7:7">
      <c r="G432" s="1"/>
    </row>
    <row r="433" spans="7:7">
      <c r="G433" s="1"/>
    </row>
    <row r="434" spans="7:7">
      <c r="G434" s="1"/>
    </row>
    <row r="435" spans="7:7">
      <c r="G435" s="1"/>
    </row>
    <row r="436" spans="7:7">
      <c r="G436" s="1"/>
    </row>
    <row r="437" spans="7:7">
      <c r="G437" s="1"/>
    </row>
    <row r="438" spans="7:7">
      <c r="G438" s="1"/>
    </row>
    <row r="439" spans="7:7">
      <c r="G439" s="1"/>
    </row>
    <row r="440" spans="7:7">
      <c r="G440" s="1"/>
    </row>
    <row r="441" spans="7:7">
      <c r="G441" s="1"/>
    </row>
    <row r="442" spans="7:7">
      <c r="G442" s="1"/>
    </row>
    <row r="443" spans="7:7">
      <c r="G443" s="1"/>
    </row>
    <row r="444" spans="7:7">
      <c r="G444" s="1"/>
    </row>
    <row r="445" spans="7:7">
      <c r="G445" s="1"/>
    </row>
    <row r="446" spans="7:7">
      <c r="G446" s="1"/>
    </row>
    <row r="447" spans="7:7">
      <c r="G447" s="1"/>
    </row>
    <row r="448" spans="7:7">
      <c r="G448" s="1"/>
    </row>
    <row r="449" spans="7:7">
      <c r="G449" s="1"/>
    </row>
    <row r="450" spans="7:7">
      <c r="G450" s="1"/>
    </row>
    <row r="451" spans="7:7">
      <c r="G451" s="1"/>
    </row>
    <row r="452" spans="7:7">
      <c r="G452" s="1"/>
    </row>
    <row r="453" spans="7:7">
      <c r="G453" s="1"/>
    </row>
    <row r="454" spans="7:7">
      <c r="G454" s="1"/>
    </row>
    <row r="455" spans="7:7">
      <c r="G455" s="1"/>
    </row>
    <row r="456" spans="7:7">
      <c r="G456" s="1"/>
    </row>
    <row r="457" spans="7:7">
      <c r="G457" s="1"/>
    </row>
    <row r="458" spans="7:7">
      <c r="G458" s="1"/>
    </row>
    <row r="459" spans="7:7">
      <c r="G459" s="1"/>
    </row>
    <row r="460" spans="7:7">
      <c r="G460" s="1"/>
    </row>
    <row r="461" spans="7:7">
      <c r="G461" s="1"/>
    </row>
    <row r="462" spans="7:7">
      <c r="G462" s="1"/>
    </row>
    <row r="463" spans="7:7">
      <c r="G463" s="1"/>
    </row>
    <row r="464" spans="7:7">
      <c r="G464" s="1"/>
    </row>
    <row r="465" spans="7:7">
      <c r="G465" s="1"/>
    </row>
    <row r="466" spans="7:7">
      <c r="G466" s="1"/>
    </row>
    <row r="467" spans="7:7">
      <c r="G467" s="1"/>
    </row>
    <row r="468" spans="7:7">
      <c r="G468" s="1"/>
    </row>
    <row r="469" spans="7:7">
      <c r="G469" s="1"/>
    </row>
    <row r="470" spans="7:7">
      <c r="G470" s="1"/>
    </row>
    <row r="471" spans="7:7">
      <c r="G471" s="1"/>
    </row>
    <row r="472" spans="7:7">
      <c r="G472" s="1"/>
    </row>
    <row r="473" spans="7:7">
      <c r="G473" s="1"/>
    </row>
    <row r="474" spans="7:7">
      <c r="G474" s="1"/>
    </row>
    <row r="475" spans="7:7">
      <c r="G475" s="1"/>
    </row>
    <row r="476" spans="7:7">
      <c r="G476" s="1"/>
    </row>
    <row r="477" spans="7:7">
      <c r="G477" s="1"/>
    </row>
    <row r="478" spans="7:7">
      <c r="G478" s="1"/>
    </row>
    <row r="479" spans="7:7">
      <c r="G479" s="1"/>
    </row>
    <row r="480" spans="7:7">
      <c r="G480" s="1"/>
    </row>
    <row r="481" spans="7:7">
      <c r="G481" s="1"/>
    </row>
    <row r="482" spans="7:7">
      <c r="G482" s="1"/>
    </row>
    <row r="483" spans="7:7">
      <c r="G483" s="1"/>
    </row>
    <row r="484" spans="7:7">
      <c r="G484" s="1"/>
    </row>
    <row r="485" spans="7:7">
      <c r="G485" s="1"/>
    </row>
    <row r="486" spans="7:7">
      <c r="G486" s="1"/>
    </row>
    <row r="487" spans="7:7">
      <c r="G487" s="1"/>
    </row>
    <row r="488" spans="7:7">
      <c r="G488" s="1"/>
    </row>
    <row r="489" spans="7:7">
      <c r="G489" s="1"/>
    </row>
    <row r="490" spans="7:7">
      <c r="G490" s="1"/>
    </row>
    <row r="491" spans="7:7">
      <c r="G491" s="1"/>
    </row>
    <row r="492" spans="7:7">
      <c r="G492" s="1"/>
    </row>
    <row r="493" spans="7:7">
      <c r="G493" s="1"/>
    </row>
    <row r="494" spans="7:7">
      <c r="G494" s="1"/>
    </row>
    <row r="495" spans="7:7">
      <c r="G495" s="1"/>
    </row>
    <row r="496" spans="7:7">
      <c r="G496" s="1"/>
    </row>
    <row r="497" spans="7:7">
      <c r="G497" s="1"/>
    </row>
    <row r="498" spans="7:7">
      <c r="G498" s="1"/>
    </row>
    <row r="499" spans="7:7">
      <c r="G499" s="1"/>
    </row>
    <row r="500" spans="7:7">
      <c r="G500" s="1"/>
    </row>
    <row r="501" spans="7:7">
      <c r="G501" s="1"/>
    </row>
    <row r="502" spans="7:7">
      <c r="G502" s="1"/>
    </row>
    <row r="503" spans="7:7">
      <c r="G503" s="1"/>
    </row>
    <row r="504" spans="7:7">
      <c r="G504" s="1"/>
    </row>
    <row r="505" spans="7:7">
      <c r="G505" s="1"/>
    </row>
    <row r="506" spans="7:7">
      <c r="G506" s="1"/>
    </row>
    <row r="507" spans="7:7">
      <c r="G507" s="1"/>
    </row>
    <row r="508" spans="7:7">
      <c r="G508" s="1"/>
    </row>
    <row r="509" spans="7:7">
      <c r="G509" s="1"/>
    </row>
    <row r="510" spans="7:7">
      <c r="G510" s="1"/>
    </row>
    <row r="511" spans="7:7">
      <c r="G511" s="1"/>
    </row>
    <row r="512" spans="7:7">
      <c r="G512" s="1"/>
    </row>
    <row r="513" spans="7:7">
      <c r="G513" s="1"/>
    </row>
    <row r="514" spans="7:7">
      <c r="G514" s="1"/>
    </row>
    <row r="515" spans="7:7">
      <c r="G515" s="1"/>
    </row>
    <row r="516" spans="7:7">
      <c r="G516" s="1"/>
    </row>
    <row r="517" spans="7:7">
      <c r="G517" s="1"/>
    </row>
    <row r="518" spans="7:7">
      <c r="G518" s="1"/>
    </row>
    <row r="519" spans="7:7">
      <c r="G519" s="1"/>
    </row>
    <row r="520" spans="7:7">
      <c r="G520" s="1"/>
    </row>
    <row r="521" spans="7:7">
      <c r="G521" s="1"/>
    </row>
    <row r="522" spans="7:7">
      <c r="G522" s="1"/>
    </row>
    <row r="523" spans="7:7">
      <c r="G523" s="1"/>
    </row>
    <row r="524" spans="7:7">
      <c r="G524" s="1"/>
    </row>
    <row r="525" spans="7:7">
      <c r="G525" s="1"/>
    </row>
    <row r="526" spans="7:7">
      <c r="G526" s="1"/>
    </row>
    <row r="527" spans="7:7">
      <c r="G527" s="1"/>
    </row>
    <row r="528" spans="7:7">
      <c r="G528" s="1"/>
    </row>
    <row r="529" spans="7:7">
      <c r="G529" s="1"/>
    </row>
    <row r="530" spans="7:7">
      <c r="G530" s="1"/>
    </row>
    <row r="531" spans="7:7">
      <c r="G531" s="1"/>
    </row>
    <row r="532" spans="7:7">
      <c r="G532" s="1"/>
    </row>
    <row r="533" spans="7:7">
      <c r="G533" s="1"/>
    </row>
    <row r="534" spans="7:7">
      <c r="G534" s="1"/>
    </row>
    <row r="535" spans="7:7">
      <c r="G535" s="1"/>
    </row>
    <row r="536" spans="7:7">
      <c r="G536" s="1"/>
    </row>
    <row r="537" spans="7:7">
      <c r="G537" s="1"/>
    </row>
    <row r="538" spans="7:7">
      <c r="G538" s="1"/>
    </row>
    <row r="539" spans="7:7">
      <c r="G539" s="1"/>
    </row>
    <row r="540" spans="7:7">
      <c r="G540" s="1"/>
    </row>
    <row r="541" spans="7:7">
      <c r="G541" s="1"/>
    </row>
    <row r="542" spans="7:7">
      <c r="G542" s="1"/>
    </row>
    <row r="543" spans="7:7">
      <c r="G543" s="1"/>
    </row>
    <row r="544" spans="7:7">
      <c r="G544" s="1"/>
    </row>
    <row r="545" spans="7:7">
      <c r="G545" s="1"/>
    </row>
    <row r="546" spans="7:7">
      <c r="G546" s="1"/>
    </row>
    <row r="547" spans="7:7">
      <c r="G547" s="1"/>
    </row>
    <row r="548" spans="7:7">
      <c r="G548" s="1"/>
    </row>
    <row r="549" spans="7:7">
      <c r="G549" s="1"/>
    </row>
    <row r="550" spans="7:7">
      <c r="G550" s="1"/>
    </row>
    <row r="551" spans="7:7">
      <c r="G551" s="1"/>
    </row>
    <row r="552" spans="7:7">
      <c r="G552" s="1"/>
    </row>
    <row r="553" spans="7:7">
      <c r="G553" s="1"/>
    </row>
    <row r="554" spans="7:7">
      <c r="G554" s="1"/>
    </row>
    <row r="555" spans="7:7">
      <c r="G555" s="1"/>
    </row>
    <row r="556" spans="7:7">
      <c r="G556" s="1"/>
    </row>
    <row r="557" spans="7:7">
      <c r="G557" s="1"/>
    </row>
    <row r="558" spans="7:7">
      <c r="G558" s="1"/>
    </row>
    <row r="559" spans="7:7">
      <c r="G559" s="1"/>
    </row>
    <row r="560" spans="7:7">
      <c r="G560" s="1"/>
    </row>
    <row r="561" spans="7:7">
      <c r="G561" s="1"/>
    </row>
    <row r="562" spans="7:7">
      <c r="G562" s="1"/>
    </row>
    <row r="563" spans="7:7">
      <c r="G563" s="1"/>
    </row>
    <row r="564" spans="7:7">
      <c r="G564" s="1"/>
    </row>
    <row r="565" spans="7:7">
      <c r="G565" s="1"/>
    </row>
    <row r="566" spans="7:7">
      <c r="G566" s="1"/>
    </row>
    <row r="567" spans="7:7">
      <c r="G567" s="1"/>
    </row>
    <row r="568" spans="7:7">
      <c r="G568" s="1"/>
    </row>
    <row r="569" spans="7:7">
      <c r="G569" s="1"/>
    </row>
    <row r="570" spans="7:7">
      <c r="G570" s="1"/>
    </row>
    <row r="571" spans="7:7">
      <c r="G571" s="1"/>
    </row>
    <row r="572" spans="7:7">
      <c r="G572" s="1"/>
    </row>
    <row r="573" spans="7:7">
      <c r="G573" s="1"/>
    </row>
    <row r="574" spans="7:7">
      <c r="G574" s="1"/>
    </row>
    <row r="575" spans="7:7">
      <c r="G575" s="1"/>
    </row>
    <row r="576" spans="7:7">
      <c r="G576" s="1"/>
    </row>
    <row r="577" spans="7:7">
      <c r="G577" s="1"/>
    </row>
    <row r="578" spans="7:7">
      <c r="G578" s="1"/>
    </row>
    <row r="579" spans="7:7">
      <c r="G579" s="1"/>
    </row>
    <row r="580" spans="7:7">
      <c r="G580" s="1"/>
    </row>
    <row r="581" spans="7:7">
      <c r="G581" s="1"/>
    </row>
    <row r="582" spans="7:7">
      <c r="G582" s="1"/>
    </row>
    <row r="583" spans="7:7">
      <c r="G583" s="1"/>
    </row>
    <row r="584" spans="7:7">
      <c r="G584" s="1"/>
    </row>
    <row r="585" spans="7:7">
      <c r="G585" s="1"/>
    </row>
    <row r="586" spans="7:7">
      <c r="G586" s="1"/>
    </row>
    <row r="587" spans="7:7">
      <c r="G587" s="1"/>
    </row>
    <row r="588" spans="7:7">
      <c r="G588" s="1"/>
    </row>
    <row r="589" spans="7:7">
      <c r="G589" s="1"/>
    </row>
    <row r="590" spans="7:7">
      <c r="G590" s="1"/>
    </row>
    <row r="591" spans="7:7">
      <c r="G591" s="1"/>
    </row>
    <row r="592" spans="7:7">
      <c r="G592" s="1"/>
    </row>
    <row r="593" spans="7:7">
      <c r="G593" s="1"/>
    </row>
    <row r="594" spans="7:7">
      <c r="G594" s="1"/>
    </row>
    <row r="595" spans="7:7">
      <c r="G595" s="1"/>
    </row>
    <row r="596" spans="7:7">
      <c r="G596" s="1"/>
    </row>
    <row r="597" spans="7:7">
      <c r="G597" s="1"/>
    </row>
    <row r="598" spans="7:7">
      <c r="G598" s="1"/>
    </row>
    <row r="599" spans="7:7">
      <c r="G599" s="1"/>
    </row>
    <row r="600" spans="7:7">
      <c r="G600" s="1"/>
    </row>
    <row r="601" spans="7:7">
      <c r="G601" s="1"/>
    </row>
    <row r="602" spans="7:7">
      <c r="G602" s="1"/>
    </row>
    <row r="603" spans="7:7">
      <c r="G603" s="1"/>
    </row>
    <row r="604" spans="7:7">
      <c r="G604" s="1"/>
    </row>
    <row r="605" spans="7:7">
      <c r="G605" s="1"/>
    </row>
    <row r="606" spans="7:7">
      <c r="G606" s="1"/>
    </row>
    <row r="607" spans="7:7">
      <c r="G607" s="1"/>
    </row>
    <row r="608" spans="7:7">
      <c r="G608" s="1"/>
    </row>
    <row r="609" spans="7:7">
      <c r="G609" s="1"/>
    </row>
    <row r="610" spans="7:7">
      <c r="G610" s="1"/>
    </row>
    <row r="611" spans="7:7">
      <c r="G611" s="1"/>
    </row>
    <row r="612" spans="7:7">
      <c r="G612" s="1"/>
    </row>
    <row r="613" spans="7:7">
      <c r="G613" s="1"/>
    </row>
    <row r="614" spans="7:7">
      <c r="G614" s="1"/>
    </row>
    <row r="615" spans="7:7">
      <c r="G615" s="1"/>
    </row>
    <row r="616" spans="7:7">
      <c r="G616" s="1"/>
    </row>
    <row r="617" spans="7:7">
      <c r="G617" s="1"/>
    </row>
    <row r="618" spans="7:7">
      <c r="G618" s="1"/>
    </row>
    <row r="619" spans="7:7">
      <c r="G619" s="1"/>
    </row>
    <row r="620" spans="7:7">
      <c r="G620" s="1"/>
    </row>
    <row r="621" spans="7:7">
      <c r="G621" s="1"/>
    </row>
    <row r="622" spans="7:7">
      <c r="G622" s="1"/>
    </row>
    <row r="623" spans="7:7">
      <c r="G623" s="1"/>
    </row>
    <row r="624" spans="7:7">
      <c r="G624" s="1"/>
    </row>
    <row r="625" spans="7:7">
      <c r="G625" s="1"/>
    </row>
    <row r="626" spans="7:7">
      <c r="G626" s="1"/>
    </row>
    <row r="627" spans="7:7">
      <c r="G627" s="1"/>
    </row>
    <row r="628" spans="7:7">
      <c r="G628" s="1"/>
    </row>
    <row r="629" spans="7:7">
      <c r="G629" s="1"/>
    </row>
    <row r="630" spans="7:7">
      <c r="G630" s="1"/>
    </row>
    <row r="631" spans="7:7">
      <c r="G631" s="1"/>
    </row>
    <row r="632" spans="7:7">
      <c r="G632" s="1"/>
    </row>
    <row r="633" spans="7:7">
      <c r="G633" s="1"/>
    </row>
    <row r="634" spans="7:7">
      <c r="G634" s="1"/>
    </row>
    <row r="635" spans="7:7">
      <c r="G635" s="1"/>
    </row>
    <row r="636" spans="7:7">
      <c r="G636" s="1"/>
    </row>
    <row r="637" spans="7:7">
      <c r="G637" s="1"/>
    </row>
    <row r="638" spans="7:7">
      <c r="G638" s="1"/>
    </row>
    <row r="639" spans="7:7">
      <c r="G639" s="1"/>
    </row>
    <row r="640" spans="7:7">
      <c r="G640" s="1"/>
    </row>
    <row r="641" spans="7:7">
      <c r="G641" s="1"/>
    </row>
    <row r="642" spans="7:7">
      <c r="G642" s="1"/>
    </row>
    <row r="643" spans="7:7">
      <c r="G643" s="1"/>
    </row>
    <row r="644" spans="7:7">
      <c r="G644" s="1"/>
    </row>
    <row r="645" spans="7:7">
      <c r="G645" s="1"/>
    </row>
    <row r="646" spans="7:7">
      <c r="G646" s="1"/>
    </row>
    <row r="647" spans="7:7">
      <c r="G647" s="1"/>
    </row>
    <row r="648" spans="7:7">
      <c r="G648" s="1"/>
    </row>
    <row r="649" spans="7:7">
      <c r="G649" s="1"/>
    </row>
    <row r="650" spans="7:7">
      <c r="G650" s="1"/>
    </row>
    <row r="651" spans="7:7">
      <c r="G651" s="1"/>
    </row>
    <row r="652" spans="7:7">
      <c r="G652" s="1"/>
    </row>
    <row r="653" spans="7:7">
      <c r="G653" s="1"/>
    </row>
    <row r="654" spans="7:7">
      <c r="G654" s="1"/>
    </row>
    <row r="655" spans="7:7">
      <c r="G655" s="1"/>
    </row>
    <row r="656" spans="7:7">
      <c r="G656" s="1"/>
    </row>
    <row r="657" spans="7:7">
      <c r="G657" s="1"/>
    </row>
    <row r="658" spans="7:7">
      <c r="G658" s="1"/>
    </row>
    <row r="659" spans="7:7">
      <c r="G659" s="1"/>
    </row>
    <row r="660" spans="7:7">
      <c r="G660" s="1"/>
    </row>
    <row r="661" spans="7:7">
      <c r="G661" s="1"/>
    </row>
    <row r="662" spans="7:7">
      <c r="G662" s="1"/>
    </row>
    <row r="663" spans="7:7">
      <c r="G663" s="1"/>
    </row>
    <row r="664" spans="7:7">
      <c r="G664" s="1"/>
    </row>
    <row r="665" spans="7:7">
      <c r="G665" s="1"/>
    </row>
    <row r="666" spans="7:7">
      <c r="G666" s="1"/>
    </row>
    <row r="667" spans="7:7">
      <c r="G667" s="1"/>
    </row>
    <row r="668" spans="7:7">
      <c r="G668" s="1"/>
    </row>
    <row r="669" spans="7:7">
      <c r="G669" s="1"/>
    </row>
    <row r="670" spans="7:7">
      <c r="G670" s="1"/>
    </row>
    <row r="671" spans="7:7">
      <c r="G671" s="1"/>
    </row>
    <row r="672" spans="7:7">
      <c r="G672" s="1"/>
    </row>
    <row r="673" spans="7:7">
      <c r="G673" s="1"/>
    </row>
    <row r="674" spans="7:7">
      <c r="G674" s="1"/>
    </row>
    <row r="675" spans="7:7">
      <c r="G675" s="1"/>
    </row>
    <row r="676" spans="7:7">
      <c r="G676" s="1"/>
    </row>
    <row r="677" spans="7:7">
      <c r="G677" s="1"/>
    </row>
    <row r="678" spans="7:7">
      <c r="G678" s="1"/>
    </row>
    <row r="679" spans="7:7">
      <c r="G679" s="1"/>
    </row>
    <row r="680" spans="7:7">
      <c r="G680" s="1"/>
    </row>
    <row r="681" spans="7:7">
      <c r="G681" s="1"/>
    </row>
    <row r="682" spans="7:7">
      <c r="G682" s="1"/>
    </row>
    <row r="683" spans="7:7">
      <c r="G683" s="1"/>
    </row>
    <row r="684" spans="7:7">
      <c r="G684" s="1"/>
    </row>
    <row r="685" spans="7:7">
      <c r="G685" s="1"/>
    </row>
    <row r="686" spans="7:7">
      <c r="G686" s="1"/>
    </row>
    <row r="687" spans="7:7">
      <c r="G687" s="1"/>
    </row>
    <row r="688" spans="7:7">
      <c r="G688" s="1"/>
    </row>
    <row r="689" spans="7:7">
      <c r="G689" s="1"/>
    </row>
    <row r="690" spans="7:7">
      <c r="G690" s="1"/>
    </row>
    <row r="691" spans="7:7">
      <c r="G691" s="1"/>
    </row>
    <row r="692" spans="7:7">
      <c r="G692" s="1"/>
    </row>
    <row r="693" spans="7:7">
      <c r="G693" s="1"/>
    </row>
    <row r="694" spans="7:7">
      <c r="G694" s="1"/>
    </row>
    <row r="695" spans="7:7">
      <c r="G695" s="1"/>
    </row>
    <row r="696" spans="7:7">
      <c r="G696" s="1"/>
    </row>
    <row r="697" spans="7:7">
      <c r="G697" s="1"/>
    </row>
    <row r="698" spans="7:7">
      <c r="G698" s="1"/>
    </row>
    <row r="699" spans="7:7">
      <c r="G699" s="1"/>
    </row>
    <row r="700" spans="7:7">
      <c r="G700" s="1"/>
    </row>
    <row r="701" spans="7:7">
      <c r="G701" s="1"/>
    </row>
    <row r="702" spans="7:7">
      <c r="G702" s="1"/>
    </row>
    <row r="703" spans="7:7">
      <c r="G703" s="1"/>
    </row>
    <row r="704" spans="7:7">
      <c r="G704" s="1"/>
    </row>
    <row r="705" spans="7:7">
      <c r="G705" s="1"/>
    </row>
    <row r="706" spans="7:7">
      <c r="G706" s="1"/>
    </row>
    <row r="707" spans="7:7">
      <c r="G707" s="1"/>
    </row>
    <row r="708" spans="7:7">
      <c r="G708" s="1"/>
    </row>
    <row r="709" spans="7:7">
      <c r="G709" s="1"/>
    </row>
    <row r="710" spans="7:7">
      <c r="G710" s="1"/>
    </row>
    <row r="711" spans="7:7">
      <c r="G711" s="1"/>
    </row>
    <row r="712" spans="7:7">
      <c r="G712" s="1"/>
    </row>
    <row r="713" spans="7:7">
      <c r="G713" s="1"/>
    </row>
    <row r="714" spans="7:7">
      <c r="G714" s="1"/>
    </row>
    <row r="715" spans="7:7">
      <c r="G715" s="1"/>
    </row>
    <row r="716" spans="7:7">
      <c r="G716" s="1"/>
    </row>
    <row r="717" spans="7:7">
      <c r="G717" s="1"/>
    </row>
    <row r="718" spans="7:7">
      <c r="G718" s="1"/>
    </row>
    <row r="719" spans="7:7">
      <c r="G719" s="1"/>
    </row>
    <row r="720" spans="7:7">
      <c r="G720" s="1"/>
    </row>
    <row r="721" spans="7:7">
      <c r="G721" s="1"/>
    </row>
    <row r="722" spans="7:7">
      <c r="G722" s="1"/>
    </row>
    <row r="723" spans="7:7">
      <c r="G723" s="1"/>
    </row>
    <row r="724" spans="7:7">
      <c r="G724" s="1"/>
    </row>
    <row r="725" spans="7:7">
      <c r="G725" s="1"/>
    </row>
    <row r="726" spans="7:7">
      <c r="G726" s="1"/>
    </row>
    <row r="727" spans="7:7">
      <c r="G727" s="1"/>
    </row>
    <row r="728" spans="7:7">
      <c r="G728" s="1"/>
    </row>
    <row r="729" spans="7:7">
      <c r="G729" s="1"/>
    </row>
    <row r="730" spans="7:7">
      <c r="G730" s="1"/>
    </row>
    <row r="731" spans="7:7">
      <c r="G731" s="1"/>
    </row>
    <row r="732" spans="7:7">
      <c r="G732" s="1"/>
    </row>
    <row r="733" spans="7:7">
      <c r="G733" s="1"/>
    </row>
    <row r="734" spans="7:7">
      <c r="G734" s="1"/>
    </row>
    <row r="735" spans="7:7">
      <c r="G735" s="1"/>
    </row>
    <row r="736" spans="7:7">
      <c r="G736" s="1"/>
    </row>
    <row r="737" spans="7:7">
      <c r="G737" s="1"/>
    </row>
    <row r="738" spans="7:7">
      <c r="G738" s="1"/>
    </row>
    <row r="739" spans="7:7">
      <c r="G739" s="1"/>
    </row>
    <row r="740" spans="7:7">
      <c r="G740" s="1"/>
    </row>
    <row r="741" spans="7:7">
      <c r="G741" s="1"/>
    </row>
    <row r="742" spans="7:7">
      <c r="G742" s="1"/>
    </row>
    <row r="743" spans="7:7">
      <c r="G743" s="1"/>
    </row>
    <row r="744" spans="7:7">
      <c r="G744" s="1"/>
    </row>
    <row r="745" spans="7:7">
      <c r="G745" s="1"/>
    </row>
    <row r="746" spans="7:7">
      <c r="G746" s="1"/>
    </row>
    <row r="747" spans="7:7">
      <c r="G747" s="1"/>
    </row>
    <row r="748" spans="7:7">
      <c r="G748" s="1"/>
    </row>
    <row r="749" spans="7:7">
      <c r="G749" s="1"/>
    </row>
    <row r="750" spans="7:7">
      <c r="G750" s="1"/>
    </row>
    <row r="751" spans="7:7">
      <c r="G751" s="1"/>
    </row>
    <row r="752" spans="7:7">
      <c r="G752" s="1"/>
    </row>
    <row r="753" spans="7:7">
      <c r="G753" s="1"/>
    </row>
    <row r="754" spans="7:7">
      <c r="G754" s="1"/>
    </row>
    <row r="755" spans="7:7">
      <c r="G755" s="1"/>
    </row>
    <row r="756" spans="7:7">
      <c r="G756" s="1"/>
    </row>
    <row r="757" spans="7:7">
      <c r="G757" s="1"/>
    </row>
    <row r="758" spans="7:7">
      <c r="G758" s="1"/>
    </row>
    <row r="759" spans="7:7">
      <c r="G759" s="1"/>
    </row>
    <row r="760" spans="7:7">
      <c r="G760" s="1"/>
    </row>
    <row r="761" spans="7:7">
      <c r="G761" s="1"/>
    </row>
    <row r="762" spans="7:7">
      <c r="G762" s="1"/>
    </row>
    <row r="763" spans="7:7">
      <c r="G763" s="1"/>
    </row>
    <row r="764" spans="7:7">
      <c r="G764" s="1"/>
    </row>
    <row r="765" spans="7:7">
      <c r="G765" s="1"/>
    </row>
    <row r="766" spans="7:7">
      <c r="G766" s="1"/>
    </row>
    <row r="767" spans="7:7">
      <c r="G767" s="1"/>
    </row>
    <row r="768" spans="7:7">
      <c r="G768" s="1"/>
    </row>
    <row r="769" spans="7:7">
      <c r="G769" s="1"/>
    </row>
    <row r="770" spans="7:7">
      <c r="G770" s="1"/>
    </row>
    <row r="771" spans="7:7">
      <c r="G771" s="1"/>
    </row>
    <row r="772" spans="7:7">
      <c r="G772" s="1"/>
    </row>
    <row r="773" spans="7:7">
      <c r="G773" s="1"/>
    </row>
    <row r="774" spans="7:7">
      <c r="G774" s="1"/>
    </row>
    <row r="775" spans="7:7">
      <c r="G775" s="1"/>
    </row>
    <row r="776" spans="7:7">
      <c r="G776" s="1"/>
    </row>
    <row r="777" spans="7:7">
      <c r="G777" s="1"/>
    </row>
    <row r="778" spans="7:7">
      <c r="G778" s="1"/>
    </row>
    <row r="779" spans="7:7">
      <c r="G779" s="1"/>
    </row>
    <row r="780" spans="7:7">
      <c r="G780" s="1"/>
    </row>
    <row r="781" spans="7:7">
      <c r="G781" s="1"/>
    </row>
    <row r="782" spans="7:7">
      <c r="G782" s="1"/>
    </row>
    <row r="783" spans="7:7">
      <c r="G783" s="1"/>
    </row>
    <row r="784" spans="7:7">
      <c r="G784" s="1"/>
    </row>
    <row r="785" spans="7:7">
      <c r="G785" s="1"/>
    </row>
    <row r="786" spans="7:7">
      <c r="G786" s="1"/>
    </row>
    <row r="787" spans="7:7">
      <c r="G787" s="1"/>
    </row>
    <row r="788" spans="7:7">
      <c r="G788" s="1"/>
    </row>
    <row r="789" spans="7:7">
      <c r="G789" s="1"/>
    </row>
    <row r="790" spans="7:7">
      <c r="G790" s="1"/>
    </row>
    <row r="791" spans="7:7">
      <c r="G791" s="1"/>
    </row>
    <row r="792" spans="7:7">
      <c r="G792" s="1"/>
    </row>
    <row r="793" spans="7:7">
      <c r="G793" s="1"/>
    </row>
    <row r="794" spans="7:7">
      <c r="G794" s="1"/>
    </row>
    <row r="795" spans="7:7">
      <c r="G795" s="1"/>
    </row>
    <row r="796" spans="7:7">
      <c r="G796" s="1"/>
    </row>
    <row r="797" spans="7:7">
      <c r="G797" s="1"/>
    </row>
    <row r="798" spans="7:7">
      <c r="G798" s="1"/>
    </row>
    <row r="799" spans="7:7">
      <c r="G799" s="1"/>
    </row>
    <row r="800" spans="7:7">
      <c r="G800" s="1"/>
    </row>
    <row r="801" spans="7:7">
      <c r="G801" s="1"/>
    </row>
    <row r="802" spans="7:7">
      <c r="G802" s="1"/>
    </row>
    <row r="803" spans="7:7">
      <c r="G803" s="1"/>
    </row>
    <row r="804" spans="7:7">
      <c r="G804" s="1"/>
    </row>
    <row r="805" spans="7:7">
      <c r="G805" s="1"/>
    </row>
    <row r="806" spans="7:7">
      <c r="G806" s="1"/>
    </row>
    <row r="807" spans="7:7">
      <c r="G807" s="1"/>
    </row>
    <row r="808" spans="7:7">
      <c r="G808" s="1"/>
    </row>
    <row r="809" spans="7:7">
      <c r="G809" s="1"/>
    </row>
    <row r="810" spans="7:7">
      <c r="G810" s="1"/>
    </row>
    <row r="811" spans="7:7">
      <c r="G811" s="1"/>
    </row>
    <row r="812" spans="7:7">
      <c r="G812" s="1"/>
    </row>
    <row r="813" spans="7:7">
      <c r="G813" s="1"/>
    </row>
    <row r="814" spans="7:7">
      <c r="G814" s="1"/>
    </row>
    <row r="815" spans="7:7">
      <c r="G815" s="1"/>
    </row>
    <row r="816" spans="7:7">
      <c r="G816" s="1"/>
    </row>
    <row r="817" spans="7:7">
      <c r="G817" s="1"/>
    </row>
    <row r="818" spans="7:7">
      <c r="G818" s="1"/>
    </row>
    <row r="819" spans="7:7">
      <c r="G819" s="1"/>
    </row>
    <row r="820" spans="7:7">
      <c r="G820" s="1"/>
    </row>
    <row r="821" spans="7:7">
      <c r="G821" s="1"/>
    </row>
    <row r="822" spans="7:7">
      <c r="G822" s="1"/>
    </row>
    <row r="823" spans="7:7">
      <c r="G823" s="1"/>
    </row>
    <row r="824" spans="7:7">
      <c r="G824" s="1"/>
    </row>
    <row r="825" spans="7:7">
      <c r="G825" s="1"/>
    </row>
    <row r="826" spans="7:7">
      <c r="G826" s="1"/>
    </row>
    <row r="827" spans="7:7">
      <c r="G827" s="1"/>
    </row>
    <row r="828" spans="7:7">
      <c r="G828" s="1"/>
    </row>
    <row r="829" spans="7:7">
      <c r="G829" s="1"/>
    </row>
    <row r="830" spans="7:7">
      <c r="G830" s="1"/>
    </row>
    <row r="831" spans="7:7">
      <c r="G831" s="1"/>
    </row>
    <row r="832" spans="7:7">
      <c r="G832" s="1"/>
    </row>
    <row r="833" spans="7:7">
      <c r="G833" s="1"/>
    </row>
    <row r="834" spans="7:7">
      <c r="G834" s="1"/>
    </row>
    <row r="835" spans="7:7">
      <c r="G835" s="1"/>
    </row>
    <row r="836" spans="7:7">
      <c r="G836" s="1"/>
    </row>
    <row r="837" spans="7:7">
      <c r="G837" s="1"/>
    </row>
    <row r="838" spans="7:7">
      <c r="G838" s="1"/>
    </row>
    <row r="839" spans="7:7">
      <c r="G839" s="1"/>
    </row>
    <row r="840" spans="7:7">
      <c r="G840" s="1"/>
    </row>
    <row r="841" spans="7:7">
      <c r="G841" s="1"/>
    </row>
    <row r="842" spans="7:7">
      <c r="G842" s="1"/>
    </row>
    <row r="843" spans="7:7">
      <c r="G843" s="1"/>
    </row>
    <row r="844" spans="7:7">
      <c r="G844" s="1"/>
    </row>
    <row r="845" spans="7:7">
      <c r="G845" s="1"/>
    </row>
    <row r="846" spans="7:7">
      <c r="G846" s="1"/>
    </row>
    <row r="847" spans="7:7">
      <c r="G847" s="1"/>
    </row>
    <row r="848" spans="7:7">
      <c r="G848" s="1"/>
    </row>
    <row r="849" spans="7:7">
      <c r="G849" s="1"/>
    </row>
    <row r="850" spans="7:7">
      <c r="G850" s="1"/>
    </row>
    <row r="851" spans="7:7">
      <c r="G851" s="1"/>
    </row>
    <row r="852" spans="7:7">
      <c r="G852" s="1"/>
    </row>
    <row r="853" spans="7:7">
      <c r="G853" s="1"/>
    </row>
    <row r="854" spans="7:7">
      <c r="G854" s="1"/>
    </row>
    <row r="855" spans="7:7">
      <c r="G855" s="1"/>
    </row>
    <row r="856" spans="7:7">
      <c r="G856" s="1"/>
    </row>
    <row r="857" spans="7:7">
      <c r="G857" s="1"/>
    </row>
    <row r="858" spans="7:7">
      <c r="G858" s="1"/>
    </row>
    <row r="859" spans="7:7">
      <c r="G859" s="1"/>
    </row>
    <row r="860" spans="7:7">
      <c r="G860" s="1"/>
    </row>
    <row r="861" spans="7:7">
      <c r="G861" s="1"/>
    </row>
    <row r="862" spans="7:7">
      <c r="G862" s="1"/>
    </row>
    <row r="863" spans="7:7">
      <c r="G863" s="1"/>
    </row>
    <row r="864" spans="7:7">
      <c r="G864" s="1"/>
    </row>
    <row r="865" spans="7:7">
      <c r="G865" s="1"/>
    </row>
    <row r="866" spans="7:7">
      <c r="G866" s="1"/>
    </row>
    <row r="867" spans="7:7">
      <c r="G867" s="1"/>
    </row>
    <row r="868" spans="7:7">
      <c r="G868" s="1"/>
    </row>
    <row r="869" spans="7:7">
      <c r="G869" s="1"/>
    </row>
    <row r="870" spans="7:7">
      <c r="G870" s="1"/>
    </row>
    <row r="871" spans="7:7">
      <c r="G871" s="1"/>
    </row>
    <row r="872" spans="7:7">
      <c r="G872" s="1"/>
    </row>
    <row r="873" spans="7:7">
      <c r="G873" s="1"/>
    </row>
    <row r="874" spans="7:7">
      <c r="G874" s="1"/>
    </row>
    <row r="875" spans="7:7">
      <c r="G875" s="1"/>
    </row>
    <row r="876" spans="7:7">
      <c r="G876" s="1"/>
    </row>
    <row r="877" spans="7:7">
      <c r="G877" s="1"/>
    </row>
    <row r="878" spans="7:7">
      <c r="G878" s="1"/>
    </row>
    <row r="879" spans="7:7">
      <c r="G879" s="1"/>
    </row>
    <row r="880" spans="7:7">
      <c r="G880" s="1"/>
    </row>
    <row r="881" spans="7:7">
      <c r="G881" s="1"/>
    </row>
    <row r="882" spans="7:7">
      <c r="G882" s="1"/>
    </row>
    <row r="883" spans="7:7">
      <c r="G883" s="1"/>
    </row>
    <row r="884" spans="7:7">
      <c r="G884" s="1"/>
    </row>
    <row r="885" spans="7:7">
      <c r="G885" s="1"/>
    </row>
    <row r="886" spans="7:7">
      <c r="G886" s="1"/>
    </row>
    <row r="887" spans="7:7">
      <c r="G887" s="1"/>
    </row>
    <row r="888" spans="7:7">
      <c r="G888" s="1"/>
    </row>
    <row r="889" spans="7:7">
      <c r="G889" s="1"/>
    </row>
    <row r="890" spans="7:7">
      <c r="G890" s="1"/>
    </row>
    <row r="891" spans="7:7">
      <c r="G891" s="1"/>
    </row>
    <row r="892" spans="7:7">
      <c r="G892" s="1"/>
    </row>
    <row r="893" spans="7:7">
      <c r="G893" s="1"/>
    </row>
    <row r="894" spans="7:7">
      <c r="G894" s="1"/>
    </row>
    <row r="895" spans="7:7">
      <c r="G895" s="1"/>
    </row>
    <row r="896" spans="7:7">
      <c r="G896" s="1"/>
    </row>
    <row r="897" spans="7:7">
      <c r="G897" s="1"/>
    </row>
    <row r="898" spans="7:7">
      <c r="G898" s="1"/>
    </row>
    <row r="899" spans="7:7">
      <c r="G899" s="1"/>
    </row>
    <row r="900" spans="7:7">
      <c r="G900" s="1"/>
    </row>
    <row r="901" spans="7:7">
      <c r="G901" s="1"/>
    </row>
    <row r="902" spans="7:7">
      <c r="G902" s="1"/>
    </row>
    <row r="903" spans="7:7">
      <c r="G903" s="1"/>
    </row>
    <row r="904" spans="7:7">
      <c r="G904" s="1"/>
    </row>
    <row r="905" spans="7:7">
      <c r="G905" s="1"/>
    </row>
    <row r="906" spans="7:7">
      <c r="G906" s="1"/>
    </row>
    <row r="907" spans="7:7">
      <c r="G907" s="1"/>
    </row>
    <row r="908" spans="7:7">
      <c r="G908" s="1"/>
    </row>
    <row r="909" spans="7:7">
      <c r="G909" s="1"/>
    </row>
    <row r="910" spans="7:7">
      <c r="G910" s="1"/>
    </row>
    <row r="911" spans="7:7">
      <c r="G911" s="1"/>
    </row>
    <row r="912" spans="7:7">
      <c r="G912" s="1"/>
    </row>
    <row r="913" spans="7:7">
      <c r="G913" s="1"/>
    </row>
    <row r="914" spans="7:7">
      <c r="G914" s="1"/>
    </row>
    <row r="915" spans="7:7">
      <c r="G915" s="1"/>
    </row>
    <row r="916" spans="7:7">
      <c r="G916" s="1"/>
    </row>
    <row r="917" spans="7:7">
      <c r="G917" s="1"/>
    </row>
    <row r="918" spans="7:7">
      <c r="G918" s="1"/>
    </row>
    <row r="919" spans="7:7">
      <c r="G919" s="1"/>
    </row>
    <row r="920" spans="7:7">
      <c r="G920" s="1"/>
    </row>
    <row r="921" spans="7:7">
      <c r="G921" s="1"/>
    </row>
    <row r="922" spans="7:7">
      <c r="G922" s="1"/>
    </row>
    <row r="923" spans="7:7">
      <c r="G923" s="1"/>
    </row>
    <row r="924" spans="7:7">
      <c r="G924" s="1"/>
    </row>
    <row r="925" spans="7:7">
      <c r="G925" s="1"/>
    </row>
    <row r="926" spans="7:7">
      <c r="G926" s="1"/>
    </row>
    <row r="927" spans="7:7">
      <c r="G927" s="1"/>
    </row>
    <row r="928" spans="7:7">
      <c r="G928" s="1"/>
    </row>
    <row r="929" spans="7:7">
      <c r="G929" s="1"/>
    </row>
    <row r="930" spans="7:7">
      <c r="G930" s="1"/>
    </row>
    <row r="931" spans="7:7">
      <c r="G931" s="1"/>
    </row>
    <row r="932" spans="7:7">
      <c r="G932" s="1"/>
    </row>
    <row r="933" spans="7:7">
      <c r="G933" s="1"/>
    </row>
    <row r="934" spans="7:7">
      <c r="G934" s="1"/>
    </row>
    <row r="935" spans="7:7">
      <c r="G935" s="1"/>
    </row>
    <row r="936" spans="7:7">
      <c r="G936" s="1"/>
    </row>
    <row r="937" spans="7:7">
      <c r="G937" s="1"/>
    </row>
    <row r="938" spans="7:7">
      <c r="G938" s="1"/>
    </row>
    <row r="939" spans="7:7">
      <c r="G939" s="1"/>
    </row>
    <row r="940" spans="7:7">
      <c r="G940" s="1"/>
    </row>
    <row r="941" spans="7:7">
      <c r="G941" s="1"/>
    </row>
    <row r="942" spans="7:7">
      <c r="G942" s="1"/>
    </row>
    <row r="943" spans="7:7">
      <c r="G943" s="1"/>
    </row>
    <row r="944" spans="7:7">
      <c r="G944" s="1"/>
    </row>
    <row r="945" spans="7:7">
      <c r="G945" s="1"/>
    </row>
    <row r="946" spans="7:7">
      <c r="G946" s="1"/>
    </row>
    <row r="947" spans="7:7">
      <c r="G947" s="1"/>
    </row>
    <row r="948" spans="7:7">
      <c r="G948" s="1"/>
    </row>
    <row r="949" spans="7:7">
      <c r="G949" s="1"/>
    </row>
    <row r="950" spans="7:7">
      <c r="G950" s="1"/>
    </row>
    <row r="951" spans="7:7">
      <c r="G951" s="1"/>
    </row>
    <row r="952" spans="7:7">
      <c r="G952" s="1"/>
    </row>
    <row r="953" spans="7:7">
      <c r="G953" s="1"/>
    </row>
    <row r="954" spans="7:7">
      <c r="G954" s="1"/>
    </row>
    <row r="955" spans="7:7">
      <c r="G955" s="1"/>
    </row>
    <row r="956" spans="7:7">
      <c r="G956" s="1"/>
    </row>
    <row r="957" spans="7:7">
      <c r="G957" s="1"/>
    </row>
    <row r="958" spans="7:7">
      <c r="G958" s="1"/>
    </row>
    <row r="959" spans="7:7">
      <c r="G959" s="1"/>
    </row>
    <row r="960" spans="7:7">
      <c r="G960" s="1"/>
    </row>
    <row r="961" spans="7:7">
      <c r="G961" s="1"/>
    </row>
    <row r="962" spans="7:7">
      <c r="G962" s="1"/>
    </row>
    <row r="963" spans="7:7">
      <c r="G963" s="1"/>
    </row>
    <row r="964" spans="7:7">
      <c r="G964" s="1"/>
    </row>
    <row r="965" spans="7:7">
      <c r="G965" s="1"/>
    </row>
    <row r="966" spans="7:7">
      <c r="G966" s="1"/>
    </row>
    <row r="967" spans="7:7">
      <c r="G967" s="1"/>
    </row>
    <row r="968" spans="7:7">
      <c r="G968" s="1"/>
    </row>
    <row r="969" spans="7:7">
      <c r="G969" s="1"/>
    </row>
    <row r="970" spans="7:7">
      <c r="G970" s="1"/>
    </row>
    <row r="971" spans="7:7">
      <c r="G971" s="1"/>
    </row>
    <row r="972" spans="7:7">
      <c r="G972" s="1"/>
    </row>
    <row r="973" spans="7:7">
      <c r="G973" s="1"/>
    </row>
    <row r="974" spans="7:7">
      <c r="G974" s="1"/>
    </row>
    <row r="975" spans="7:7">
      <c r="G975" s="1"/>
    </row>
    <row r="976" spans="7:7">
      <c r="G976" s="1"/>
    </row>
    <row r="977" spans="7:7">
      <c r="G977" s="1"/>
    </row>
    <row r="978" spans="7:7">
      <c r="G978" s="1"/>
    </row>
    <row r="979" spans="7:7">
      <c r="G979" s="1"/>
    </row>
    <row r="980" spans="7:7">
      <c r="G980" s="1"/>
    </row>
    <row r="981" spans="7:7">
      <c r="G981" s="1"/>
    </row>
    <row r="982" spans="7:7">
      <c r="G982" s="1"/>
    </row>
    <row r="983" spans="7:7">
      <c r="G983" s="1"/>
    </row>
    <row r="984" spans="7:7">
      <c r="G984" s="1"/>
    </row>
    <row r="985" spans="7:7">
      <c r="G985" s="1"/>
    </row>
    <row r="986" spans="7:7">
      <c r="G986" s="1"/>
    </row>
    <row r="987" spans="7:7">
      <c r="G987" s="1"/>
    </row>
    <row r="988" spans="7:7">
      <c r="G988" s="1"/>
    </row>
    <row r="989" spans="7:7">
      <c r="G989" s="1"/>
    </row>
    <row r="990" spans="7:7">
      <c r="G990" s="1"/>
    </row>
    <row r="991" spans="7:7">
      <c r="G991" s="1"/>
    </row>
    <row r="992" spans="7:7">
      <c r="G992" s="1"/>
    </row>
    <row r="993" spans="7:7">
      <c r="G993" s="1"/>
    </row>
    <row r="994" spans="7:7">
      <c r="G994" s="1"/>
    </row>
    <row r="995" spans="7:7">
      <c r="G995" s="1"/>
    </row>
    <row r="996" spans="7:7">
      <c r="G996" s="1"/>
    </row>
    <row r="997" spans="7:7">
      <c r="G997" s="1"/>
    </row>
    <row r="998" spans="7:7">
      <c r="G998" s="1"/>
    </row>
    <row r="999" spans="7:7">
      <c r="G999" s="1"/>
    </row>
    <row r="1000" spans="7:7">
      <c r="G1000" s="1"/>
    </row>
    <row r="1001" spans="7:7">
      <c r="G1001" s="1"/>
    </row>
    <row r="1002" spans="7:7">
      <c r="G1002" s="1"/>
    </row>
    <row r="1003" spans="7:7">
      <c r="G1003" s="1"/>
    </row>
    <row r="1004" spans="7:7">
      <c r="G1004" s="1"/>
    </row>
    <row r="1005" spans="7:7">
      <c r="G1005" s="1"/>
    </row>
    <row r="1006" spans="7:7">
      <c r="G1006" s="1"/>
    </row>
    <row r="1007" spans="7:7">
      <c r="G1007" s="1"/>
    </row>
    <row r="1008" spans="7:7">
      <c r="G1008" s="1"/>
    </row>
    <row r="1009" spans="7:7">
      <c r="G1009" s="1"/>
    </row>
    <row r="1010" spans="7:7">
      <c r="G1010" s="1"/>
    </row>
    <row r="1011" spans="7:7">
      <c r="G1011" s="1"/>
    </row>
    <row r="1012" spans="7:7">
      <c r="G1012" s="1"/>
    </row>
    <row r="1013" spans="7:7">
      <c r="G1013" s="1"/>
    </row>
    <row r="1014" spans="7:7">
      <c r="G1014" s="1"/>
    </row>
    <row r="1015" spans="7:7">
      <c r="G1015" s="1"/>
    </row>
    <row r="1016" spans="7:7">
      <c r="G1016" s="1"/>
    </row>
    <row r="1017" spans="7:7">
      <c r="G1017" s="1"/>
    </row>
    <row r="1018" spans="7:7">
      <c r="G1018" s="1"/>
    </row>
    <row r="1019" spans="7:7">
      <c r="G1019" s="1"/>
    </row>
  </sheetData>
  <mergeCells count="57">
    <mergeCell ref="A44:B44"/>
    <mergeCell ref="A1:B3"/>
    <mergeCell ref="C1:V1"/>
    <mergeCell ref="C2:G2"/>
    <mergeCell ref="H2:J2"/>
    <mergeCell ref="K2:O2"/>
    <mergeCell ref="P2:P3"/>
    <mergeCell ref="Q2:R2"/>
    <mergeCell ref="S2:T3"/>
    <mergeCell ref="U2:V2"/>
    <mergeCell ref="A41:A42"/>
    <mergeCell ref="D41:E41"/>
    <mergeCell ref="F41:G41"/>
    <mergeCell ref="D42:E42"/>
    <mergeCell ref="F42:G42"/>
    <mergeCell ref="A45:B45"/>
    <mergeCell ref="A46:B46"/>
    <mergeCell ref="A47:B47"/>
    <mergeCell ref="A48:B48"/>
    <mergeCell ref="A49:B49"/>
    <mergeCell ref="C61:F61"/>
    <mergeCell ref="C50:F50"/>
    <mergeCell ref="A51:B51"/>
    <mergeCell ref="A52:B52"/>
    <mergeCell ref="A53:B53"/>
    <mergeCell ref="A54:B54"/>
    <mergeCell ref="A55:B55"/>
    <mergeCell ref="A50:B50"/>
    <mergeCell ref="A56:B56"/>
    <mergeCell ref="A57:B57"/>
    <mergeCell ref="A58:A59"/>
    <mergeCell ref="A60:B60"/>
    <mergeCell ref="A61:B61"/>
    <mergeCell ref="A67:B67"/>
    <mergeCell ref="A68:B68"/>
    <mergeCell ref="A69:A71"/>
    <mergeCell ref="A72:B72"/>
    <mergeCell ref="A73:B73"/>
    <mergeCell ref="A62:B62"/>
    <mergeCell ref="A63:B63"/>
    <mergeCell ref="A64:B64"/>
    <mergeCell ref="A65:B65"/>
    <mergeCell ref="A66:B66"/>
    <mergeCell ref="C73:F73"/>
    <mergeCell ref="A89:B89"/>
    <mergeCell ref="A77:B77"/>
    <mergeCell ref="A79:C79"/>
    <mergeCell ref="A80:B80"/>
    <mergeCell ref="A81:B81"/>
    <mergeCell ref="A82:B82"/>
    <mergeCell ref="A83:B83"/>
    <mergeCell ref="A84:B84"/>
    <mergeCell ref="A85:B85"/>
    <mergeCell ref="A86:B86"/>
    <mergeCell ref="A87:B87"/>
    <mergeCell ref="A88:B88"/>
    <mergeCell ref="A74:A76"/>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K74"/>
  <sheetViews>
    <sheetView workbookViewId="0">
      <selection activeCell="B10" sqref="B10"/>
    </sheetView>
  </sheetViews>
  <sheetFormatPr defaultRowHeight="15"/>
  <cols>
    <col min="1" max="1" width="9.140625" style="1"/>
    <col min="2" max="2" width="34.28515625" style="1" bestFit="1" customWidth="1"/>
    <col min="3" max="8" width="14.42578125" style="1" customWidth="1"/>
    <col min="9" max="9" width="14.42578125" style="1" bestFit="1" customWidth="1"/>
    <col min="10" max="10" width="9.140625" style="1"/>
    <col min="11" max="16" width="14.42578125" style="1" customWidth="1"/>
    <col min="17" max="18" width="9.140625" style="1"/>
    <col min="19" max="19" width="14.42578125" style="1" bestFit="1" customWidth="1"/>
    <col min="20" max="1025" width="9.140625" style="1"/>
  </cols>
  <sheetData>
    <row r="1" spans="1:22" ht="92.25" customHeight="1">
      <c r="A1" s="1230"/>
      <c r="B1" s="1230"/>
      <c r="C1" s="1223" t="s">
        <v>358</v>
      </c>
      <c r="D1" s="1223"/>
      <c r="E1" s="1223"/>
      <c r="F1" s="1223"/>
      <c r="G1" s="1223"/>
      <c r="H1" s="1223"/>
      <c r="I1" s="1223"/>
      <c r="J1" s="1223"/>
      <c r="K1" s="1223"/>
      <c r="L1" s="1223"/>
      <c r="M1" s="1223"/>
      <c r="N1" s="1223"/>
      <c r="O1" s="1223"/>
      <c r="P1" s="1223"/>
      <c r="Q1" s="1223"/>
      <c r="R1" s="1223"/>
      <c r="S1" s="1223"/>
      <c r="T1" s="1223"/>
      <c r="U1" s="1223"/>
      <c r="V1" s="1223"/>
    </row>
    <row r="2" spans="1:22" ht="15" customHeight="1">
      <c r="A2" s="1230"/>
      <c r="B2" s="1230"/>
      <c r="C2" s="1224" t="s">
        <v>268</v>
      </c>
      <c r="D2" s="1224"/>
      <c r="E2" s="1224"/>
      <c r="F2" s="1224"/>
      <c r="G2" s="1224"/>
      <c r="H2" s="1225" t="s">
        <v>269</v>
      </c>
      <c r="I2" s="1225"/>
      <c r="J2" s="1225"/>
      <c r="K2" s="1224" t="s">
        <v>270</v>
      </c>
      <c r="L2" s="1224"/>
      <c r="M2" s="1224"/>
      <c r="N2" s="1224"/>
      <c r="O2" s="1224"/>
      <c r="P2" s="1226" t="s">
        <v>271</v>
      </c>
      <c r="Q2" s="1226" t="s">
        <v>272</v>
      </c>
      <c r="R2" s="1226"/>
      <c r="S2" s="1225" t="s">
        <v>273</v>
      </c>
      <c r="T2" s="1225"/>
      <c r="U2" s="1226" t="s">
        <v>274</v>
      </c>
      <c r="V2" s="1226"/>
    </row>
    <row r="3" spans="1:22" ht="15.75" customHeight="1">
      <c r="A3" s="1230"/>
      <c r="B3" s="1230"/>
      <c r="C3" s="874" t="s">
        <v>275</v>
      </c>
      <c r="D3" s="874" t="s">
        <v>276</v>
      </c>
      <c r="E3" s="875" t="s">
        <v>277</v>
      </c>
      <c r="F3" s="875" t="s">
        <v>278</v>
      </c>
      <c r="G3" s="875" t="s">
        <v>279</v>
      </c>
      <c r="H3" s="875" t="s">
        <v>3</v>
      </c>
      <c r="I3" s="876" t="s">
        <v>279</v>
      </c>
      <c r="J3" s="876" t="s">
        <v>280</v>
      </c>
      <c r="K3" s="874" t="s">
        <v>275</v>
      </c>
      <c r="L3" s="874" t="s">
        <v>276</v>
      </c>
      <c r="M3" s="875" t="s">
        <v>277</v>
      </c>
      <c r="N3" s="875" t="s">
        <v>278</v>
      </c>
      <c r="O3" s="875" t="s">
        <v>279</v>
      </c>
      <c r="P3" s="1226"/>
      <c r="Q3" s="877" t="s">
        <v>257</v>
      </c>
      <c r="R3" s="878" t="s">
        <v>184</v>
      </c>
      <c r="S3" s="1225"/>
      <c r="T3" s="1225"/>
      <c r="U3" s="877" t="s">
        <v>258</v>
      </c>
      <c r="V3" s="878" t="s">
        <v>264</v>
      </c>
    </row>
    <row r="4" spans="1:22" ht="17.25">
      <c r="A4" s="879" t="s">
        <v>281</v>
      </c>
      <c r="B4" s="880"/>
      <c r="C4" s="881"/>
      <c r="D4" s="881"/>
      <c r="E4" s="881"/>
      <c r="F4" s="881"/>
      <c r="G4" s="881"/>
      <c r="H4" s="881"/>
      <c r="I4" s="881"/>
      <c r="J4" s="881"/>
      <c r="K4" s="881"/>
      <c r="L4" s="881"/>
      <c r="M4" s="881"/>
      <c r="N4" s="881"/>
      <c r="O4" s="881"/>
      <c r="P4" s="881"/>
      <c r="Q4" s="881"/>
      <c r="R4" s="881"/>
      <c r="S4" s="881"/>
      <c r="T4" s="881"/>
      <c r="U4" s="881"/>
      <c r="V4" s="881"/>
    </row>
    <row r="5" spans="1:22">
      <c r="A5" s="914">
        <v>56484001</v>
      </c>
      <c r="B5" s="883" t="s">
        <v>12</v>
      </c>
      <c r="C5" s="14">
        <v>0</v>
      </c>
      <c r="D5" s="14">
        <v>35840</v>
      </c>
      <c r="E5" s="14">
        <f t="shared" ref="E5:E23" si="0">C5+D5</f>
        <v>35840</v>
      </c>
      <c r="F5" s="915">
        <f>46662/35350</f>
        <v>1.32</v>
      </c>
      <c r="G5" s="915">
        <f t="shared" ref="G5:G23" si="1">F5*E5</f>
        <v>47308.800000000003</v>
      </c>
      <c r="H5" s="14">
        <v>627740</v>
      </c>
      <c r="I5" s="915">
        <v>383393.7</v>
      </c>
      <c r="J5" s="915">
        <f t="shared" ref="J5:J23" si="2">I5/H5</f>
        <v>0.61075238155924427</v>
      </c>
      <c r="K5" s="14">
        <v>0</v>
      </c>
      <c r="L5" s="14">
        <f>[3]Outubro!AF5</f>
        <v>0</v>
      </c>
      <c r="M5" s="916">
        <f t="shared" ref="M5:M23" si="3">K5+L5</f>
        <v>0</v>
      </c>
      <c r="N5" s="915">
        <f>21624.5/35450</f>
        <v>0.61</v>
      </c>
      <c r="O5" s="915">
        <f t="shared" ref="O5:O23" si="4">N5*M5</f>
        <v>0</v>
      </c>
      <c r="P5" s="14">
        <f t="shared" ref="P5:P23" si="5">E5+H5-M5</f>
        <v>663580</v>
      </c>
      <c r="Q5" s="15">
        <f>P5*1000/F39</f>
        <v>387.65472919725124</v>
      </c>
      <c r="R5" s="15">
        <f>P5*1000/F40</f>
        <v>8.2054467383992211</v>
      </c>
      <c r="S5" s="915">
        <f t="shared" ref="S5:S23" si="6">G5+I5-O5</f>
        <v>430702.5</v>
      </c>
      <c r="T5" s="917">
        <f>S5/S39</f>
        <v>0.16389255843812592</v>
      </c>
      <c r="U5" s="915">
        <f>S5/F39</f>
        <v>0.25161074927224913</v>
      </c>
      <c r="V5" s="915">
        <f t="shared" ref="V5:V23" si="7">S5*1000/$F$40</f>
        <v>5.325818173913305</v>
      </c>
    </row>
    <row r="6" spans="1:22">
      <c r="A6" s="914">
        <v>56480004</v>
      </c>
      <c r="B6" s="883" t="s">
        <v>14</v>
      </c>
      <c r="C6" s="14">
        <v>2700</v>
      </c>
      <c r="D6" s="14">
        <v>484</v>
      </c>
      <c r="E6" s="14">
        <f t="shared" si="0"/>
        <v>3184</v>
      </c>
      <c r="F6" s="915">
        <f>30014.97/4500</f>
        <v>6.6699933333333332</v>
      </c>
      <c r="G6" s="915">
        <f t="shared" si="1"/>
        <v>21237.258773333331</v>
      </c>
      <c r="H6" s="14">
        <v>23400</v>
      </c>
      <c r="I6" s="915">
        <v>165869.81</v>
      </c>
      <c r="J6" s="915">
        <f t="shared" si="2"/>
        <v>7.0884534188034189</v>
      </c>
      <c r="K6" s="14">
        <v>0</v>
      </c>
      <c r="L6" s="14">
        <f>[3]Outubro!AF6</f>
        <v>1764</v>
      </c>
      <c r="M6" s="916">
        <f t="shared" si="3"/>
        <v>1764</v>
      </c>
      <c r="N6" s="915">
        <f>12600/1800</f>
        <v>7</v>
      </c>
      <c r="O6" s="915">
        <f t="shared" si="4"/>
        <v>12348</v>
      </c>
      <c r="P6" s="14">
        <f t="shared" si="5"/>
        <v>24820</v>
      </c>
      <c r="Q6" s="15">
        <f>P6*1000/F39</f>
        <v>14.499518337918225</v>
      </c>
      <c r="R6" s="15">
        <f>P6*1000/F40</f>
        <v>0.30690977432573113</v>
      </c>
      <c r="S6" s="915">
        <f t="shared" si="6"/>
        <v>174759.06877333333</v>
      </c>
      <c r="T6" s="917">
        <f>S6/S39</f>
        <v>6.6499987558758064E-2</v>
      </c>
      <c r="U6" s="915">
        <f>S6/F39</f>
        <v>0.10209195497165427</v>
      </c>
      <c r="V6" s="915">
        <f t="shared" si="7"/>
        <v>2.160969635721139</v>
      </c>
    </row>
    <row r="7" spans="1:22">
      <c r="A7" s="914">
        <v>56480007</v>
      </c>
      <c r="B7" s="883" t="s">
        <v>15</v>
      </c>
      <c r="C7" s="14">
        <v>0</v>
      </c>
      <c r="D7" s="14">
        <v>0</v>
      </c>
      <c r="E7" s="14">
        <f t="shared" si="0"/>
        <v>0</v>
      </c>
      <c r="F7" s="915">
        <v>0</v>
      </c>
      <c r="G7" s="915">
        <f t="shared" si="1"/>
        <v>0</v>
      </c>
      <c r="H7" s="14">
        <v>2700</v>
      </c>
      <c r="I7" s="915">
        <v>18360</v>
      </c>
      <c r="J7" s="915">
        <f t="shared" si="2"/>
        <v>6.8</v>
      </c>
      <c r="K7" s="14">
        <v>900</v>
      </c>
      <c r="L7" s="14">
        <f>[3]Outubro!AF10</f>
        <v>406.86065151745402</v>
      </c>
      <c r="M7" s="916">
        <f t="shared" si="3"/>
        <v>1306.860651517454</v>
      </c>
      <c r="N7" s="915">
        <f>18360/2700</f>
        <v>6.8</v>
      </c>
      <c r="O7" s="915">
        <f t="shared" si="4"/>
        <v>8886.652430318687</v>
      </c>
      <c r="P7" s="14">
        <f t="shared" si="5"/>
        <v>1393.139348482546</v>
      </c>
      <c r="Q7" s="15">
        <f>P7*1000/F39</f>
        <v>0.81385372806600009</v>
      </c>
      <c r="R7" s="15">
        <f>P7*1000/F40</f>
        <v>1.7226755964829747E-2</v>
      </c>
      <c r="S7" s="915">
        <f t="shared" si="6"/>
        <v>9473.347569681313</v>
      </c>
      <c r="T7" s="917">
        <f>S7/S39</f>
        <v>3.6048343582140169E-3</v>
      </c>
      <c r="U7" s="915">
        <f>S7/F39</f>
        <v>5.5342053508488009E-3</v>
      </c>
      <c r="V7" s="915">
        <f t="shared" si="7"/>
        <v>0.11714194056084229</v>
      </c>
    </row>
    <row r="8" spans="1:22">
      <c r="A8" s="914">
        <v>56480008</v>
      </c>
      <c r="B8" s="883" t="s">
        <v>16</v>
      </c>
      <c r="C8" s="14">
        <v>0</v>
      </c>
      <c r="D8" s="14">
        <v>0</v>
      </c>
      <c r="E8" s="14">
        <f t="shared" si="0"/>
        <v>0</v>
      </c>
      <c r="F8" s="915">
        <v>0</v>
      </c>
      <c r="G8" s="915">
        <f t="shared" si="1"/>
        <v>0</v>
      </c>
      <c r="H8" s="14">
        <v>1800</v>
      </c>
      <c r="I8" s="915">
        <v>13721.29</v>
      </c>
      <c r="J8" s="915">
        <f t="shared" si="2"/>
        <v>7.6229388888888892</v>
      </c>
      <c r="K8" s="14">
        <v>1800</v>
      </c>
      <c r="L8" s="14">
        <v>0</v>
      </c>
      <c r="M8" s="916">
        <f t="shared" si="3"/>
        <v>1800</v>
      </c>
      <c r="N8" s="915">
        <f>13721.29/1800</f>
        <v>7.6229388888888892</v>
      </c>
      <c r="O8" s="915">
        <f t="shared" si="4"/>
        <v>13721.29</v>
      </c>
      <c r="P8" s="14">
        <f t="shared" si="5"/>
        <v>0</v>
      </c>
      <c r="Q8" s="15">
        <f>P8*1000/F39</f>
        <v>0</v>
      </c>
      <c r="R8" s="15">
        <f>P8*1000/F40</f>
        <v>0</v>
      </c>
      <c r="S8" s="915">
        <f t="shared" si="6"/>
        <v>0</v>
      </c>
      <c r="T8" s="917">
        <f>S8/S39</f>
        <v>0</v>
      </c>
      <c r="U8" s="915">
        <f>S8/F39</f>
        <v>0</v>
      </c>
      <c r="V8" s="915">
        <f t="shared" si="7"/>
        <v>0</v>
      </c>
    </row>
    <row r="9" spans="1:22">
      <c r="A9" s="914">
        <v>56482007</v>
      </c>
      <c r="B9" s="883" t="s">
        <v>17</v>
      </c>
      <c r="C9" s="14">
        <v>3000</v>
      </c>
      <c r="D9" s="14">
        <v>0</v>
      </c>
      <c r="E9" s="14">
        <f t="shared" si="0"/>
        <v>3000</v>
      </c>
      <c r="F9" s="915">
        <f>46000/4000</f>
        <v>11.5</v>
      </c>
      <c r="G9" s="915">
        <f t="shared" si="1"/>
        <v>34500</v>
      </c>
      <c r="H9" s="14">
        <v>19000</v>
      </c>
      <c r="I9" s="915">
        <v>266840.03000000003</v>
      </c>
      <c r="J9" s="915">
        <f t="shared" si="2"/>
        <v>14.04421210526316</v>
      </c>
      <c r="K9" s="14">
        <v>2000</v>
      </c>
      <c r="L9" s="14">
        <f>[3]Outubro!AF7</f>
        <v>1456.77083838874</v>
      </c>
      <c r="M9" s="916">
        <f t="shared" si="3"/>
        <v>3456.7708383887402</v>
      </c>
      <c r="N9" s="915">
        <f>55600/4000</f>
        <v>13.9</v>
      </c>
      <c r="O9" s="915">
        <f t="shared" si="4"/>
        <v>48049.114653603494</v>
      </c>
      <c r="P9" s="14">
        <f t="shared" si="5"/>
        <v>18543.22916161126</v>
      </c>
      <c r="Q9" s="15">
        <f>P9*1000/F39</f>
        <v>10.832711171353845</v>
      </c>
      <c r="R9" s="15">
        <f>P9*1000/F40</f>
        <v>0.22929485403950156</v>
      </c>
      <c r="S9" s="915">
        <f t="shared" si="6"/>
        <v>253290.91534639653</v>
      </c>
      <c r="T9" s="917">
        <f>S9/S39</f>
        <v>9.6383225417209548E-2</v>
      </c>
      <c r="U9" s="915">
        <f>S9/F39</f>
        <v>0.14796922932688031</v>
      </c>
      <c r="V9" s="915">
        <f t="shared" si="7"/>
        <v>3.1320490599403881</v>
      </c>
    </row>
    <row r="10" spans="1:22">
      <c r="A10" s="914">
        <v>56482010</v>
      </c>
      <c r="B10" s="883" t="s">
        <v>18</v>
      </c>
      <c r="C10" s="14">
        <v>0</v>
      </c>
      <c r="D10" s="14">
        <v>0</v>
      </c>
      <c r="E10" s="14">
        <f t="shared" si="0"/>
        <v>0</v>
      </c>
      <c r="F10" s="915">
        <v>0</v>
      </c>
      <c r="G10" s="915">
        <f t="shared" si="1"/>
        <v>0</v>
      </c>
      <c r="H10" s="14">
        <v>1500</v>
      </c>
      <c r="I10" s="915">
        <v>20700</v>
      </c>
      <c r="J10" s="915">
        <f t="shared" si="2"/>
        <v>13.8</v>
      </c>
      <c r="K10" s="14">
        <v>0</v>
      </c>
      <c r="L10" s="14">
        <v>500</v>
      </c>
      <c r="M10" s="916">
        <f t="shared" si="3"/>
        <v>500</v>
      </c>
      <c r="N10" s="915">
        <f>20700/1500</f>
        <v>13.8</v>
      </c>
      <c r="O10" s="915">
        <f t="shared" si="4"/>
        <v>6900</v>
      </c>
      <c r="P10" s="14">
        <f t="shared" si="5"/>
        <v>1000</v>
      </c>
      <c r="Q10" s="15">
        <f>P10*1000/F39</f>
        <v>0.5841868790458592</v>
      </c>
      <c r="R10" s="15">
        <f>P10*1000/F40</f>
        <v>1.2365422011512134E-2</v>
      </c>
      <c r="S10" s="915">
        <f t="shared" si="6"/>
        <v>13800</v>
      </c>
      <c r="T10" s="917">
        <f>S10/S39</f>
        <v>5.2512286472591579E-3</v>
      </c>
      <c r="U10" s="915">
        <f>S10/F39</f>
        <v>8.0617789308328573E-3</v>
      </c>
      <c r="V10" s="915">
        <f t="shared" si="7"/>
        <v>0.17064282375886744</v>
      </c>
    </row>
    <row r="11" spans="1:22">
      <c r="A11" s="914">
        <v>56482011</v>
      </c>
      <c r="B11" s="883" t="s">
        <v>19</v>
      </c>
      <c r="C11" s="14">
        <v>0</v>
      </c>
      <c r="D11" s="14">
        <v>0</v>
      </c>
      <c r="E11" s="14">
        <f t="shared" si="0"/>
        <v>0</v>
      </c>
      <c r="F11" s="915">
        <v>0</v>
      </c>
      <c r="G11" s="915">
        <f t="shared" si="1"/>
        <v>0</v>
      </c>
      <c r="H11" s="14">
        <v>1000</v>
      </c>
      <c r="I11" s="915">
        <v>15135.4</v>
      </c>
      <c r="J11" s="915">
        <f t="shared" si="2"/>
        <v>15.135399999999999</v>
      </c>
      <c r="K11" s="14">
        <v>1000</v>
      </c>
      <c r="L11" s="14">
        <v>0</v>
      </c>
      <c r="M11" s="916">
        <f t="shared" si="3"/>
        <v>1000</v>
      </c>
      <c r="N11" s="915">
        <f>15135.4/1000</f>
        <v>15.135399999999999</v>
      </c>
      <c r="O11" s="915">
        <f t="shared" si="4"/>
        <v>15135.4</v>
      </c>
      <c r="P11" s="14">
        <f t="shared" si="5"/>
        <v>0</v>
      </c>
      <c r="Q11" s="15">
        <f>P11*1000/F39</f>
        <v>0</v>
      </c>
      <c r="R11" s="15">
        <f>P11*1000/F40</f>
        <v>0</v>
      </c>
      <c r="S11" s="915">
        <f t="shared" si="6"/>
        <v>0</v>
      </c>
      <c r="T11" s="917">
        <f>S11/S39</f>
        <v>0</v>
      </c>
      <c r="U11" s="915">
        <f>S11/F39</f>
        <v>0</v>
      </c>
      <c r="V11" s="915">
        <f t="shared" si="7"/>
        <v>0</v>
      </c>
    </row>
    <row r="12" spans="1:22">
      <c r="A12" s="914">
        <v>56484029</v>
      </c>
      <c r="B12" s="883" t="s">
        <v>289</v>
      </c>
      <c r="C12" s="14">
        <v>0</v>
      </c>
      <c r="D12" s="14">
        <v>6250</v>
      </c>
      <c r="E12" s="14">
        <f t="shared" si="0"/>
        <v>6250</v>
      </c>
      <c r="F12" s="915">
        <f>7800/13260</f>
        <v>0.58823529411764708</v>
      </c>
      <c r="G12" s="915">
        <f t="shared" si="1"/>
        <v>3676.4705882352941</v>
      </c>
      <c r="H12" s="14">
        <v>7500</v>
      </c>
      <c r="I12" s="915">
        <v>13125</v>
      </c>
      <c r="J12" s="915">
        <f t="shared" si="2"/>
        <v>1.75</v>
      </c>
      <c r="K12" s="14">
        <v>0</v>
      </c>
      <c r="L12" s="14">
        <v>7500</v>
      </c>
      <c r="M12" s="916">
        <f t="shared" si="3"/>
        <v>7500</v>
      </c>
      <c r="N12" s="915">
        <f>13260/7800</f>
        <v>1.7</v>
      </c>
      <c r="O12" s="915">
        <f t="shared" si="4"/>
        <v>12750</v>
      </c>
      <c r="P12" s="14">
        <f t="shared" si="5"/>
        <v>6250</v>
      </c>
      <c r="Q12" s="15">
        <f>P12*1000/F39</f>
        <v>3.6511679940366197</v>
      </c>
      <c r="R12" s="15">
        <f>P12*1000/F40</f>
        <v>7.7283887571950829E-2</v>
      </c>
      <c r="S12" s="915">
        <f t="shared" si="6"/>
        <v>4051.4705882352937</v>
      </c>
      <c r="T12" s="917">
        <f>S12/S39</f>
        <v>1.5416810446716729E-3</v>
      </c>
      <c r="U12" s="915">
        <f>S12/F39</f>
        <v>2.3668159584872674E-3</v>
      </c>
      <c r="V12" s="915">
        <f t="shared" si="7"/>
        <v>5.0098143590758711E-2</v>
      </c>
    </row>
    <row r="13" spans="1:22">
      <c r="A13" s="914">
        <v>56484026</v>
      </c>
      <c r="B13" s="883" t="s">
        <v>288</v>
      </c>
      <c r="C13" s="14">
        <v>4800</v>
      </c>
      <c r="D13" s="14">
        <v>113</v>
      </c>
      <c r="E13" s="14">
        <f t="shared" si="0"/>
        <v>4913</v>
      </c>
      <c r="F13" s="915">
        <f>33600/4800</f>
        <v>7</v>
      </c>
      <c r="G13" s="915">
        <f t="shared" si="1"/>
        <v>34391</v>
      </c>
      <c r="H13" s="14">
        <v>4800</v>
      </c>
      <c r="I13" s="915">
        <v>36000</v>
      </c>
      <c r="J13" s="915">
        <f t="shared" si="2"/>
        <v>7.5</v>
      </c>
      <c r="K13" s="14">
        <v>0</v>
      </c>
      <c r="L13" s="14">
        <v>0</v>
      </c>
      <c r="M13" s="916">
        <f t="shared" si="3"/>
        <v>0</v>
      </c>
      <c r="N13" s="915">
        <v>0</v>
      </c>
      <c r="O13" s="915">
        <f t="shared" si="4"/>
        <v>0</v>
      </c>
      <c r="P13" s="14">
        <f t="shared" si="5"/>
        <v>9713</v>
      </c>
      <c r="Q13" s="15">
        <f>P13*1000/F39</f>
        <v>5.6742071561724305</v>
      </c>
      <c r="R13" s="15">
        <f>P13*1000/F40</f>
        <v>0.12010534399781736</v>
      </c>
      <c r="S13" s="915">
        <f t="shared" si="6"/>
        <v>70391</v>
      </c>
      <c r="T13" s="917">
        <f>S13/S39</f>
        <v>2.6785451862986913E-2</v>
      </c>
      <c r="U13" s="915">
        <f>S13/F39</f>
        <v>4.112149860291707E-2</v>
      </c>
      <c r="V13" s="915">
        <f t="shared" si="7"/>
        <v>0.87041442081235065</v>
      </c>
    </row>
    <row r="14" spans="1:22">
      <c r="A14" s="914">
        <v>56484035</v>
      </c>
      <c r="B14" s="883" t="s">
        <v>290</v>
      </c>
      <c r="C14" s="14">
        <v>0</v>
      </c>
      <c r="D14" s="14">
        <v>0</v>
      </c>
      <c r="E14" s="14">
        <f t="shared" si="0"/>
        <v>0</v>
      </c>
      <c r="F14" s="915">
        <v>0</v>
      </c>
      <c r="G14" s="915">
        <f t="shared" si="1"/>
        <v>0</v>
      </c>
      <c r="H14" s="14">
        <v>9900</v>
      </c>
      <c r="I14" s="915">
        <v>61696.24</v>
      </c>
      <c r="J14" s="915">
        <f t="shared" si="2"/>
        <v>6.2319434343434343</v>
      </c>
      <c r="K14" s="14">
        <v>3300</v>
      </c>
      <c r="L14" s="14">
        <f>[3]Outubro!AF9</f>
        <v>352</v>
      </c>
      <c r="M14" s="916">
        <f t="shared" si="3"/>
        <v>3652</v>
      </c>
      <c r="N14" s="915">
        <f>25960/4400</f>
        <v>5.9</v>
      </c>
      <c r="O14" s="915">
        <f t="shared" si="4"/>
        <v>21546.800000000003</v>
      </c>
      <c r="P14" s="14">
        <f t="shared" si="5"/>
        <v>6248</v>
      </c>
      <c r="Q14" s="15">
        <f>P14*1000/F39</f>
        <v>3.6499996202785283</v>
      </c>
      <c r="R14" s="15">
        <f>P14*1000/F40</f>
        <v>7.7259156727927811E-2</v>
      </c>
      <c r="S14" s="915">
        <f t="shared" si="6"/>
        <v>40149.439999999995</v>
      </c>
      <c r="T14" s="917">
        <f>S14/S39</f>
        <v>1.5277818079667587E-2</v>
      </c>
      <c r="U14" s="915">
        <f>S14/F39</f>
        <v>2.3454776049038978E-2</v>
      </c>
      <c r="V14" s="915">
        <f t="shared" si="7"/>
        <v>0.49646476912588561</v>
      </c>
    </row>
    <row r="15" spans="1:22">
      <c r="A15" s="914">
        <v>56481004</v>
      </c>
      <c r="B15" s="883" t="s">
        <v>282</v>
      </c>
      <c r="C15" s="14">
        <v>0</v>
      </c>
      <c r="D15" s="14">
        <v>0</v>
      </c>
      <c r="E15" s="14">
        <f t="shared" si="0"/>
        <v>0</v>
      </c>
      <c r="F15" s="915">
        <v>0</v>
      </c>
      <c r="G15" s="915">
        <f t="shared" si="1"/>
        <v>0</v>
      </c>
      <c r="H15" s="14">
        <v>70</v>
      </c>
      <c r="I15" s="915">
        <v>22090.44</v>
      </c>
      <c r="J15" s="915">
        <f t="shared" si="2"/>
        <v>315.57771428571425</v>
      </c>
      <c r="K15" s="14">
        <v>30</v>
      </c>
      <c r="L15" s="14">
        <v>0</v>
      </c>
      <c r="M15" s="916">
        <f t="shared" si="3"/>
        <v>30</v>
      </c>
      <c r="N15" s="915">
        <f>9468.04/30</f>
        <v>315.60133333333334</v>
      </c>
      <c r="O15" s="915">
        <f t="shared" si="4"/>
        <v>9468.0400000000009</v>
      </c>
      <c r="P15" s="14">
        <f t="shared" si="5"/>
        <v>40</v>
      </c>
      <c r="Q15" s="15">
        <f>P15*1000/F39</f>
        <v>2.3367475161834367E-2</v>
      </c>
      <c r="R15" s="15">
        <f>P15*1000/F40</f>
        <v>4.9461688046048536E-4</v>
      </c>
      <c r="S15" s="915">
        <f t="shared" si="6"/>
        <v>12622.399999999998</v>
      </c>
      <c r="T15" s="917">
        <f>S15/S39</f>
        <v>4.8031238026930425E-3</v>
      </c>
      <c r="U15" s="915">
        <f>S15/F39</f>
        <v>7.3738404620684516E-3</v>
      </c>
      <c r="V15" s="915">
        <f t="shared" si="7"/>
        <v>0.15608130279811072</v>
      </c>
    </row>
    <row r="16" spans="1:22">
      <c r="A16" s="914">
        <v>56481005</v>
      </c>
      <c r="B16" s="883" t="s">
        <v>283</v>
      </c>
      <c r="C16" s="14">
        <v>20</v>
      </c>
      <c r="D16" s="14">
        <v>0</v>
      </c>
      <c r="E16" s="14">
        <f t="shared" si="0"/>
        <v>20</v>
      </c>
      <c r="F16" s="915">
        <f>7950/30</f>
        <v>265</v>
      </c>
      <c r="G16" s="915">
        <f t="shared" si="1"/>
        <v>5300</v>
      </c>
      <c r="H16" s="14">
        <v>10</v>
      </c>
      <c r="I16" s="915">
        <v>3615.11</v>
      </c>
      <c r="J16" s="915">
        <f t="shared" si="2"/>
        <v>361.51100000000002</v>
      </c>
      <c r="K16" s="14">
        <v>0</v>
      </c>
      <c r="L16" s="14">
        <v>0</v>
      </c>
      <c r="M16" s="916">
        <f t="shared" si="3"/>
        <v>0</v>
      </c>
      <c r="N16" s="915">
        <v>0</v>
      </c>
      <c r="O16" s="915">
        <f t="shared" si="4"/>
        <v>0</v>
      </c>
      <c r="P16" s="14">
        <f t="shared" si="5"/>
        <v>30</v>
      </c>
      <c r="Q16" s="15">
        <f>P16*1000/F39</f>
        <v>1.7525606371375776E-2</v>
      </c>
      <c r="R16" s="15">
        <f>P16*1000/F40</f>
        <v>3.7096266034536402E-4</v>
      </c>
      <c r="S16" s="915">
        <f t="shared" si="6"/>
        <v>8915.11</v>
      </c>
      <c r="T16" s="917">
        <f>S16/S39</f>
        <v>3.3924116685120722E-3</v>
      </c>
      <c r="U16" s="915">
        <f>S16/F39</f>
        <v>5.2080902872505301E-3</v>
      </c>
      <c r="V16" s="915">
        <f t="shared" si="7"/>
        <v>0.11023909742905194</v>
      </c>
    </row>
    <row r="17" spans="1:22">
      <c r="A17" s="914">
        <v>56481010</v>
      </c>
      <c r="B17" s="883" t="s">
        <v>285</v>
      </c>
      <c r="C17" s="14">
        <v>55</v>
      </c>
      <c r="D17" s="14">
        <v>0</v>
      </c>
      <c r="E17" s="14">
        <f t="shared" si="0"/>
        <v>55</v>
      </c>
      <c r="F17" s="915">
        <f>10800/60</f>
        <v>180</v>
      </c>
      <c r="G17" s="915">
        <f t="shared" si="1"/>
        <v>9900</v>
      </c>
      <c r="H17" s="14">
        <v>0</v>
      </c>
      <c r="I17" s="915">
        <v>0</v>
      </c>
      <c r="J17" s="915" t="e">
        <f t="shared" si="2"/>
        <v>#DIV/0!</v>
      </c>
      <c r="K17" s="14">
        <v>5</v>
      </c>
      <c r="L17" s="14">
        <v>0</v>
      </c>
      <c r="M17" s="916">
        <f t="shared" si="3"/>
        <v>5</v>
      </c>
      <c r="N17" s="915">
        <f>10800/60</f>
        <v>180</v>
      </c>
      <c r="O17" s="915">
        <f t="shared" si="4"/>
        <v>900</v>
      </c>
      <c r="P17" s="14">
        <f t="shared" si="5"/>
        <v>50</v>
      </c>
      <c r="Q17" s="15">
        <f>P17*1000/F39</f>
        <v>2.9209343952292958E-2</v>
      </c>
      <c r="R17" s="15">
        <f>P17*1000/F40</f>
        <v>6.1827110057560664E-4</v>
      </c>
      <c r="S17" s="915">
        <f t="shared" si="6"/>
        <v>9000</v>
      </c>
      <c r="T17" s="917">
        <f>S17/S39</f>
        <v>3.4247143351690159E-3</v>
      </c>
      <c r="U17" s="915">
        <f>S17/F39</f>
        <v>5.2576819114127328E-3</v>
      </c>
      <c r="V17" s="915">
        <f t="shared" si="7"/>
        <v>0.1112887981036092</v>
      </c>
    </row>
    <row r="18" spans="1:22">
      <c r="A18" s="914">
        <v>56481011</v>
      </c>
      <c r="B18" s="883" t="s">
        <v>359</v>
      </c>
      <c r="C18" s="14">
        <v>60</v>
      </c>
      <c r="D18" s="14">
        <v>0</v>
      </c>
      <c r="E18" s="14">
        <f t="shared" si="0"/>
        <v>60</v>
      </c>
      <c r="F18" s="915">
        <f>13800/60</f>
        <v>230</v>
      </c>
      <c r="G18" s="915">
        <f t="shared" si="1"/>
        <v>13800</v>
      </c>
      <c r="H18" s="14">
        <v>0</v>
      </c>
      <c r="I18" s="915">
        <v>0</v>
      </c>
      <c r="J18" s="915" t="e">
        <f t="shared" si="2"/>
        <v>#DIV/0!</v>
      </c>
      <c r="K18" s="14">
        <v>0</v>
      </c>
      <c r="L18" s="14">
        <v>0</v>
      </c>
      <c r="M18" s="916">
        <f t="shared" si="3"/>
        <v>0</v>
      </c>
      <c r="N18" s="915">
        <v>0</v>
      </c>
      <c r="O18" s="915">
        <f t="shared" si="4"/>
        <v>0</v>
      </c>
      <c r="P18" s="14">
        <f t="shared" si="5"/>
        <v>60</v>
      </c>
      <c r="Q18" s="15">
        <f>P18*1000/F39</f>
        <v>3.5051212742751553E-2</v>
      </c>
      <c r="R18" s="15">
        <f>P18*1000/F40</f>
        <v>7.4192532069072804E-4</v>
      </c>
      <c r="S18" s="915">
        <f t="shared" si="6"/>
        <v>13800</v>
      </c>
      <c r="T18" s="917">
        <f>S18/S39</f>
        <v>5.2512286472591579E-3</v>
      </c>
      <c r="U18" s="915">
        <f>S18/F39</f>
        <v>8.0617789308328573E-3</v>
      </c>
      <c r="V18" s="915">
        <f t="shared" si="7"/>
        <v>0.17064282375886744</v>
      </c>
    </row>
    <row r="19" spans="1:22">
      <c r="A19" s="914">
        <v>56481008</v>
      </c>
      <c r="B19" s="883" t="s">
        <v>284</v>
      </c>
      <c r="C19" s="14">
        <v>2.5</v>
      </c>
      <c r="D19" s="14">
        <v>0</v>
      </c>
      <c r="E19" s="14">
        <f t="shared" si="0"/>
        <v>2.5</v>
      </c>
      <c r="F19" s="915">
        <f>3080/20</f>
        <v>154</v>
      </c>
      <c r="G19" s="915">
        <f t="shared" si="1"/>
        <v>385</v>
      </c>
      <c r="H19" s="14">
        <v>0</v>
      </c>
      <c r="I19" s="915">
        <v>0</v>
      </c>
      <c r="J19" s="915" t="e">
        <f t="shared" si="2"/>
        <v>#DIV/0!</v>
      </c>
      <c r="K19" s="14">
        <v>2.5</v>
      </c>
      <c r="L19" s="14">
        <v>0</v>
      </c>
      <c r="M19" s="916">
        <f t="shared" si="3"/>
        <v>2.5</v>
      </c>
      <c r="N19" s="915">
        <f>3080/20</f>
        <v>154</v>
      </c>
      <c r="O19" s="915">
        <f t="shared" si="4"/>
        <v>385</v>
      </c>
      <c r="P19" s="14">
        <f t="shared" si="5"/>
        <v>0</v>
      </c>
      <c r="Q19" s="15">
        <f>P19*1000/F39</f>
        <v>0</v>
      </c>
      <c r="R19" s="15">
        <f>P19*1000/F40</f>
        <v>0</v>
      </c>
      <c r="S19" s="915">
        <f t="shared" si="6"/>
        <v>0</v>
      </c>
      <c r="T19" s="917">
        <f>S19/S39</f>
        <v>0</v>
      </c>
      <c r="U19" s="915">
        <f>S19/F39</f>
        <v>0</v>
      </c>
      <c r="V19" s="915">
        <f t="shared" si="7"/>
        <v>0</v>
      </c>
    </row>
    <row r="20" spans="1:22">
      <c r="A20" s="914">
        <v>56481006</v>
      </c>
      <c r="B20" s="883" t="s">
        <v>360</v>
      </c>
      <c r="C20" s="14">
        <v>0</v>
      </c>
      <c r="D20" s="14">
        <v>0</v>
      </c>
      <c r="E20" s="14">
        <f t="shared" si="0"/>
        <v>0</v>
      </c>
      <c r="F20" s="915">
        <v>0</v>
      </c>
      <c r="G20" s="915">
        <f t="shared" si="1"/>
        <v>0</v>
      </c>
      <c r="H20" s="14">
        <v>20</v>
      </c>
      <c r="I20" s="915">
        <v>7000</v>
      </c>
      <c r="J20" s="915">
        <f t="shared" si="2"/>
        <v>350</v>
      </c>
      <c r="K20" s="14">
        <v>0</v>
      </c>
      <c r="L20" s="14">
        <v>0</v>
      </c>
      <c r="M20" s="916">
        <f t="shared" si="3"/>
        <v>0</v>
      </c>
      <c r="N20" s="915">
        <v>0</v>
      </c>
      <c r="O20" s="915">
        <f t="shared" si="4"/>
        <v>0</v>
      </c>
      <c r="P20" s="14">
        <f t="shared" si="5"/>
        <v>20</v>
      </c>
      <c r="Q20" s="15">
        <f>P20*1000/F39</f>
        <v>1.1683737580917184E-2</v>
      </c>
      <c r="R20" s="15">
        <f>P20*1000/F40</f>
        <v>2.4730844023024268E-4</v>
      </c>
      <c r="S20" s="915">
        <f t="shared" si="6"/>
        <v>7000</v>
      </c>
      <c r="T20" s="917">
        <f>S20/S39</f>
        <v>2.663666705131457E-3</v>
      </c>
      <c r="U20" s="915">
        <f>S20/F39</f>
        <v>4.0893081533210146E-3</v>
      </c>
      <c r="V20" s="915">
        <f t="shared" si="7"/>
        <v>8.6557954080584934E-2</v>
      </c>
    </row>
    <row r="21" spans="1:22">
      <c r="A21" s="914">
        <v>56481021</v>
      </c>
      <c r="B21" s="883" t="s">
        <v>287</v>
      </c>
      <c r="C21" s="14">
        <v>0</v>
      </c>
      <c r="D21" s="14">
        <v>0</v>
      </c>
      <c r="E21" s="14">
        <f t="shared" si="0"/>
        <v>0</v>
      </c>
      <c r="F21" s="915">
        <v>0</v>
      </c>
      <c r="G21" s="915">
        <f t="shared" si="1"/>
        <v>0</v>
      </c>
      <c r="H21" s="14">
        <v>80</v>
      </c>
      <c r="I21" s="915">
        <v>23202.62</v>
      </c>
      <c r="J21" s="915">
        <f t="shared" si="2"/>
        <v>290.03274999999996</v>
      </c>
      <c r="K21" s="14">
        <v>0</v>
      </c>
      <c r="L21" s="14">
        <v>0</v>
      </c>
      <c r="M21" s="916">
        <f t="shared" si="3"/>
        <v>0</v>
      </c>
      <c r="N21" s="915">
        <f>11590.38/40</f>
        <v>289.7595</v>
      </c>
      <c r="O21" s="915">
        <f t="shared" si="4"/>
        <v>0</v>
      </c>
      <c r="P21" s="14">
        <f t="shared" si="5"/>
        <v>80</v>
      </c>
      <c r="Q21" s="15">
        <f>P21*1000/F39</f>
        <v>4.6734950323668735E-2</v>
      </c>
      <c r="R21" s="15">
        <f>P21*1000/F40</f>
        <v>9.8923376092097072E-4</v>
      </c>
      <c r="S21" s="915">
        <f t="shared" si="6"/>
        <v>23202.62</v>
      </c>
      <c r="T21" s="917">
        <f>S21/S39</f>
        <v>8.8291494808310344E-3</v>
      </c>
      <c r="U21" s="915">
        <f>S21/F39</f>
        <v>1.3554666163487033E-2</v>
      </c>
      <c r="V21" s="915">
        <f t="shared" si="7"/>
        <v>0.28691018807275165</v>
      </c>
    </row>
    <row r="22" spans="1:22">
      <c r="A22" s="914">
        <v>56484023</v>
      </c>
      <c r="B22" s="883" t="s">
        <v>361</v>
      </c>
      <c r="C22" s="14">
        <v>0</v>
      </c>
      <c r="D22" s="14">
        <v>264.44639999999998</v>
      </c>
      <c r="E22" s="14">
        <f t="shared" si="0"/>
        <v>264.44639999999998</v>
      </c>
      <c r="F22" s="915">
        <f>26249.02/6000</f>
        <v>4.3748366666666669</v>
      </c>
      <c r="G22" s="915">
        <f t="shared" si="1"/>
        <v>1156.909807088</v>
      </c>
      <c r="H22" s="14">
        <v>1600</v>
      </c>
      <c r="I22" s="915">
        <v>7967.26</v>
      </c>
      <c r="J22" s="915">
        <f t="shared" si="2"/>
        <v>4.9795375000000002</v>
      </c>
      <c r="K22" s="14">
        <v>0</v>
      </c>
      <c r="L22" s="14">
        <v>0</v>
      </c>
      <c r="M22" s="916">
        <f t="shared" si="3"/>
        <v>0</v>
      </c>
      <c r="N22" s="915">
        <v>0</v>
      </c>
      <c r="O22" s="915">
        <f t="shared" si="4"/>
        <v>0</v>
      </c>
      <c r="P22" s="14">
        <f t="shared" si="5"/>
        <v>1864.4464</v>
      </c>
      <c r="Q22" s="15">
        <f>P22*1000/F39</f>
        <v>1.0891851235642878</v>
      </c>
      <c r="R22" s="15">
        <f>P22*1000/F40</f>
        <v>2.3054666553844558E-2</v>
      </c>
      <c r="S22" s="915">
        <f t="shared" si="6"/>
        <v>9124.1698070880011</v>
      </c>
      <c r="T22" s="917">
        <f>S22/S39</f>
        <v>3.4719639038722884E-3</v>
      </c>
      <c r="U22" s="915">
        <f>S22/F39</f>
        <v>5.3302202834871982E-3</v>
      </c>
      <c r="V22" s="915">
        <f t="shared" si="7"/>
        <v>0.11282421016934038</v>
      </c>
    </row>
    <row r="23" spans="1:22">
      <c r="A23" s="914">
        <v>56485033</v>
      </c>
      <c r="B23" s="883" t="s">
        <v>292</v>
      </c>
      <c r="C23" s="14">
        <v>0</v>
      </c>
      <c r="D23" s="14">
        <v>0</v>
      </c>
      <c r="E23" s="14">
        <f t="shared" si="0"/>
        <v>0</v>
      </c>
      <c r="F23" s="915">
        <v>0</v>
      </c>
      <c r="G23" s="915">
        <f t="shared" si="1"/>
        <v>0</v>
      </c>
      <c r="H23" s="14">
        <v>1150</v>
      </c>
      <c r="I23" s="915">
        <v>4945</v>
      </c>
      <c r="J23" s="915">
        <f t="shared" si="2"/>
        <v>4.3</v>
      </c>
      <c r="K23" s="14">
        <v>0</v>
      </c>
      <c r="L23" s="14">
        <v>1070</v>
      </c>
      <c r="M23" s="916">
        <f t="shared" si="3"/>
        <v>1070</v>
      </c>
      <c r="N23" s="915">
        <f>4945/1150</f>
        <v>4.3</v>
      </c>
      <c r="O23" s="915">
        <f t="shared" si="4"/>
        <v>4601</v>
      </c>
      <c r="P23" s="14">
        <f t="shared" si="5"/>
        <v>80</v>
      </c>
      <c r="Q23" s="15">
        <f>P23*1000/F39</f>
        <v>4.6734950323668735E-2</v>
      </c>
      <c r="R23" s="15">
        <f>P23*1000/F40</f>
        <v>9.8923376092097072E-4</v>
      </c>
      <c r="S23" s="915">
        <f t="shared" si="6"/>
        <v>344</v>
      </c>
      <c r="T23" s="917">
        <f>S23/S39</f>
        <v>1.3090019236646017E-4</v>
      </c>
      <c r="U23" s="915">
        <f>S23/F39</f>
        <v>2.0096028639177556E-4</v>
      </c>
      <c r="V23" s="915">
        <f t="shared" si="7"/>
        <v>4.2537051719601744E-3</v>
      </c>
    </row>
    <row r="24" spans="1:22" ht="17.25">
      <c r="A24" s="879" t="s">
        <v>293</v>
      </c>
      <c r="B24" s="880"/>
      <c r="C24" s="881"/>
      <c r="D24" s="881"/>
      <c r="E24" s="881"/>
      <c r="F24" s="888"/>
      <c r="G24" s="888"/>
      <c r="H24" s="881"/>
      <c r="I24" s="889"/>
      <c r="J24" s="889"/>
      <c r="K24" s="881"/>
      <c r="L24" s="881"/>
      <c r="M24" s="918"/>
      <c r="N24" s="888"/>
      <c r="O24" s="888"/>
      <c r="P24" s="881"/>
      <c r="Q24" s="881"/>
      <c r="R24" s="890" t="s">
        <v>294</v>
      </c>
      <c r="S24" s="891">
        <f>SUM(S5:S23)</f>
        <v>1080626.0420847347</v>
      </c>
      <c r="T24" s="892">
        <f>SUM(T5:T23)</f>
        <v>0.41120394414272732</v>
      </c>
      <c r="U24" s="891">
        <f>SUM(U5:U23)</f>
        <v>0.63128755494116018</v>
      </c>
      <c r="V24" s="891">
        <f>SUM(V5:V23)</f>
        <v>13.362397047007814</v>
      </c>
    </row>
    <row r="25" spans="1:22">
      <c r="A25" s="914">
        <v>56485023</v>
      </c>
      <c r="B25" s="883" t="s">
        <v>295</v>
      </c>
      <c r="C25" s="14">
        <v>165</v>
      </c>
      <c r="D25" s="14">
        <v>0</v>
      </c>
      <c r="E25" s="14">
        <f>C25+D25</f>
        <v>165</v>
      </c>
      <c r="F25" s="915">
        <f>1850.63/220</f>
        <v>8.4119545454545452</v>
      </c>
      <c r="G25" s="915">
        <f>F25*E25</f>
        <v>1387.9724999999999</v>
      </c>
      <c r="H25" s="14">
        <v>1045</v>
      </c>
      <c r="I25" s="915">
        <v>9806.08</v>
      </c>
      <c r="J25" s="915">
        <f>I25/H25</f>
        <v>9.3838086124401912</v>
      </c>
      <c r="K25" s="14">
        <v>220</v>
      </c>
      <c r="L25" s="14">
        <v>0</v>
      </c>
      <c r="M25" s="916">
        <f>K25+L25</f>
        <v>220</v>
      </c>
      <c r="N25" s="915">
        <f>1929.4/220</f>
        <v>8.77</v>
      </c>
      <c r="O25" s="915">
        <f>N25*M25</f>
        <v>1929.3999999999999</v>
      </c>
      <c r="P25" s="14">
        <f>E25+H25-M25</f>
        <v>990</v>
      </c>
      <c r="Q25" s="15">
        <f>P25*1000/F39</f>
        <v>0.57834501025540064</v>
      </c>
      <c r="R25" s="15">
        <f>P25*1000/F40</f>
        <v>1.2241767791397013E-2</v>
      </c>
      <c r="S25" s="915">
        <f>G25+I25-O25</f>
        <v>9264.6525000000001</v>
      </c>
      <c r="T25" s="917">
        <f>S25/S39</f>
        <v>3.5254209141232736E-3</v>
      </c>
      <c r="U25" s="915">
        <f>S25/F39</f>
        <v>5.412288429419417E-3</v>
      </c>
      <c r="V25" s="915">
        <f>S25*1000/$F$40</f>
        <v>0.11456133795251092</v>
      </c>
    </row>
    <row r="26" spans="1:22">
      <c r="A26" s="914">
        <v>56485024</v>
      </c>
      <c r="B26" s="883" t="s">
        <v>296</v>
      </c>
      <c r="C26" s="14">
        <v>150</v>
      </c>
      <c r="D26" s="14">
        <v>0</v>
      </c>
      <c r="E26" s="14">
        <f>C26+D26</f>
        <v>150</v>
      </c>
      <c r="F26" s="915">
        <f>3278.23/200</f>
        <v>16.39115</v>
      </c>
      <c r="G26" s="915">
        <f>F26*E26</f>
        <v>2458.6725000000001</v>
      </c>
      <c r="H26" s="14">
        <v>1000</v>
      </c>
      <c r="I26" s="915">
        <v>18256.8</v>
      </c>
      <c r="J26" s="915">
        <f>I26/H26</f>
        <v>18.256799999999998</v>
      </c>
      <c r="K26" s="14">
        <v>200</v>
      </c>
      <c r="L26" s="14">
        <v>0</v>
      </c>
      <c r="M26" s="916">
        <f>K26+L26</f>
        <v>200</v>
      </c>
      <c r="N26" s="915">
        <f>3416/200</f>
        <v>17.079999999999998</v>
      </c>
      <c r="O26" s="915">
        <f>N26*M26</f>
        <v>3415.9999999999995</v>
      </c>
      <c r="P26" s="14">
        <f>E26+H26-M26</f>
        <v>950</v>
      </c>
      <c r="Q26" s="15">
        <f>P26*1000/F39</f>
        <v>0.55497753509356618</v>
      </c>
      <c r="R26" s="15">
        <f>P26*1000/F40</f>
        <v>1.1747150910936527E-2</v>
      </c>
      <c r="S26" s="915">
        <f>G26+I26-O26</f>
        <v>17299.4725</v>
      </c>
      <c r="T26" s="917">
        <f>S26/S39</f>
        <v>6.5828612735124642E-3</v>
      </c>
      <c r="U26" s="915">
        <f>S26/F39</f>
        <v>1.0106124848914667E-2</v>
      </c>
      <c r="V26" s="915">
        <f>S26*1000/$F$40</f>
        <v>0.21391527803904883</v>
      </c>
    </row>
    <row r="27" spans="1:22">
      <c r="A27" s="914">
        <v>56485025</v>
      </c>
      <c r="B27" s="883" t="s">
        <v>297</v>
      </c>
      <c r="C27" s="14">
        <v>300</v>
      </c>
      <c r="D27" s="14">
        <v>0</v>
      </c>
      <c r="E27" s="14">
        <f>C27+D27</f>
        <v>300</v>
      </c>
      <c r="F27" s="915">
        <f>4172.29/300</f>
        <v>13.907633333333333</v>
      </c>
      <c r="G27" s="915">
        <f>F27*E27</f>
        <v>4172.29</v>
      </c>
      <c r="H27" s="14">
        <v>2350</v>
      </c>
      <c r="I27" s="915">
        <v>37430.870000000003</v>
      </c>
      <c r="J27" s="915">
        <f>I27/H27</f>
        <v>15.928029787234044</v>
      </c>
      <c r="K27" s="14">
        <v>0</v>
      </c>
      <c r="L27" s="14">
        <f>[3]Outubro!AF15</f>
        <v>890</v>
      </c>
      <c r="M27" s="916">
        <f>K27+L27</f>
        <v>890</v>
      </c>
      <c r="N27" s="915">
        <f>16976.66/1000</f>
        <v>16.976659999999999</v>
      </c>
      <c r="O27" s="915">
        <f>N27*M27</f>
        <v>15109.2274</v>
      </c>
      <c r="P27" s="14">
        <f>E27+H27-M27</f>
        <v>1760</v>
      </c>
      <c r="Q27" s="15">
        <f>P27*1000/F39</f>
        <v>1.0281689071207121</v>
      </c>
      <c r="R27" s="15">
        <f>P27*1000/F40</f>
        <v>2.1763142740261355E-2</v>
      </c>
      <c r="S27" s="915">
        <f>G27+I27-O27</f>
        <v>26493.932600000004</v>
      </c>
      <c r="T27" s="917">
        <f>S27/S39</f>
        <v>1.0081572307802416E-2</v>
      </c>
      <c r="U27" s="915">
        <f>S27/F39</f>
        <v>1.5477407799245347E-2</v>
      </c>
      <c r="V27" s="915">
        <f>S27*1000/$F$40</f>
        <v>0.32760865734355898</v>
      </c>
    </row>
    <row r="28" spans="1:22">
      <c r="A28" s="914">
        <v>56485026</v>
      </c>
      <c r="B28" s="883" t="s">
        <v>298</v>
      </c>
      <c r="C28" s="14">
        <v>182</v>
      </c>
      <c r="D28" s="14">
        <v>0</v>
      </c>
      <c r="E28" s="14">
        <f>C28+D28</f>
        <v>182</v>
      </c>
      <c r="F28" s="915">
        <f>3576.44/252</f>
        <v>14.192222222222222</v>
      </c>
      <c r="G28" s="915">
        <f>F28*E28</f>
        <v>2582.9844444444443</v>
      </c>
      <c r="H28" s="14">
        <v>1526</v>
      </c>
      <c r="I28" s="915">
        <v>23338.86</v>
      </c>
      <c r="J28" s="915">
        <f>I28/H28</f>
        <v>15.294141546526868</v>
      </c>
      <c r="K28" s="14">
        <v>420</v>
      </c>
      <c r="L28" s="14">
        <v>0</v>
      </c>
      <c r="M28" s="916">
        <f>K28+L28</f>
        <v>420</v>
      </c>
      <c r="N28" s="915">
        <f>6188.87/420</f>
        <v>14.735404761904762</v>
      </c>
      <c r="O28" s="915">
        <f>N28*M28</f>
        <v>6188.87</v>
      </c>
      <c r="P28" s="14">
        <f>E28+H28-M28</f>
        <v>1288</v>
      </c>
      <c r="Q28" s="15">
        <f>P28*1000/F39</f>
        <v>0.75243270021106656</v>
      </c>
      <c r="R28" s="15">
        <f>P28*1000/F40</f>
        <v>1.5926663550827627E-2</v>
      </c>
      <c r="S28" s="915">
        <f>G28+I28-O28</f>
        <v>19732.974444444448</v>
      </c>
      <c r="T28" s="917">
        <f>S28/S39</f>
        <v>7.5088667172680838E-3</v>
      </c>
      <c r="U28" s="915">
        <f>S28/F39</f>
        <v>1.1527744754991699E-2</v>
      </c>
      <c r="V28" s="915">
        <f>S28*1000/$F$40</f>
        <v>0.24400655654793979</v>
      </c>
    </row>
    <row r="29" spans="1:22" ht="17.25">
      <c r="A29" s="879" t="s">
        <v>300</v>
      </c>
      <c r="B29" s="880"/>
      <c r="C29" s="881"/>
      <c r="D29" s="881"/>
      <c r="E29" s="881"/>
      <c r="F29" s="888"/>
      <c r="G29" s="888"/>
      <c r="H29" s="881"/>
      <c r="I29" s="889"/>
      <c r="J29" s="889"/>
      <c r="K29" s="881"/>
      <c r="L29" s="881"/>
      <c r="M29" s="918"/>
      <c r="N29" s="888"/>
      <c r="O29" s="888"/>
      <c r="P29" s="881"/>
      <c r="Q29" s="881"/>
      <c r="R29" s="890" t="s">
        <v>294</v>
      </c>
      <c r="S29" s="891">
        <f>SUM(S25:S28)</f>
        <v>72791.032044444451</v>
      </c>
      <c r="T29" s="892">
        <f>SUM(T25:T28)</f>
        <v>2.7698721212706241E-2</v>
      </c>
      <c r="U29" s="891">
        <f>SUM(U25:U28)</f>
        <v>4.2523565832571129E-2</v>
      </c>
      <c r="V29" s="891">
        <f>SUM(V25:V28)</f>
        <v>0.90009182988305858</v>
      </c>
    </row>
    <row r="30" spans="1:22">
      <c r="A30" s="914">
        <v>56484009</v>
      </c>
      <c r="B30" s="883" t="s">
        <v>20</v>
      </c>
      <c r="C30" s="14">
        <v>0</v>
      </c>
      <c r="D30" s="14">
        <v>60219.667200000004</v>
      </c>
      <c r="E30" s="14">
        <f>C30+D30</f>
        <v>60219.667200000004</v>
      </c>
      <c r="F30" s="915">
        <f>194552.4/66698</f>
        <v>2.9169150499265344</v>
      </c>
      <c r="G30" s="915">
        <f>F30*E30</f>
        <v>175655.65355724731</v>
      </c>
      <c r="H30" s="14">
        <v>281290</v>
      </c>
      <c r="I30" s="915">
        <v>473405.4</v>
      </c>
      <c r="J30" s="915">
        <f>I30/H30</f>
        <v>1.6829798428667924</v>
      </c>
      <c r="K30" s="14">
        <v>0</v>
      </c>
      <c r="L30" s="14">
        <f>[3]Outubro!AF18</f>
        <v>29486.5686937108</v>
      </c>
      <c r="M30" s="916">
        <f>K30+L30</f>
        <v>29486.5686937108</v>
      </c>
      <c r="N30" s="915">
        <f>47250/31500</f>
        <v>1.5</v>
      </c>
      <c r="O30" s="915">
        <f>N30*M30</f>
        <v>44229.853040566202</v>
      </c>
      <c r="P30" s="14">
        <f>E30+H30-M30</f>
        <v>312023.09850628924</v>
      </c>
      <c r="Q30" s="15">
        <f>P30*1000/F39</f>
        <v>182.27980010660781</v>
      </c>
      <c r="R30" s="15">
        <f>P30*1000/F40</f>
        <v>3.858297290369888</v>
      </c>
      <c r="S30" s="915">
        <f>G30+I30-O30</f>
        <v>604831.20051668119</v>
      </c>
      <c r="T30" s="917">
        <f>S30/S39</f>
        <v>0.23015267586299598</v>
      </c>
      <c r="U30" s="915">
        <f>S30/F39</f>
        <v>0.35333445137940023</v>
      </c>
      <c r="V30" s="915">
        <f>S30*1000/$F$40</f>
        <v>7.4789930401182785</v>
      </c>
    </row>
    <row r="31" spans="1:22">
      <c r="A31" s="914">
        <v>56484034</v>
      </c>
      <c r="B31" s="883" t="s">
        <v>301</v>
      </c>
      <c r="C31" s="14">
        <v>400</v>
      </c>
      <c r="D31" s="14">
        <v>0</v>
      </c>
      <c r="E31" s="14">
        <f>C31+D31</f>
        <v>400</v>
      </c>
      <c r="F31" s="915">
        <f>3472.31/400</f>
        <v>8.6807750000000006</v>
      </c>
      <c r="G31" s="915">
        <f>F31*E31</f>
        <v>3472.3100000000004</v>
      </c>
      <c r="H31" s="14">
        <v>0</v>
      </c>
      <c r="I31" s="915">
        <v>0</v>
      </c>
      <c r="J31" s="915" t="e">
        <f>I31/H31</f>
        <v>#DIV/0!</v>
      </c>
      <c r="K31" s="14">
        <v>400</v>
      </c>
      <c r="L31" s="14">
        <v>0</v>
      </c>
      <c r="M31" s="916">
        <f>K31+L31</f>
        <v>400</v>
      </c>
      <c r="N31" s="915">
        <f>3472.31/400</f>
        <v>8.6807750000000006</v>
      </c>
      <c r="O31" s="915">
        <f>N31*M31</f>
        <v>3472.3100000000004</v>
      </c>
      <c r="P31" s="14">
        <f>E31+H31-M31</f>
        <v>0</v>
      </c>
      <c r="Q31" s="15">
        <f>P31*1000/F39</f>
        <v>0</v>
      </c>
      <c r="R31" s="15">
        <f>P31*1000/F40</f>
        <v>0</v>
      </c>
      <c r="S31" s="915">
        <f>G31+I31-O31</f>
        <v>0</v>
      </c>
      <c r="T31" s="917">
        <f>S31/S39</f>
        <v>0</v>
      </c>
      <c r="U31" s="915">
        <f>S31/F39</f>
        <v>0</v>
      </c>
      <c r="V31" s="915">
        <f>S31*1000/$F$40</f>
        <v>0</v>
      </c>
    </row>
    <row r="32" spans="1:22" ht="17.25">
      <c r="A32" s="879" t="s">
        <v>302</v>
      </c>
      <c r="B32" s="880"/>
      <c r="C32" s="881"/>
      <c r="D32" s="881"/>
      <c r="E32" s="881"/>
      <c r="F32" s="888"/>
      <c r="G32" s="888"/>
      <c r="H32" s="881"/>
      <c r="I32" s="889"/>
      <c r="J32" s="889"/>
      <c r="K32" s="881"/>
      <c r="L32" s="881"/>
      <c r="M32" s="918"/>
      <c r="N32" s="888"/>
      <c r="O32" s="888"/>
      <c r="P32" s="881"/>
      <c r="Q32" s="881"/>
      <c r="R32" s="890" t="s">
        <v>294</v>
      </c>
      <c r="S32" s="891">
        <f>SUM(S30:S31)</f>
        <v>604831.20051668119</v>
      </c>
      <c r="T32" s="892">
        <f>SUM(T30:T31)</f>
        <v>0.23015267586299598</v>
      </c>
      <c r="U32" s="891">
        <f>SUM(U30:U31)</f>
        <v>0.35333445137940023</v>
      </c>
      <c r="V32" s="891">
        <f>SUM(V30:V31)</f>
        <v>7.4789930401182785</v>
      </c>
    </row>
    <row r="33" spans="1:22">
      <c r="A33" s="914">
        <v>56484003</v>
      </c>
      <c r="B33" s="883" t="s">
        <v>22</v>
      </c>
      <c r="C33" s="14">
        <v>0</v>
      </c>
      <c r="D33" s="14">
        <v>60222.3</v>
      </c>
      <c r="E33" s="14">
        <f>C33+D33</f>
        <v>60222.3</v>
      </c>
      <c r="F33" s="915">
        <f>27894.9/70620</f>
        <v>0.39500000000000002</v>
      </c>
      <c r="G33" s="915">
        <f>F33*E33</f>
        <v>23787.808500000003</v>
      </c>
      <c r="H33" s="14">
        <v>1181500</v>
      </c>
      <c r="I33" s="915">
        <v>476026.35</v>
      </c>
      <c r="J33" s="915">
        <f>I33/H33</f>
        <v>0.40289999999999998</v>
      </c>
      <c r="K33" s="14">
        <v>0</v>
      </c>
      <c r="L33" s="14">
        <f>[3]Outubro!AF21</f>
        <v>20000</v>
      </c>
      <c r="M33" s="916">
        <f>K33+L33</f>
        <v>20000</v>
      </c>
      <c r="N33" s="915">
        <f>12433.49/30860</f>
        <v>0.40289987038237202</v>
      </c>
      <c r="O33" s="915">
        <f>N33*M33</f>
        <v>8057.99740764744</v>
      </c>
      <c r="P33" s="14">
        <f>E33+H33-M33</f>
        <v>1221722.3</v>
      </c>
      <c r="Q33" s="15">
        <f>P33*1000/F39</f>
        <v>713.71413749772887</v>
      </c>
      <c r="R33" s="15" t="s">
        <v>13</v>
      </c>
      <c r="S33" s="915">
        <f>G33+I33-O33</f>
        <v>491756.16109235253</v>
      </c>
      <c r="T33" s="917">
        <f>S33/S39</f>
        <v>0.18712493047785153</v>
      </c>
      <c r="U33" s="915">
        <f>S33/F39</f>
        <v>0.28727749700011418</v>
      </c>
      <c r="V33" s="919" t="s">
        <v>13</v>
      </c>
    </row>
    <row r="34" spans="1:22">
      <c r="A34" s="914">
        <v>56483014</v>
      </c>
      <c r="B34" s="883" t="s">
        <v>303</v>
      </c>
      <c r="C34" s="14">
        <v>1475</v>
      </c>
      <c r="D34" s="14">
        <v>645.08230000000003</v>
      </c>
      <c r="E34" s="14">
        <f>C34+D34</f>
        <v>2120.0823</v>
      </c>
      <c r="F34" s="915">
        <f>39584.57/2000</f>
        <v>19.792285</v>
      </c>
      <c r="G34" s="915">
        <f>F34*E34</f>
        <v>41961.273105055501</v>
      </c>
      <c r="H34" s="14">
        <v>11500</v>
      </c>
      <c r="I34" s="915">
        <v>184844.76</v>
      </c>
      <c r="J34" s="915">
        <f>I34/H34</f>
        <v>16.073457391304348</v>
      </c>
      <c r="K34" s="14">
        <v>2200</v>
      </c>
      <c r="L34" s="14">
        <f>[3]Outubro!AF22</f>
        <v>100</v>
      </c>
      <c r="M34" s="916">
        <f>K34+L34</f>
        <v>2300</v>
      </c>
      <c r="N34" s="915">
        <f>31080.73/2000</f>
        <v>15.540365</v>
      </c>
      <c r="O34" s="915">
        <f>N34*M34</f>
        <v>35742.839500000002</v>
      </c>
      <c r="P34" s="14">
        <f>E34+H34-M34</f>
        <v>11320.0823</v>
      </c>
      <c r="Q34" s="15">
        <f>P34*1000/F39</f>
        <v>6.6130435493792721</v>
      </c>
      <c r="R34" s="15" t="s">
        <v>13</v>
      </c>
      <c r="S34" s="915">
        <f>G34+I34-O34</f>
        <v>191063.19360505551</v>
      </c>
      <c r="T34" s="917">
        <f>S34/S39</f>
        <v>7.2704095340267408E-2</v>
      </c>
      <c r="U34" s="915">
        <f>S34/F39</f>
        <v>0.11161661077267214</v>
      </c>
      <c r="V34" s="919" t="s">
        <v>13</v>
      </c>
    </row>
    <row r="35" spans="1:22">
      <c r="A35" s="914">
        <v>56483021</v>
      </c>
      <c r="B35" s="883" t="s">
        <v>304</v>
      </c>
      <c r="C35" s="14">
        <v>1900</v>
      </c>
      <c r="D35" s="14">
        <v>489</v>
      </c>
      <c r="E35" s="14">
        <f>C35+D35</f>
        <v>2389</v>
      </c>
      <c r="F35" s="915">
        <f>38721.87/2000</f>
        <v>19.360935000000001</v>
      </c>
      <c r="G35" s="915">
        <f>F35*E35</f>
        <v>46253.273715000003</v>
      </c>
      <c r="H35" s="14">
        <v>0</v>
      </c>
      <c r="I35" s="915">
        <v>0</v>
      </c>
      <c r="J35" s="915" t="e">
        <f>I35/H35</f>
        <v>#DIV/0!</v>
      </c>
      <c r="K35" s="14">
        <v>0</v>
      </c>
      <c r="L35" s="14">
        <v>0</v>
      </c>
      <c r="M35" s="916">
        <f>K35+L35</f>
        <v>0</v>
      </c>
      <c r="N35" s="915">
        <v>0</v>
      </c>
      <c r="O35" s="915">
        <f>N35*M35</f>
        <v>0</v>
      </c>
      <c r="P35" s="14">
        <f>E35+H35-M35</f>
        <v>2389</v>
      </c>
      <c r="Q35" s="15">
        <f>P35*1000/F39</f>
        <v>1.3956224540405575</v>
      </c>
      <c r="R35" s="15" t="s">
        <v>13</v>
      </c>
      <c r="S35" s="915">
        <f>G35+I35-O35</f>
        <v>46253.273715000003</v>
      </c>
      <c r="T35" s="917">
        <f>S35/S39</f>
        <v>1.760047217113964E-2</v>
      </c>
      <c r="U35" s="915">
        <f>S35/F39</f>
        <v>2.7020555617219725E-2</v>
      </c>
      <c r="V35" s="919" t="s">
        <v>13</v>
      </c>
    </row>
    <row r="36" spans="1:22">
      <c r="A36" s="914">
        <v>56483025</v>
      </c>
      <c r="B36" s="883" t="s">
        <v>306</v>
      </c>
      <c r="C36" s="14">
        <v>0</v>
      </c>
      <c r="D36" s="14">
        <v>0</v>
      </c>
      <c r="E36" s="14">
        <f>C36+D36</f>
        <v>0</v>
      </c>
      <c r="F36" s="915">
        <v>0</v>
      </c>
      <c r="G36" s="915">
        <f>F36*E36</f>
        <v>0</v>
      </c>
      <c r="H36" s="14">
        <v>3000</v>
      </c>
      <c r="I36" s="915">
        <v>63000</v>
      </c>
      <c r="J36" s="915">
        <f>I36/H36</f>
        <v>21</v>
      </c>
      <c r="K36" s="14">
        <v>700</v>
      </c>
      <c r="L36" s="14">
        <f>[3]Outubro!AF23</f>
        <v>50</v>
      </c>
      <c r="M36" s="916">
        <f>K36+L36</f>
        <v>750</v>
      </c>
      <c r="N36" s="915">
        <f>31500/1500</f>
        <v>21</v>
      </c>
      <c r="O36" s="915">
        <f>N36*M36</f>
        <v>15750</v>
      </c>
      <c r="P36" s="14">
        <f>E36+H36-M36</f>
        <v>2250</v>
      </c>
      <c r="Q36" s="15">
        <f>P36*1000/F39</f>
        <v>1.3144204778531832</v>
      </c>
      <c r="R36" s="15" t="s">
        <v>13</v>
      </c>
      <c r="S36" s="915">
        <f>G36+I36-O36</f>
        <v>47250</v>
      </c>
      <c r="T36" s="917">
        <f>S36/S39</f>
        <v>1.7979750259637335E-2</v>
      </c>
      <c r="U36" s="915">
        <f>S36/F39</f>
        <v>2.7602830034916846E-2</v>
      </c>
      <c r="V36" s="919" t="s">
        <v>13</v>
      </c>
    </row>
    <row r="37" spans="1:22">
      <c r="A37" s="914">
        <v>56483024</v>
      </c>
      <c r="B37" s="883" t="s">
        <v>305</v>
      </c>
      <c r="C37" s="14">
        <v>6000</v>
      </c>
      <c r="D37" s="14">
        <v>12000</v>
      </c>
      <c r="E37" s="14">
        <f>C37+D37</f>
        <v>18000</v>
      </c>
      <c r="F37" s="915">
        <f>45000/15000</f>
        <v>3</v>
      </c>
      <c r="G37" s="915">
        <f>F37*E37</f>
        <v>54000</v>
      </c>
      <c r="H37" s="14">
        <v>22500</v>
      </c>
      <c r="I37" s="915">
        <v>69750.009999999995</v>
      </c>
      <c r="J37" s="915">
        <f>I37/H37</f>
        <v>3.100000444444444</v>
      </c>
      <c r="K37" s="14">
        <v>4500</v>
      </c>
      <c r="L37" s="14">
        <f>[3]Outubro!AF24</f>
        <v>5295</v>
      </c>
      <c r="M37" s="916">
        <f>K37+L37</f>
        <v>9795</v>
      </c>
      <c r="N37" s="915">
        <f>46500/15000</f>
        <v>3.1</v>
      </c>
      <c r="O37" s="915">
        <f>N37*M37</f>
        <v>30364.5</v>
      </c>
      <c r="P37" s="14">
        <f>E37+H37-M37</f>
        <v>30705</v>
      </c>
      <c r="Q37" s="15">
        <f>P37*1000/F39</f>
        <v>17.937458121103106</v>
      </c>
      <c r="R37" s="15" t="s">
        <v>13</v>
      </c>
      <c r="S37" s="915">
        <f>G37+I37-O37</f>
        <v>93385.51</v>
      </c>
      <c r="T37" s="917">
        <f>S37/S39</f>
        <v>3.5535410532674387E-2</v>
      </c>
      <c r="U37" s="915">
        <f>S37/F39</f>
        <v>5.4554589635005868E-2</v>
      </c>
      <c r="V37" s="919" t="s">
        <v>13</v>
      </c>
    </row>
    <row r="38" spans="1:22" ht="17.25">
      <c r="A38" s="879"/>
      <c r="B38" s="880"/>
      <c r="C38" s="881"/>
      <c r="D38" s="881"/>
      <c r="E38" s="881"/>
      <c r="F38" s="881"/>
      <c r="G38" s="881"/>
      <c r="H38" s="881"/>
      <c r="I38" s="895"/>
      <c r="J38" s="895"/>
      <c r="K38" s="881"/>
      <c r="L38" s="881"/>
      <c r="M38" s="881"/>
      <c r="N38" s="881"/>
      <c r="O38" s="881"/>
      <c r="P38" s="881"/>
      <c r="Q38" s="881"/>
      <c r="R38" s="890" t="s">
        <v>294</v>
      </c>
      <c r="S38" s="891">
        <f>SUM(S33:S37)</f>
        <v>869708.13841240807</v>
      </c>
      <c r="T38" s="892">
        <f>SUM(T33:T37)</f>
        <v>0.33094465878157031</v>
      </c>
      <c r="U38" s="891">
        <f>SUM(U33:U37)</f>
        <v>0.50807208305992879</v>
      </c>
      <c r="V38" s="894" t="s">
        <v>13</v>
      </c>
    </row>
    <row r="39" spans="1:22" ht="17.25" customHeight="1">
      <c r="A39" s="1227" t="s">
        <v>317</v>
      </c>
      <c r="B39" s="896" t="s">
        <v>310</v>
      </c>
      <c r="C39" s="920">
        <v>42444</v>
      </c>
      <c r="D39" s="1221" t="s">
        <v>311</v>
      </c>
      <c r="E39" s="1221"/>
      <c r="F39" s="1231">
        <f>SUM(C43:C79)</f>
        <v>1711781.0000000002</v>
      </c>
      <c r="G39" s="1231"/>
      <c r="H39"/>
      <c r="I39"/>
      <c r="J39"/>
      <c r="K39"/>
      <c r="L39"/>
      <c r="M39"/>
      <c r="N39"/>
      <c r="O39" s="899">
        <f>SUM(O5:O37)</f>
        <v>318952.29443213576</v>
      </c>
      <c r="P39" s="900">
        <f>SUM(P5:P37)</f>
        <v>2319169.295716383</v>
      </c>
      <c r="R39" s="901" t="s">
        <v>254</v>
      </c>
      <c r="S39" s="902">
        <f>SUM(S5:S23,S25:S28,S30:S31,S33:S37)</f>
        <v>2627956.4130582684</v>
      </c>
      <c r="T39" s="903">
        <f>SUM(T5:T23,T25:T28,T30:T31,T33:T37)</f>
        <v>1</v>
      </c>
      <c r="U39" s="904">
        <f>SUM(U38,U32,U29,U24)</f>
        <v>1.5352176552130603</v>
      </c>
      <c r="V39" s="904">
        <f>SUM(V32,V29,V24)</f>
        <v>21.741481917009153</v>
      </c>
    </row>
    <row r="40" spans="1:22" ht="17.25" customHeight="1">
      <c r="A40" s="1227"/>
      <c r="B40" s="896" t="s">
        <v>312</v>
      </c>
      <c r="C40" s="920">
        <v>42663</v>
      </c>
      <c r="D40" s="1221" t="s">
        <v>313</v>
      </c>
      <c r="E40" s="1221"/>
      <c r="F40" s="1232">
        <f>SUM(D43:D79)</f>
        <v>80870673</v>
      </c>
      <c r="G40" s="1232"/>
      <c r="H40"/>
      <c r="I40"/>
      <c r="J40" s="17"/>
      <c r="K40"/>
      <c r="L40"/>
      <c r="M40"/>
      <c r="N40"/>
      <c r="O40"/>
    </row>
    <row r="41" spans="1:22">
      <c r="A41"/>
      <c r="B41"/>
      <c r="C41"/>
      <c r="D41"/>
      <c r="F41"/>
      <c r="G41"/>
      <c r="H41"/>
      <c r="I41"/>
      <c r="J41"/>
      <c r="K41"/>
      <c r="L41"/>
      <c r="M41"/>
      <c r="N41"/>
      <c r="O41"/>
    </row>
    <row r="42" spans="1:22" ht="30" customHeight="1">
      <c r="A42" s="1225" t="s">
        <v>362</v>
      </c>
      <c r="B42" s="1225"/>
      <c r="C42" s="921" t="s">
        <v>311</v>
      </c>
      <c r="D42" s="877" t="s">
        <v>313</v>
      </c>
      <c r="F42" s="1221" t="s">
        <v>314</v>
      </c>
      <c r="G42" s="1221"/>
      <c r="H42" s="877" t="s">
        <v>363</v>
      </c>
      <c r="I42" s="877" t="s">
        <v>364</v>
      </c>
      <c r="J42" s="877" t="s">
        <v>365</v>
      </c>
      <c r="K42" s="877" t="s">
        <v>366</v>
      </c>
      <c r="L42"/>
      <c r="M42"/>
      <c r="N42"/>
      <c r="O42"/>
    </row>
    <row r="43" spans="1:22">
      <c r="A43" s="922" t="s">
        <v>367</v>
      </c>
      <c r="B43" s="923" t="s">
        <v>368</v>
      </c>
      <c r="C43" s="830">
        <v>33208.959999999999</v>
      </c>
      <c r="D43" s="26">
        <v>854770</v>
      </c>
      <c r="F43" s="1213" t="s">
        <v>311</v>
      </c>
      <c r="G43" s="1213"/>
      <c r="H43" s="831">
        <v>1841157.74</v>
      </c>
      <c r="I43" s="831">
        <v>2159482.9500000002</v>
      </c>
      <c r="J43" s="831">
        <f>F39</f>
        <v>1711781.0000000002</v>
      </c>
      <c r="K43" s="831">
        <v>1709431.94960896</v>
      </c>
      <c r="L43"/>
      <c r="M43"/>
      <c r="N43"/>
      <c r="O43"/>
    </row>
    <row r="44" spans="1:22">
      <c r="A44" s="922" t="s">
        <v>369</v>
      </c>
      <c r="B44" s="923" t="s">
        <v>370</v>
      </c>
      <c r="C44" s="830">
        <v>33751.58</v>
      </c>
      <c r="D44" s="26">
        <v>2328669</v>
      </c>
      <c r="F44" s="1213" t="s">
        <v>313</v>
      </c>
      <c r="G44" s="1213"/>
      <c r="H44" s="14">
        <v>78029017</v>
      </c>
      <c r="I44" s="14">
        <v>99507339</v>
      </c>
      <c r="J44" s="14">
        <f>F40</f>
        <v>80870673</v>
      </c>
      <c r="K44" s="14">
        <v>78931184.614553496</v>
      </c>
      <c r="L44"/>
      <c r="M44"/>
      <c r="N44"/>
      <c r="O44"/>
    </row>
    <row r="45" spans="1:22">
      <c r="A45" s="922" t="s">
        <v>371</v>
      </c>
      <c r="B45" s="923" t="s">
        <v>372</v>
      </c>
      <c r="C45" s="830">
        <v>60999.62</v>
      </c>
      <c r="D45" s="26">
        <v>3071863</v>
      </c>
      <c r="F45" s="1213" t="s">
        <v>321</v>
      </c>
      <c r="G45" s="1213"/>
      <c r="H45" s="915">
        <v>2624385.35</v>
      </c>
      <c r="I45" s="915">
        <v>3961402.21</v>
      </c>
      <c r="J45" s="915">
        <f>S39</f>
        <v>2627956.4130582684</v>
      </c>
      <c r="K45" s="919">
        <v>2274546.9504740098</v>
      </c>
      <c r="L45"/>
      <c r="M45"/>
      <c r="N45"/>
      <c r="O45"/>
    </row>
    <row r="46" spans="1:22">
      <c r="A46" s="922" t="s">
        <v>373</v>
      </c>
      <c r="B46" s="923" t="s">
        <v>374</v>
      </c>
      <c r="C46" s="830">
        <v>70542.52</v>
      </c>
      <c r="D46" s="26">
        <v>3871530</v>
      </c>
      <c r="F46" s="1213" t="s">
        <v>322</v>
      </c>
      <c r="G46" s="1213"/>
      <c r="H46" s="907">
        <f>H45/H43</f>
        <v>1.4253995151985186</v>
      </c>
      <c r="I46" s="907">
        <f>I45/I43</f>
        <v>1.8344216193047505</v>
      </c>
      <c r="J46" s="907">
        <f>J45/J43</f>
        <v>1.5352176552130605</v>
      </c>
      <c r="K46" s="907">
        <v>1.33058642725984</v>
      </c>
      <c r="L46"/>
      <c r="M46"/>
      <c r="N46"/>
      <c r="O46"/>
    </row>
    <row r="47" spans="1:22" ht="15" customHeight="1">
      <c r="A47" s="922" t="s">
        <v>375</v>
      </c>
      <c r="B47" s="923" t="s">
        <v>376</v>
      </c>
      <c r="C47" s="830">
        <v>69811.44</v>
      </c>
      <c r="D47" s="26">
        <v>3411518</v>
      </c>
      <c r="F47" s="1214" t="s">
        <v>338</v>
      </c>
      <c r="G47" s="924" t="s">
        <v>33</v>
      </c>
      <c r="H47" s="915">
        <v>15.8309547844233</v>
      </c>
      <c r="I47" s="915">
        <v>21.827709210473401</v>
      </c>
      <c r="J47" s="915">
        <f>SUM(V5:V14)</f>
        <v>12.323598967423539</v>
      </c>
      <c r="K47" s="915">
        <v>15.4665</v>
      </c>
      <c r="L47"/>
      <c r="M47"/>
      <c r="N47"/>
      <c r="O47"/>
    </row>
    <row r="48" spans="1:22">
      <c r="A48" s="922" t="s">
        <v>377</v>
      </c>
      <c r="B48" s="923" t="s">
        <v>378</v>
      </c>
      <c r="C48" s="830">
        <v>60010.8</v>
      </c>
      <c r="D48" s="26">
        <v>3274319</v>
      </c>
      <c r="F48" s="1214"/>
      <c r="G48" s="924" t="s">
        <v>379</v>
      </c>
      <c r="H48" s="915">
        <v>0.95149295549885005</v>
      </c>
      <c r="I48" s="915">
        <v>0.23272132721788499</v>
      </c>
      <c r="J48" s="915">
        <f>V29</f>
        <v>0.90009182988305858</v>
      </c>
      <c r="K48" s="915">
        <v>0.89632999999999996</v>
      </c>
      <c r="L48" s="925"/>
      <c r="M48" s="19"/>
      <c r="N48" s="19"/>
      <c r="O48" s="19"/>
    </row>
    <row r="49" spans="1:15">
      <c r="A49" s="922" t="s">
        <v>380</v>
      </c>
      <c r="B49" s="923" t="s">
        <v>381</v>
      </c>
      <c r="C49" s="830">
        <v>51519.96</v>
      </c>
      <c r="D49" s="26">
        <v>2792354</v>
      </c>
      <c r="F49" s="1214"/>
      <c r="G49" s="924" t="s">
        <v>58</v>
      </c>
      <c r="H49" s="915">
        <v>2.4629946318559899</v>
      </c>
      <c r="I49" s="915">
        <v>7.3310332416787896</v>
      </c>
      <c r="J49" s="915">
        <f>V32</f>
        <v>7.4789930401182785</v>
      </c>
      <c r="K49" s="915">
        <v>4.2</v>
      </c>
      <c r="L49" s="925"/>
      <c r="M49" s="19"/>
      <c r="N49" s="19"/>
      <c r="O49" s="19"/>
    </row>
    <row r="50" spans="1:15">
      <c r="A50" s="922" t="s">
        <v>382</v>
      </c>
      <c r="B50" s="923" t="s">
        <v>383</v>
      </c>
      <c r="C50" s="830">
        <v>76180</v>
      </c>
      <c r="D50" s="26">
        <v>3851727</v>
      </c>
      <c r="F50" s="1214"/>
      <c r="G50" s="924" t="s">
        <v>91</v>
      </c>
      <c r="H50" s="915">
        <v>1.6735443431255801</v>
      </c>
      <c r="I50" s="915">
        <v>0.53955452471701604</v>
      </c>
      <c r="J50" s="915">
        <f>SUM(V15:V23)</f>
        <v>1.0387980795842766</v>
      </c>
      <c r="K50" s="915">
        <v>0.76796227169917497</v>
      </c>
      <c r="L50" s="925"/>
      <c r="M50" s="925"/>
      <c r="N50" s="925"/>
      <c r="O50" s="925"/>
    </row>
    <row r="51" spans="1:15">
      <c r="A51" s="922" t="s">
        <v>384</v>
      </c>
      <c r="B51" s="923" t="s">
        <v>385</v>
      </c>
      <c r="C51" s="830">
        <v>66890.679999999993</v>
      </c>
      <c r="D51" s="26">
        <v>3356170</v>
      </c>
      <c r="F51" s="1213" t="s">
        <v>386</v>
      </c>
      <c r="G51" s="1213"/>
      <c r="H51" s="907">
        <f>SUM(H47:H50)</f>
        <v>20.918986714903721</v>
      </c>
      <c r="I51" s="907">
        <f>SUM(I47:I50)</f>
        <v>29.93101830408709</v>
      </c>
      <c r="J51" s="907">
        <f>SUM(J47:J50)</f>
        <v>21.74148191700915</v>
      </c>
      <c r="K51" s="907">
        <v>21.330792271699199</v>
      </c>
    </row>
    <row r="52" spans="1:15" ht="15" customHeight="1">
      <c r="A52" s="922" t="s">
        <v>387</v>
      </c>
      <c r="B52" s="923" t="s">
        <v>388</v>
      </c>
      <c r="C52" s="830">
        <v>22650.5</v>
      </c>
      <c r="D52" s="26">
        <v>1941274</v>
      </c>
      <c r="F52" s="1214" t="s">
        <v>389</v>
      </c>
      <c r="G52" s="909" t="s">
        <v>354</v>
      </c>
      <c r="H52" s="831">
        <v>13.9393015805902</v>
      </c>
      <c r="I52" s="831">
        <v>11.086418460049501</v>
      </c>
      <c r="J52" s="831">
        <f>R5</f>
        <v>8.2054467383992211</v>
      </c>
      <c r="K52" s="831">
        <v>10</v>
      </c>
    </row>
    <row r="53" spans="1:15">
      <c r="A53" s="922" t="s">
        <v>390</v>
      </c>
      <c r="B53" s="923" t="s">
        <v>391</v>
      </c>
      <c r="C53" s="830">
        <v>52733.86</v>
      </c>
      <c r="D53" s="26">
        <v>2398294</v>
      </c>
      <c r="F53" s="1214"/>
      <c r="G53" s="909" t="s">
        <v>44</v>
      </c>
      <c r="H53" s="831">
        <v>0.41523014444741801</v>
      </c>
      <c r="I53" s="831">
        <v>0.60598545399751902</v>
      </c>
      <c r="J53" s="831">
        <f>R6+R7+R8</f>
        <v>0.32413653029056089</v>
      </c>
      <c r="K53" s="831">
        <v>0.4</v>
      </c>
    </row>
    <row r="54" spans="1:15">
      <c r="A54" s="922" t="s">
        <v>392</v>
      </c>
      <c r="B54" s="923" t="s">
        <v>393</v>
      </c>
      <c r="C54" s="830">
        <v>0</v>
      </c>
      <c r="D54" s="26">
        <v>0</v>
      </c>
      <c r="F54" s="1214"/>
      <c r="G54" s="909" t="s">
        <v>56</v>
      </c>
      <c r="H54" s="831">
        <v>0.35884086557184203</v>
      </c>
      <c r="I54" s="831">
        <v>0.33253828644739503</v>
      </c>
      <c r="J54" s="831">
        <f>R9+R10+R11</f>
        <v>0.2416602760510137</v>
      </c>
      <c r="K54" s="831">
        <v>0.32</v>
      </c>
    </row>
    <row r="55" spans="1:15">
      <c r="A55" s="922" t="s">
        <v>394</v>
      </c>
      <c r="B55" s="923" t="s">
        <v>395</v>
      </c>
      <c r="C55" s="830">
        <v>30964.84</v>
      </c>
      <c r="D55" s="26">
        <v>956593</v>
      </c>
      <c r="F55" s="1214"/>
      <c r="G55" s="909" t="s">
        <v>396</v>
      </c>
      <c r="H55" s="831">
        <v>0.21722688112295499</v>
      </c>
      <c r="I55" s="831">
        <v>0.241188240397022</v>
      </c>
      <c r="J55" s="831">
        <f>R13+R14</f>
        <v>0.19736450072574518</v>
      </c>
      <c r="K55" s="831">
        <v>0.13500000000000001</v>
      </c>
    </row>
    <row r="56" spans="1:15">
      <c r="A56" s="922" t="s">
        <v>397</v>
      </c>
      <c r="B56" s="923" t="s">
        <v>398</v>
      </c>
      <c r="C56" s="830">
        <v>72451.34</v>
      </c>
      <c r="D56" s="26">
        <v>3087955</v>
      </c>
      <c r="F56" s="1214"/>
      <c r="G56" s="909" t="s">
        <v>93</v>
      </c>
      <c r="H56" s="831">
        <v>0.16660468758692701</v>
      </c>
      <c r="I56" s="831">
        <v>0.18390603330273</v>
      </c>
      <c r="J56" s="831">
        <f>R12</f>
        <v>7.7283887571950829E-2</v>
      </c>
      <c r="K56" s="831">
        <v>0.1</v>
      </c>
    </row>
    <row r="57" spans="1:15" ht="15" customHeight="1">
      <c r="A57" s="922" t="s">
        <v>399</v>
      </c>
      <c r="B57" s="923" t="s">
        <v>400</v>
      </c>
      <c r="C57" s="830">
        <v>81313.399999999994</v>
      </c>
      <c r="D57" s="26">
        <v>3429373</v>
      </c>
      <c r="F57" s="1214" t="s">
        <v>338</v>
      </c>
      <c r="G57" s="924" t="s">
        <v>44</v>
      </c>
      <c r="H57" s="915">
        <v>2.6436289720271602</v>
      </c>
      <c r="I57" s="915">
        <v>4.0419196618251396</v>
      </c>
      <c r="J57" s="915">
        <f>V6+V7+V8</f>
        <v>2.2781115762819812</v>
      </c>
      <c r="K57" s="915">
        <v>3.2</v>
      </c>
    </row>
    <row r="58" spans="1:15">
      <c r="A58" s="922" t="s">
        <v>401</v>
      </c>
      <c r="B58" s="923" t="s">
        <v>402</v>
      </c>
      <c r="C58" s="830">
        <v>76801.52</v>
      </c>
      <c r="D58" s="26">
        <v>3124113</v>
      </c>
      <c r="F58" s="1214"/>
      <c r="G58" s="924" t="s">
        <v>56</v>
      </c>
      <c r="H58" s="915">
        <v>3.6601768288327898</v>
      </c>
      <c r="I58" s="915">
        <v>3.8300692575047202</v>
      </c>
      <c r="J58" s="915">
        <f>V9+V10+V11</f>
        <v>3.3026918836992554</v>
      </c>
      <c r="K58" s="915">
        <v>4.7359999999999998</v>
      </c>
    </row>
    <row r="59" spans="1:15">
      <c r="A59" s="922" t="s">
        <v>403</v>
      </c>
      <c r="B59" s="923" t="s">
        <v>404</v>
      </c>
      <c r="C59" s="830">
        <v>70273.399999999994</v>
      </c>
      <c r="D59" s="26">
        <v>2869530</v>
      </c>
      <c r="F59" s="1214"/>
      <c r="G59" s="909" t="s">
        <v>405</v>
      </c>
      <c r="H59" s="907">
        <f>H57+H58</f>
        <v>6.3038058008599496</v>
      </c>
      <c r="I59" s="907">
        <f>I57+I58</f>
        <v>7.8719889193298602</v>
      </c>
      <c r="J59" s="907">
        <f>J57+J58</f>
        <v>5.5808034599812366</v>
      </c>
      <c r="K59" s="907">
        <v>7.9359999999999999</v>
      </c>
    </row>
    <row r="60" spans="1:15">
      <c r="A60" s="922" t="s">
        <v>406</v>
      </c>
      <c r="B60" s="923" t="s">
        <v>407</v>
      </c>
      <c r="C60" s="830">
        <v>61412.38</v>
      </c>
      <c r="D60" s="26">
        <v>2256797</v>
      </c>
      <c r="F60" s="1213" t="s">
        <v>408</v>
      </c>
      <c r="G60" s="1213"/>
      <c r="H60" s="831">
        <f>H53/H54</f>
        <v>1.1571428571428595</v>
      </c>
      <c r="I60" s="831">
        <f>I53/I54</f>
        <v>1.8223028105167709</v>
      </c>
      <c r="J60" s="831">
        <f>J53/J54</f>
        <v>1.3412900770755418</v>
      </c>
      <c r="K60" s="831">
        <v>1.25</v>
      </c>
    </row>
    <row r="61" spans="1:15">
      <c r="A61" s="922" t="s">
        <v>409</v>
      </c>
      <c r="B61" s="923" t="s">
        <v>410</v>
      </c>
      <c r="C61" s="830">
        <v>71881.600000000006</v>
      </c>
      <c r="D61" s="26">
        <v>2612315</v>
      </c>
      <c r="F61" s="926" t="s">
        <v>411</v>
      </c>
      <c r="G61" s="927" t="s">
        <v>58</v>
      </c>
      <c r="H61" s="15">
        <v>99.106120043793794</v>
      </c>
      <c r="I61" s="15">
        <v>220.713944511579</v>
      </c>
      <c r="J61" s="15">
        <f>Q30</f>
        <v>182.27980010660781</v>
      </c>
      <c r="K61" s="15">
        <v>127.59</v>
      </c>
    </row>
    <row r="62" spans="1:15">
      <c r="A62" s="922" t="s">
        <v>412</v>
      </c>
      <c r="B62" s="923" t="s">
        <v>413</v>
      </c>
      <c r="C62" s="830">
        <v>69369.52</v>
      </c>
      <c r="D62" s="26">
        <v>3482826</v>
      </c>
      <c r="F62" s="926" t="s">
        <v>411</v>
      </c>
      <c r="G62" s="927" t="s">
        <v>59</v>
      </c>
      <c r="H62" s="928">
        <v>751.58687924262301</v>
      </c>
      <c r="I62" s="928">
        <v>634.92976409005701</v>
      </c>
      <c r="J62" s="928">
        <f>Q33</f>
        <v>713.71413749772887</v>
      </c>
      <c r="K62" s="928">
        <v>550</v>
      </c>
    </row>
    <row r="63" spans="1:15" ht="15" customHeight="1">
      <c r="A63" s="922" t="s">
        <v>414</v>
      </c>
      <c r="B63" s="923" t="s">
        <v>415</v>
      </c>
      <c r="C63" s="830">
        <v>62199.78</v>
      </c>
      <c r="D63" s="26">
        <v>3760107</v>
      </c>
      <c r="F63" s="1214" t="s">
        <v>416</v>
      </c>
      <c r="G63" s="924" t="s">
        <v>35</v>
      </c>
      <c r="H63" s="15">
        <v>2.1725460633264402</v>
      </c>
      <c r="I63" s="15">
        <v>2.0954089959358102</v>
      </c>
      <c r="J63" s="15">
        <f>Q35+Q36</f>
        <v>2.7100429318937405</v>
      </c>
      <c r="K63" s="15">
        <v>3</v>
      </c>
    </row>
    <row r="64" spans="1:15">
      <c r="A64" s="922" t="s">
        <v>417</v>
      </c>
      <c r="B64" s="923" t="s">
        <v>418</v>
      </c>
      <c r="C64" s="830">
        <v>45966.44</v>
      </c>
      <c r="D64" s="26">
        <v>2450829</v>
      </c>
      <c r="F64" s="1214"/>
      <c r="G64" s="924" t="s">
        <v>419</v>
      </c>
      <c r="H64" s="15">
        <v>9.1246934659710401</v>
      </c>
      <c r="I64" s="15">
        <v>6.4830333575914496</v>
      </c>
      <c r="J64" s="15">
        <f>Q34</f>
        <v>6.6130435493792721</v>
      </c>
      <c r="K64" s="15">
        <v>5</v>
      </c>
    </row>
    <row r="65" spans="1:11">
      <c r="A65" s="922" t="s">
        <v>420</v>
      </c>
      <c r="B65" s="923" t="s">
        <v>421</v>
      </c>
      <c r="C65" s="830">
        <v>38252.800000000003</v>
      </c>
      <c r="D65" s="26">
        <v>2796337</v>
      </c>
      <c r="F65" s="1214"/>
      <c r="G65" s="909" t="s">
        <v>277</v>
      </c>
      <c r="H65" s="929">
        <f>H63+H64</f>
        <v>11.29723952929748</v>
      </c>
      <c r="I65" s="929">
        <f>I63+I64</f>
        <v>8.5784423535272598</v>
      </c>
      <c r="J65" s="929">
        <f>J63+J64</f>
        <v>9.3230864812730125</v>
      </c>
      <c r="K65" s="929">
        <v>8</v>
      </c>
    </row>
    <row r="66" spans="1:11">
      <c r="A66" s="922" t="s">
        <v>422</v>
      </c>
      <c r="B66" s="923" t="s">
        <v>423</v>
      </c>
      <c r="C66" s="830">
        <v>56592.24</v>
      </c>
      <c r="D66" s="26">
        <v>2960576</v>
      </c>
    </row>
    <row r="67" spans="1:11">
      <c r="A67" s="922" t="s">
        <v>424</v>
      </c>
      <c r="B67" s="923" t="s">
        <v>425</v>
      </c>
      <c r="C67" s="830">
        <v>34020.06</v>
      </c>
      <c r="D67" s="26">
        <v>1836829</v>
      </c>
    </row>
    <row r="68" spans="1:11">
      <c r="A68" s="922" t="s">
        <v>426</v>
      </c>
      <c r="B68" s="923" t="s">
        <v>427</v>
      </c>
      <c r="C68" s="830">
        <v>38163.800000000003</v>
      </c>
      <c r="D68" s="26">
        <v>1293717</v>
      </c>
    </row>
    <row r="69" spans="1:11">
      <c r="A69" s="922" t="s">
        <v>428</v>
      </c>
      <c r="B69" s="923" t="s">
        <v>429</v>
      </c>
      <c r="C69" s="830">
        <v>67132.28</v>
      </c>
      <c r="D69" s="26">
        <v>2711188</v>
      </c>
    </row>
    <row r="70" spans="1:11">
      <c r="A70" s="922" t="s">
        <v>430</v>
      </c>
      <c r="B70" s="923" t="s">
        <v>431</v>
      </c>
      <c r="C70" s="830">
        <v>73719.899999999994</v>
      </c>
      <c r="D70" s="26">
        <v>3130279</v>
      </c>
    </row>
    <row r="71" spans="1:11">
      <c r="A71" s="922" t="s">
        <v>432</v>
      </c>
      <c r="B71" s="923" t="s">
        <v>433</v>
      </c>
      <c r="C71" s="830">
        <v>69235.740000000005</v>
      </c>
      <c r="D71" s="26">
        <v>2930968</v>
      </c>
    </row>
    <row r="72" spans="1:11">
      <c r="A72" s="922" t="s">
        <v>434</v>
      </c>
      <c r="B72" s="923" t="s">
        <v>435</v>
      </c>
      <c r="C72" s="830">
        <v>52247.8</v>
      </c>
      <c r="D72" s="26">
        <v>1618692</v>
      </c>
    </row>
    <row r="73" spans="1:11">
      <c r="A73" s="922" t="s">
        <v>436</v>
      </c>
      <c r="B73" s="923" t="s">
        <v>437</v>
      </c>
      <c r="C73" s="830">
        <v>25960.52</v>
      </c>
      <c r="D73" s="26">
        <v>1175433</v>
      </c>
    </row>
    <row r="74" spans="1:11">
      <c r="A74" s="922" t="s">
        <v>438</v>
      </c>
      <c r="B74" s="923" t="s">
        <v>439</v>
      </c>
      <c r="C74" s="830">
        <v>15521.72</v>
      </c>
      <c r="D74" s="26">
        <v>1233728</v>
      </c>
    </row>
  </sheetData>
  <mergeCells count="26">
    <mergeCell ref="A42:B42"/>
    <mergeCell ref="F42:G42"/>
    <mergeCell ref="A1:B3"/>
    <mergeCell ref="C1:V1"/>
    <mergeCell ref="C2:G2"/>
    <mergeCell ref="H2:J2"/>
    <mergeCell ref="K2:O2"/>
    <mergeCell ref="P2:P3"/>
    <mergeCell ref="Q2:R2"/>
    <mergeCell ref="S2:T3"/>
    <mergeCell ref="U2:V2"/>
    <mergeCell ref="A39:A40"/>
    <mergeCell ref="D39:E39"/>
    <mergeCell ref="F39:G39"/>
    <mergeCell ref="D40:E40"/>
    <mergeCell ref="F40:G40"/>
    <mergeCell ref="F52:F56"/>
    <mergeCell ref="F57:F59"/>
    <mergeCell ref="F60:G60"/>
    <mergeCell ref="F63:F65"/>
    <mergeCell ref="F43:G43"/>
    <mergeCell ref="F44:G44"/>
    <mergeCell ref="F45:G45"/>
    <mergeCell ref="F46:G46"/>
    <mergeCell ref="F47:F50"/>
    <mergeCell ref="F51:G51"/>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74"/>
  <sheetViews>
    <sheetView zoomScale="80" zoomScaleNormal="80" workbookViewId="0">
      <selection activeCell="A14" sqref="A14:D14"/>
    </sheetView>
  </sheetViews>
  <sheetFormatPr defaultRowHeight="15"/>
  <cols>
    <col min="1" max="1" width="41.140625" customWidth="1"/>
    <col min="2" max="2" width="8.7109375" style="1011" customWidth="1"/>
    <col min="3" max="3" width="11.42578125" bestFit="1" customWidth="1"/>
    <col min="4" max="4" width="8.5703125" bestFit="1" customWidth="1"/>
    <col min="5" max="8" width="16.85546875" customWidth="1"/>
    <col min="9" max="9" width="14.5703125" bestFit="1" customWidth="1"/>
    <col min="10" max="10" width="16.42578125" bestFit="1" customWidth="1"/>
    <col min="11" max="12" width="16.85546875" customWidth="1"/>
    <col min="13" max="13" width="9.42578125" bestFit="1" customWidth="1"/>
    <col min="14" max="17" width="16.140625" customWidth="1"/>
  </cols>
  <sheetData>
    <row r="1" spans="1:19" ht="15" customHeight="1">
      <c r="A1" s="1243" t="s">
        <v>440</v>
      </c>
      <c r="B1" s="1244"/>
      <c r="C1" s="1244"/>
      <c r="D1" s="1245"/>
      <c r="E1" s="1233">
        <v>2014</v>
      </c>
      <c r="F1" s="1233"/>
      <c r="G1" s="1246">
        <v>2015</v>
      </c>
      <c r="H1" s="1247"/>
      <c r="I1" s="1247"/>
      <c r="J1" s="1248"/>
      <c r="K1" s="1233" t="s">
        <v>441</v>
      </c>
      <c r="L1" s="1233"/>
      <c r="M1" s="930"/>
    </row>
    <row r="2" spans="1:19" ht="15.75">
      <c r="A2" s="931" t="s">
        <v>33</v>
      </c>
      <c r="B2" s="932" t="s">
        <v>442</v>
      </c>
      <c r="C2" s="932" t="s">
        <v>1</v>
      </c>
      <c r="D2" s="932" t="s">
        <v>443</v>
      </c>
      <c r="E2" s="933" t="s">
        <v>3</v>
      </c>
      <c r="F2" s="933" t="s">
        <v>444</v>
      </c>
      <c r="G2" s="933" t="s">
        <v>3</v>
      </c>
      <c r="H2" s="933" t="s">
        <v>444</v>
      </c>
      <c r="I2" s="933" t="s">
        <v>445</v>
      </c>
      <c r="J2" s="933" t="s">
        <v>446</v>
      </c>
      <c r="K2" s="933" t="s">
        <v>3</v>
      </c>
      <c r="L2" s="933" t="s">
        <v>444</v>
      </c>
      <c r="M2" s="930"/>
      <c r="N2" s="934" t="s">
        <v>447</v>
      </c>
      <c r="O2" s="935">
        <v>2014</v>
      </c>
      <c r="P2" s="935">
        <v>2015</v>
      </c>
      <c r="Q2" s="936" t="s">
        <v>448</v>
      </c>
    </row>
    <row r="3" spans="1:19">
      <c r="A3" s="937" t="s">
        <v>449</v>
      </c>
      <c r="B3" s="938">
        <v>406002</v>
      </c>
      <c r="C3" s="939">
        <v>56484001</v>
      </c>
      <c r="D3" s="940" t="s">
        <v>450</v>
      </c>
      <c r="E3" s="836">
        <v>1087.67</v>
      </c>
      <c r="F3" s="941">
        <v>594169.06000000006</v>
      </c>
      <c r="G3" s="942">
        <v>1103.18</v>
      </c>
      <c r="H3" s="941">
        <v>1187546.5900000001</v>
      </c>
      <c r="I3" s="835">
        <v>0</v>
      </c>
      <c r="J3" s="943">
        <v>0</v>
      </c>
      <c r="K3" s="944">
        <v>1022580.4635</v>
      </c>
      <c r="L3" s="941">
        <v>1060043.3870809786</v>
      </c>
      <c r="M3" s="930"/>
      <c r="N3" s="945" t="s">
        <v>319</v>
      </c>
      <c r="O3" s="946">
        <v>1841157.74</v>
      </c>
      <c r="P3" s="946">
        <v>2159482.9500000002</v>
      </c>
      <c r="Q3" s="25">
        <v>2300000</v>
      </c>
    </row>
    <row r="4" spans="1:19">
      <c r="A4" s="947" t="s">
        <v>451</v>
      </c>
      <c r="B4" s="938">
        <v>406002</v>
      </c>
      <c r="C4" s="940">
        <v>56481005</v>
      </c>
      <c r="D4" s="940" t="s">
        <v>452</v>
      </c>
      <c r="E4" s="836">
        <v>180</v>
      </c>
      <c r="F4" s="941">
        <v>45180</v>
      </c>
      <c r="G4" s="836">
        <v>120</v>
      </c>
      <c r="H4" s="941">
        <v>31380</v>
      </c>
      <c r="I4" s="835">
        <v>0</v>
      </c>
      <c r="J4" s="943">
        <v>0</v>
      </c>
      <c r="K4" s="944">
        <v>204.51609271816562</v>
      </c>
      <c r="L4" s="941">
        <v>55014.828941186555</v>
      </c>
      <c r="M4" s="930"/>
      <c r="N4" s="945" t="s">
        <v>49</v>
      </c>
      <c r="O4" s="946">
        <v>78029017</v>
      </c>
      <c r="P4" s="946">
        <v>99507339</v>
      </c>
      <c r="Q4" s="25">
        <v>102258000</v>
      </c>
    </row>
    <row r="5" spans="1:19">
      <c r="A5" s="947" t="s">
        <v>453</v>
      </c>
      <c r="B5" s="938">
        <v>406002</v>
      </c>
      <c r="C5" s="940">
        <v>56481008</v>
      </c>
      <c r="D5" s="940" t="s">
        <v>452</v>
      </c>
      <c r="E5" s="836">
        <v>110</v>
      </c>
      <c r="F5" s="941">
        <v>14410</v>
      </c>
      <c r="G5" s="836">
        <v>80</v>
      </c>
      <c r="H5" s="941">
        <v>11860</v>
      </c>
      <c r="I5" s="836">
        <v>14.5</v>
      </c>
      <c r="J5" s="943">
        <v>2055.375</v>
      </c>
      <c r="K5" s="836">
        <v>0</v>
      </c>
      <c r="L5" s="941">
        <v>0</v>
      </c>
      <c r="M5" s="930"/>
      <c r="N5" s="945" t="s">
        <v>341</v>
      </c>
      <c r="O5" s="946">
        <v>2204655</v>
      </c>
      <c r="P5" s="946">
        <v>2254172</v>
      </c>
      <c r="Q5" s="25">
        <v>2565300</v>
      </c>
    </row>
    <row r="6" spans="1:19">
      <c r="A6" s="947" t="s">
        <v>454</v>
      </c>
      <c r="B6" s="938">
        <v>406002</v>
      </c>
      <c r="C6" s="940">
        <v>56481011</v>
      </c>
      <c r="D6" s="940" t="s">
        <v>452</v>
      </c>
      <c r="E6" s="836">
        <v>185</v>
      </c>
      <c r="F6" s="941">
        <v>38620</v>
      </c>
      <c r="G6" s="836">
        <v>85</v>
      </c>
      <c r="H6" s="941">
        <v>19550.009999999998</v>
      </c>
      <c r="I6" s="836">
        <v>60</v>
      </c>
      <c r="J6" s="943">
        <v>12720</v>
      </c>
      <c r="K6" s="836">
        <v>0</v>
      </c>
      <c r="L6" s="941">
        <v>0</v>
      </c>
      <c r="M6" s="930"/>
      <c r="N6" s="945" t="s">
        <v>455</v>
      </c>
      <c r="O6" s="829">
        <f>F12+F20+F25+F33+F52+F59</f>
        <v>2799500.2600000007</v>
      </c>
      <c r="P6" s="829">
        <f>(H12+H20+H25+H33+H52+H59)-(J12+J20+J33+J52+J59)</f>
        <v>4147091.8699999996</v>
      </c>
      <c r="Q6" s="829">
        <f>L12+L20+L25+L33+L52+L59</f>
        <v>3645576.9600119456</v>
      </c>
    </row>
    <row r="7" spans="1:19">
      <c r="A7" s="947" t="s">
        <v>456</v>
      </c>
      <c r="B7" s="938">
        <v>406002</v>
      </c>
      <c r="C7" s="940">
        <v>56481010</v>
      </c>
      <c r="D7" s="940" t="s">
        <v>452</v>
      </c>
      <c r="E7" s="836">
        <v>185</v>
      </c>
      <c r="F7" s="941">
        <v>32375.02</v>
      </c>
      <c r="G7" s="836">
        <v>85</v>
      </c>
      <c r="H7" s="941">
        <v>15300</v>
      </c>
      <c r="I7" s="836">
        <v>55</v>
      </c>
      <c r="J7" s="943">
        <v>9625</v>
      </c>
      <c r="K7" s="836">
        <v>0</v>
      </c>
      <c r="L7" s="941">
        <v>0</v>
      </c>
      <c r="M7" s="930"/>
      <c r="N7" s="945" t="s">
        <v>457</v>
      </c>
      <c r="O7" s="829">
        <f>F12+F20+F25+F33+F52</f>
        <v>2624385.3500000006</v>
      </c>
      <c r="P7" s="829">
        <f>(H12+H20+H25+H33+H52)-(J12+J20+J33+J52)</f>
        <v>3961402.2099999995</v>
      </c>
      <c r="Q7" s="829">
        <f>L12+L20+L25+L33+L52</f>
        <v>3460181.0031119455</v>
      </c>
    </row>
    <row r="8" spans="1:19">
      <c r="A8" s="947" t="s">
        <v>17</v>
      </c>
      <c r="B8" s="938">
        <v>406002</v>
      </c>
      <c r="C8" s="940">
        <v>56482007</v>
      </c>
      <c r="D8" s="940" t="s">
        <v>452</v>
      </c>
      <c r="E8" s="942">
        <v>28000</v>
      </c>
      <c r="F8" s="941">
        <v>285600</v>
      </c>
      <c r="G8" s="942">
        <v>36090</v>
      </c>
      <c r="H8" s="941">
        <v>415620</v>
      </c>
      <c r="I8" s="835">
        <v>3000</v>
      </c>
      <c r="J8" s="943">
        <v>34500</v>
      </c>
      <c r="K8" s="944">
        <v>32722.574834906503</v>
      </c>
      <c r="L8" s="941">
        <v>376309.61060142476</v>
      </c>
      <c r="M8" s="930"/>
      <c r="N8" s="945" t="s">
        <v>458</v>
      </c>
      <c r="O8" s="829">
        <f>O6/O3</f>
        <v>1.5205108172860848</v>
      </c>
      <c r="P8" s="829">
        <f>P6/P3</f>
        <v>1.92040963787188</v>
      </c>
      <c r="Q8" s="948">
        <f>Q6/Q3</f>
        <v>1.5850334608747589</v>
      </c>
    </row>
    <row r="9" spans="1:19">
      <c r="A9" s="947" t="s">
        <v>459</v>
      </c>
      <c r="B9" s="938">
        <v>406002</v>
      </c>
      <c r="C9" s="940">
        <v>56480004</v>
      </c>
      <c r="D9" s="940" t="s">
        <v>452</v>
      </c>
      <c r="E9" s="942">
        <v>32400</v>
      </c>
      <c r="F9" s="941">
        <v>206279.77</v>
      </c>
      <c r="G9" s="942">
        <v>63000</v>
      </c>
      <c r="H9" s="941">
        <v>420209.67</v>
      </c>
      <c r="I9" s="835">
        <v>2700</v>
      </c>
      <c r="J9" s="943">
        <v>18009</v>
      </c>
      <c r="K9" s="944">
        <v>40903.218543633127</v>
      </c>
      <c r="L9" s="941">
        <v>272824.46768603293</v>
      </c>
      <c r="M9" s="930"/>
      <c r="N9" s="945" t="s">
        <v>460</v>
      </c>
      <c r="O9" s="829">
        <f>(F12+F20+F25+F33+F52)/O3</f>
        <v>1.4253995151985188</v>
      </c>
      <c r="P9" s="829">
        <f>((H12+H20+H25+H33+H52)-(J12+J20+J33+J52))/P3</f>
        <v>1.8344216193047502</v>
      </c>
      <c r="Q9" s="948">
        <f>(L12+L20+L25+L33+L52)/Q3</f>
        <v>1.5044265230921503</v>
      </c>
    </row>
    <row r="10" spans="1:19">
      <c r="A10" s="947" t="s">
        <v>461</v>
      </c>
      <c r="B10" s="938">
        <v>406002</v>
      </c>
      <c r="C10" s="940">
        <v>56484029</v>
      </c>
      <c r="D10" s="940" t="s">
        <v>452</v>
      </c>
      <c r="E10" s="942">
        <v>13000</v>
      </c>
      <c r="F10" s="941">
        <v>22100</v>
      </c>
      <c r="G10" s="942">
        <v>19500</v>
      </c>
      <c r="H10" s="941">
        <v>33150</v>
      </c>
      <c r="I10" s="835">
        <v>0</v>
      </c>
      <c r="J10" s="943">
        <v>0</v>
      </c>
      <c r="K10" s="944">
        <v>10225.804635908282</v>
      </c>
      <c r="L10" s="941">
        <v>17383.86788104408</v>
      </c>
      <c r="M10" s="930"/>
    </row>
    <row r="11" spans="1:19">
      <c r="A11" s="947" t="s">
        <v>288</v>
      </c>
      <c r="B11" s="938">
        <v>406002</v>
      </c>
      <c r="C11" s="940">
        <v>56484026</v>
      </c>
      <c r="D11" s="940" t="s">
        <v>452</v>
      </c>
      <c r="E11" s="942">
        <v>16950</v>
      </c>
      <c r="F11" s="941">
        <v>127125.01</v>
      </c>
      <c r="G11" s="942">
        <v>25200</v>
      </c>
      <c r="H11" s="941">
        <v>176400</v>
      </c>
      <c r="I11" s="836">
        <v>1200</v>
      </c>
      <c r="J11" s="943">
        <v>8400</v>
      </c>
      <c r="K11" s="949">
        <v>13804.836258476182</v>
      </c>
      <c r="L11" s="941">
        <v>96633.853809333275</v>
      </c>
      <c r="M11" s="930"/>
    </row>
    <row r="12" spans="1:19" ht="15.75">
      <c r="A12" s="1234" t="s">
        <v>462</v>
      </c>
      <c r="B12" s="1235"/>
      <c r="C12" s="1235"/>
      <c r="D12" s="950"/>
      <c r="E12" s="951"/>
      <c r="F12" s="952">
        <f>SUM(F3:F11)</f>
        <v>1365858.86</v>
      </c>
      <c r="G12" s="951"/>
      <c r="H12" s="952">
        <f>SUM(H3:H11)</f>
        <v>2311016.27</v>
      </c>
      <c r="I12" s="952"/>
      <c r="J12" s="952">
        <f>SUM(J3:J11)</f>
        <v>85309.375</v>
      </c>
      <c r="K12" s="953"/>
      <c r="L12" s="954">
        <f>SUM(L3:L11)</f>
        <v>1878210.0160000001</v>
      </c>
      <c r="M12" s="930"/>
      <c r="S12" s="955"/>
    </row>
    <row r="13" spans="1:19">
      <c r="A13" s="956"/>
      <c r="B13" s="957"/>
      <c r="C13" s="958"/>
      <c r="D13" s="959"/>
      <c r="E13" s="959"/>
      <c r="F13" s="959"/>
      <c r="G13" s="959"/>
      <c r="H13" s="959"/>
      <c r="I13" s="959"/>
      <c r="J13" s="959"/>
      <c r="K13" s="959"/>
      <c r="L13" s="960"/>
      <c r="M13" s="930"/>
    </row>
    <row r="14" spans="1:19" ht="15" customHeight="1">
      <c r="A14" s="1243" t="s">
        <v>440</v>
      </c>
      <c r="B14" s="1244"/>
      <c r="C14" s="1244"/>
      <c r="D14" s="1245"/>
      <c r="E14" s="1233">
        <v>2014</v>
      </c>
      <c r="F14" s="1233"/>
      <c r="G14" s="1246">
        <v>2015</v>
      </c>
      <c r="H14" s="1247"/>
      <c r="I14" s="1247"/>
      <c r="J14" s="1248"/>
      <c r="K14" s="1233" t="s">
        <v>441</v>
      </c>
      <c r="L14" s="1233"/>
      <c r="M14" s="930"/>
    </row>
    <row r="15" spans="1:19">
      <c r="A15" s="931" t="s">
        <v>463</v>
      </c>
      <c r="B15" s="932" t="s">
        <v>442</v>
      </c>
      <c r="C15" s="961" t="s">
        <v>1</v>
      </c>
      <c r="D15" s="932" t="s">
        <v>443</v>
      </c>
      <c r="E15" s="933" t="s">
        <v>3</v>
      </c>
      <c r="F15" s="933" t="s">
        <v>444</v>
      </c>
      <c r="G15" s="933" t="s">
        <v>3</v>
      </c>
      <c r="H15" s="933" t="s">
        <v>444</v>
      </c>
      <c r="I15" s="933" t="s">
        <v>445</v>
      </c>
      <c r="J15" s="933" t="s">
        <v>446</v>
      </c>
      <c r="K15" s="933" t="s">
        <v>3</v>
      </c>
      <c r="L15" s="933" t="s">
        <v>444</v>
      </c>
      <c r="M15" s="930"/>
    </row>
    <row r="16" spans="1:19">
      <c r="A16" s="937" t="s">
        <v>464</v>
      </c>
      <c r="B16" s="938">
        <v>406005</v>
      </c>
      <c r="C16" s="939">
        <v>56485023</v>
      </c>
      <c r="D16" s="940" t="s">
        <v>452</v>
      </c>
      <c r="E16" s="962">
        <v>770</v>
      </c>
      <c r="F16" s="963">
        <v>6004.52</v>
      </c>
      <c r="G16" s="962">
        <v>330</v>
      </c>
      <c r="H16" s="963">
        <v>2759</v>
      </c>
      <c r="I16" s="964">
        <v>55</v>
      </c>
      <c r="J16" s="965">
        <v>438.34999999999997</v>
      </c>
      <c r="K16" s="835">
        <v>81.81</v>
      </c>
      <c r="L16" s="941">
        <v>652</v>
      </c>
      <c r="M16" s="930"/>
    </row>
    <row r="17" spans="1:13">
      <c r="A17" s="947" t="s">
        <v>465</v>
      </c>
      <c r="B17" s="966">
        <v>406005</v>
      </c>
      <c r="C17" s="940">
        <v>56485024</v>
      </c>
      <c r="D17" s="940" t="s">
        <v>452</v>
      </c>
      <c r="E17" s="962">
        <v>700</v>
      </c>
      <c r="F17" s="963">
        <v>10517.92</v>
      </c>
      <c r="G17" s="962">
        <v>300</v>
      </c>
      <c r="H17" s="963">
        <v>4887.33</v>
      </c>
      <c r="I17" s="962">
        <v>150</v>
      </c>
      <c r="J17" s="965">
        <v>2329.5</v>
      </c>
      <c r="K17" s="962">
        <v>81.81</v>
      </c>
      <c r="L17" s="963">
        <v>1270.45</v>
      </c>
      <c r="M17" s="930"/>
    </row>
    <row r="18" spans="1:13">
      <c r="A18" s="947" t="s">
        <v>466</v>
      </c>
      <c r="B18" s="966">
        <v>406005</v>
      </c>
      <c r="C18" s="939">
        <v>56485025</v>
      </c>
      <c r="D18" s="940" t="s">
        <v>452</v>
      </c>
      <c r="E18" s="967">
        <v>2450</v>
      </c>
      <c r="F18" s="963">
        <v>31557.48</v>
      </c>
      <c r="G18" s="967">
        <v>1000</v>
      </c>
      <c r="H18" s="963">
        <v>13810.84</v>
      </c>
      <c r="I18" s="962">
        <v>350</v>
      </c>
      <c r="J18" s="965">
        <v>4609.5</v>
      </c>
      <c r="K18" s="962">
        <v>3572.8961397863532</v>
      </c>
      <c r="L18" s="963">
        <v>47055.042160986268</v>
      </c>
      <c r="M18" s="930"/>
    </row>
    <row r="19" spans="1:13">
      <c r="A19" s="947" t="s">
        <v>467</v>
      </c>
      <c r="B19" s="966">
        <v>406005</v>
      </c>
      <c r="C19" s="940">
        <v>56485026</v>
      </c>
      <c r="D19" s="940" t="s">
        <v>452</v>
      </c>
      <c r="E19" s="967">
        <v>1995</v>
      </c>
      <c r="F19" s="967">
        <v>26164.14</v>
      </c>
      <c r="G19" s="962">
        <v>812</v>
      </c>
      <c r="H19" s="967">
        <v>11516.46</v>
      </c>
      <c r="I19" s="962">
        <v>182</v>
      </c>
      <c r="J19" s="965">
        <v>2438.8000000000002</v>
      </c>
      <c r="K19" s="836">
        <v>2646.4382397730633</v>
      </c>
      <c r="L19" s="941">
        <v>35462.27241295905</v>
      </c>
      <c r="M19" s="930"/>
    </row>
    <row r="20" spans="1:13">
      <c r="A20" s="1234" t="s">
        <v>462</v>
      </c>
      <c r="B20" s="1235"/>
      <c r="C20" s="1235"/>
      <c r="D20" s="968"/>
      <c r="E20" s="968"/>
      <c r="F20" s="969">
        <f>SUM(F16:F19)</f>
        <v>74244.06</v>
      </c>
      <c r="G20" s="970"/>
      <c r="H20" s="969">
        <f>SUM(H16:H19)</f>
        <v>32973.629999999997</v>
      </c>
      <c r="I20" s="969"/>
      <c r="J20" s="969">
        <f>SUM(J16:J19)</f>
        <v>9816.1500000000015</v>
      </c>
      <c r="K20" s="970"/>
      <c r="L20" s="971">
        <f>SUM(L16:L19)</f>
        <v>84439.764573945315</v>
      </c>
      <c r="M20" s="930"/>
    </row>
    <row r="21" spans="1:13" ht="15" customHeight="1">
      <c r="A21" s="956"/>
      <c r="B21" s="957"/>
      <c r="C21" s="958"/>
      <c r="D21" s="959"/>
      <c r="E21" s="959"/>
      <c r="F21" s="959"/>
      <c r="G21" s="959"/>
      <c r="H21" s="959"/>
      <c r="I21" s="959"/>
      <c r="J21" s="959"/>
      <c r="K21" s="959"/>
      <c r="L21" s="960"/>
      <c r="M21" s="930"/>
    </row>
    <row r="22" spans="1:13">
      <c r="A22" s="1251" t="s">
        <v>440</v>
      </c>
      <c r="B22" s="1252"/>
      <c r="C22" s="1252"/>
      <c r="D22" s="1253"/>
      <c r="E22" s="1233">
        <v>2014</v>
      </c>
      <c r="F22" s="1233"/>
      <c r="G22" s="1246">
        <v>2015</v>
      </c>
      <c r="H22" s="1247"/>
      <c r="I22" s="1247"/>
      <c r="J22" s="1248"/>
      <c r="K22" s="1233" t="s">
        <v>441</v>
      </c>
      <c r="L22" s="1233"/>
      <c r="M22" s="930"/>
    </row>
    <row r="23" spans="1:13">
      <c r="A23" s="931" t="s">
        <v>468</v>
      </c>
      <c r="B23" s="932" t="s">
        <v>442</v>
      </c>
      <c r="C23" s="932" t="s">
        <v>1</v>
      </c>
      <c r="D23" s="932" t="s">
        <v>443</v>
      </c>
      <c r="E23" s="933" t="s">
        <v>3</v>
      </c>
      <c r="F23" s="933" t="s">
        <v>444</v>
      </c>
      <c r="G23" s="933" t="s">
        <v>3</v>
      </c>
      <c r="H23" s="933" t="s">
        <v>444</v>
      </c>
      <c r="I23" s="933" t="s">
        <v>445</v>
      </c>
      <c r="J23" s="933" t="s">
        <v>446</v>
      </c>
      <c r="K23" s="933" t="s">
        <v>3</v>
      </c>
      <c r="L23" s="933" t="s">
        <v>444</v>
      </c>
      <c r="M23" s="930"/>
    </row>
    <row r="24" spans="1:13">
      <c r="A24" s="947" t="s">
        <v>469</v>
      </c>
      <c r="B24" s="966">
        <v>406003</v>
      </c>
      <c r="C24" s="972">
        <v>56484009</v>
      </c>
      <c r="D24" s="940" t="s">
        <v>452</v>
      </c>
      <c r="E24" s="967">
        <v>182470</v>
      </c>
      <c r="F24" s="963">
        <v>192185.05</v>
      </c>
      <c r="G24" s="967">
        <v>476628</v>
      </c>
      <c r="H24" s="963">
        <v>729491.61</v>
      </c>
      <c r="I24" s="963">
        <v>0</v>
      </c>
      <c r="J24" s="963">
        <v>0</v>
      </c>
      <c r="K24" s="962">
        <v>269442.5675414399</v>
      </c>
      <c r="L24" s="963">
        <v>329270.90999999997</v>
      </c>
      <c r="M24" s="930"/>
    </row>
    <row r="25" spans="1:13">
      <c r="A25" s="1249" t="s">
        <v>462</v>
      </c>
      <c r="B25" s="1250"/>
      <c r="C25" s="1250"/>
      <c r="D25" s="973"/>
      <c r="E25" s="974"/>
      <c r="F25" s="975">
        <f>SUM(F24)</f>
        <v>192185.05</v>
      </c>
      <c r="G25" s="976"/>
      <c r="H25" s="975">
        <f>SUM(H24)</f>
        <v>729491.61</v>
      </c>
      <c r="I25" s="975"/>
      <c r="J25" s="975"/>
      <c r="K25" s="977"/>
      <c r="L25" s="978">
        <f>SUM(L24)</f>
        <v>329270.90999999997</v>
      </c>
      <c r="M25" s="930"/>
    </row>
    <row r="26" spans="1:13">
      <c r="A26" s="979"/>
      <c r="B26" s="980"/>
      <c r="C26" s="981"/>
      <c r="D26" s="981"/>
      <c r="E26" s="981"/>
      <c r="F26" s="981"/>
      <c r="G26" s="981"/>
      <c r="H26" s="981"/>
      <c r="I26" s="981"/>
      <c r="J26" s="981"/>
      <c r="K26" s="981"/>
      <c r="L26" s="982"/>
      <c r="M26" s="930"/>
    </row>
    <row r="27" spans="1:13">
      <c r="A27" s="1243" t="s">
        <v>440</v>
      </c>
      <c r="B27" s="1244"/>
      <c r="C27" s="1244"/>
      <c r="D27" s="1245"/>
      <c r="E27" s="1233">
        <v>2014</v>
      </c>
      <c r="F27" s="1233"/>
      <c r="G27" s="1246">
        <v>2015</v>
      </c>
      <c r="H27" s="1247"/>
      <c r="I27" s="1247"/>
      <c r="J27" s="1248"/>
      <c r="K27" s="1233" t="s">
        <v>441</v>
      </c>
      <c r="L27" s="1233"/>
      <c r="M27" s="930"/>
    </row>
    <row r="28" spans="1:13">
      <c r="A28" s="931" t="s">
        <v>470</v>
      </c>
      <c r="B28" s="932" t="s">
        <v>442</v>
      </c>
      <c r="C28" s="932" t="s">
        <v>1</v>
      </c>
      <c r="D28" s="932" t="s">
        <v>443</v>
      </c>
      <c r="E28" s="933" t="s">
        <v>3</v>
      </c>
      <c r="F28" s="933" t="s">
        <v>444</v>
      </c>
      <c r="G28" s="933" t="s">
        <v>3</v>
      </c>
      <c r="H28" s="933" t="s">
        <v>444</v>
      </c>
      <c r="I28" s="933" t="s">
        <v>445</v>
      </c>
      <c r="J28" s="933" t="s">
        <v>446</v>
      </c>
      <c r="K28" s="933" t="s">
        <v>3</v>
      </c>
      <c r="L28" s="933" t="s">
        <v>444</v>
      </c>
      <c r="M28" s="930"/>
    </row>
    <row r="29" spans="1:13">
      <c r="A29" s="947" t="s">
        <v>471</v>
      </c>
      <c r="B29" s="966">
        <v>405503</v>
      </c>
      <c r="C29" s="983">
        <v>56484003</v>
      </c>
      <c r="D29" s="940" t="s">
        <v>450</v>
      </c>
      <c r="E29" s="967">
        <v>1383.79</v>
      </c>
      <c r="F29" s="967">
        <v>532759.15</v>
      </c>
      <c r="G29" s="967">
        <v>1399.12</v>
      </c>
      <c r="H29" s="967">
        <v>552652.4</v>
      </c>
      <c r="I29" s="962">
        <v>28</v>
      </c>
      <c r="J29" s="967">
        <v>10878</v>
      </c>
      <c r="K29" s="984">
        <v>1522351.9666666663</v>
      </c>
      <c r="L29" s="941">
        <v>591433.73904999986</v>
      </c>
      <c r="M29" s="930"/>
    </row>
    <row r="30" spans="1:13">
      <c r="A30" s="947" t="s">
        <v>472</v>
      </c>
      <c r="B30" s="966">
        <v>405503</v>
      </c>
      <c r="C30" s="983">
        <v>56483021</v>
      </c>
      <c r="D30" s="940" t="s">
        <v>452</v>
      </c>
      <c r="E30" s="962">
        <v>0</v>
      </c>
      <c r="F30" s="962">
        <v>0</v>
      </c>
      <c r="G30" s="967">
        <v>6000</v>
      </c>
      <c r="H30" s="963">
        <v>98751.97</v>
      </c>
      <c r="I30" s="962">
        <v>1475</v>
      </c>
      <c r="J30" s="963">
        <v>27818.5</v>
      </c>
      <c r="K30" s="836">
        <v>0</v>
      </c>
      <c r="L30" s="941">
        <v>0</v>
      </c>
      <c r="M30" s="930"/>
    </row>
    <row r="31" spans="1:13">
      <c r="A31" s="947" t="s">
        <v>473</v>
      </c>
      <c r="B31" s="966">
        <v>405503</v>
      </c>
      <c r="C31" s="983">
        <v>56483008</v>
      </c>
      <c r="D31" s="940" t="s">
        <v>452</v>
      </c>
      <c r="E31" s="967">
        <v>4000</v>
      </c>
      <c r="F31" s="963">
        <v>42415</v>
      </c>
      <c r="G31" s="962">
        <v>0</v>
      </c>
      <c r="H31" s="963">
        <v>0</v>
      </c>
      <c r="I31" s="962">
        <v>0</v>
      </c>
      <c r="J31" s="963">
        <v>0</v>
      </c>
      <c r="K31" s="836">
        <v>0</v>
      </c>
      <c r="L31" s="941">
        <v>0</v>
      </c>
      <c r="M31" s="930"/>
    </row>
    <row r="32" spans="1:13">
      <c r="A32" s="947" t="s">
        <v>474</v>
      </c>
      <c r="B32" s="966">
        <v>405503</v>
      </c>
      <c r="C32" s="983">
        <v>56483014</v>
      </c>
      <c r="D32" s="940" t="s">
        <v>452</v>
      </c>
      <c r="E32" s="967">
        <v>16800</v>
      </c>
      <c r="F32" s="963">
        <v>199141.57</v>
      </c>
      <c r="G32" s="967">
        <v>15000</v>
      </c>
      <c r="H32" s="963">
        <v>258701.43</v>
      </c>
      <c r="I32" s="985">
        <v>1000</v>
      </c>
      <c r="J32" s="963">
        <v>19130</v>
      </c>
      <c r="K32" s="986">
        <v>18400</v>
      </c>
      <c r="L32" s="941">
        <v>351992</v>
      </c>
      <c r="M32" s="930"/>
    </row>
    <row r="33" spans="1:15">
      <c r="A33" s="1234" t="s">
        <v>462</v>
      </c>
      <c r="B33" s="1235"/>
      <c r="C33" s="1235"/>
      <c r="D33" s="950"/>
      <c r="E33" s="987"/>
      <c r="F33" s="969">
        <f>SUM(F29:F32)</f>
        <v>774315.72</v>
      </c>
      <c r="G33" s="987"/>
      <c r="H33" s="969">
        <f>SUM(H29:H32)</f>
        <v>910105.8</v>
      </c>
      <c r="I33" s="988"/>
      <c r="J33" s="988">
        <f>SUM(J29:J32)</f>
        <v>57826.5</v>
      </c>
      <c r="K33" s="989"/>
      <c r="L33" s="954">
        <f>SUM(L29:L32)</f>
        <v>943425.73904999986</v>
      </c>
      <c r="M33" s="930"/>
      <c r="O33" s="990"/>
    </row>
    <row r="34" spans="1:15">
      <c r="A34" s="991"/>
      <c r="B34" s="992"/>
      <c r="C34" s="993"/>
      <c r="D34" s="993"/>
      <c r="E34" s="993"/>
      <c r="F34" s="993"/>
      <c r="G34" s="993"/>
      <c r="H34" s="993"/>
      <c r="I34" s="993"/>
      <c r="J34" s="993"/>
      <c r="K34" s="993"/>
      <c r="L34" s="994"/>
      <c r="M34" s="930"/>
    </row>
    <row r="35" spans="1:15">
      <c r="A35" s="995" t="s">
        <v>440</v>
      </c>
      <c r="B35" s="996"/>
      <c r="C35" s="996"/>
      <c r="D35" s="997"/>
      <c r="E35" s="1233">
        <v>2014</v>
      </c>
      <c r="F35" s="1233"/>
      <c r="G35" s="1246">
        <v>2015</v>
      </c>
      <c r="H35" s="1247"/>
      <c r="I35" s="1247"/>
      <c r="J35" s="1248"/>
      <c r="K35" s="1233" t="s">
        <v>441</v>
      </c>
      <c r="L35" s="1233"/>
      <c r="M35" s="930"/>
    </row>
    <row r="36" spans="1:15">
      <c r="A36" s="931" t="s">
        <v>475</v>
      </c>
      <c r="B36" s="932" t="s">
        <v>442</v>
      </c>
      <c r="C36" s="932" t="s">
        <v>1</v>
      </c>
      <c r="D36" s="932" t="s">
        <v>443</v>
      </c>
      <c r="E36" s="933" t="s">
        <v>3</v>
      </c>
      <c r="F36" s="933" t="s">
        <v>444</v>
      </c>
      <c r="G36" s="933" t="s">
        <v>3</v>
      </c>
      <c r="H36" s="933" t="s">
        <v>444</v>
      </c>
      <c r="I36" s="933" t="s">
        <v>445</v>
      </c>
      <c r="J36" s="933" t="s">
        <v>446</v>
      </c>
      <c r="K36" s="933" t="s">
        <v>3</v>
      </c>
      <c r="L36" s="933" t="s">
        <v>444</v>
      </c>
      <c r="M36" s="930"/>
    </row>
    <row r="37" spans="1:15">
      <c r="A37" s="998" t="s">
        <v>476</v>
      </c>
      <c r="B37" s="999"/>
      <c r="C37" s="1000">
        <v>56486002</v>
      </c>
      <c r="D37" s="940" t="s">
        <v>452</v>
      </c>
      <c r="E37" s="962">
        <v>360</v>
      </c>
      <c r="F37" s="963">
        <v>11467.44</v>
      </c>
      <c r="G37" s="962">
        <v>360</v>
      </c>
      <c r="H37" s="963">
        <v>12697.28</v>
      </c>
      <c r="I37" s="962">
        <v>160</v>
      </c>
      <c r="J37" s="1001">
        <v>5520</v>
      </c>
      <c r="K37">
        <v>344.99999999999989</v>
      </c>
      <c r="L37" s="1002">
        <v>11902.499999999996</v>
      </c>
      <c r="M37" s="930"/>
    </row>
    <row r="38" spans="1:15">
      <c r="A38" s="998" t="s">
        <v>477</v>
      </c>
      <c r="B38" s="999"/>
      <c r="C38" s="1000">
        <v>56486025</v>
      </c>
      <c r="D38" s="940" t="s">
        <v>452</v>
      </c>
      <c r="E38" s="962">
        <v>340</v>
      </c>
      <c r="F38" s="963">
        <v>8140.95</v>
      </c>
      <c r="G38" s="962">
        <v>680</v>
      </c>
      <c r="H38" s="963">
        <v>16986.400000000001</v>
      </c>
      <c r="I38" s="962">
        <v>340</v>
      </c>
      <c r="J38" s="1001">
        <v>7961.1000000000013</v>
      </c>
      <c r="K38" s="813">
        <v>0</v>
      </c>
      <c r="L38" s="1002">
        <v>0</v>
      </c>
      <c r="M38" s="930"/>
    </row>
    <row r="39" spans="1:15">
      <c r="A39" s="998" t="s">
        <v>478</v>
      </c>
      <c r="B39" s="999">
        <v>404001</v>
      </c>
      <c r="C39" s="1000">
        <v>56486003</v>
      </c>
      <c r="D39" s="940" t="s">
        <v>452</v>
      </c>
      <c r="E39" s="962">
        <v>180</v>
      </c>
      <c r="F39" s="963">
        <v>1672.19</v>
      </c>
      <c r="G39" s="962">
        <v>20</v>
      </c>
      <c r="H39" s="963">
        <v>187.6</v>
      </c>
      <c r="I39" s="962">
        <v>10</v>
      </c>
      <c r="J39" s="1001">
        <v>94</v>
      </c>
      <c r="K39" s="813">
        <v>161</v>
      </c>
      <c r="L39" s="1002">
        <v>1513.4</v>
      </c>
      <c r="M39" s="930"/>
    </row>
    <row r="40" spans="1:15">
      <c r="A40" s="998" t="s">
        <v>479</v>
      </c>
      <c r="B40" s="999">
        <v>407005</v>
      </c>
      <c r="C40" s="1000">
        <v>56486005</v>
      </c>
      <c r="D40" s="940" t="s">
        <v>452</v>
      </c>
      <c r="E40" s="962">
        <v>20</v>
      </c>
      <c r="F40" s="963">
        <v>1386.55</v>
      </c>
      <c r="G40" s="962">
        <v>20</v>
      </c>
      <c r="H40" s="963">
        <v>1441.19</v>
      </c>
      <c r="I40" s="962">
        <v>18</v>
      </c>
      <c r="J40" s="1001">
        <v>184.27500000000001</v>
      </c>
      <c r="K40" s="813">
        <v>0</v>
      </c>
      <c r="L40" s="1002">
        <v>0</v>
      </c>
      <c r="M40" s="930"/>
    </row>
    <row r="41" spans="1:15">
      <c r="A41" s="998" t="s">
        <v>480</v>
      </c>
      <c r="B41" s="999"/>
      <c r="C41" s="1000">
        <v>56486009</v>
      </c>
      <c r="D41" s="940" t="s">
        <v>452</v>
      </c>
      <c r="E41" s="962">
        <v>0</v>
      </c>
      <c r="F41" s="963">
        <v>0</v>
      </c>
      <c r="G41" s="967">
        <v>3200</v>
      </c>
      <c r="H41" s="963">
        <v>16028</v>
      </c>
      <c r="I41" s="962">
        <v>1370</v>
      </c>
      <c r="J41" s="1001">
        <v>6850</v>
      </c>
      <c r="K41" s="813">
        <v>3012.9999999999991</v>
      </c>
      <c r="L41" s="1002">
        <v>15064.999999999996</v>
      </c>
      <c r="M41" s="930"/>
    </row>
    <row r="42" spans="1:15">
      <c r="A42" s="998" t="s">
        <v>481</v>
      </c>
      <c r="B42" s="999"/>
      <c r="C42" s="1000">
        <v>56486011</v>
      </c>
      <c r="D42" s="940" t="s">
        <v>452</v>
      </c>
      <c r="E42" s="967">
        <v>6000</v>
      </c>
      <c r="F42" s="963">
        <v>28799.31</v>
      </c>
      <c r="G42" s="967">
        <v>3200</v>
      </c>
      <c r="H42" s="963">
        <v>14656</v>
      </c>
      <c r="I42" s="962">
        <v>600</v>
      </c>
      <c r="J42" s="1001">
        <v>3000</v>
      </c>
      <c r="K42" s="813">
        <v>3012.9999999999991</v>
      </c>
      <c r="L42" s="1002">
        <v>15064.999999999996</v>
      </c>
      <c r="M42" s="930"/>
    </row>
    <row r="43" spans="1:15">
      <c r="A43" s="998" t="s">
        <v>482</v>
      </c>
      <c r="B43" s="999">
        <v>406006</v>
      </c>
      <c r="C43" s="1000">
        <v>56486013</v>
      </c>
      <c r="D43" s="940" t="s">
        <v>452</v>
      </c>
      <c r="E43" s="962">
        <v>609</v>
      </c>
      <c r="F43" s="963">
        <v>3554.65</v>
      </c>
      <c r="G43" s="962">
        <v>400</v>
      </c>
      <c r="H43" s="963">
        <v>2320</v>
      </c>
      <c r="I43" s="962">
        <v>200</v>
      </c>
      <c r="J43" s="1001">
        <v>1200</v>
      </c>
      <c r="K43" s="813">
        <v>436.99999999999994</v>
      </c>
      <c r="L43" s="1002">
        <v>2621.9999999999995</v>
      </c>
      <c r="M43" s="930"/>
    </row>
    <row r="44" spans="1:15">
      <c r="A44" s="998" t="s">
        <v>483</v>
      </c>
      <c r="B44" s="999"/>
      <c r="C44" s="1000">
        <v>56486008</v>
      </c>
      <c r="D44" s="940" t="s">
        <v>452</v>
      </c>
      <c r="E44" s="967">
        <v>2645</v>
      </c>
      <c r="F44" s="963">
        <v>16820.84</v>
      </c>
      <c r="G44" s="967">
        <v>2209</v>
      </c>
      <c r="H44" s="963">
        <v>12826.68</v>
      </c>
      <c r="I44" s="962">
        <v>609</v>
      </c>
      <c r="J44" s="1001">
        <v>3654</v>
      </c>
      <c r="K44" s="1003">
        <v>1839.9999999999998</v>
      </c>
      <c r="L44" s="1004">
        <v>11039.999999999998</v>
      </c>
      <c r="M44" s="930"/>
    </row>
    <row r="45" spans="1:15">
      <c r="A45" s="998" t="s">
        <v>484</v>
      </c>
      <c r="B45" s="999"/>
      <c r="C45" s="1000">
        <v>56486007</v>
      </c>
      <c r="D45" s="940" t="s">
        <v>452</v>
      </c>
      <c r="E45" s="967">
        <v>2400</v>
      </c>
      <c r="F45" s="963">
        <v>14447.89</v>
      </c>
      <c r="G45" s="962">
        <v>400</v>
      </c>
      <c r="H45" s="963">
        <v>2360</v>
      </c>
      <c r="I45" s="962">
        <v>200</v>
      </c>
      <c r="J45" s="1001">
        <v>1200</v>
      </c>
      <c r="K45" s="813">
        <v>2300</v>
      </c>
      <c r="L45" s="1002">
        <v>13800</v>
      </c>
      <c r="M45" s="930"/>
    </row>
    <row r="46" spans="1:15">
      <c r="A46" s="998" t="s">
        <v>485</v>
      </c>
      <c r="B46" s="999">
        <v>404003</v>
      </c>
      <c r="C46" s="1000">
        <v>56486039</v>
      </c>
      <c r="D46" s="940" t="s">
        <v>452</v>
      </c>
      <c r="E46" s="967">
        <v>2400</v>
      </c>
      <c r="F46" s="963">
        <v>36057.74</v>
      </c>
      <c r="G46" s="967">
        <v>1000</v>
      </c>
      <c r="H46" s="963">
        <v>14700</v>
      </c>
      <c r="I46" s="962">
        <v>1400</v>
      </c>
      <c r="J46" s="1001">
        <v>20720</v>
      </c>
      <c r="K46" s="813">
        <v>1866.5995599999997</v>
      </c>
      <c r="L46" s="1002">
        <v>27625.673487999997</v>
      </c>
      <c r="M46" s="930"/>
    </row>
    <row r="47" spans="1:15">
      <c r="A47" s="998" t="s">
        <v>486</v>
      </c>
      <c r="B47" s="999"/>
      <c r="C47" s="1000">
        <v>56486028</v>
      </c>
      <c r="D47" s="940" t="s">
        <v>452</v>
      </c>
      <c r="E47" s="962">
        <v>200</v>
      </c>
      <c r="F47" s="963">
        <v>1185.49</v>
      </c>
      <c r="G47" s="962">
        <v>0</v>
      </c>
      <c r="H47" s="963">
        <v>0</v>
      </c>
      <c r="I47" s="962">
        <v>200</v>
      </c>
      <c r="J47" s="1001">
        <v>1200</v>
      </c>
      <c r="K47" s="813">
        <v>229.99999999999997</v>
      </c>
      <c r="L47" s="1002">
        <v>1379.9999999999998</v>
      </c>
      <c r="M47" s="930"/>
    </row>
    <row r="48" spans="1:15">
      <c r="A48" s="998" t="s">
        <v>487</v>
      </c>
      <c r="B48" s="999">
        <v>404002</v>
      </c>
      <c r="C48" s="1000">
        <v>56486014</v>
      </c>
      <c r="D48" s="940" t="s">
        <v>452</v>
      </c>
      <c r="E48" s="962">
        <v>0</v>
      </c>
      <c r="F48" s="963">
        <v>0</v>
      </c>
      <c r="G48" s="962">
        <v>0</v>
      </c>
      <c r="H48" s="963">
        <v>0</v>
      </c>
      <c r="I48" s="962">
        <v>0</v>
      </c>
      <c r="J48" s="1001">
        <v>0</v>
      </c>
      <c r="K48" s="813">
        <v>0</v>
      </c>
      <c r="L48" s="1002">
        <v>0</v>
      </c>
      <c r="M48" s="930"/>
    </row>
    <row r="49" spans="1:13">
      <c r="A49" s="998" t="s">
        <v>488</v>
      </c>
      <c r="B49" s="999">
        <v>404003</v>
      </c>
      <c r="C49" s="1000">
        <v>56486042</v>
      </c>
      <c r="D49" s="940" t="s">
        <v>452</v>
      </c>
      <c r="E49" s="962">
        <v>460</v>
      </c>
      <c r="F49" s="963">
        <v>18308.86</v>
      </c>
      <c r="G49" s="962">
        <v>0</v>
      </c>
      <c r="H49" s="963">
        <v>0</v>
      </c>
      <c r="I49" s="962">
        <v>40</v>
      </c>
      <c r="J49" s="1001">
        <v>1932.0000000000002</v>
      </c>
      <c r="K49" s="813">
        <v>0</v>
      </c>
      <c r="L49" s="1002">
        <v>0</v>
      </c>
      <c r="M49" s="930"/>
    </row>
    <row r="50" spans="1:13">
      <c r="A50" s="1005" t="s">
        <v>489</v>
      </c>
      <c r="B50" s="999">
        <v>404003</v>
      </c>
      <c r="C50" s="1000">
        <v>56486045</v>
      </c>
      <c r="D50" s="940" t="s">
        <v>452</v>
      </c>
      <c r="E50" s="962">
        <v>0</v>
      </c>
      <c r="F50" s="963">
        <v>0</v>
      </c>
      <c r="G50" s="962">
        <v>54</v>
      </c>
      <c r="H50" s="963">
        <v>6089.4</v>
      </c>
      <c r="I50" s="962">
        <v>31.45</v>
      </c>
      <c r="J50" s="1001">
        <v>3774</v>
      </c>
      <c r="K50" s="813">
        <v>206.99999999999994</v>
      </c>
      <c r="L50" s="1002">
        <v>24839.999999999993</v>
      </c>
      <c r="M50" s="930"/>
    </row>
    <row r="51" spans="1:13">
      <c r="A51" s="947" t="s">
        <v>490</v>
      </c>
      <c r="B51" s="999">
        <v>404003</v>
      </c>
      <c r="C51" s="1000">
        <v>56486040</v>
      </c>
      <c r="D51" s="940" t="s">
        <v>452</v>
      </c>
      <c r="E51" s="967">
        <v>6800</v>
      </c>
      <c r="F51" s="963">
        <v>75939.75</v>
      </c>
      <c r="G51" s="967">
        <v>10000</v>
      </c>
      <c r="H51" s="963">
        <v>120055.75</v>
      </c>
      <c r="I51" s="962">
        <v>2600</v>
      </c>
      <c r="J51" s="1001">
        <v>32292</v>
      </c>
      <c r="K51" s="1003">
        <v>8049.9999999999982</v>
      </c>
      <c r="L51" s="1004">
        <v>99980.999999999971</v>
      </c>
      <c r="M51" s="930"/>
    </row>
    <row r="52" spans="1:13">
      <c r="A52" s="1234" t="s">
        <v>462</v>
      </c>
      <c r="B52" s="1235"/>
      <c r="C52" s="1235"/>
      <c r="D52" s="950"/>
      <c r="E52" s="987"/>
      <c r="F52" s="969">
        <f>SUM(F37:F51)</f>
        <v>217781.66</v>
      </c>
      <c r="G52" s="987"/>
      <c r="H52" s="969">
        <f>SUM(H37:H51)</f>
        <v>220348.3</v>
      </c>
      <c r="I52" s="969"/>
      <c r="J52" s="969">
        <f>SUM(J37:J51)</f>
        <v>89581.375</v>
      </c>
      <c r="K52" s="1006"/>
      <c r="L52" s="1007">
        <f>SUM(L37:L51)</f>
        <v>224834.57348799997</v>
      </c>
      <c r="M52" s="1008"/>
    </row>
    <row r="53" spans="1:13">
      <c r="A53" s="991"/>
      <c r="B53" s="992"/>
      <c r="C53" s="993"/>
      <c r="D53" s="993"/>
      <c r="E53" s="993"/>
      <c r="F53" s="993"/>
      <c r="G53" s="993"/>
      <c r="H53" s="993"/>
      <c r="I53" s="993"/>
      <c r="J53" s="993"/>
      <c r="K53" s="993"/>
      <c r="L53" s="994"/>
      <c r="M53" s="930"/>
    </row>
    <row r="54" spans="1:13">
      <c r="A54" s="1009" t="s">
        <v>440</v>
      </c>
      <c r="B54" s="996"/>
      <c r="C54" s="996"/>
      <c r="D54" s="997"/>
      <c r="E54" s="1233">
        <v>2014</v>
      </c>
      <c r="F54" s="1233"/>
      <c r="G54" s="1246">
        <v>2015</v>
      </c>
      <c r="H54" s="1247"/>
      <c r="I54" s="1247"/>
      <c r="J54" s="1248"/>
      <c r="K54" s="1233" t="s">
        <v>441</v>
      </c>
      <c r="L54" s="1233"/>
      <c r="M54" s="930"/>
    </row>
    <row r="55" spans="1:13">
      <c r="A55" s="931" t="s">
        <v>491</v>
      </c>
      <c r="B55" s="932" t="s">
        <v>442</v>
      </c>
      <c r="C55" s="932" t="s">
        <v>1</v>
      </c>
      <c r="D55" s="932" t="s">
        <v>443</v>
      </c>
      <c r="E55" s="933" t="s">
        <v>3</v>
      </c>
      <c r="F55" s="933" t="s">
        <v>444</v>
      </c>
      <c r="G55" s="933" t="s">
        <v>3</v>
      </c>
      <c r="H55" s="933" t="s">
        <v>444</v>
      </c>
      <c r="I55" s="933" t="s">
        <v>445</v>
      </c>
      <c r="J55" s="933" t="s">
        <v>446</v>
      </c>
      <c r="K55" s="933" t="s">
        <v>3</v>
      </c>
      <c r="L55" s="933" t="s">
        <v>444</v>
      </c>
      <c r="M55" s="930"/>
    </row>
    <row r="56" spans="1:13">
      <c r="A56" s="813" t="s">
        <v>492</v>
      </c>
      <c r="B56" s="999">
        <v>404003</v>
      </c>
      <c r="C56" s="1010">
        <v>48409073</v>
      </c>
      <c r="D56" s="940" t="s">
        <v>452</v>
      </c>
      <c r="E56" s="967">
        <v>8500</v>
      </c>
      <c r="F56" s="963">
        <v>96883.14</v>
      </c>
      <c r="G56" s="967">
        <v>13000</v>
      </c>
      <c r="H56" s="963">
        <v>146690.94</v>
      </c>
      <c r="I56" s="963">
        <v>2200</v>
      </c>
      <c r="J56" s="963">
        <v>23100</v>
      </c>
      <c r="K56" s="836">
        <v>10550.171499999999</v>
      </c>
      <c r="L56" s="962">
        <v>116051.88649999998</v>
      </c>
      <c r="M56" s="930"/>
    </row>
    <row r="57" spans="1:13">
      <c r="A57" s="813" t="s">
        <v>493</v>
      </c>
      <c r="B57" s="999">
        <v>404003</v>
      </c>
      <c r="C57" s="972">
        <v>48408010</v>
      </c>
      <c r="D57" s="940" t="s">
        <v>452</v>
      </c>
      <c r="E57" s="967">
        <v>2400</v>
      </c>
      <c r="F57" s="963">
        <v>41822.910000000003</v>
      </c>
      <c r="G57" s="967">
        <v>4600</v>
      </c>
      <c r="H57" s="963">
        <v>78098.720000000001</v>
      </c>
      <c r="I57" s="963">
        <v>1000</v>
      </c>
      <c r="J57" s="963">
        <v>16000</v>
      </c>
      <c r="K57" s="836">
        <v>4334.0043999999998</v>
      </c>
      <c r="L57" s="962">
        <v>69344.070399999997</v>
      </c>
      <c r="M57" s="930"/>
    </row>
    <row r="58" spans="1:13">
      <c r="A58" s="813" t="s">
        <v>494</v>
      </c>
      <c r="B58" s="966">
        <v>404003</v>
      </c>
      <c r="C58" s="983">
        <v>56484023</v>
      </c>
      <c r="D58" s="940" t="s">
        <v>452</v>
      </c>
      <c r="E58" s="967">
        <v>8400</v>
      </c>
      <c r="F58" s="963">
        <v>36408.86</v>
      </c>
      <c r="G58" s="962">
        <v>0</v>
      </c>
      <c r="H58" s="963">
        <v>0</v>
      </c>
      <c r="I58" s="963">
        <v>0</v>
      </c>
      <c r="J58" s="963">
        <v>0</v>
      </c>
      <c r="K58" s="962">
        <v>0</v>
      </c>
      <c r="L58" s="962">
        <v>0</v>
      </c>
      <c r="M58" s="930"/>
    </row>
    <row r="59" spans="1:13" ht="15.75" customHeight="1">
      <c r="A59" s="1234" t="s">
        <v>462</v>
      </c>
      <c r="B59" s="1235"/>
      <c r="C59" s="1235"/>
      <c r="D59" s="968"/>
      <c r="E59" s="968"/>
      <c r="F59" s="969">
        <f>SUM(F56:F58)</f>
        <v>175114.90999999997</v>
      </c>
      <c r="G59" s="970"/>
      <c r="H59" s="969">
        <f>SUM(H56:H58)</f>
        <v>224789.66</v>
      </c>
      <c r="I59" s="969"/>
      <c r="J59" s="969">
        <f>SUM(J56:J58)</f>
        <v>39100</v>
      </c>
      <c r="K59" s="970"/>
      <c r="L59" s="971">
        <f>SUM(L56:L58)</f>
        <v>185395.95689999999</v>
      </c>
      <c r="M59" s="930"/>
    </row>
    <row r="60" spans="1:13" ht="15.75" customHeight="1"/>
    <row r="61" spans="1:13">
      <c r="A61" s="1242" t="s">
        <v>495</v>
      </c>
      <c r="B61" s="1242"/>
      <c r="C61" s="1242"/>
      <c r="D61" s="1242"/>
      <c r="E61" s="1233">
        <v>2014</v>
      </c>
      <c r="F61" s="1233"/>
      <c r="G61" s="1233">
        <v>2015</v>
      </c>
      <c r="H61" s="1233"/>
      <c r="I61" s="1233"/>
      <c r="J61" s="1233"/>
      <c r="M61" s="990"/>
    </row>
    <row r="62" spans="1:13">
      <c r="A62" s="1236" t="s">
        <v>321</v>
      </c>
      <c r="B62" s="1237"/>
      <c r="C62" s="1237"/>
      <c r="D62" s="1238"/>
      <c r="E62" s="1239">
        <f>F12+F20+F25+F33+F58</f>
        <v>2443012.5500000003</v>
      </c>
      <c r="F62" s="1240"/>
      <c r="G62" s="1239">
        <f>H12+H20+H25+H33-J12-J20-J33</f>
        <v>3830635.2849999997</v>
      </c>
      <c r="H62" s="1241"/>
      <c r="I62" s="1241"/>
      <c r="J62" s="1240"/>
    </row>
    <row r="63" spans="1:13">
      <c r="A63" s="1236" t="s">
        <v>322</v>
      </c>
      <c r="B63" s="1237"/>
      <c r="C63" s="1237"/>
      <c r="D63" s="1238"/>
      <c r="E63" s="1239">
        <f>E62/O3</f>
        <v>1.3268893245398954</v>
      </c>
      <c r="F63" s="1240"/>
      <c r="G63" s="1239">
        <f>G62/P3</f>
        <v>1.7738668809587033</v>
      </c>
      <c r="H63" s="1241"/>
      <c r="I63" s="1241"/>
      <c r="J63" s="1240"/>
    </row>
    <row r="64" spans="1:13">
      <c r="A64" s="1236" t="s">
        <v>338</v>
      </c>
      <c r="B64" s="1237"/>
      <c r="C64" s="1237"/>
      <c r="D64" s="1238"/>
      <c r="E64" s="1239">
        <f>(E62-F33)/O4*1000</f>
        <v>21.385593387649624</v>
      </c>
      <c r="F64" s="1240"/>
      <c r="G64" s="1239">
        <f>(G62+J33-H33)/P4*1000</f>
        <v>29.931018304087093</v>
      </c>
      <c r="H64" s="1241"/>
      <c r="I64" s="1241"/>
      <c r="J64" s="1240"/>
    </row>
    <row r="68" spans="5:9">
      <c r="E68" s="974"/>
      <c r="F68" s="974"/>
      <c r="G68" s="974"/>
      <c r="I68" s="974"/>
    </row>
    <row r="71" spans="5:9">
      <c r="G71" s="974"/>
    </row>
    <row r="74" spans="5:9">
      <c r="G74" s="990"/>
    </row>
  </sheetData>
  <mergeCells count="40">
    <mergeCell ref="A25:C25"/>
    <mergeCell ref="A1:D1"/>
    <mergeCell ref="E1:F1"/>
    <mergeCell ref="G1:J1"/>
    <mergeCell ref="K1:L1"/>
    <mergeCell ref="A12:C12"/>
    <mergeCell ref="A14:D14"/>
    <mergeCell ref="E14:F14"/>
    <mergeCell ref="G14:J14"/>
    <mergeCell ref="K14:L14"/>
    <mergeCell ref="A20:C20"/>
    <mergeCell ref="A22:D22"/>
    <mergeCell ref="E22:F22"/>
    <mergeCell ref="G22:J22"/>
    <mergeCell ref="K22:L22"/>
    <mergeCell ref="K27:L27"/>
    <mergeCell ref="A33:C33"/>
    <mergeCell ref="E35:F35"/>
    <mergeCell ref="G35:J35"/>
    <mergeCell ref="K35:L35"/>
    <mergeCell ref="A27:D27"/>
    <mergeCell ref="E27:F27"/>
    <mergeCell ref="G27:J27"/>
    <mergeCell ref="A52:C52"/>
    <mergeCell ref="E54:F54"/>
    <mergeCell ref="G54:J54"/>
    <mergeCell ref="K54:L54"/>
    <mergeCell ref="A59:C59"/>
    <mergeCell ref="A64:D64"/>
    <mergeCell ref="E64:F64"/>
    <mergeCell ref="G64:J64"/>
    <mergeCell ref="A62:D62"/>
    <mergeCell ref="E62:F62"/>
    <mergeCell ref="G62:J62"/>
    <mergeCell ref="A63:D63"/>
    <mergeCell ref="E63:F63"/>
    <mergeCell ref="G63:J63"/>
    <mergeCell ref="A61:D61"/>
    <mergeCell ref="E61:F61"/>
    <mergeCell ref="G61:J61"/>
  </mergeCells>
  <pageMargins left="0.511811024" right="0.511811024" top="0.78740157499999996" bottom="0.78740157499999996" header="0.31496062000000002" footer="0.31496062000000002"/>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43"/>
  <sheetViews>
    <sheetView zoomScale="68" zoomScaleNormal="68" workbookViewId="0">
      <selection activeCell="A5" sqref="A5"/>
    </sheetView>
  </sheetViews>
  <sheetFormatPr defaultRowHeight="15"/>
  <cols>
    <col min="1" max="1" width="37" customWidth="1"/>
    <col min="2" max="2" width="9.140625" customWidth="1"/>
  </cols>
  <sheetData>
    <row r="1" spans="1:10" ht="15.75" thickBot="1">
      <c r="A1" s="338" t="s">
        <v>125</v>
      </c>
      <c r="B1" s="339" t="s">
        <v>108</v>
      </c>
      <c r="C1" s="339" t="s">
        <v>99</v>
      </c>
      <c r="D1" s="339" t="s">
        <v>100</v>
      </c>
      <c r="E1" s="339" t="s">
        <v>101</v>
      </c>
      <c r="F1" s="339" t="s">
        <v>102</v>
      </c>
      <c r="G1" s="339" t="s">
        <v>124</v>
      </c>
      <c r="H1" s="339" t="s">
        <v>134</v>
      </c>
      <c r="I1" s="334" t="s">
        <v>135</v>
      </c>
      <c r="J1" s="335" t="s">
        <v>136</v>
      </c>
    </row>
    <row r="2" spans="1:10">
      <c r="A2" s="331" t="s">
        <v>107</v>
      </c>
      <c r="B2" s="332">
        <v>2.12</v>
      </c>
      <c r="C2" s="218">
        <v>2.86</v>
      </c>
      <c r="D2" s="218">
        <v>4.96</v>
      </c>
      <c r="E2" s="218">
        <v>4.09</v>
      </c>
      <c r="F2" s="218">
        <v>4.25</v>
      </c>
      <c r="G2" s="218">
        <v>3.32</v>
      </c>
      <c r="H2" s="218">
        <v>3.95</v>
      </c>
      <c r="I2" s="115">
        <v>7.02</v>
      </c>
      <c r="J2" s="327"/>
    </row>
    <row r="3" spans="1:10">
      <c r="A3" s="33" t="s">
        <v>103</v>
      </c>
      <c r="B3">
        <v>7.79</v>
      </c>
      <c r="C3" s="1">
        <v>4.84</v>
      </c>
      <c r="D3" s="1">
        <v>5.87</v>
      </c>
      <c r="E3" s="1">
        <v>5.19</v>
      </c>
      <c r="F3" s="1">
        <v>7.56</v>
      </c>
      <c r="G3" s="1">
        <v>4.92</v>
      </c>
      <c r="H3" s="1">
        <v>7.59</v>
      </c>
      <c r="I3" s="1">
        <v>11.19</v>
      </c>
      <c r="J3" s="328"/>
    </row>
    <row r="4" spans="1:10">
      <c r="A4" s="33" t="s">
        <v>123</v>
      </c>
      <c r="B4">
        <v>5.67</v>
      </c>
      <c r="C4" s="1">
        <v>1.98</v>
      </c>
      <c r="D4" s="1">
        <v>0.91</v>
      </c>
      <c r="E4" s="1">
        <v>1.1000000000000001</v>
      </c>
      <c r="F4" s="1">
        <v>3.31</v>
      </c>
      <c r="G4" s="1">
        <v>1.6</v>
      </c>
      <c r="H4" s="115">
        <v>3.64</v>
      </c>
      <c r="I4" s="115">
        <v>4.17</v>
      </c>
      <c r="J4" s="327"/>
    </row>
    <row r="5" spans="1:10">
      <c r="A5" s="33" t="s">
        <v>104</v>
      </c>
      <c r="B5">
        <v>7.79</v>
      </c>
      <c r="C5" s="1">
        <v>4.43</v>
      </c>
      <c r="D5" s="1">
        <v>5.03</v>
      </c>
      <c r="E5" s="1">
        <v>5.09</v>
      </c>
      <c r="F5" s="1">
        <v>5.68</v>
      </c>
      <c r="G5" s="1">
        <v>5.51</v>
      </c>
      <c r="H5" s="1">
        <v>5.82</v>
      </c>
      <c r="I5" s="115">
        <v>5.87</v>
      </c>
      <c r="J5" s="328"/>
    </row>
    <row r="6" spans="1:10" ht="15.75" thickBot="1">
      <c r="A6" s="33" t="s">
        <v>109</v>
      </c>
      <c r="B6">
        <v>6.67</v>
      </c>
      <c r="C6" s="115">
        <v>6.67</v>
      </c>
      <c r="D6" s="115">
        <v>6.67</v>
      </c>
      <c r="E6" s="115">
        <v>6.67</v>
      </c>
      <c r="F6" s="115">
        <v>6.67</v>
      </c>
      <c r="G6" s="115">
        <v>6.67</v>
      </c>
      <c r="H6" s="115">
        <v>6.67</v>
      </c>
      <c r="I6" s="172">
        <v>6.67</v>
      </c>
      <c r="J6" s="349"/>
    </row>
    <row r="7" spans="1:10" ht="15.75" thickBot="1">
      <c r="A7" s="338" t="s">
        <v>126</v>
      </c>
      <c r="B7" s="339" t="s">
        <v>108</v>
      </c>
      <c r="C7" s="339" t="s">
        <v>99</v>
      </c>
      <c r="D7" s="339" t="s">
        <v>100</v>
      </c>
      <c r="E7" s="339" t="s">
        <v>101</v>
      </c>
      <c r="F7" s="339" t="s">
        <v>102</v>
      </c>
      <c r="G7" s="339" t="s">
        <v>124</v>
      </c>
      <c r="H7" s="339" t="s">
        <v>134</v>
      </c>
      <c r="I7" s="334" t="s">
        <v>135</v>
      </c>
      <c r="J7" s="335" t="s">
        <v>136</v>
      </c>
    </row>
    <row r="8" spans="1:10">
      <c r="A8" s="331" t="s">
        <v>44</v>
      </c>
      <c r="B8" s="332">
        <v>0.09</v>
      </c>
      <c r="C8" s="206">
        <v>0.48</v>
      </c>
      <c r="D8" s="206">
        <v>0.36</v>
      </c>
      <c r="E8" s="206">
        <v>0.4</v>
      </c>
      <c r="F8" s="206">
        <v>0.1</v>
      </c>
      <c r="G8" s="218">
        <v>0.09</v>
      </c>
      <c r="H8" s="206">
        <v>7.0000000000000007E-2</v>
      </c>
      <c r="I8" s="1">
        <v>0.21</v>
      </c>
      <c r="J8" s="328"/>
    </row>
    <row r="9" spans="1:10">
      <c r="A9" s="33" t="s">
        <v>105</v>
      </c>
      <c r="B9">
        <v>0.09</v>
      </c>
      <c r="C9" s="1">
        <v>0.43</v>
      </c>
      <c r="D9" s="1">
        <v>0.4</v>
      </c>
      <c r="E9" s="1">
        <v>0.4</v>
      </c>
      <c r="F9" s="1">
        <v>0.33</v>
      </c>
      <c r="G9" s="1">
        <v>0.27</v>
      </c>
      <c r="H9" s="1">
        <v>0.24</v>
      </c>
      <c r="I9" s="1">
        <v>0.24</v>
      </c>
      <c r="J9" s="328"/>
    </row>
    <row r="10" spans="1:10" ht="15.75" thickBot="1">
      <c r="A10" s="33" t="s">
        <v>110</v>
      </c>
      <c r="B10">
        <v>0.24</v>
      </c>
      <c r="C10" s="115">
        <v>0.24</v>
      </c>
      <c r="D10" s="115">
        <v>0.24</v>
      </c>
      <c r="E10" s="115">
        <v>0.24</v>
      </c>
      <c r="F10" s="115">
        <v>0.24</v>
      </c>
      <c r="G10" s="115">
        <v>0.24</v>
      </c>
      <c r="H10" s="115">
        <v>0.24</v>
      </c>
      <c r="I10" s="172">
        <v>0.24</v>
      </c>
      <c r="J10" s="349"/>
    </row>
    <row r="11" spans="1:10" ht="15.75" thickBot="1">
      <c r="A11" s="338" t="s">
        <v>127</v>
      </c>
      <c r="B11" s="339" t="s">
        <v>108</v>
      </c>
      <c r="C11" s="339" t="s">
        <v>99</v>
      </c>
      <c r="D11" s="339" t="s">
        <v>100</v>
      </c>
      <c r="E11" s="339" t="s">
        <v>101</v>
      </c>
      <c r="F11" s="339" t="s">
        <v>102</v>
      </c>
      <c r="G11" s="339" t="s">
        <v>124</v>
      </c>
      <c r="H11" s="339" t="s">
        <v>134</v>
      </c>
      <c r="I11" s="334" t="s">
        <v>135</v>
      </c>
      <c r="J11" s="335" t="s">
        <v>136</v>
      </c>
    </row>
    <row r="12" spans="1:10">
      <c r="A12" s="331" t="s">
        <v>56</v>
      </c>
      <c r="B12" s="332">
        <v>0.08</v>
      </c>
      <c r="C12" s="206">
        <v>0.19</v>
      </c>
      <c r="D12" s="206">
        <v>0.18</v>
      </c>
      <c r="E12" s="206">
        <v>0.19</v>
      </c>
      <c r="F12" s="206">
        <v>0.08</v>
      </c>
      <c r="G12" s="206">
        <v>0.04</v>
      </c>
      <c r="H12" s="206">
        <v>0.05</v>
      </c>
      <c r="I12" s="1">
        <v>0.03</v>
      </c>
      <c r="J12" s="328"/>
    </row>
    <row r="13" spans="1:10">
      <c r="A13" s="33" t="s">
        <v>106</v>
      </c>
      <c r="B13">
        <v>0.08</v>
      </c>
      <c r="C13" s="1">
        <v>0.17</v>
      </c>
      <c r="D13" s="1">
        <v>0.17</v>
      </c>
      <c r="E13" s="1">
        <v>0.18</v>
      </c>
      <c r="F13" s="1">
        <v>0.15</v>
      </c>
      <c r="G13" s="1">
        <v>0.13</v>
      </c>
      <c r="H13" s="1">
        <v>0.12</v>
      </c>
      <c r="I13" s="1">
        <v>0.12</v>
      </c>
      <c r="J13" s="328"/>
    </row>
    <row r="14" spans="1:10" ht="15.75" thickBot="1">
      <c r="A14" s="33" t="s">
        <v>110</v>
      </c>
      <c r="B14">
        <v>0.12</v>
      </c>
      <c r="C14" s="115">
        <v>0.12</v>
      </c>
      <c r="D14" s="115">
        <v>0.12</v>
      </c>
      <c r="E14" s="115">
        <v>0.12</v>
      </c>
      <c r="F14" s="115">
        <v>0.12</v>
      </c>
      <c r="G14" s="115">
        <v>0.12</v>
      </c>
      <c r="H14" s="115">
        <v>0.12</v>
      </c>
      <c r="I14" s="172">
        <v>0.12</v>
      </c>
      <c r="J14" s="349"/>
    </row>
    <row r="15" spans="1:10" ht="15.75" thickBot="1">
      <c r="A15" s="338" t="s">
        <v>128</v>
      </c>
      <c r="B15" s="339" t="s">
        <v>108</v>
      </c>
      <c r="C15" s="339" t="s">
        <v>99</v>
      </c>
      <c r="D15" s="339" t="s">
        <v>100</v>
      </c>
      <c r="E15" s="339" t="s">
        <v>101</v>
      </c>
      <c r="F15" s="339" t="s">
        <v>102</v>
      </c>
      <c r="G15" s="339" t="s">
        <v>124</v>
      </c>
      <c r="H15" s="339" t="s">
        <v>134</v>
      </c>
      <c r="I15" s="334" t="s">
        <v>135</v>
      </c>
      <c r="J15" s="335" t="s">
        <v>136</v>
      </c>
    </row>
    <row r="16" spans="1:10">
      <c r="A16" s="331" t="s">
        <v>55</v>
      </c>
      <c r="B16" s="206">
        <v>9.6300000000000008</v>
      </c>
      <c r="C16" s="206">
        <v>8.4499999999999993</v>
      </c>
      <c r="D16" s="206">
        <v>9.66</v>
      </c>
      <c r="E16" s="206">
        <v>10.72</v>
      </c>
      <c r="F16" s="206">
        <v>10.78</v>
      </c>
      <c r="G16" s="206">
        <v>11.09</v>
      </c>
      <c r="H16" s="206">
        <v>14.02</v>
      </c>
      <c r="I16" s="1">
        <v>23.95</v>
      </c>
      <c r="J16" s="328"/>
    </row>
    <row r="17" spans="1:10">
      <c r="A17" s="33" t="s">
        <v>112</v>
      </c>
      <c r="B17" s="1">
        <v>9.6300000000000008</v>
      </c>
      <c r="C17" s="1">
        <v>8.6199999999999992</v>
      </c>
      <c r="D17" s="1">
        <v>9.0299999999999994</v>
      </c>
      <c r="E17" s="1">
        <v>9.68</v>
      </c>
      <c r="F17" s="1">
        <v>9.93</v>
      </c>
      <c r="G17" s="1">
        <v>10.18</v>
      </c>
      <c r="H17" s="1">
        <v>10.69</v>
      </c>
      <c r="I17" s="1">
        <v>10.78</v>
      </c>
      <c r="J17" s="328"/>
    </row>
    <row r="18" spans="1:10" ht="15.75" thickBot="1">
      <c r="A18" s="33" t="s">
        <v>111</v>
      </c>
      <c r="B18" s="115">
        <v>9.5</v>
      </c>
      <c r="C18" s="115">
        <v>9.5</v>
      </c>
      <c r="D18" s="115">
        <v>9.5</v>
      </c>
      <c r="E18" s="115">
        <v>9.5</v>
      </c>
      <c r="F18" s="115">
        <v>9.5</v>
      </c>
      <c r="G18" s="115">
        <v>9.5</v>
      </c>
      <c r="H18" s="115">
        <v>9.5</v>
      </c>
      <c r="I18" s="172">
        <v>9.5</v>
      </c>
      <c r="J18" s="349"/>
    </row>
    <row r="19" spans="1:10" ht="15.75" thickBot="1">
      <c r="A19" s="338" t="s">
        <v>129</v>
      </c>
      <c r="B19" s="339" t="s">
        <v>108</v>
      </c>
      <c r="C19" s="339" t="s">
        <v>99</v>
      </c>
      <c r="D19" s="339" t="s">
        <v>100</v>
      </c>
      <c r="E19" s="339" t="s">
        <v>101</v>
      </c>
      <c r="F19" s="339" t="s">
        <v>102</v>
      </c>
      <c r="G19" s="339" t="s">
        <v>124</v>
      </c>
      <c r="H19" s="339" t="s">
        <v>134</v>
      </c>
      <c r="I19" s="334" t="s">
        <v>135</v>
      </c>
      <c r="J19" s="335" t="s">
        <v>136</v>
      </c>
    </row>
    <row r="20" spans="1:10">
      <c r="A20" s="331" t="s">
        <v>60</v>
      </c>
      <c r="B20" s="206">
        <v>3.1</v>
      </c>
      <c r="C20" s="206">
        <v>2.72</v>
      </c>
      <c r="D20" s="206">
        <v>3.49</v>
      </c>
      <c r="E20" s="206">
        <v>3.21</v>
      </c>
      <c r="F20" s="206">
        <v>3.31</v>
      </c>
      <c r="G20" s="206">
        <v>3.61</v>
      </c>
      <c r="H20" s="206">
        <v>4.57</v>
      </c>
      <c r="I20" s="1">
        <v>4.88</v>
      </c>
      <c r="J20" s="328"/>
    </row>
    <row r="21" spans="1:10">
      <c r="A21" s="33" t="s">
        <v>113</v>
      </c>
      <c r="B21" s="1">
        <v>3.1</v>
      </c>
      <c r="C21" s="1">
        <v>2.77</v>
      </c>
      <c r="D21" s="1">
        <v>3.06</v>
      </c>
      <c r="E21" s="1">
        <v>3.11</v>
      </c>
      <c r="F21" s="1">
        <v>3.13</v>
      </c>
      <c r="G21" s="1">
        <v>3.23</v>
      </c>
      <c r="H21" s="1">
        <v>3.41</v>
      </c>
      <c r="I21" s="1">
        <v>3.42</v>
      </c>
      <c r="J21" s="328"/>
    </row>
    <row r="22" spans="1:10" ht="15.75" thickBot="1">
      <c r="A22" s="33" t="s">
        <v>114</v>
      </c>
      <c r="B22" s="115">
        <v>2.8</v>
      </c>
      <c r="C22" s="115">
        <v>2.8</v>
      </c>
      <c r="D22" s="115">
        <v>2.8</v>
      </c>
      <c r="E22" s="115">
        <v>2.8</v>
      </c>
      <c r="F22" s="115">
        <v>2.8</v>
      </c>
      <c r="G22" s="115">
        <v>2.8</v>
      </c>
      <c r="H22" s="115">
        <v>2.8</v>
      </c>
      <c r="I22" s="172">
        <v>2.8</v>
      </c>
      <c r="J22" s="349"/>
    </row>
    <row r="23" spans="1:10" ht="15.75" thickBot="1">
      <c r="A23" s="333" t="s">
        <v>130</v>
      </c>
      <c r="B23" s="334" t="s">
        <v>108</v>
      </c>
      <c r="C23" s="334" t="s">
        <v>99</v>
      </c>
      <c r="D23" s="334" t="s">
        <v>100</v>
      </c>
      <c r="E23" s="334" t="s">
        <v>101</v>
      </c>
      <c r="F23" s="334" t="s">
        <v>102</v>
      </c>
      <c r="G23" s="334" t="s">
        <v>124</v>
      </c>
      <c r="H23" s="334" t="s">
        <v>134</v>
      </c>
      <c r="I23" s="334" t="s">
        <v>135</v>
      </c>
      <c r="J23" s="335" t="s">
        <v>136</v>
      </c>
    </row>
    <row r="24" spans="1:10">
      <c r="A24" s="33" t="s">
        <v>57</v>
      </c>
      <c r="C24" s="1">
        <v>0.24</v>
      </c>
      <c r="D24" s="1">
        <v>0.33</v>
      </c>
      <c r="E24" s="1">
        <v>0.37</v>
      </c>
      <c r="F24" s="1">
        <v>0.36</v>
      </c>
      <c r="G24" s="1">
        <v>0.32</v>
      </c>
      <c r="H24" s="115">
        <v>0.33</v>
      </c>
      <c r="I24" s="115">
        <v>0.52</v>
      </c>
      <c r="J24" s="327"/>
    </row>
    <row r="25" spans="1:10">
      <c r="A25" s="33" t="s">
        <v>115</v>
      </c>
      <c r="B25" s="1"/>
      <c r="C25" s="1">
        <v>0.21</v>
      </c>
      <c r="D25" s="1">
        <v>0.26</v>
      </c>
      <c r="E25" s="1">
        <v>0.3</v>
      </c>
      <c r="F25" s="115">
        <v>0.32</v>
      </c>
      <c r="G25" s="115">
        <v>0.32</v>
      </c>
      <c r="H25" s="115">
        <v>0.32</v>
      </c>
      <c r="I25" s="115">
        <v>0.32</v>
      </c>
      <c r="J25" s="327"/>
    </row>
    <row r="26" spans="1:10" ht="15.75" thickBot="1">
      <c r="A26" s="33" t="s">
        <v>116</v>
      </c>
      <c r="C26" s="115">
        <v>0.3</v>
      </c>
      <c r="D26" s="115">
        <v>0.3</v>
      </c>
      <c r="E26" s="115">
        <v>0.3</v>
      </c>
      <c r="F26" s="115">
        <v>0.3</v>
      </c>
      <c r="G26" s="115">
        <v>0.3</v>
      </c>
      <c r="H26" s="115">
        <v>0.3</v>
      </c>
      <c r="I26" s="172">
        <v>0.3</v>
      </c>
      <c r="J26" s="349"/>
    </row>
    <row r="27" spans="1:10" ht="15.75" thickBot="1">
      <c r="A27" s="338" t="s">
        <v>131</v>
      </c>
      <c r="B27" s="339" t="s">
        <v>108</v>
      </c>
      <c r="C27" s="339" t="s">
        <v>99</v>
      </c>
      <c r="D27" s="339" t="s">
        <v>100</v>
      </c>
      <c r="E27" s="339" t="s">
        <v>101</v>
      </c>
      <c r="F27" s="339" t="s">
        <v>102</v>
      </c>
      <c r="G27" s="339" t="s">
        <v>124</v>
      </c>
      <c r="H27" s="339" t="s">
        <v>134</v>
      </c>
      <c r="I27" s="334" t="s">
        <v>135</v>
      </c>
      <c r="J27" s="335" t="s">
        <v>136</v>
      </c>
    </row>
    <row r="28" spans="1:10">
      <c r="A28" s="331" t="s">
        <v>93</v>
      </c>
      <c r="B28" s="332">
        <v>1.32</v>
      </c>
      <c r="C28" s="206">
        <v>0.04</v>
      </c>
      <c r="D28" s="206">
        <v>0.19</v>
      </c>
      <c r="E28" s="206">
        <v>0</v>
      </c>
      <c r="F28" s="206">
        <v>0.15</v>
      </c>
      <c r="G28" s="206">
        <v>0.2</v>
      </c>
      <c r="H28" s="206">
        <v>0.25</v>
      </c>
      <c r="I28" s="1">
        <v>0</v>
      </c>
      <c r="J28" s="328"/>
    </row>
    <row r="29" spans="1:10">
      <c r="A29" s="33" t="s">
        <v>117</v>
      </c>
      <c r="B29">
        <v>1.32</v>
      </c>
      <c r="C29" s="1">
        <v>0.19</v>
      </c>
      <c r="D29" s="1">
        <v>0.19</v>
      </c>
      <c r="E29" s="1">
        <v>0.12</v>
      </c>
      <c r="F29" s="1">
        <v>0.13</v>
      </c>
      <c r="G29" s="1">
        <v>0.14000000000000001</v>
      </c>
      <c r="H29" s="1">
        <v>0.16</v>
      </c>
      <c r="I29" s="1">
        <v>0.16</v>
      </c>
      <c r="J29" s="328"/>
    </row>
    <row r="30" spans="1:10" ht="15.75" thickBot="1">
      <c r="A30" s="33" t="s">
        <v>118</v>
      </c>
      <c r="C30" s="1">
        <v>0.15</v>
      </c>
      <c r="D30" s="1">
        <v>0.15</v>
      </c>
      <c r="E30" s="1">
        <v>0.15</v>
      </c>
      <c r="F30" s="1">
        <v>0.15</v>
      </c>
      <c r="G30" s="1">
        <v>0.15</v>
      </c>
      <c r="H30" s="1">
        <v>0.15</v>
      </c>
      <c r="I30" s="78">
        <v>0.15</v>
      </c>
      <c r="J30" s="330"/>
    </row>
    <row r="31" spans="1:10" ht="15.75" thickBot="1">
      <c r="A31" s="338" t="s">
        <v>132</v>
      </c>
      <c r="B31" s="339" t="s">
        <v>108</v>
      </c>
      <c r="C31" s="339" t="s">
        <v>99</v>
      </c>
      <c r="D31" s="339" t="s">
        <v>100</v>
      </c>
      <c r="E31" s="339" t="s">
        <v>101</v>
      </c>
      <c r="F31" s="339" t="s">
        <v>102</v>
      </c>
      <c r="G31" s="339" t="s">
        <v>124</v>
      </c>
      <c r="H31" s="339" t="s">
        <v>134</v>
      </c>
      <c r="I31" s="334" t="s">
        <v>135</v>
      </c>
      <c r="J31" s="335" t="s">
        <v>136</v>
      </c>
    </row>
    <row r="32" spans="1:10">
      <c r="A32" s="331" t="s">
        <v>59</v>
      </c>
      <c r="B32" s="332">
        <v>641</v>
      </c>
      <c r="C32" s="206">
        <v>449</v>
      </c>
      <c r="D32" s="206">
        <v>379</v>
      </c>
      <c r="E32" s="206">
        <v>455</v>
      </c>
      <c r="F32" s="206">
        <v>479</v>
      </c>
      <c r="G32" s="206">
        <v>501</v>
      </c>
      <c r="H32" s="206">
        <v>577</v>
      </c>
      <c r="I32" s="1">
        <v>125</v>
      </c>
      <c r="J32" s="328"/>
    </row>
    <row r="33" spans="1:10">
      <c r="A33" s="33" t="s">
        <v>119</v>
      </c>
      <c r="B33">
        <v>641</v>
      </c>
      <c r="C33" s="1">
        <v>478</v>
      </c>
      <c r="D33" s="1">
        <v>439</v>
      </c>
      <c r="E33" s="1">
        <v>445</v>
      </c>
      <c r="F33" s="1">
        <v>453</v>
      </c>
      <c r="G33" s="1">
        <v>463</v>
      </c>
      <c r="H33" s="1">
        <v>478</v>
      </c>
      <c r="I33" s="1">
        <v>476</v>
      </c>
      <c r="J33" s="328"/>
    </row>
    <row r="34" spans="1:10" ht="15.75" thickBot="1">
      <c r="A34" s="33" t="s">
        <v>120</v>
      </c>
      <c r="B34">
        <v>500</v>
      </c>
      <c r="C34" s="1">
        <v>500</v>
      </c>
      <c r="D34" s="1">
        <v>500</v>
      </c>
      <c r="E34" s="1">
        <v>500</v>
      </c>
      <c r="F34" s="1">
        <v>500</v>
      </c>
      <c r="G34" s="1">
        <v>500</v>
      </c>
      <c r="H34" s="1">
        <v>500</v>
      </c>
      <c r="I34" s="78">
        <v>500</v>
      </c>
      <c r="J34" s="330"/>
    </row>
    <row r="35" spans="1:10" ht="15.75" thickBot="1">
      <c r="A35" s="338" t="s">
        <v>133</v>
      </c>
      <c r="B35" s="339" t="s">
        <v>108</v>
      </c>
      <c r="C35" s="339" t="s">
        <v>99</v>
      </c>
      <c r="D35" s="339" t="s">
        <v>100</v>
      </c>
      <c r="E35" s="339" t="s">
        <v>101</v>
      </c>
      <c r="F35" s="339" t="s">
        <v>102</v>
      </c>
      <c r="G35" s="339" t="s">
        <v>124</v>
      </c>
      <c r="H35" s="339" t="s">
        <v>134</v>
      </c>
      <c r="I35" s="334" t="s">
        <v>135</v>
      </c>
      <c r="J35" s="335" t="s">
        <v>136</v>
      </c>
    </row>
    <row r="36" spans="1:10">
      <c r="A36" s="331" t="s">
        <v>58</v>
      </c>
      <c r="B36" s="332">
        <v>0</v>
      </c>
      <c r="C36" s="217">
        <v>95.33</v>
      </c>
      <c r="D36" s="217">
        <v>15.52</v>
      </c>
      <c r="E36" s="217">
        <v>51.96</v>
      </c>
      <c r="F36" s="217">
        <v>70.8</v>
      </c>
      <c r="G36" s="206">
        <v>43</v>
      </c>
      <c r="H36" s="206">
        <v>43</v>
      </c>
      <c r="I36" s="1">
        <v>580</v>
      </c>
      <c r="J36" s="328"/>
    </row>
    <row r="37" spans="1:10">
      <c r="A37" s="33" t="s">
        <v>121</v>
      </c>
      <c r="B37">
        <v>0</v>
      </c>
      <c r="C37" s="1">
        <v>81</v>
      </c>
      <c r="D37" s="1">
        <v>55</v>
      </c>
      <c r="E37" s="1">
        <v>54</v>
      </c>
      <c r="F37" s="1">
        <v>58</v>
      </c>
      <c r="G37" s="1">
        <v>55</v>
      </c>
      <c r="H37" s="1">
        <v>53</v>
      </c>
      <c r="I37" s="1">
        <v>57</v>
      </c>
      <c r="J37" s="328"/>
    </row>
    <row r="38" spans="1:10" ht="15.75" thickBot="1">
      <c r="A38" s="34" t="s">
        <v>122</v>
      </c>
      <c r="B38" s="329">
        <v>90</v>
      </c>
      <c r="C38" s="78">
        <v>90</v>
      </c>
      <c r="D38" s="78">
        <v>90</v>
      </c>
      <c r="E38" s="78">
        <v>90</v>
      </c>
      <c r="F38" s="78">
        <v>90</v>
      </c>
      <c r="G38" s="78">
        <v>90</v>
      </c>
      <c r="H38" s="78">
        <v>90</v>
      </c>
      <c r="I38" s="78">
        <v>90</v>
      </c>
      <c r="J38" s="330"/>
    </row>
    <row r="39" spans="1:10" ht="15.75" thickBot="1">
      <c r="A39" s="338" t="s">
        <v>139</v>
      </c>
      <c r="B39" s="339" t="s">
        <v>108</v>
      </c>
      <c r="C39" s="339" t="s">
        <v>99</v>
      </c>
      <c r="D39" s="339" t="s">
        <v>100</v>
      </c>
      <c r="E39" s="339" t="s">
        <v>101</v>
      </c>
      <c r="F39" s="339" t="s">
        <v>102</v>
      </c>
      <c r="G39" s="339" t="s">
        <v>124</v>
      </c>
      <c r="H39" s="339" t="s">
        <v>134</v>
      </c>
      <c r="I39" s="334" t="s">
        <v>135</v>
      </c>
      <c r="J39" s="335" t="s">
        <v>136</v>
      </c>
    </row>
    <row r="40" spans="1:10">
      <c r="A40" s="331" t="s">
        <v>140</v>
      </c>
      <c r="B40" s="332">
        <v>30</v>
      </c>
      <c r="C40" s="217"/>
      <c r="D40" s="217">
        <v>20</v>
      </c>
      <c r="E40" s="217">
        <v>20</v>
      </c>
      <c r="F40" s="217">
        <v>30</v>
      </c>
      <c r="G40" s="206"/>
      <c r="H40" s="206"/>
      <c r="I40" s="1"/>
      <c r="J40" s="328"/>
    </row>
    <row r="41" spans="1:10">
      <c r="A41" s="33" t="s">
        <v>141</v>
      </c>
      <c r="B41">
        <v>30</v>
      </c>
      <c r="C41" s="1"/>
      <c r="D41" s="1"/>
      <c r="E41" s="1"/>
      <c r="F41" s="114">
        <v>30</v>
      </c>
      <c r="G41" s="1"/>
      <c r="H41" s="1"/>
      <c r="I41" s="1"/>
      <c r="J41" s="328"/>
    </row>
    <row r="42" spans="1:10">
      <c r="A42" s="33" t="s">
        <v>142</v>
      </c>
      <c r="B42" s="115"/>
      <c r="C42" s="115"/>
      <c r="D42" s="114">
        <v>20</v>
      </c>
      <c r="E42" s="115"/>
      <c r="F42" s="114"/>
      <c r="G42" s="372">
        <v>30</v>
      </c>
      <c r="H42" s="1"/>
      <c r="I42" s="1"/>
      <c r="J42" s="328"/>
    </row>
    <row r="43" spans="1:10" ht="15.75" thickBot="1">
      <c r="A43" s="34" t="s">
        <v>143</v>
      </c>
      <c r="B43" s="329"/>
      <c r="C43" s="329"/>
      <c r="D43" s="329"/>
      <c r="E43" s="329"/>
      <c r="F43" s="78"/>
      <c r="G43" s="373">
        <v>60</v>
      </c>
      <c r="H43" s="329"/>
      <c r="I43" s="329"/>
      <c r="J43" s="360"/>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8"/>
  <sheetViews>
    <sheetView zoomScale="72" zoomScaleNormal="72" workbookViewId="0">
      <selection activeCell="H43" sqref="H43"/>
    </sheetView>
  </sheetViews>
  <sheetFormatPr defaultRowHeight="15"/>
  <cols>
    <col min="1" max="1" width="33.28515625" bestFit="1" customWidth="1"/>
    <col min="2" max="2" width="9.140625" customWidth="1"/>
  </cols>
  <sheetData>
    <row r="1" spans="1:10" ht="15.75" thickBot="1">
      <c r="A1" s="338" t="s">
        <v>125</v>
      </c>
      <c r="B1" s="339" t="s">
        <v>108</v>
      </c>
      <c r="C1" s="339" t="s">
        <v>99</v>
      </c>
      <c r="D1" s="339" t="s">
        <v>100</v>
      </c>
      <c r="E1" s="339" t="s">
        <v>101</v>
      </c>
      <c r="F1" s="339" t="s">
        <v>102</v>
      </c>
      <c r="G1" s="339" t="s">
        <v>124</v>
      </c>
      <c r="H1" s="339" t="s">
        <v>134</v>
      </c>
      <c r="I1" s="334" t="s">
        <v>135</v>
      </c>
      <c r="J1" s="335" t="s">
        <v>136</v>
      </c>
    </row>
    <row r="2" spans="1:10">
      <c r="A2" s="331" t="s">
        <v>107</v>
      </c>
      <c r="B2" s="332"/>
      <c r="C2" s="218">
        <v>2.35</v>
      </c>
      <c r="D2" s="218">
        <v>3.79</v>
      </c>
      <c r="E2" s="218">
        <v>3.52</v>
      </c>
      <c r="F2" s="218">
        <v>2.86</v>
      </c>
      <c r="G2" s="218">
        <v>3.9</v>
      </c>
      <c r="H2" s="218">
        <v>4.25</v>
      </c>
      <c r="I2" s="115">
        <v>5.63</v>
      </c>
      <c r="J2" s="327">
        <v>2.41</v>
      </c>
    </row>
    <row r="3" spans="1:10">
      <c r="A3" s="33" t="s">
        <v>103</v>
      </c>
      <c r="C3" s="1">
        <v>4.01</v>
      </c>
      <c r="D3" s="1">
        <v>4.91</v>
      </c>
      <c r="E3" s="1">
        <v>5.05</v>
      </c>
      <c r="F3" s="1">
        <v>7.7200000000000006</v>
      </c>
      <c r="G3" s="1">
        <v>8.39</v>
      </c>
      <c r="H3" s="1">
        <v>7.82</v>
      </c>
      <c r="I3" s="1">
        <v>7.77</v>
      </c>
      <c r="J3" s="328">
        <v>8.11</v>
      </c>
    </row>
    <row r="4" spans="1:10">
      <c r="A4" s="33" t="s">
        <v>123</v>
      </c>
      <c r="C4" s="1">
        <v>1.66</v>
      </c>
      <c r="D4" s="1">
        <v>1.1200000000000001</v>
      </c>
      <c r="E4" s="1">
        <v>1.53</v>
      </c>
      <c r="F4" s="1">
        <v>4.8600000000000003</v>
      </c>
      <c r="G4" s="1">
        <v>4.49</v>
      </c>
      <c r="H4" s="115">
        <v>3.57</v>
      </c>
      <c r="I4" s="115">
        <v>2.14</v>
      </c>
      <c r="J4" s="327">
        <v>5.7</v>
      </c>
    </row>
    <row r="5" spans="1:10">
      <c r="A5" s="33" t="s">
        <v>104</v>
      </c>
      <c r="C5" s="1">
        <v>4.01</v>
      </c>
      <c r="D5" s="1">
        <v>4.54</v>
      </c>
      <c r="E5" s="1">
        <v>4.7300000000000004</v>
      </c>
      <c r="F5" s="1">
        <v>5.62</v>
      </c>
      <c r="G5" s="1">
        <v>6.16</v>
      </c>
      <c r="H5" s="1">
        <v>6.47</v>
      </c>
      <c r="I5" s="115">
        <v>6.6</v>
      </c>
      <c r="J5" s="328">
        <v>6.63</v>
      </c>
    </row>
    <row r="6" spans="1:10" ht="15.75" thickBot="1">
      <c r="A6" s="33" t="s">
        <v>109</v>
      </c>
      <c r="C6" s="115">
        <v>4</v>
      </c>
      <c r="D6" s="115">
        <v>4</v>
      </c>
      <c r="E6" s="115">
        <v>4</v>
      </c>
      <c r="F6" s="115">
        <v>4</v>
      </c>
      <c r="G6" s="115">
        <v>4</v>
      </c>
      <c r="H6" s="115">
        <v>4</v>
      </c>
      <c r="I6" s="172">
        <v>4</v>
      </c>
      <c r="J6" s="349">
        <v>4</v>
      </c>
    </row>
    <row r="7" spans="1:10" ht="15.75" thickBot="1">
      <c r="A7" s="338" t="s">
        <v>126</v>
      </c>
      <c r="B7" s="339" t="s">
        <v>108</v>
      </c>
      <c r="C7" s="339" t="s">
        <v>99</v>
      </c>
      <c r="D7" s="339" t="s">
        <v>100</v>
      </c>
      <c r="E7" s="339" t="s">
        <v>101</v>
      </c>
      <c r="F7" s="339" t="s">
        <v>102</v>
      </c>
      <c r="G7" s="339" t="s">
        <v>124</v>
      </c>
      <c r="H7" s="339" t="s">
        <v>134</v>
      </c>
      <c r="I7" s="334" t="s">
        <v>135</v>
      </c>
      <c r="J7" s="335" t="s">
        <v>136</v>
      </c>
    </row>
    <row r="8" spans="1:10">
      <c r="A8" s="331" t="s">
        <v>44</v>
      </c>
      <c r="B8" s="332"/>
      <c r="C8" s="206">
        <v>0.28999999999999998</v>
      </c>
      <c r="D8" s="206">
        <v>0.28999999999999998</v>
      </c>
      <c r="E8" s="206">
        <v>0.22</v>
      </c>
      <c r="F8" s="206">
        <v>0.14000000000000001</v>
      </c>
      <c r="G8" s="218">
        <v>0.2</v>
      </c>
      <c r="H8" s="206">
        <v>0.11</v>
      </c>
      <c r="I8" s="1">
        <v>0.1</v>
      </c>
      <c r="J8" s="328">
        <v>0.05</v>
      </c>
    </row>
    <row r="9" spans="1:10">
      <c r="A9" s="33" t="s">
        <v>105</v>
      </c>
      <c r="C9" s="1">
        <v>0.28999999999999998</v>
      </c>
      <c r="D9" s="1">
        <v>0.28999999999999998</v>
      </c>
      <c r="E9" s="1">
        <v>0.26</v>
      </c>
      <c r="F9" s="1">
        <v>0.23</v>
      </c>
      <c r="G9" s="1">
        <v>0.22</v>
      </c>
      <c r="H9" s="1">
        <v>0.2</v>
      </c>
      <c r="I9" s="1">
        <v>0.19</v>
      </c>
      <c r="J9" s="328">
        <v>0.19</v>
      </c>
    </row>
    <row r="10" spans="1:10" ht="15.75" thickBot="1">
      <c r="A10" s="33" t="s">
        <v>110</v>
      </c>
      <c r="C10" s="115">
        <v>0.2</v>
      </c>
      <c r="D10" s="115">
        <v>0.2</v>
      </c>
      <c r="E10" s="115">
        <v>0.2</v>
      </c>
      <c r="F10" s="115">
        <v>0.2</v>
      </c>
      <c r="G10" s="115">
        <v>0.2</v>
      </c>
      <c r="H10" s="115">
        <v>0.2</v>
      </c>
      <c r="I10" s="172">
        <v>0.2</v>
      </c>
      <c r="J10" s="349">
        <v>0.2</v>
      </c>
    </row>
    <row r="11" spans="1:10" ht="15.75" thickBot="1">
      <c r="A11" s="338" t="s">
        <v>127</v>
      </c>
      <c r="B11" s="339" t="s">
        <v>108</v>
      </c>
      <c r="C11" s="339" t="s">
        <v>99</v>
      </c>
      <c r="D11" s="339" t="s">
        <v>100</v>
      </c>
      <c r="E11" s="339" t="s">
        <v>101</v>
      </c>
      <c r="F11" s="339" t="s">
        <v>102</v>
      </c>
      <c r="G11" s="339" t="s">
        <v>124</v>
      </c>
      <c r="H11" s="339" t="s">
        <v>134</v>
      </c>
      <c r="I11" s="334" t="s">
        <v>135</v>
      </c>
      <c r="J11" s="335" t="s">
        <v>136</v>
      </c>
    </row>
    <row r="12" spans="1:10">
      <c r="A12" s="331" t="s">
        <v>56</v>
      </c>
      <c r="B12" s="332"/>
      <c r="C12" s="206">
        <v>0.14000000000000001</v>
      </c>
      <c r="D12" s="206">
        <v>0.11</v>
      </c>
      <c r="E12" s="206">
        <v>0.14000000000000001</v>
      </c>
      <c r="F12" s="206">
        <v>0.11</v>
      </c>
      <c r="G12" s="206">
        <v>7.0000000000000007E-2</v>
      </c>
      <c r="H12" s="206">
        <v>0.08</v>
      </c>
      <c r="I12" s="1">
        <v>7.0000000000000007E-2</v>
      </c>
      <c r="J12" s="328">
        <v>0.11</v>
      </c>
    </row>
    <row r="13" spans="1:10">
      <c r="A13" s="33" t="s">
        <v>106</v>
      </c>
      <c r="C13" s="1">
        <v>0.14000000000000001</v>
      </c>
      <c r="D13" s="1">
        <v>0.12</v>
      </c>
      <c r="E13" s="1">
        <v>0.13</v>
      </c>
      <c r="F13" s="1">
        <v>0.13</v>
      </c>
      <c r="G13" s="1">
        <v>0.12</v>
      </c>
      <c r="H13" s="1">
        <v>0.11</v>
      </c>
      <c r="I13" s="1">
        <v>0.11</v>
      </c>
      <c r="J13" s="328">
        <v>0.11</v>
      </c>
    </row>
    <row r="14" spans="1:10" ht="15.75" thickBot="1">
      <c r="A14" s="33" t="s">
        <v>110</v>
      </c>
      <c r="C14" s="115">
        <v>0.1</v>
      </c>
      <c r="D14" s="115">
        <v>0.1</v>
      </c>
      <c r="E14" s="115">
        <v>0.1</v>
      </c>
      <c r="F14" s="115">
        <v>0.1</v>
      </c>
      <c r="G14" s="115">
        <v>0.1</v>
      </c>
      <c r="H14" s="115">
        <v>0.1</v>
      </c>
      <c r="I14" s="172">
        <v>0.1</v>
      </c>
      <c r="J14" s="349">
        <v>0.1</v>
      </c>
    </row>
    <row r="15" spans="1:10" ht="15.75" thickBot="1">
      <c r="A15" s="338" t="s">
        <v>128</v>
      </c>
      <c r="B15" s="339" t="s">
        <v>108</v>
      </c>
      <c r="C15" s="339" t="s">
        <v>99</v>
      </c>
      <c r="D15" s="339" t="s">
        <v>100</v>
      </c>
      <c r="E15" s="339" t="s">
        <v>101</v>
      </c>
      <c r="F15" s="339" t="s">
        <v>102</v>
      </c>
      <c r="G15" s="339" t="s">
        <v>124</v>
      </c>
      <c r="H15" s="339" t="s">
        <v>134</v>
      </c>
      <c r="I15" s="334" t="s">
        <v>135</v>
      </c>
      <c r="J15" s="335" t="s">
        <v>136</v>
      </c>
    </row>
    <row r="16" spans="1:10">
      <c r="A16" s="331" t="s">
        <v>55</v>
      </c>
      <c r="B16" s="206">
        <v>8.24</v>
      </c>
      <c r="C16" s="206">
        <v>9.83</v>
      </c>
      <c r="D16" s="206">
        <v>6.5</v>
      </c>
      <c r="E16" s="206">
        <v>6.51</v>
      </c>
      <c r="F16" s="206">
        <v>7.72</v>
      </c>
      <c r="G16" s="206">
        <v>10.69</v>
      </c>
      <c r="H16" s="206">
        <v>10.61</v>
      </c>
      <c r="I16" s="1">
        <v>13.17</v>
      </c>
      <c r="J16" s="328">
        <v>13.5</v>
      </c>
    </row>
    <row r="17" spans="1:10">
      <c r="A17" s="33" t="s">
        <v>112</v>
      </c>
      <c r="B17" s="1">
        <v>8.24</v>
      </c>
      <c r="C17" s="1">
        <v>9.7799999999999994</v>
      </c>
      <c r="D17" s="1">
        <v>7.99</v>
      </c>
      <c r="E17" s="1">
        <v>7.47</v>
      </c>
      <c r="F17" s="1">
        <v>7.54</v>
      </c>
      <c r="G17" s="1">
        <v>8.09</v>
      </c>
      <c r="H17" s="1">
        <v>8.52</v>
      </c>
      <c r="I17" s="1">
        <v>8.9700000000000006</v>
      </c>
      <c r="J17" s="328">
        <v>9.0500000000000007</v>
      </c>
    </row>
    <row r="18" spans="1:10" ht="15.75" thickBot="1">
      <c r="A18" s="33" t="s">
        <v>111</v>
      </c>
      <c r="B18" s="115">
        <v>9.5</v>
      </c>
      <c r="C18" s="115">
        <v>9.5</v>
      </c>
      <c r="D18" s="115">
        <v>9.5</v>
      </c>
      <c r="E18" s="115">
        <v>9.5</v>
      </c>
      <c r="F18" s="115">
        <v>9.5</v>
      </c>
      <c r="G18" s="115">
        <v>9.5</v>
      </c>
      <c r="H18" s="115">
        <v>9.5</v>
      </c>
      <c r="I18" s="172">
        <v>9.5</v>
      </c>
      <c r="J18" s="349">
        <v>9.5</v>
      </c>
    </row>
    <row r="19" spans="1:10" ht="15.75" thickBot="1">
      <c r="A19" s="338" t="s">
        <v>129</v>
      </c>
      <c r="B19" s="339" t="s">
        <v>108</v>
      </c>
      <c r="C19" s="339" t="s">
        <v>99</v>
      </c>
      <c r="D19" s="339" t="s">
        <v>100</v>
      </c>
      <c r="E19" s="339" t="s">
        <v>101</v>
      </c>
      <c r="F19" s="339" t="s">
        <v>102</v>
      </c>
      <c r="G19" s="339" t="s">
        <v>124</v>
      </c>
      <c r="H19" s="339" t="s">
        <v>134</v>
      </c>
      <c r="I19" s="334" t="s">
        <v>135</v>
      </c>
      <c r="J19" s="335" t="s">
        <v>136</v>
      </c>
    </row>
    <row r="20" spans="1:10">
      <c r="A20" s="331" t="s">
        <v>60</v>
      </c>
      <c r="B20" s="206">
        <v>1.94</v>
      </c>
      <c r="C20" s="206">
        <v>2.78</v>
      </c>
      <c r="D20" s="206">
        <v>2.33</v>
      </c>
      <c r="E20" s="206">
        <v>2.31</v>
      </c>
      <c r="F20" s="206">
        <v>2.57</v>
      </c>
      <c r="G20" s="206">
        <v>3.01</v>
      </c>
      <c r="H20" s="206">
        <v>2.88</v>
      </c>
      <c r="I20" s="1">
        <v>3.02</v>
      </c>
      <c r="J20" s="328">
        <v>3.01</v>
      </c>
    </row>
    <row r="21" spans="1:10">
      <c r="A21" s="33" t="s">
        <v>113</v>
      </c>
      <c r="B21" s="1">
        <v>1.94</v>
      </c>
      <c r="C21" s="1">
        <v>2.76</v>
      </c>
      <c r="D21" s="1">
        <v>2.5299999999999998</v>
      </c>
      <c r="E21" s="1">
        <v>2.4500000000000002</v>
      </c>
      <c r="F21" s="1">
        <v>2.4700000000000002</v>
      </c>
      <c r="G21" s="1">
        <v>2.56</v>
      </c>
      <c r="H21" s="1">
        <v>2.61</v>
      </c>
      <c r="I21" s="1">
        <v>2.65</v>
      </c>
      <c r="J21" s="328">
        <v>2.66</v>
      </c>
    </row>
    <row r="22" spans="1:10" ht="15.75" thickBot="1">
      <c r="A22" s="33" t="s">
        <v>114</v>
      </c>
      <c r="B22" s="115">
        <v>3</v>
      </c>
      <c r="C22" s="115">
        <v>3</v>
      </c>
      <c r="D22" s="115">
        <v>3</v>
      </c>
      <c r="E22" s="115">
        <v>3</v>
      </c>
      <c r="F22" s="115">
        <v>3</v>
      </c>
      <c r="G22" s="115">
        <v>3</v>
      </c>
      <c r="H22" s="115">
        <v>3</v>
      </c>
      <c r="I22" s="172">
        <v>3</v>
      </c>
      <c r="J22" s="349">
        <v>3</v>
      </c>
    </row>
    <row r="23" spans="1:10" ht="15.75" thickBot="1">
      <c r="A23" s="333" t="s">
        <v>130</v>
      </c>
      <c r="B23" s="334" t="s">
        <v>108</v>
      </c>
      <c r="C23" s="334" t="s">
        <v>99</v>
      </c>
      <c r="D23" s="334" t="s">
        <v>100</v>
      </c>
      <c r="E23" s="334" t="s">
        <v>101</v>
      </c>
      <c r="F23" s="334" t="s">
        <v>102</v>
      </c>
      <c r="G23" s="334" t="s">
        <v>124</v>
      </c>
      <c r="H23" s="334" t="s">
        <v>134</v>
      </c>
      <c r="I23" s="334" t="s">
        <v>135</v>
      </c>
      <c r="J23" s="335" t="s">
        <v>136</v>
      </c>
    </row>
    <row r="24" spans="1:10">
      <c r="A24" s="33" t="s">
        <v>57</v>
      </c>
      <c r="C24" s="1">
        <v>0.21</v>
      </c>
      <c r="D24" s="1">
        <v>0.23</v>
      </c>
      <c r="E24" s="1">
        <v>0.35</v>
      </c>
      <c r="F24" s="1">
        <v>0.37</v>
      </c>
      <c r="G24" s="1">
        <v>0.28000000000000003</v>
      </c>
      <c r="H24" s="115">
        <v>0.3</v>
      </c>
      <c r="I24" s="115">
        <v>0.23</v>
      </c>
      <c r="J24" s="327">
        <v>0.25</v>
      </c>
    </row>
    <row r="25" spans="1:10">
      <c r="A25" s="33" t="s">
        <v>115</v>
      </c>
      <c r="B25" s="1"/>
      <c r="C25" s="1">
        <v>0.21</v>
      </c>
      <c r="D25" s="1">
        <v>0.23</v>
      </c>
      <c r="E25" s="1">
        <v>0.27</v>
      </c>
      <c r="F25" s="115">
        <v>0.3</v>
      </c>
      <c r="G25" s="115">
        <v>0.3</v>
      </c>
      <c r="H25" s="115">
        <v>0.3</v>
      </c>
      <c r="I25" s="115">
        <v>0.28999999999999998</v>
      </c>
      <c r="J25" s="327">
        <v>0.28999999999999998</v>
      </c>
    </row>
    <row r="26" spans="1:10" ht="15.75" thickBot="1">
      <c r="A26" s="33" t="s">
        <v>116</v>
      </c>
      <c r="C26" s="115">
        <v>0.2</v>
      </c>
      <c r="D26" s="115">
        <v>0.2</v>
      </c>
      <c r="E26" s="115">
        <v>0.2</v>
      </c>
      <c r="F26" s="115">
        <v>0.2</v>
      </c>
      <c r="G26" s="115">
        <v>0.2</v>
      </c>
      <c r="H26" s="115">
        <v>0.2</v>
      </c>
      <c r="I26" s="172">
        <v>0.2</v>
      </c>
      <c r="J26" s="349">
        <v>0.2</v>
      </c>
    </row>
    <row r="27" spans="1:10" ht="15.75" thickBot="1">
      <c r="A27" s="338" t="s">
        <v>131</v>
      </c>
      <c r="B27" s="339" t="s">
        <v>108</v>
      </c>
      <c r="C27" s="339" t="s">
        <v>99</v>
      </c>
      <c r="D27" s="339" t="s">
        <v>100</v>
      </c>
      <c r="E27" s="339" t="s">
        <v>101</v>
      </c>
      <c r="F27" s="339" t="s">
        <v>102</v>
      </c>
      <c r="G27" s="339" t="s">
        <v>124</v>
      </c>
      <c r="H27" s="339" t="s">
        <v>134</v>
      </c>
      <c r="I27" s="334" t="s">
        <v>135</v>
      </c>
      <c r="J27" s="335" t="s">
        <v>136</v>
      </c>
    </row>
    <row r="28" spans="1:10">
      <c r="A28" s="331" t="s">
        <v>93</v>
      </c>
      <c r="B28" s="332"/>
      <c r="C28" s="206">
        <v>0.39</v>
      </c>
      <c r="D28" s="206">
        <v>0.04</v>
      </c>
      <c r="E28" s="206">
        <v>0.18</v>
      </c>
      <c r="F28" s="206">
        <v>0</v>
      </c>
      <c r="G28" s="206">
        <v>0.17</v>
      </c>
      <c r="H28" s="206">
        <v>0.02</v>
      </c>
      <c r="I28" s="1">
        <v>0.06</v>
      </c>
      <c r="J28" s="328">
        <v>0</v>
      </c>
    </row>
    <row r="29" spans="1:10">
      <c r="A29" s="33" t="s">
        <v>117</v>
      </c>
      <c r="C29" s="1">
        <v>0.39</v>
      </c>
      <c r="D29" s="1">
        <v>0.19</v>
      </c>
      <c r="E29" s="1">
        <v>0.18</v>
      </c>
      <c r="F29" s="1">
        <v>0.13</v>
      </c>
      <c r="G29" s="1">
        <v>0.14000000000000001</v>
      </c>
      <c r="H29" s="1">
        <v>0.12</v>
      </c>
      <c r="I29" s="1">
        <v>0.11</v>
      </c>
      <c r="J29" s="328">
        <v>0.11</v>
      </c>
    </row>
    <row r="30" spans="1:10" ht="15.75" thickBot="1">
      <c r="A30" s="33" t="s">
        <v>118</v>
      </c>
      <c r="C30" s="1">
        <v>0.15</v>
      </c>
      <c r="D30" s="1">
        <v>0.15</v>
      </c>
      <c r="E30" s="1">
        <v>0.15</v>
      </c>
      <c r="F30" s="1">
        <v>0.15</v>
      </c>
      <c r="G30" s="1">
        <v>0.15</v>
      </c>
      <c r="H30" s="1">
        <v>0.15</v>
      </c>
      <c r="I30" s="78">
        <v>0.15</v>
      </c>
      <c r="J30" s="330">
        <v>0.15</v>
      </c>
    </row>
    <row r="31" spans="1:10" ht="15.75" thickBot="1">
      <c r="A31" s="338" t="s">
        <v>132</v>
      </c>
      <c r="B31" s="339" t="s">
        <v>108</v>
      </c>
      <c r="C31" s="339" t="s">
        <v>99</v>
      </c>
      <c r="D31" s="339" t="s">
        <v>100</v>
      </c>
      <c r="E31" s="339" t="s">
        <v>101</v>
      </c>
      <c r="F31" s="339" t="s">
        <v>102</v>
      </c>
      <c r="G31" s="339" t="s">
        <v>124</v>
      </c>
      <c r="H31" s="339" t="s">
        <v>134</v>
      </c>
      <c r="I31" s="334" t="s">
        <v>135</v>
      </c>
      <c r="J31" s="335" t="s">
        <v>136</v>
      </c>
    </row>
    <row r="32" spans="1:10">
      <c r="A32" s="331" t="s">
        <v>59</v>
      </c>
      <c r="B32" s="332"/>
      <c r="C32" s="206">
        <v>692</v>
      </c>
      <c r="D32" s="206">
        <v>354</v>
      </c>
      <c r="E32" s="206">
        <v>388</v>
      </c>
      <c r="F32" s="206">
        <v>469</v>
      </c>
      <c r="G32" s="206">
        <v>428</v>
      </c>
      <c r="H32" s="206">
        <v>416</v>
      </c>
      <c r="I32" s="1">
        <v>374</v>
      </c>
      <c r="J32" s="328">
        <v>0</v>
      </c>
    </row>
    <row r="33" spans="1:10">
      <c r="A33" s="33" t="s">
        <v>119</v>
      </c>
      <c r="C33" s="1">
        <v>671</v>
      </c>
      <c r="D33" s="1">
        <v>498</v>
      </c>
      <c r="E33" s="1">
        <v>459</v>
      </c>
      <c r="F33" s="1">
        <v>462</v>
      </c>
      <c r="G33" s="1">
        <v>456</v>
      </c>
      <c r="H33" s="1">
        <v>449</v>
      </c>
      <c r="I33" s="1">
        <v>442</v>
      </c>
      <c r="J33" s="328">
        <v>434</v>
      </c>
    </row>
    <row r="34" spans="1:10" ht="15.75" thickBot="1">
      <c r="A34" s="33" t="s">
        <v>120</v>
      </c>
      <c r="C34" s="1">
        <v>550</v>
      </c>
      <c r="D34" s="1">
        <v>550</v>
      </c>
      <c r="E34" s="1">
        <v>550</v>
      </c>
      <c r="F34" s="1">
        <v>550</v>
      </c>
      <c r="G34" s="1">
        <v>550</v>
      </c>
      <c r="H34" s="1">
        <v>550</v>
      </c>
      <c r="I34" s="78">
        <v>550</v>
      </c>
      <c r="J34" s="330">
        <v>550</v>
      </c>
    </row>
    <row r="35" spans="1:10" ht="15.75" thickBot="1">
      <c r="A35" s="338" t="s">
        <v>133</v>
      </c>
      <c r="B35" s="339" t="s">
        <v>108</v>
      </c>
      <c r="C35" s="339" t="s">
        <v>99</v>
      </c>
      <c r="D35" s="339" t="s">
        <v>100</v>
      </c>
      <c r="E35" s="339" t="s">
        <v>101</v>
      </c>
      <c r="F35" s="339" t="s">
        <v>102</v>
      </c>
      <c r="G35" s="339" t="s">
        <v>124</v>
      </c>
      <c r="H35" s="339" t="s">
        <v>134</v>
      </c>
      <c r="I35" s="334" t="s">
        <v>135</v>
      </c>
      <c r="J35" s="335" t="s">
        <v>136</v>
      </c>
    </row>
    <row r="36" spans="1:10">
      <c r="A36" s="331" t="s">
        <v>58</v>
      </c>
      <c r="B36" s="332"/>
      <c r="C36" s="206">
        <v>180</v>
      </c>
      <c r="D36" s="206">
        <v>71</v>
      </c>
      <c r="E36" s="206">
        <v>32</v>
      </c>
      <c r="F36" s="206">
        <v>57</v>
      </c>
      <c r="G36" s="206">
        <v>104</v>
      </c>
      <c r="H36" s="206">
        <v>82</v>
      </c>
      <c r="I36" s="1">
        <v>26.46</v>
      </c>
      <c r="J36" s="328">
        <v>0</v>
      </c>
    </row>
    <row r="37" spans="1:10">
      <c r="A37" s="33" t="s">
        <v>121</v>
      </c>
      <c r="C37" s="1">
        <v>174</v>
      </c>
      <c r="D37" s="1">
        <v>118</v>
      </c>
      <c r="E37" s="1">
        <v>87</v>
      </c>
      <c r="F37" s="1">
        <v>79</v>
      </c>
      <c r="G37" s="1">
        <v>83</v>
      </c>
      <c r="H37" s="1">
        <v>83</v>
      </c>
      <c r="I37" s="1">
        <v>78</v>
      </c>
      <c r="J37" s="328">
        <v>76</v>
      </c>
    </row>
    <row r="38" spans="1:10" ht="15.75" thickBot="1">
      <c r="A38" s="34" t="s">
        <v>122</v>
      </c>
      <c r="B38" s="329"/>
      <c r="C38" s="78">
        <v>100</v>
      </c>
      <c r="D38" s="78">
        <v>100</v>
      </c>
      <c r="E38" s="78">
        <v>100</v>
      </c>
      <c r="F38" s="78">
        <v>100</v>
      </c>
      <c r="G38" s="78">
        <v>100</v>
      </c>
      <c r="H38" s="78">
        <v>100</v>
      </c>
      <c r="I38" s="78">
        <v>100</v>
      </c>
      <c r="J38" s="330">
        <v>100</v>
      </c>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14</vt:i4>
      </vt:variant>
      <vt:variant>
        <vt:lpstr>Intervalos Nomeados</vt:lpstr>
      </vt:variant>
      <vt:variant>
        <vt:i4>1</vt:i4>
      </vt:variant>
    </vt:vector>
  </HeadingPairs>
  <TitlesOfParts>
    <vt:vector size="15" baseType="lpstr">
      <vt:lpstr>Estoque Tanques</vt:lpstr>
      <vt:lpstr>2022</vt:lpstr>
      <vt:lpstr>2021</vt:lpstr>
      <vt:lpstr>2020</vt:lpstr>
      <vt:lpstr>2019</vt:lpstr>
      <vt:lpstr>2018</vt:lpstr>
      <vt:lpstr>Fechamento 2022</vt:lpstr>
      <vt:lpstr>Fechamento 2019</vt:lpstr>
      <vt:lpstr>Fechamento 2018</vt:lpstr>
      <vt:lpstr>Fechamento 2017</vt:lpstr>
      <vt:lpstr>Fechamento 2016</vt:lpstr>
      <vt:lpstr>Fechamento 2014 e 2015</vt:lpstr>
      <vt:lpstr>Graf 2020</vt:lpstr>
      <vt:lpstr>Graf 2019</vt:lpstr>
      <vt:lpstr>'2022'!Area_de_impressao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 Marcos Bernini</dc:creator>
  <cp:lastModifiedBy>Luiz Castilho de Almeida Junior</cp:lastModifiedBy>
  <cp:lastPrinted>2022-05-10T14:35:35Z</cp:lastPrinted>
  <dcterms:created xsi:type="dcterms:W3CDTF">2018-05-10T14:37:57Z</dcterms:created>
  <dcterms:modified xsi:type="dcterms:W3CDTF">2023-02-02T10:08:44Z</dcterms:modified>
</cp:coreProperties>
</file>